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C:\Users\Chun\Desktop\"/>
    </mc:Choice>
  </mc:AlternateContent>
  <xr:revisionPtr revIDLastSave="0" documentId="13_ncr:1_{72D4490C-DA73-408B-ADEC-677756DD017C}" xr6:coauthVersionLast="47" xr6:coauthVersionMax="47" xr10:uidLastSave="{00000000-0000-0000-0000-000000000000}"/>
  <workbookProtection workbookAlgorithmName="SHA-512" workbookHashValue="2dupzLmy8lYxsvrmDTxdyuSNxO/ZpdSpvTpTZhFjpjS0rkVZcThNS00C1fXGQtcj8LzFAUyhqjgKjHX1DQgcYw==" workbookSaltValue="voCTs8MkhLIuVwo8D+gURw==" workbookSpinCount="100000" lockStructure="1"/>
  <bookViews>
    <workbookView xWindow="-120" yWindow="-120" windowWidth="38640" windowHeight="21240" xr2:uid="{00000000-000D-0000-FFFF-FFFF00000000}"/>
  </bookViews>
  <sheets>
    <sheet name="User's_Page" sheetId="1" r:id="rId1"/>
    <sheet name="Loop_Response" sheetId="3" state="hidden" r:id="rId2"/>
    <sheet name="Efficiency" sheetId="4" state="hidden" r:id="rId3"/>
    <sheet name="Variable_List" sheetId="2" state="hidden" r:id="rId4"/>
  </sheets>
  <definedNames>
    <definedName name="A_EA">'User''s_Page'!$B$69</definedName>
    <definedName name="A_PS">'User''s_Page'!$B$56</definedName>
    <definedName name="C_c">'User''s_Page'!$B$67</definedName>
    <definedName name="C_ff">'User''s_Page'!$B$84</definedName>
    <definedName name="C_HS_oss">Efficiency!$B$67</definedName>
    <definedName name="C_LS_oss">Efficiency!$B$66</definedName>
    <definedName name="C_p">'User''s_Page'!$B$68</definedName>
    <definedName name="Cin_act">'User''s_Page'!$B$46</definedName>
    <definedName name="Cin_cal_min">'User''s_Page'!$B$45</definedName>
    <definedName name="Cout">'User''s_Page'!$B$53</definedName>
    <definedName name="Cout_cal_min">'User''s_Page'!$B$36</definedName>
    <definedName name="Cout_elec">'User''s_Page'!$B$39</definedName>
    <definedName name="Cout_MLCC">'User''s_Page'!$B$37</definedName>
    <definedName name="D">'User''s_Page'!$B$55</definedName>
    <definedName name="D_1">'User''s_Page'!$K$13</definedName>
    <definedName name="D_2">'User''s_Page'!$K$14</definedName>
    <definedName name="delta_iout">'User''s_Page'!$B$91</definedName>
    <definedName name="duty_max">'User''s_Page'!$B$16</definedName>
    <definedName name="duty_min">'User''s_Page'!$B$14</definedName>
    <definedName name="duty_nom">'User''s_Page'!$B$15</definedName>
    <definedName name="efficiency">'User''s_Page'!$B$10</definedName>
    <definedName name="efficiency_cal">Efficiency!$B$23</definedName>
    <definedName name="f">'User''s_Page'!$B$11</definedName>
    <definedName name="fc">Loop_Response!$E$16</definedName>
    <definedName name="fc_set">'User''s_Page'!#REF!</definedName>
    <definedName name="G_EA">'User''s_Page'!$B$63</definedName>
    <definedName name="GM">Loop_Response!$E$18</definedName>
    <definedName name="icin_rms">'User''s_Page'!$B$47</definedName>
    <definedName name="icout_rms">'User''s_Page'!$B$41</definedName>
    <definedName name="iin_max">'User''s_Page'!$B$20</definedName>
    <definedName name="iin_nom">'User''s_Page'!$K$20</definedName>
    <definedName name="iin_v2">'User''s_Page'!$K$17</definedName>
    <definedName name="iin_vin_max">'User''s_Page'!$K$18</definedName>
    <definedName name="iL_act_max">'User''s_Page'!$B$30</definedName>
    <definedName name="iL_p2p_1">'User''s_Page'!$K$15</definedName>
    <definedName name="iL_p2p_2">'User''s_Page'!$K$16</definedName>
    <definedName name="iL_p2p_act_max">'User''s_Page'!$B$29</definedName>
    <definedName name="iL_p2p_act_min">'User''s_Page'!$B$27</definedName>
    <definedName name="iL_p2p_act_nom">'User''s_Page'!$B$28</definedName>
    <definedName name="iL_p2p_cal_max">'User''s_Page'!$B$22</definedName>
    <definedName name="iL_p2p_max_act">'User''s_Page'!$B$24</definedName>
    <definedName name="iL_p2p_ratio_max">'User''s_Page'!$B$21</definedName>
    <definedName name="IL_Peak_to_Peak">'User''s_Page'!$B$33</definedName>
    <definedName name="iL_rms_act_max">'User''s_Page'!$B$31</definedName>
    <definedName name="iL_rms_act_nom">'User''s_Page'!$B$32</definedName>
    <definedName name="ilimit_nom">'User''s_Page'!$B$12</definedName>
    <definedName name="iout_actual_max">'User''s_Page'!$B$9</definedName>
    <definedName name="iout_cal_max">'User''s_Page'!$B$17</definedName>
    <definedName name="IQ_in">Efficiency!$B$103</definedName>
    <definedName name="IQ_out">Efficiency!$B$104</definedName>
    <definedName name="K_R">Efficiency!$B$36</definedName>
    <definedName name="L">'User''s_Page'!$B$25</definedName>
    <definedName name="L_cal_min">'User''s_Page'!$B$23</definedName>
    <definedName name="p_comp">'User''s_Page'!$B$72</definedName>
    <definedName name="p_EA">'User''s_Page'!$B$70</definedName>
    <definedName name="p_esr">'User''s_Page'!$B$80</definedName>
    <definedName name="p_ff">'User''s_Page'!$B$86</definedName>
    <definedName name="p_large">'User''s_Page'!$B$59</definedName>
    <definedName name="P_loss_act_inductor_AC">'User''s_Page'!$B$98</definedName>
    <definedName name="P_loss_act_inductor_DC">'User''s_Page'!$B$97</definedName>
    <definedName name="P_loss_diode_rr">Efficiency!$B$98</definedName>
    <definedName name="P_loss_fb_res">Efficiency!$B$111</definedName>
    <definedName name="P_loss_FET_dead">Efficiency!$B$92</definedName>
    <definedName name="P_loss_FET_driving">Efficiency!$B$63</definedName>
    <definedName name="P_loss_FET_out">Efficiency!$B$72</definedName>
    <definedName name="P_loss_FET_Rdson">Efficiency!$B$41</definedName>
    <definedName name="P_loss_HS_dead">Efficiency!$B$91</definedName>
    <definedName name="P_loss_HS_driving">Efficiency!$B$62</definedName>
    <definedName name="P_loss_HS_out">Efficiency!$B$71</definedName>
    <definedName name="P_loss_HS_Rdson">Efficiency!$B$40</definedName>
    <definedName name="P_loss_IC_total">'User''s_Page'!$B$99</definedName>
    <definedName name="P_loss_inductor_AC">Efficiency!$B$29</definedName>
    <definedName name="P_loss_inductor_DC">Efficiency!$B$30</definedName>
    <definedName name="P_loss_inductor_total">Efficiency!$B$31</definedName>
    <definedName name="P_loss_LS_dead">Efficiency!#REF!</definedName>
    <definedName name="P_loss_LS_driving">Efficiency!$B$61</definedName>
    <definedName name="P_loss_LS_off">Efficiency!$B$52</definedName>
    <definedName name="P_loss_LS_on">Efficiency!$B$51</definedName>
    <definedName name="P_loss_LS_out">Efficiency!$B$70</definedName>
    <definedName name="P_loss_LS_Rdson">Efficiency!$B$39</definedName>
    <definedName name="P_loss_LS_switching">Efficiency!$B$53</definedName>
    <definedName name="P_loss_quiescent">Efficiency!$B$105</definedName>
    <definedName name="P_loss_total">Efficiency!$B$22</definedName>
    <definedName name="P_loss_VCC">Efficiency!$B$81</definedName>
    <definedName name="p_small">'User''s_Page'!$B$58</definedName>
    <definedName name="PM">Loop_Response!$E$17</definedName>
    <definedName name="Q_HS_gate">Efficiency!$B$57</definedName>
    <definedName name="Q_LS_gate">Efficiency!$B$56</definedName>
    <definedName name="Qrr">Efficiency!$B$95</definedName>
    <definedName name="R_c">'User''s_Page'!$B$66</definedName>
    <definedName name="R_EA">'User''s_Page'!$B$64</definedName>
    <definedName name="R_FB">'User''s_Page'!$B$83</definedName>
    <definedName name="R_FT">'User''s_Page'!$B$82</definedName>
    <definedName name="R_HS_dson">Efficiency!$B$35</definedName>
    <definedName name="R_L_DCR">'User''s_Page'!$B$26</definedName>
    <definedName name="R_LS_dson">Efficiency!$B$34</definedName>
    <definedName name="R_theta_JA">'User''s_Page'!$B$101</definedName>
    <definedName name="Resr_elec">'User''s_Page'!$B$40</definedName>
    <definedName name="Resr_MLCC">'User''s_Page'!$B$38</definedName>
    <definedName name="rilim">'User''s_Page'!$B$13</definedName>
    <definedName name="RL_dc">Efficiency!$B$28</definedName>
    <definedName name="Rout">'User''s_Page'!$B$52</definedName>
    <definedName name="Rsense">'User''s_Page'!$B$65</definedName>
    <definedName name="Switching_Frequency">'User''s_Page'!$B$13</definedName>
    <definedName name="tau_HS_on_dead">Efficiency!$B$85</definedName>
    <definedName name="tau_LS_on_dead">Efficiency!$B$84</definedName>
    <definedName name="tau_off">Efficiency!$B$45</definedName>
    <definedName name="tau_on">Efficiency!$B$44</definedName>
    <definedName name="temp_rise">'User''s_Page'!$B$102</definedName>
    <definedName name="v_1">'User''s_Page'!$K$11</definedName>
    <definedName name="v_2">'User''s_Page'!$K$12</definedName>
    <definedName name="V_CC">Efficiency!$B$78</definedName>
    <definedName name="V_D_HS">Efficiency!$B$46</definedName>
    <definedName name="V_D_LS">Efficiency!$B$86</definedName>
    <definedName name="V_DD">Efficiency!$B$77</definedName>
    <definedName name="V_HS_gate">Efficiency!$B$59</definedName>
    <definedName name="V_LS_gate">Efficiency!$B$58</definedName>
    <definedName name="vin_max">'User''s_Page'!$B$7</definedName>
    <definedName name="vin_min">'User''s_Page'!$B$5</definedName>
    <definedName name="vin_nom">'User''s_Page'!$B$6</definedName>
    <definedName name="vin_p2p_max">'User''s_Page'!$B$44</definedName>
    <definedName name="Vin_Ripple">'User''s_Page'!$B$48</definedName>
    <definedName name="vout">'User''s_Page'!$B$8</definedName>
    <definedName name="vout_p2p_max">'User''s_Page'!$B$35</definedName>
    <definedName name="vout_under_shoot">'User''s_Page'!$B$92</definedName>
    <definedName name="vref">'User''s_Page'!$B$62</definedName>
    <definedName name="z_comp">'User''s_Page'!$B$71</definedName>
    <definedName name="z_esr_1">'User''s_Page'!$B$78</definedName>
    <definedName name="z_esr_2">'User''s_Page'!$B$79</definedName>
    <definedName name="z_ff">'User''s_Page'!$B$85</definedName>
    <definedName name="z_RHP">'User''s_Page'!$B$57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0" i="1" l="1"/>
  <c r="K18" i="1" l="1"/>
  <c r="K12" i="1"/>
  <c r="K11" i="1"/>
  <c r="K13" i="1" s="1"/>
  <c r="K17" i="1" l="1"/>
  <c r="K15" i="1"/>
  <c r="K14" i="1"/>
  <c r="K16" i="1" s="1"/>
  <c r="B71" i="4"/>
  <c r="B70" i="4"/>
  <c r="B80" i="1"/>
  <c r="B78" i="1"/>
  <c r="B41" i="1" l="1"/>
  <c r="B20" i="1"/>
  <c r="B22" i="1" s="1"/>
  <c r="B16" i="1"/>
  <c r="B15" i="1"/>
  <c r="B14" i="1"/>
  <c r="B13" i="1"/>
  <c r="B109" i="4"/>
  <c r="B108" i="4"/>
  <c r="B29" i="1" l="1"/>
  <c r="B23" i="1"/>
  <c r="B17" i="1"/>
  <c r="B28" i="1"/>
  <c r="B36" i="1"/>
  <c r="B27" i="1"/>
  <c r="B30" i="1" s="1"/>
  <c r="B91" i="4" l="1"/>
  <c r="B52" i="4"/>
  <c r="B32" i="1"/>
  <c r="B30" i="4" s="1"/>
  <c r="B51" i="4"/>
  <c r="B29" i="4"/>
  <c r="B24" i="1"/>
  <c r="B31" i="1"/>
  <c r="B111" i="4"/>
  <c r="B21" i="4" s="1"/>
  <c r="B110" i="4"/>
  <c r="B101" i="4"/>
  <c r="B103" i="4"/>
  <c r="B104" i="4"/>
  <c r="B102" i="4"/>
  <c r="B98" i="4"/>
  <c r="B19" i="4" s="1"/>
  <c r="B87" i="4"/>
  <c r="B78" i="4"/>
  <c r="B79" i="4"/>
  <c r="B77" i="4"/>
  <c r="B75" i="4"/>
  <c r="B80" i="4"/>
  <c r="B76" i="4"/>
  <c r="B39" i="4" l="1"/>
  <c r="B40" i="4"/>
  <c r="B105" i="4"/>
  <c r="B20" i="4" s="1"/>
  <c r="B81" i="4"/>
  <c r="B17" i="4" s="1"/>
  <c r="B96" i="4"/>
  <c r="B97" i="4"/>
  <c r="B90" i="4"/>
  <c r="B69" i="4" l="1"/>
  <c r="B68" i="4"/>
  <c r="B62" i="4"/>
  <c r="B61" i="4"/>
  <c r="B60" i="4"/>
  <c r="B50" i="4"/>
  <c r="B47" i="4"/>
  <c r="B72" i="4" l="1"/>
  <c r="B16" i="4" s="1"/>
  <c r="B63" i="4"/>
  <c r="B15" i="4" s="1"/>
  <c r="B8" i="4" l="1"/>
  <c r="B7" i="4"/>
  <c r="B6" i="4"/>
  <c r="I404" i="3" l="1"/>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B72" i="1"/>
  <c r="Z446" i="3" s="1"/>
  <c r="B86" i="1"/>
  <c r="B85" i="1"/>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 i="3"/>
  <c r="B79" i="1"/>
  <c r="AF408" i="3" s="1"/>
  <c r="B77" i="1"/>
  <c r="B75" i="1"/>
  <c r="B76" i="1"/>
  <c r="B74" i="1"/>
  <c r="B70" i="1"/>
  <c r="B71" i="1"/>
  <c r="Y417" i="3" s="1"/>
  <c r="B65" i="1"/>
  <c r="B69" i="1"/>
  <c r="U405" i="3" s="1"/>
  <c r="B61" i="1"/>
  <c r="B54" i="1"/>
  <c r="B53" i="1"/>
  <c r="B52" i="1"/>
  <c r="B51" i="1"/>
  <c r="AE244" i="3" l="1"/>
  <c r="AD244" i="3"/>
  <c r="AI244" i="3"/>
  <c r="AH244" i="3"/>
  <c r="AD184" i="3"/>
  <c r="AH184" i="3"/>
  <c r="AI184" i="3"/>
  <c r="AE184" i="3"/>
  <c r="AE76" i="3"/>
  <c r="AD76" i="3"/>
  <c r="AH76" i="3"/>
  <c r="AI76" i="3"/>
  <c r="AD16" i="3"/>
  <c r="AH16" i="3"/>
  <c r="AE16" i="3"/>
  <c r="AI16" i="3"/>
  <c r="AH332" i="3"/>
  <c r="AD332" i="3"/>
  <c r="AE332" i="3"/>
  <c r="AI332" i="3"/>
  <c r="AE487" i="3"/>
  <c r="AH487" i="3"/>
  <c r="AD487" i="3"/>
  <c r="AI487" i="3"/>
  <c r="AD291" i="3"/>
  <c r="AE291" i="3"/>
  <c r="AH291" i="3"/>
  <c r="AI291" i="3"/>
  <c r="AE195" i="3"/>
  <c r="AD195" i="3"/>
  <c r="AH195" i="3"/>
  <c r="AI195" i="3"/>
  <c r="AH99" i="3"/>
  <c r="AE99" i="3"/>
  <c r="AD99" i="3"/>
  <c r="AI99" i="3"/>
  <c r="AD27" i="3"/>
  <c r="AE27" i="3"/>
  <c r="AI27" i="3"/>
  <c r="AH27" i="3"/>
  <c r="AE379" i="3"/>
  <c r="AI379" i="3"/>
  <c r="AD379" i="3"/>
  <c r="AH379" i="3"/>
  <c r="AD367" i="3"/>
  <c r="AH367" i="3"/>
  <c r="AE367" i="3"/>
  <c r="AI367" i="3"/>
  <c r="AD355" i="3"/>
  <c r="AE355" i="3"/>
  <c r="AI355" i="3"/>
  <c r="AH355" i="3"/>
  <c r="AD498" i="3"/>
  <c r="AE498" i="3"/>
  <c r="AI498" i="3"/>
  <c r="AH498" i="3"/>
  <c r="AE486" i="3"/>
  <c r="AI486" i="3"/>
  <c r="AH486" i="3"/>
  <c r="AD486" i="3"/>
  <c r="AE450" i="3"/>
  <c r="AH450" i="3"/>
  <c r="AD450" i="3"/>
  <c r="AI450" i="3"/>
  <c r="AD438" i="3"/>
  <c r="AE438" i="3"/>
  <c r="AI438" i="3"/>
  <c r="AH438" i="3"/>
  <c r="AH426" i="3"/>
  <c r="AE426" i="3"/>
  <c r="AD426" i="3"/>
  <c r="AI426" i="3"/>
  <c r="AD414" i="3"/>
  <c r="AE414" i="3"/>
  <c r="AH414" i="3"/>
  <c r="AI414" i="3"/>
  <c r="AE302" i="3"/>
  <c r="AD302" i="3"/>
  <c r="AH302" i="3"/>
  <c r="AI302" i="3"/>
  <c r="AH290" i="3"/>
  <c r="AE290" i="3"/>
  <c r="AI290" i="3"/>
  <c r="AD290" i="3"/>
  <c r="AE278" i="3"/>
  <c r="AD278" i="3"/>
  <c r="AH278" i="3"/>
  <c r="AI278" i="3"/>
  <c r="AI266" i="3"/>
  <c r="AH266" i="3"/>
  <c r="AD266" i="3"/>
  <c r="AE266" i="3"/>
  <c r="AD254" i="3"/>
  <c r="AH254" i="3"/>
  <c r="AE254" i="3"/>
  <c r="AI254" i="3"/>
  <c r="AD242" i="3"/>
  <c r="AH242" i="3"/>
  <c r="AI242" i="3"/>
  <c r="AE242" i="3"/>
  <c r="AD230" i="3"/>
  <c r="AI230" i="3"/>
  <c r="AE230" i="3"/>
  <c r="AH230" i="3"/>
  <c r="AD218" i="3"/>
  <c r="AI218" i="3"/>
  <c r="AE218" i="3"/>
  <c r="AH218" i="3"/>
  <c r="AD206" i="3"/>
  <c r="AH206" i="3"/>
  <c r="AE206" i="3"/>
  <c r="AI206" i="3"/>
  <c r="AI194" i="3"/>
  <c r="AE194" i="3"/>
  <c r="AD194" i="3"/>
  <c r="AH194" i="3"/>
  <c r="AE182" i="3"/>
  <c r="AH182" i="3"/>
  <c r="AD182" i="3"/>
  <c r="AI182" i="3"/>
  <c r="AI170" i="3"/>
  <c r="AD170" i="3"/>
  <c r="AE170" i="3"/>
  <c r="AH170" i="3"/>
  <c r="AE158" i="3"/>
  <c r="AH158" i="3"/>
  <c r="AD158" i="3"/>
  <c r="AI158" i="3"/>
  <c r="AE146" i="3"/>
  <c r="AD146" i="3"/>
  <c r="AI146" i="3"/>
  <c r="AH146" i="3"/>
  <c r="AE134" i="3"/>
  <c r="AH134" i="3"/>
  <c r="AD134" i="3"/>
  <c r="AI134" i="3"/>
  <c r="AH122" i="3"/>
  <c r="AE122" i="3"/>
  <c r="AD122" i="3"/>
  <c r="AI122" i="3"/>
  <c r="AD110" i="3"/>
  <c r="AH110" i="3"/>
  <c r="AI110" i="3"/>
  <c r="AE110" i="3"/>
  <c r="AD98" i="3"/>
  <c r="AH98" i="3"/>
  <c r="AE98" i="3"/>
  <c r="AI98" i="3"/>
  <c r="AD86" i="3"/>
  <c r="AE86" i="3"/>
  <c r="AI86" i="3"/>
  <c r="AH86" i="3"/>
  <c r="AI74" i="3"/>
  <c r="AD74" i="3"/>
  <c r="AH74" i="3"/>
  <c r="AE74" i="3"/>
  <c r="AD62" i="3"/>
  <c r="AE62" i="3"/>
  <c r="AH62" i="3"/>
  <c r="AI62" i="3"/>
  <c r="AI50" i="3"/>
  <c r="AD50" i="3"/>
  <c r="AE50" i="3"/>
  <c r="AH50" i="3"/>
  <c r="AD38" i="3"/>
  <c r="AE38" i="3"/>
  <c r="AH38" i="3"/>
  <c r="AI38" i="3"/>
  <c r="AD26" i="3"/>
  <c r="AE26" i="3"/>
  <c r="AH26" i="3"/>
  <c r="AI26" i="3"/>
  <c r="AE14" i="3"/>
  <c r="AD14" i="3"/>
  <c r="AH14" i="3"/>
  <c r="AI14" i="3"/>
  <c r="AD402" i="3"/>
  <c r="AE402" i="3"/>
  <c r="AI402" i="3"/>
  <c r="AH402" i="3"/>
  <c r="AE390" i="3"/>
  <c r="AI390" i="3"/>
  <c r="AD390" i="3"/>
  <c r="AH390" i="3"/>
  <c r="AD378" i="3"/>
  <c r="AH378" i="3"/>
  <c r="AE378" i="3"/>
  <c r="AI378" i="3"/>
  <c r="AE366" i="3"/>
  <c r="AD366" i="3"/>
  <c r="AI366" i="3"/>
  <c r="AH366" i="3"/>
  <c r="AD354" i="3"/>
  <c r="AE354" i="3"/>
  <c r="AH354" i="3"/>
  <c r="AI354" i="3"/>
  <c r="AI342" i="3"/>
  <c r="AD342" i="3"/>
  <c r="AH342" i="3"/>
  <c r="AE342" i="3"/>
  <c r="AD330" i="3"/>
  <c r="AH330" i="3"/>
  <c r="AI330" i="3"/>
  <c r="AE330" i="3"/>
  <c r="AD318" i="3"/>
  <c r="AH318" i="3"/>
  <c r="AE318" i="3"/>
  <c r="AI318" i="3"/>
  <c r="AD306" i="3"/>
  <c r="AE306" i="3"/>
  <c r="AH306" i="3"/>
  <c r="AI306" i="3"/>
  <c r="AD497" i="3"/>
  <c r="AE497" i="3"/>
  <c r="AH497" i="3"/>
  <c r="AI497" i="3"/>
  <c r="AD485" i="3"/>
  <c r="AE485" i="3"/>
  <c r="AI485" i="3"/>
  <c r="AH485" i="3"/>
  <c r="AE473" i="3"/>
  <c r="AH473" i="3"/>
  <c r="AD473" i="3"/>
  <c r="AI473" i="3"/>
  <c r="AE461" i="3"/>
  <c r="AH461" i="3"/>
  <c r="AD461" i="3"/>
  <c r="AI461" i="3"/>
  <c r="AE449" i="3"/>
  <c r="AH449" i="3"/>
  <c r="AD449" i="3"/>
  <c r="AI449" i="3"/>
  <c r="AE437" i="3"/>
  <c r="AH437" i="3"/>
  <c r="AI437" i="3"/>
  <c r="AD437" i="3"/>
  <c r="AD425" i="3"/>
  <c r="AE425" i="3"/>
  <c r="AI425" i="3"/>
  <c r="AH425" i="3"/>
  <c r="AD413" i="3"/>
  <c r="AH413" i="3"/>
  <c r="AE413" i="3"/>
  <c r="AI413" i="3"/>
  <c r="AE268" i="3"/>
  <c r="AD268" i="3"/>
  <c r="AH268" i="3"/>
  <c r="AI268" i="3"/>
  <c r="AE148" i="3"/>
  <c r="AI148" i="3"/>
  <c r="AH148" i="3"/>
  <c r="AD148" i="3"/>
  <c r="AD4" i="3"/>
  <c r="AI4" i="3"/>
  <c r="AH4" i="3"/>
  <c r="AE4" i="3"/>
  <c r="AE427" i="3"/>
  <c r="AH427" i="3"/>
  <c r="AD427" i="3"/>
  <c r="AI427" i="3"/>
  <c r="AE255" i="3"/>
  <c r="AH255" i="3"/>
  <c r="AD255" i="3"/>
  <c r="AI255" i="3"/>
  <c r="AD147" i="3"/>
  <c r="AH147" i="3"/>
  <c r="AE147" i="3"/>
  <c r="AI147" i="3"/>
  <c r="AE87" i="3"/>
  <c r="AD87" i="3"/>
  <c r="AI87" i="3"/>
  <c r="AH87" i="3"/>
  <c r="AE403" i="3"/>
  <c r="AD403" i="3"/>
  <c r="AH403" i="3"/>
  <c r="AI403" i="3"/>
  <c r="AD319" i="3"/>
  <c r="AE319" i="3"/>
  <c r="AH319" i="3"/>
  <c r="AI319" i="3"/>
  <c r="AD253" i="3"/>
  <c r="AE253" i="3"/>
  <c r="AI253" i="3"/>
  <c r="AH253" i="3"/>
  <c r="AD73" i="3"/>
  <c r="AH73" i="3"/>
  <c r="AE73" i="3"/>
  <c r="AI73" i="3"/>
  <c r="AD448" i="3"/>
  <c r="AE448" i="3"/>
  <c r="AI448" i="3"/>
  <c r="AH448" i="3"/>
  <c r="AE300" i="3"/>
  <c r="AH300" i="3"/>
  <c r="AD300" i="3"/>
  <c r="AI300" i="3"/>
  <c r="AH288" i="3"/>
  <c r="AI288" i="3"/>
  <c r="AD288" i="3"/>
  <c r="AE288" i="3"/>
  <c r="AD276" i="3"/>
  <c r="AE276" i="3"/>
  <c r="AH276" i="3"/>
  <c r="AI276" i="3"/>
  <c r="AE264" i="3"/>
  <c r="AH264" i="3"/>
  <c r="AD264" i="3"/>
  <c r="AI264" i="3"/>
  <c r="AH252" i="3"/>
  <c r="AE252" i="3"/>
  <c r="AD252" i="3"/>
  <c r="AI252" i="3"/>
  <c r="AD240" i="3"/>
  <c r="AE240" i="3"/>
  <c r="AI240" i="3"/>
  <c r="AH240" i="3"/>
  <c r="AD228" i="3"/>
  <c r="AE228" i="3"/>
  <c r="AH228" i="3"/>
  <c r="AI228" i="3"/>
  <c r="AH216" i="3"/>
  <c r="AD216" i="3"/>
  <c r="AI216" i="3"/>
  <c r="AE216" i="3"/>
  <c r="AD204" i="3"/>
  <c r="AH204" i="3"/>
  <c r="AI204" i="3"/>
  <c r="AE204" i="3"/>
  <c r="AH192" i="3"/>
  <c r="AI192" i="3"/>
  <c r="AD192" i="3"/>
  <c r="AE192" i="3"/>
  <c r="AD180" i="3"/>
  <c r="AE180" i="3"/>
  <c r="AH180" i="3"/>
  <c r="AI180" i="3"/>
  <c r="AD168" i="3"/>
  <c r="AE168" i="3"/>
  <c r="AH168" i="3"/>
  <c r="AI168" i="3"/>
  <c r="AE156" i="3"/>
  <c r="AD156" i="3"/>
  <c r="AI156" i="3"/>
  <c r="AH156" i="3"/>
  <c r="AD144" i="3"/>
  <c r="AE144" i="3"/>
  <c r="AH144" i="3"/>
  <c r="AI144" i="3"/>
  <c r="AE132" i="3"/>
  <c r="AD132" i="3"/>
  <c r="AH132" i="3"/>
  <c r="AI132" i="3"/>
  <c r="AI120" i="3"/>
  <c r="AH120" i="3"/>
  <c r="AE120" i="3"/>
  <c r="AD120" i="3"/>
  <c r="AE108" i="3"/>
  <c r="AH108" i="3"/>
  <c r="AD108" i="3"/>
  <c r="AI108" i="3"/>
  <c r="AD96" i="3"/>
  <c r="AE96" i="3"/>
  <c r="AH96" i="3"/>
  <c r="AI96" i="3"/>
  <c r="AD84" i="3"/>
  <c r="AH84" i="3"/>
  <c r="AE84" i="3"/>
  <c r="AI84" i="3"/>
  <c r="AD72" i="3"/>
  <c r="AE72" i="3"/>
  <c r="AI72" i="3"/>
  <c r="AH72" i="3"/>
  <c r="AE60" i="3"/>
  <c r="AD60" i="3"/>
  <c r="AI60" i="3"/>
  <c r="AH60" i="3"/>
  <c r="AD48" i="3"/>
  <c r="AE48" i="3"/>
  <c r="AI48" i="3"/>
  <c r="AH48" i="3"/>
  <c r="AE36" i="3"/>
  <c r="AD36" i="3"/>
  <c r="AI36" i="3"/>
  <c r="AH36" i="3"/>
  <c r="AD24" i="3"/>
  <c r="AH24" i="3"/>
  <c r="AE24" i="3"/>
  <c r="AI24" i="3"/>
  <c r="AD12" i="3"/>
  <c r="AE12" i="3"/>
  <c r="AH12" i="3"/>
  <c r="AI12" i="3"/>
  <c r="AE400" i="3"/>
  <c r="AD400" i="3"/>
  <c r="AH400" i="3"/>
  <c r="AI400" i="3"/>
  <c r="AE388" i="3"/>
  <c r="AD388" i="3"/>
  <c r="AH388" i="3"/>
  <c r="AI388" i="3"/>
  <c r="AD376" i="3"/>
  <c r="AE376" i="3"/>
  <c r="AI376" i="3"/>
  <c r="AH376" i="3"/>
  <c r="AD364" i="3"/>
  <c r="AE364" i="3"/>
  <c r="AH364" i="3"/>
  <c r="AI364" i="3"/>
  <c r="AE352" i="3"/>
  <c r="AD352" i="3"/>
  <c r="AH352" i="3"/>
  <c r="AI352" i="3"/>
  <c r="AE340" i="3"/>
  <c r="AD340" i="3"/>
  <c r="AI340" i="3"/>
  <c r="AH340" i="3"/>
  <c r="AD328" i="3"/>
  <c r="AE328" i="3"/>
  <c r="AI328" i="3"/>
  <c r="AH328" i="3"/>
  <c r="AE316" i="3"/>
  <c r="AD316" i="3"/>
  <c r="AH316" i="3"/>
  <c r="AI316" i="3"/>
  <c r="AI304" i="3"/>
  <c r="AH304" i="3"/>
  <c r="AD304" i="3"/>
  <c r="AE304" i="3"/>
  <c r="AD495" i="3"/>
  <c r="AI495" i="3"/>
  <c r="AE495" i="3"/>
  <c r="AH495" i="3"/>
  <c r="AE483" i="3"/>
  <c r="AD483" i="3"/>
  <c r="AI483" i="3"/>
  <c r="AH483" i="3"/>
  <c r="AH471" i="3"/>
  <c r="AE471" i="3"/>
  <c r="AD471" i="3"/>
  <c r="AI471" i="3"/>
  <c r="AD459" i="3"/>
  <c r="AH459" i="3"/>
  <c r="AE459" i="3"/>
  <c r="AI459" i="3"/>
  <c r="AE447" i="3"/>
  <c r="AD447" i="3"/>
  <c r="AH447" i="3"/>
  <c r="AI447" i="3"/>
  <c r="AD435" i="3"/>
  <c r="AE435" i="3"/>
  <c r="AH435" i="3"/>
  <c r="AI435" i="3"/>
  <c r="AE423" i="3"/>
  <c r="AD423" i="3"/>
  <c r="AH423" i="3"/>
  <c r="AI423" i="3"/>
  <c r="AD411" i="3"/>
  <c r="AE411" i="3"/>
  <c r="AH411" i="3"/>
  <c r="AI411" i="3"/>
  <c r="AD292" i="3"/>
  <c r="AI292" i="3"/>
  <c r="AE292" i="3"/>
  <c r="AH292" i="3"/>
  <c r="AD136" i="3"/>
  <c r="AE136" i="3"/>
  <c r="AI136" i="3"/>
  <c r="AH136" i="3"/>
  <c r="AD392" i="3"/>
  <c r="AE392" i="3"/>
  <c r="AI392" i="3"/>
  <c r="AH392" i="3"/>
  <c r="AD415" i="3"/>
  <c r="AE415" i="3"/>
  <c r="AH415" i="3"/>
  <c r="AI415" i="3"/>
  <c r="AD243" i="3"/>
  <c r="AE243" i="3"/>
  <c r="AH243" i="3"/>
  <c r="AI243" i="3"/>
  <c r="AE159" i="3"/>
  <c r="AD159" i="3"/>
  <c r="AH159" i="3"/>
  <c r="AI159" i="3"/>
  <c r="AD111" i="3"/>
  <c r="AE111" i="3"/>
  <c r="AI111" i="3"/>
  <c r="AH111" i="3"/>
  <c r="AD15" i="3"/>
  <c r="AE15" i="3"/>
  <c r="AH15" i="3"/>
  <c r="AI15" i="3"/>
  <c r="AE307" i="3"/>
  <c r="AD307" i="3"/>
  <c r="AI307" i="3"/>
  <c r="AH307" i="3"/>
  <c r="AD145" i="3"/>
  <c r="AI145" i="3"/>
  <c r="AH145" i="3"/>
  <c r="AE145" i="3"/>
  <c r="AE412" i="3"/>
  <c r="AD412" i="3"/>
  <c r="AH412" i="3"/>
  <c r="AI412" i="3"/>
  <c r="AE287" i="3"/>
  <c r="AD287" i="3"/>
  <c r="AH287" i="3"/>
  <c r="AI287" i="3"/>
  <c r="AD275" i="3"/>
  <c r="AE275" i="3"/>
  <c r="AI275" i="3"/>
  <c r="AH275" i="3"/>
  <c r="AE263" i="3"/>
  <c r="AI263" i="3"/>
  <c r="AD263" i="3"/>
  <c r="AH263" i="3"/>
  <c r="AE251" i="3"/>
  <c r="AD251" i="3"/>
  <c r="AI251" i="3"/>
  <c r="AH251" i="3"/>
  <c r="AD239" i="3"/>
  <c r="AE239" i="3"/>
  <c r="AI239" i="3"/>
  <c r="AH239" i="3"/>
  <c r="AE227" i="3"/>
  <c r="AD227" i="3"/>
  <c r="AH227" i="3"/>
  <c r="AI227" i="3"/>
  <c r="AI215" i="3"/>
  <c r="AH215" i="3"/>
  <c r="AE215" i="3"/>
  <c r="AD215" i="3"/>
  <c r="AD203" i="3"/>
  <c r="AI203" i="3"/>
  <c r="AH203" i="3"/>
  <c r="AE203" i="3"/>
  <c r="AD191" i="3"/>
  <c r="AE191" i="3"/>
  <c r="AH191" i="3"/>
  <c r="AI191" i="3"/>
  <c r="AD179" i="3"/>
  <c r="AE179" i="3"/>
  <c r="AI179" i="3"/>
  <c r="AH179" i="3"/>
  <c r="AE167" i="3"/>
  <c r="AD167" i="3"/>
  <c r="AI167" i="3"/>
  <c r="AH167" i="3"/>
  <c r="AE155" i="3"/>
  <c r="AH155" i="3"/>
  <c r="AD155" i="3"/>
  <c r="AI155" i="3"/>
  <c r="AE143" i="3"/>
  <c r="AD143" i="3"/>
  <c r="AI143" i="3"/>
  <c r="AH143" i="3"/>
  <c r="AD131" i="3"/>
  <c r="AE131" i="3"/>
  <c r="AI131" i="3"/>
  <c r="AH131" i="3"/>
  <c r="AE119" i="3"/>
  <c r="AD119" i="3"/>
  <c r="AI119" i="3"/>
  <c r="AH119" i="3"/>
  <c r="AD107" i="3"/>
  <c r="AE107" i="3"/>
  <c r="AI107" i="3"/>
  <c r="AH107" i="3"/>
  <c r="AE95" i="3"/>
  <c r="AI95" i="3"/>
  <c r="AH95" i="3"/>
  <c r="AD95" i="3"/>
  <c r="AD83" i="3"/>
  <c r="AH83" i="3"/>
  <c r="AE83" i="3"/>
  <c r="AI83" i="3"/>
  <c r="AD71" i="3"/>
  <c r="AE71" i="3"/>
  <c r="AI71" i="3"/>
  <c r="AH71" i="3"/>
  <c r="AE59" i="3"/>
  <c r="AD59" i="3"/>
  <c r="AI59" i="3"/>
  <c r="AH59" i="3"/>
  <c r="AE47" i="3"/>
  <c r="AD47" i="3"/>
  <c r="AI47" i="3"/>
  <c r="AH47" i="3"/>
  <c r="AD35" i="3"/>
  <c r="AI35" i="3"/>
  <c r="AE35" i="3"/>
  <c r="AH35" i="3"/>
  <c r="AD23" i="3"/>
  <c r="AE23" i="3"/>
  <c r="AI23" i="3"/>
  <c r="AH23" i="3"/>
  <c r="AD11" i="3"/>
  <c r="AE11" i="3"/>
  <c r="AI11" i="3"/>
  <c r="AH11" i="3"/>
  <c r="AD399" i="3"/>
  <c r="AE399" i="3"/>
  <c r="AH399" i="3"/>
  <c r="AI399" i="3"/>
  <c r="AD387" i="3"/>
  <c r="AE387" i="3"/>
  <c r="AH387" i="3"/>
  <c r="AI387" i="3"/>
  <c r="AE375" i="3"/>
  <c r="AH375" i="3"/>
  <c r="AD375" i="3"/>
  <c r="AI375" i="3"/>
  <c r="AD363" i="3"/>
  <c r="AE363" i="3"/>
  <c r="AH363" i="3"/>
  <c r="AI363" i="3"/>
  <c r="AE351" i="3"/>
  <c r="AD351" i="3"/>
  <c r="AI351" i="3"/>
  <c r="AH351" i="3"/>
  <c r="AD339" i="3"/>
  <c r="AH339" i="3"/>
  <c r="AE339" i="3"/>
  <c r="AI339" i="3"/>
  <c r="AD327" i="3"/>
  <c r="AE327" i="3"/>
  <c r="AI327" i="3"/>
  <c r="AH327" i="3"/>
  <c r="AE315" i="3"/>
  <c r="AD315" i="3"/>
  <c r="AI315" i="3"/>
  <c r="AH315" i="3"/>
  <c r="AE494" i="3"/>
  <c r="AI494" i="3"/>
  <c r="AD494" i="3"/>
  <c r="AH494" i="3"/>
  <c r="AD482" i="3"/>
  <c r="AH482" i="3"/>
  <c r="AI482" i="3"/>
  <c r="AE482" i="3"/>
  <c r="AE470" i="3"/>
  <c r="AD470" i="3"/>
  <c r="AH470" i="3"/>
  <c r="AI470" i="3"/>
  <c r="AH458" i="3"/>
  <c r="AE458" i="3"/>
  <c r="AI458" i="3"/>
  <c r="AD458" i="3"/>
  <c r="AD446" i="3"/>
  <c r="AE446" i="3"/>
  <c r="AH446" i="3"/>
  <c r="AI446" i="3"/>
  <c r="AD434" i="3"/>
  <c r="AE434" i="3"/>
  <c r="AH434" i="3"/>
  <c r="AI434" i="3"/>
  <c r="AD422" i="3"/>
  <c r="AI422" i="3"/>
  <c r="AE422" i="3"/>
  <c r="AH422" i="3"/>
  <c r="AD410" i="3"/>
  <c r="AH410" i="3"/>
  <c r="AE410" i="3"/>
  <c r="AI410" i="3"/>
  <c r="AE220" i="3"/>
  <c r="AH220" i="3"/>
  <c r="AD220" i="3"/>
  <c r="AI220" i="3"/>
  <c r="AD64" i="3"/>
  <c r="AI64" i="3"/>
  <c r="AH64" i="3"/>
  <c r="AE64" i="3"/>
  <c r="AD308" i="3"/>
  <c r="AI308" i="3"/>
  <c r="AE308" i="3"/>
  <c r="AH308" i="3"/>
  <c r="AE219" i="3"/>
  <c r="AD219" i="3"/>
  <c r="AI219" i="3"/>
  <c r="AH219" i="3"/>
  <c r="AD123" i="3"/>
  <c r="AE123" i="3"/>
  <c r="AH123" i="3"/>
  <c r="AI123" i="3"/>
  <c r="AD39" i="3"/>
  <c r="AE39" i="3"/>
  <c r="AI39" i="3"/>
  <c r="AH39" i="3"/>
  <c r="AD331" i="3"/>
  <c r="AH331" i="3"/>
  <c r="AI331" i="3"/>
  <c r="AE331" i="3"/>
  <c r="AD301" i="3"/>
  <c r="AE301" i="3"/>
  <c r="AI301" i="3"/>
  <c r="AH301" i="3"/>
  <c r="AD121" i="3"/>
  <c r="AE121" i="3"/>
  <c r="AI121" i="3"/>
  <c r="AH121" i="3"/>
  <c r="AD424" i="3"/>
  <c r="AE424" i="3"/>
  <c r="AH424" i="3"/>
  <c r="AI424" i="3"/>
  <c r="AD286" i="3"/>
  <c r="AE286" i="3"/>
  <c r="AH286" i="3"/>
  <c r="AI286" i="3"/>
  <c r="AD274" i="3"/>
  <c r="AH274" i="3"/>
  <c r="AE274" i="3"/>
  <c r="AI274" i="3"/>
  <c r="AI262" i="3"/>
  <c r="AD262" i="3"/>
  <c r="AH262" i="3"/>
  <c r="AE262" i="3"/>
  <c r="AH250" i="3"/>
  <c r="AD250" i="3"/>
  <c r="AI250" i="3"/>
  <c r="AE250" i="3"/>
  <c r="AD238" i="3"/>
  <c r="AE238" i="3"/>
  <c r="AH238" i="3"/>
  <c r="AI238" i="3"/>
  <c r="AD226" i="3"/>
  <c r="AH226" i="3"/>
  <c r="AE226" i="3"/>
  <c r="AI226" i="3"/>
  <c r="AE214" i="3"/>
  <c r="AD214" i="3"/>
  <c r="AI214" i="3"/>
  <c r="AH214" i="3"/>
  <c r="AD202" i="3"/>
  <c r="AH202" i="3"/>
  <c r="AE202" i="3"/>
  <c r="AI202" i="3"/>
  <c r="AE190" i="3"/>
  <c r="AD190" i="3"/>
  <c r="AI190" i="3"/>
  <c r="AH190" i="3"/>
  <c r="AD178" i="3"/>
  <c r="AE178" i="3"/>
  <c r="AH178" i="3"/>
  <c r="AI178" i="3"/>
  <c r="AD166" i="3"/>
  <c r="AE166" i="3"/>
  <c r="AH166" i="3"/>
  <c r="AI166" i="3"/>
  <c r="AE154" i="3"/>
  <c r="AD154" i="3"/>
  <c r="AH154" i="3"/>
  <c r="AI154" i="3"/>
  <c r="AE142" i="3"/>
  <c r="AD142" i="3"/>
  <c r="AI142" i="3"/>
  <c r="AH142" i="3"/>
  <c r="AD130" i="3"/>
  <c r="AE130" i="3"/>
  <c r="AH130" i="3"/>
  <c r="AI130" i="3"/>
  <c r="AE118" i="3"/>
  <c r="AD118" i="3"/>
  <c r="AH118" i="3"/>
  <c r="AI118" i="3"/>
  <c r="AD106" i="3"/>
  <c r="AI106" i="3"/>
  <c r="AH106" i="3"/>
  <c r="AE106" i="3"/>
  <c r="AD94" i="3"/>
  <c r="AE94" i="3"/>
  <c r="AH94" i="3"/>
  <c r="AI94" i="3"/>
  <c r="AD82" i="3"/>
  <c r="AI82" i="3"/>
  <c r="AE82" i="3"/>
  <c r="AH82" i="3"/>
  <c r="AI70" i="3"/>
  <c r="AD70" i="3"/>
  <c r="AE70" i="3"/>
  <c r="AH70" i="3"/>
  <c r="AD58" i="3"/>
  <c r="AE58" i="3"/>
  <c r="AH58" i="3"/>
  <c r="AI58" i="3"/>
  <c r="AD46" i="3"/>
  <c r="AE46" i="3"/>
  <c r="AH46" i="3"/>
  <c r="AI46" i="3"/>
  <c r="AE34" i="3"/>
  <c r="AI34" i="3"/>
  <c r="AD34" i="3"/>
  <c r="AH34" i="3"/>
  <c r="AD22" i="3"/>
  <c r="AE22" i="3"/>
  <c r="AI22" i="3"/>
  <c r="AH22" i="3"/>
  <c r="AD10" i="3"/>
  <c r="AH10" i="3"/>
  <c r="AE10" i="3"/>
  <c r="AI10" i="3"/>
  <c r="AE398" i="3"/>
  <c r="AI398" i="3"/>
  <c r="AD398" i="3"/>
  <c r="AH398" i="3"/>
  <c r="AD386" i="3"/>
  <c r="AH386" i="3"/>
  <c r="AI386" i="3"/>
  <c r="AE386" i="3"/>
  <c r="AD374" i="3"/>
  <c r="AI374" i="3"/>
  <c r="AE374" i="3"/>
  <c r="AH374" i="3"/>
  <c r="AD362" i="3"/>
  <c r="AH362" i="3"/>
  <c r="AE362" i="3"/>
  <c r="AI362" i="3"/>
  <c r="AE350" i="3"/>
  <c r="AD350" i="3"/>
  <c r="AI350" i="3"/>
  <c r="AH350" i="3"/>
  <c r="AE338" i="3"/>
  <c r="AH338" i="3"/>
  <c r="AI338" i="3"/>
  <c r="AD338" i="3"/>
  <c r="AD326" i="3"/>
  <c r="AE326" i="3"/>
  <c r="AH326" i="3"/>
  <c r="AI326" i="3"/>
  <c r="AI314" i="3"/>
  <c r="AH314" i="3"/>
  <c r="AE314" i="3"/>
  <c r="AD314" i="3"/>
  <c r="AH493" i="3"/>
  <c r="AE493" i="3"/>
  <c r="AD493" i="3"/>
  <c r="AI493" i="3"/>
  <c r="AE481" i="3"/>
  <c r="AD481" i="3"/>
  <c r="AH481" i="3"/>
  <c r="AI481" i="3"/>
  <c r="AE469" i="3"/>
  <c r="AD469" i="3"/>
  <c r="AH469" i="3"/>
  <c r="AI469" i="3"/>
  <c r="AI457" i="3"/>
  <c r="AE457" i="3"/>
  <c r="AH457" i="3"/>
  <c r="AD457" i="3"/>
  <c r="AD445" i="3"/>
  <c r="AE445" i="3"/>
  <c r="AH445" i="3"/>
  <c r="AI445" i="3"/>
  <c r="AD433" i="3"/>
  <c r="AE433" i="3"/>
  <c r="AH433" i="3"/>
  <c r="AI433" i="3"/>
  <c r="AD421" i="3"/>
  <c r="AI421" i="3"/>
  <c r="AE421" i="3"/>
  <c r="AH421" i="3"/>
  <c r="AD409" i="3"/>
  <c r="AE409" i="3"/>
  <c r="AH409" i="3"/>
  <c r="AI409" i="3"/>
  <c r="AH256" i="3"/>
  <c r="AD256" i="3"/>
  <c r="AI256" i="3"/>
  <c r="AE256" i="3"/>
  <c r="AD112" i="3"/>
  <c r="AH112" i="3"/>
  <c r="AE112" i="3"/>
  <c r="AI112" i="3"/>
  <c r="AE380" i="3"/>
  <c r="AH380" i="3"/>
  <c r="AD380" i="3"/>
  <c r="AI380" i="3"/>
  <c r="AE439" i="3"/>
  <c r="AD439" i="3"/>
  <c r="AI439" i="3"/>
  <c r="AH439" i="3"/>
  <c r="AI267" i="3"/>
  <c r="AE267" i="3"/>
  <c r="AD267" i="3"/>
  <c r="AH267" i="3"/>
  <c r="AD231" i="3"/>
  <c r="AI231" i="3"/>
  <c r="AE231" i="3"/>
  <c r="AH231" i="3"/>
  <c r="AE135" i="3"/>
  <c r="AD135" i="3"/>
  <c r="AH135" i="3"/>
  <c r="AI135" i="3"/>
  <c r="AD51" i="3"/>
  <c r="AE51" i="3"/>
  <c r="AI51" i="3"/>
  <c r="AH51" i="3"/>
  <c r="AE343" i="3"/>
  <c r="AD343" i="3"/>
  <c r="AH343" i="3"/>
  <c r="AI343" i="3"/>
  <c r="AD289" i="3"/>
  <c r="AE289" i="3"/>
  <c r="AH289" i="3"/>
  <c r="AI289" i="3"/>
  <c r="AD109" i="3"/>
  <c r="AE109" i="3"/>
  <c r="AI109" i="3"/>
  <c r="AH109" i="3"/>
  <c r="AD472" i="3"/>
  <c r="AH472" i="3"/>
  <c r="AE472" i="3"/>
  <c r="AI472" i="3"/>
  <c r="AD273" i="3"/>
  <c r="AH273" i="3"/>
  <c r="AE273" i="3"/>
  <c r="AI273" i="3"/>
  <c r="AE261" i="3"/>
  <c r="AD261" i="3"/>
  <c r="AH261" i="3"/>
  <c r="AI261" i="3"/>
  <c r="AD249" i="3"/>
  <c r="AH249" i="3"/>
  <c r="AI249" i="3"/>
  <c r="AE249" i="3"/>
  <c r="AD237" i="3"/>
  <c r="AE237" i="3"/>
  <c r="AH237" i="3"/>
  <c r="AI237" i="3"/>
  <c r="AD225" i="3"/>
  <c r="AE225" i="3"/>
  <c r="AH225" i="3"/>
  <c r="AI225" i="3"/>
  <c r="AD213" i="3"/>
  <c r="AH213" i="3"/>
  <c r="AE213" i="3"/>
  <c r="AI213" i="3"/>
  <c r="AD201" i="3"/>
  <c r="AH201" i="3"/>
  <c r="AE201" i="3"/>
  <c r="AI201" i="3"/>
  <c r="AD189" i="3"/>
  <c r="AH189" i="3"/>
  <c r="AI189" i="3"/>
  <c r="AE189" i="3"/>
  <c r="AD177" i="3"/>
  <c r="AI177" i="3"/>
  <c r="AH177" i="3"/>
  <c r="AE177" i="3"/>
  <c r="AD165" i="3"/>
  <c r="AH165" i="3"/>
  <c r="AI165" i="3"/>
  <c r="AE165" i="3"/>
  <c r="AD153" i="3"/>
  <c r="AI153" i="3"/>
  <c r="AH153" i="3"/>
  <c r="AE153" i="3"/>
  <c r="AD141" i="3"/>
  <c r="AE141" i="3"/>
  <c r="AH141" i="3"/>
  <c r="AI141" i="3"/>
  <c r="AH129" i="3"/>
  <c r="AD129" i="3"/>
  <c r="AE129" i="3"/>
  <c r="AI129" i="3"/>
  <c r="AD117" i="3"/>
  <c r="AH117" i="3"/>
  <c r="AE117" i="3"/>
  <c r="AI117" i="3"/>
  <c r="AD105" i="3"/>
  <c r="AI105" i="3"/>
  <c r="AE105" i="3"/>
  <c r="AH105" i="3"/>
  <c r="AH93" i="3"/>
  <c r="AE93" i="3"/>
  <c r="AD93" i="3"/>
  <c r="AI93" i="3"/>
  <c r="AD81" i="3"/>
  <c r="AE81" i="3"/>
  <c r="AH81" i="3"/>
  <c r="AI81" i="3"/>
  <c r="AE69" i="3"/>
  <c r="AD69" i="3"/>
  <c r="AI69" i="3"/>
  <c r="AH69" i="3"/>
  <c r="AD57" i="3"/>
  <c r="AH57" i="3"/>
  <c r="AI57" i="3"/>
  <c r="AE57" i="3"/>
  <c r="AD45" i="3"/>
  <c r="AE45" i="3"/>
  <c r="AH45" i="3"/>
  <c r="AI45" i="3"/>
  <c r="AD33" i="3"/>
  <c r="AE33" i="3"/>
  <c r="AH33" i="3"/>
  <c r="AI33" i="3"/>
  <c r="AD21" i="3"/>
  <c r="AE21" i="3"/>
  <c r="AH21" i="3"/>
  <c r="AI21" i="3"/>
  <c r="AI9" i="3"/>
  <c r="AE9" i="3"/>
  <c r="AD9" i="3"/>
  <c r="AH9" i="3"/>
  <c r="AE397" i="3"/>
  <c r="AD397" i="3"/>
  <c r="AH397" i="3"/>
  <c r="AI397" i="3"/>
  <c r="AE385" i="3"/>
  <c r="AD385" i="3"/>
  <c r="AH385" i="3"/>
  <c r="AI385" i="3"/>
  <c r="AD373" i="3"/>
  <c r="AE373" i="3"/>
  <c r="AH373" i="3"/>
  <c r="AI373" i="3"/>
  <c r="AD361" i="3"/>
  <c r="AI361" i="3"/>
  <c r="AE361" i="3"/>
  <c r="AH361" i="3"/>
  <c r="AI349" i="3"/>
  <c r="AD349" i="3"/>
  <c r="AH349" i="3"/>
  <c r="AE349" i="3"/>
  <c r="AD337" i="3"/>
  <c r="AI337" i="3"/>
  <c r="AH337" i="3"/>
  <c r="AE337" i="3"/>
  <c r="AD325" i="3"/>
  <c r="AE325" i="3"/>
  <c r="AI325" i="3"/>
  <c r="AH325" i="3"/>
  <c r="AE313" i="3"/>
  <c r="AD313" i="3"/>
  <c r="AI313" i="3"/>
  <c r="AH313" i="3"/>
  <c r="AD492" i="3"/>
  <c r="AE492" i="3"/>
  <c r="AH492" i="3"/>
  <c r="AI492" i="3"/>
  <c r="AE480" i="3"/>
  <c r="AD480" i="3"/>
  <c r="AH480" i="3"/>
  <c r="AI480" i="3"/>
  <c r="AE468" i="3"/>
  <c r="AD468" i="3"/>
  <c r="AH468" i="3"/>
  <c r="AI468" i="3"/>
  <c r="AE456" i="3"/>
  <c r="AD456" i="3"/>
  <c r="AI456" i="3"/>
  <c r="AH456" i="3"/>
  <c r="AD444" i="3"/>
  <c r="AE444" i="3"/>
  <c r="AH444" i="3"/>
  <c r="AI444" i="3"/>
  <c r="AE432" i="3"/>
  <c r="AH432" i="3"/>
  <c r="AD432" i="3"/>
  <c r="AI432" i="3"/>
  <c r="AD420" i="3"/>
  <c r="AE420" i="3"/>
  <c r="AI420" i="3"/>
  <c r="AH420" i="3"/>
  <c r="AD408" i="3"/>
  <c r="AE408" i="3"/>
  <c r="AH408" i="3"/>
  <c r="AI408" i="3"/>
  <c r="AH3" i="3"/>
  <c r="AE3" i="3"/>
  <c r="AD3" i="3"/>
  <c r="AI3" i="3"/>
  <c r="AD208" i="3"/>
  <c r="AI208" i="3"/>
  <c r="AE208" i="3"/>
  <c r="AH208" i="3"/>
  <c r="AE124" i="3"/>
  <c r="AD124" i="3"/>
  <c r="AI124" i="3"/>
  <c r="AH124" i="3"/>
  <c r="AE52" i="3"/>
  <c r="AD52" i="3"/>
  <c r="AI52" i="3"/>
  <c r="AH52" i="3"/>
  <c r="AE368" i="3"/>
  <c r="AH368" i="3"/>
  <c r="AD368" i="3"/>
  <c r="AI368" i="3"/>
  <c r="AD320" i="3"/>
  <c r="AI320" i="3"/>
  <c r="AH320" i="3"/>
  <c r="AE320" i="3"/>
  <c r="AE463" i="3"/>
  <c r="AD463" i="3"/>
  <c r="AH463" i="3"/>
  <c r="AI463" i="3"/>
  <c r="AD207" i="3"/>
  <c r="AE207" i="3"/>
  <c r="AI207" i="3"/>
  <c r="AH207" i="3"/>
  <c r="AH75" i="3"/>
  <c r="AI75" i="3"/>
  <c r="AE75" i="3"/>
  <c r="AD75" i="3"/>
  <c r="AE462" i="3"/>
  <c r="AD462" i="3"/>
  <c r="AH462" i="3"/>
  <c r="AI462" i="3"/>
  <c r="AD265" i="3"/>
  <c r="AH265" i="3"/>
  <c r="AI265" i="3"/>
  <c r="AE265" i="3"/>
  <c r="AD217" i="3"/>
  <c r="AE217" i="3"/>
  <c r="AH217" i="3"/>
  <c r="AI217" i="3"/>
  <c r="AE181" i="3"/>
  <c r="AH181" i="3"/>
  <c r="AD181" i="3"/>
  <c r="AI181" i="3"/>
  <c r="AD133" i="3"/>
  <c r="AE133" i="3"/>
  <c r="AI133" i="3"/>
  <c r="AH133" i="3"/>
  <c r="AE61" i="3"/>
  <c r="AD61" i="3"/>
  <c r="AH61" i="3"/>
  <c r="AI61" i="3"/>
  <c r="AD25" i="3"/>
  <c r="AE25" i="3"/>
  <c r="AI25" i="3"/>
  <c r="AH25" i="3"/>
  <c r="AE389" i="3"/>
  <c r="AD389" i="3"/>
  <c r="AI389" i="3"/>
  <c r="AH389" i="3"/>
  <c r="AE377" i="3"/>
  <c r="AD377" i="3"/>
  <c r="AI377" i="3"/>
  <c r="AH377" i="3"/>
  <c r="AD353" i="3"/>
  <c r="AH353" i="3"/>
  <c r="AE353" i="3"/>
  <c r="AI353" i="3"/>
  <c r="AE341" i="3"/>
  <c r="AD341" i="3"/>
  <c r="AH341" i="3"/>
  <c r="AI341" i="3"/>
  <c r="AE317" i="3"/>
  <c r="AD317" i="3"/>
  <c r="AI317" i="3"/>
  <c r="AH317" i="3"/>
  <c r="AI305" i="3"/>
  <c r="AD305" i="3"/>
  <c r="AE305" i="3"/>
  <c r="AH305" i="3"/>
  <c r="AE496" i="3"/>
  <c r="AD496" i="3"/>
  <c r="AH496" i="3"/>
  <c r="AI496" i="3"/>
  <c r="AD484" i="3"/>
  <c r="AE484" i="3"/>
  <c r="AH484" i="3"/>
  <c r="AI484" i="3"/>
  <c r="AE436" i="3"/>
  <c r="AI436" i="3"/>
  <c r="AH436" i="3"/>
  <c r="AD436" i="3"/>
  <c r="AE299" i="3"/>
  <c r="AI299" i="3"/>
  <c r="AD299" i="3"/>
  <c r="AH299" i="3"/>
  <c r="AD284" i="3"/>
  <c r="AE284" i="3"/>
  <c r="AI284" i="3"/>
  <c r="AH284" i="3"/>
  <c r="AD224" i="3"/>
  <c r="AE224" i="3"/>
  <c r="AH224" i="3"/>
  <c r="AI224" i="3"/>
  <c r="AE188" i="3"/>
  <c r="AD188" i="3"/>
  <c r="AI188" i="3"/>
  <c r="AH188" i="3"/>
  <c r="AE164" i="3"/>
  <c r="AD164" i="3"/>
  <c r="AH164" i="3"/>
  <c r="AI164" i="3"/>
  <c r="AD140" i="3"/>
  <c r="AH140" i="3"/>
  <c r="AE140" i="3"/>
  <c r="AI140" i="3"/>
  <c r="AI116" i="3"/>
  <c r="AH116" i="3"/>
  <c r="AD116" i="3"/>
  <c r="AE116" i="3"/>
  <c r="AE92" i="3"/>
  <c r="AD92" i="3"/>
  <c r="AH92" i="3"/>
  <c r="AI92" i="3"/>
  <c r="AE80" i="3"/>
  <c r="AH80" i="3"/>
  <c r="AD80" i="3"/>
  <c r="AI80" i="3"/>
  <c r="AE68" i="3"/>
  <c r="AD68" i="3"/>
  <c r="AI68" i="3"/>
  <c r="AH68" i="3"/>
  <c r="AD56" i="3"/>
  <c r="AI56" i="3"/>
  <c r="AH56" i="3"/>
  <c r="AE56" i="3"/>
  <c r="AD44" i="3"/>
  <c r="AH44" i="3"/>
  <c r="AI44" i="3"/>
  <c r="AE44" i="3"/>
  <c r="AD32" i="3"/>
  <c r="AE32" i="3"/>
  <c r="AH32" i="3"/>
  <c r="AI32" i="3"/>
  <c r="AI20" i="3"/>
  <c r="AH20" i="3"/>
  <c r="AD20" i="3"/>
  <c r="AE20" i="3"/>
  <c r="AE8" i="3"/>
  <c r="AD8" i="3"/>
  <c r="AI8" i="3"/>
  <c r="AH8" i="3"/>
  <c r="AH396" i="3"/>
  <c r="AD396" i="3"/>
  <c r="AE396" i="3"/>
  <c r="AI396" i="3"/>
  <c r="AI384" i="3"/>
  <c r="AE384" i="3"/>
  <c r="AH384" i="3"/>
  <c r="AD384" i="3"/>
  <c r="AH372" i="3"/>
  <c r="AD372" i="3"/>
  <c r="AE372" i="3"/>
  <c r="AI372" i="3"/>
  <c r="AH360" i="3"/>
  <c r="AD360" i="3"/>
  <c r="AE360" i="3"/>
  <c r="AI360" i="3"/>
  <c r="AE348" i="3"/>
  <c r="AD348" i="3"/>
  <c r="AI348" i="3"/>
  <c r="AH348" i="3"/>
  <c r="AH336" i="3"/>
  <c r="AD336" i="3"/>
  <c r="AE336" i="3"/>
  <c r="AI336" i="3"/>
  <c r="AD324" i="3"/>
  <c r="AE324" i="3"/>
  <c r="AI324" i="3"/>
  <c r="AH324" i="3"/>
  <c r="AD312" i="3"/>
  <c r="AE312" i="3"/>
  <c r="AH312" i="3"/>
  <c r="AI312" i="3"/>
  <c r="AE503" i="3"/>
  <c r="AD503" i="3"/>
  <c r="AI503" i="3"/>
  <c r="AH503" i="3"/>
  <c r="AD491" i="3"/>
  <c r="AE491" i="3"/>
  <c r="AH491" i="3"/>
  <c r="AI491" i="3"/>
  <c r="AD479" i="3"/>
  <c r="AH479" i="3"/>
  <c r="AE479" i="3"/>
  <c r="AI479" i="3"/>
  <c r="AH467" i="3"/>
  <c r="AE467" i="3"/>
  <c r="AI467" i="3"/>
  <c r="AD467" i="3"/>
  <c r="AD455" i="3"/>
  <c r="AE455" i="3"/>
  <c r="AH455" i="3"/>
  <c r="AI455" i="3"/>
  <c r="AD443" i="3"/>
  <c r="AE443" i="3"/>
  <c r="AH443" i="3"/>
  <c r="AI443" i="3"/>
  <c r="AD431" i="3"/>
  <c r="AE431" i="3"/>
  <c r="AH431" i="3"/>
  <c r="AI431" i="3"/>
  <c r="AE419" i="3"/>
  <c r="AH419" i="3"/>
  <c r="AI419" i="3"/>
  <c r="AD419" i="3"/>
  <c r="AD407" i="3"/>
  <c r="AE407" i="3"/>
  <c r="AI407" i="3"/>
  <c r="AH407" i="3"/>
  <c r="AD160" i="3"/>
  <c r="AE160" i="3"/>
  <c r="AI160" i="3"/>
  <c r="AH160" i="3"/>
  <c r="AD451" i="3"/>
  <c r="AE451" i="3"/>
  <c r="AI451" i="3"/>
  <c r="AH451" i="3"/>
  <c r="AD260" i="3"/>
  <c r="AE260" i="3"/>
  <c r="AH260" i="3"/>
  <c r="AI260" i="3"/>
  <c r="AI212" i="3"/>
  <c r="AH212" i="3"/>
  <c r="AD212" i="3"/>
  <c r="AE212" i="3"/>
  <c r="AI176" i="3"/>
  <c r="AE176" i="3"/>
  <c r="AD176" i="3"/>
  <c r="AH176" i="3"/>
  <c r="AH104" i="3"/>
  <c r="AD104" i="3"/>
  <c r="AE104" i="3"/>
  <c r="AI104" i="3"/>
  <c r="AE295" i="3"/>
  <c r="AH295" i="3"/>
  <c r="AD295" i="3"/>
  <c r="AI295" i="3"/>
  <c r="AD283" i="3"/>
  <c r="AE283" i="3"/>
  <c r="AI283" i="3"/>
  <c r="AH283" i="3"/>
  <c r="AD271" i="3"/>
  <c r="AI271" i="3"/>
  <c r="AH271" i="3"/>
  <c r="AE271" i="3"/>
  <c r="AD259" i="3"/>
  <c r="AI259" i="3"/>
  <c r="AH259" i="3"/>
  <c r="AE259" i="3"/>
  <c r="AD247" i="3"/>
  <c r="AE247" i="3"/>
  <c r="AH247" i="3"/>
  <c r="AI247" i="3"/>
  <c r="AD235" i="3"/>
  <c r="AE235" i="3"/>
  <c r="AH235" i="3"/>
  <c r="AI235" i="3"/>
  <c r="AD223" i="3"/>
  <c r="AE223" i="3"/>
  <c r="AH223" i="3"/>
  <c r="AI223" i="3"/>
  <c r="AD211" i="3"/>
  <c r="AE211" i="3"/>
  <c r="AI211" i="3"/>
  <c r="AH211" i="3"/>
  <c r="AE199" i="3"/>
  <c r="AH199" i="3"/>
  <c r="AI199" i="3"/>
  <c r="AD199" i="3"/>
  <c r="AD187" i="3"/>
  <c r="AE187" i="3"/>
  <c r="AI187" i="3"/>
  <c r="AH187" i="3"/>
  <c r="AE175" i="3"/>
  <c r="AH175" i="3"/>
  <c r="AD175" i="3"/>
  <c r="AI175" i="3"/>
  <c r="AH163" i="3"/>
  <c r="AE163" i="3"/>
  <c r="AD163" i="3"/>
  <c r="AI163" i="3"/>
  <c r="AI151" i="3"/>
  <c r="AD151" i="3"/>
  <c r="AE151" i="3"/>
  <c r="AH151" i="3"/>
  <c r="AD139" i="3"/>
  <c r="AI139" i="3"/>
  <c r="AE139" i="3"/>
  <c r="AH139" i="3"/>
  <c r="AD127" i="3"/>
  <c r="AE127" i="3"/>
  <c r="AI127" i="3"/>
  <c r="AH127" i="3"/>
  <c r="AD115" i="3"/>
  <c r="AE115" i="3"/>
  <c r="AI115" i="3"/>
  <c r="AH115" i="3"/>
  <c r="AE103" i="3"/>
  <c r="AD103" i="3"/>
  <c r="AI103" i="3"/>
  <c r="AH103" i="3"/>
  <c r="AD91" i="3"/>
  <c r="AE91" i="3"/>
  <c r="AH91" i="3"/>
  <c r="AI91" i="3"/>
  <c r="AE79" i="3"/>
  <c r="AD79" i="3"/>
  <c r="AI79" i="3"/>
  <c r="AH79" i="3"/>
  <c r="AH67" i="3"/>
  <c r="AE67" i="3"/>
  <c r="AD67" i="3"/>
  <c r="AI67" i="3"/>
  <c r="AD55" i="3"/>
  <c r="AE55" i="3"/>
  <c r="AH55" i="3"/>
  <c r="AI55" i="3"/>
  <c r="AD43" i="3"/>
  <c r="AE43" i="3"/>
  <c r="AI43" i="3"/>
  <c r="AH43" i="3"/>
  <c r="AI31" i="3"/>
  <c r="AE31" i="3"/>
  <c r="AH31" i="3"/>
  <c r="AD31" i="3"/>
  <c r="AD19" i="3"/>
  <c r="AE19" i="3"/>
  <c r="AH19" i="3"/>
  <c r="AI19" i="3"/>
  <c r="AD7" i="3"/>
  <c r="AE7" i="3"/>
  <c r="AI7" i="3"/>
  <c r="AH7" i="3"/>
  <c r="AD395" i="3"/>
  <c r="AE395" i="3"/>
  <c r="AH395" i="3"/>
  <c r="AI395" i="3"/>
  <c r="AE383" i="3"/>
  <c r="AI383" i="3"/>
  <c r="AD383" i="3"/>
  <c r="AH383" i="3"/>
  <c r="AH371" i="3"/>
  <c r="AE371" i="3"/>
  <c r="AD371" i="3"/>
  <c r="AI371" i="3"/>
  <c r="AE359" i="3"/>
  <c r="AD359" i="3"/>
  <c r="AI359" i="3"/>
  <c r="AH359" i="3"/>
  <c r="AE347" i="3"/>
  <c r="AD347" i="3"/>
  <c r="AH347" i="3"/>
  <c r="AI347" i="3"/>
  <c r="AE335" i="3"/>
  <c r="AD335" i="3"/>
  <c r="AH335" i="3"/>
  <c r="AI335" i="3"/>
  <c r="AD323" i="3"/>
  <c r="AE323" i="3"/>
  <c r="AH323" i="3"/>
  <c r="AI323" i="3"/>
  <c r="AD311" i="3"/>
  <c r="AE311" i="3"/>
  <c r="AH311" i="3"/>
  <c r="AI311" i="3"/>
  <c r="AD502" i="3"/>
  <c r="AE502" i="3"/>
  <c r="AI502" i="3"/>
  <c r="AH502" i="3"/>
  <c r="AH490" i="3"/>
  <c r="AE490" i="3"/>
  <c r="AD490" i="3"/>
  <c r="AI490" i="3"/>
  <c r="AE478" i="3"/>
  <c r="AD478" i="3"/>
  <c r="AH478" i="3"/>
  <c r="AI478" i="3"/>
  <c r="AE466" i="3"/>
  <c r="AI466" i="3"/>
  <c r="AD466" i="3"/>
  <c r="AH466" i="3"/>
  <c r="AE454" i="3"/>
  <c r="AD454" i="3"/>
  <c r="AH454" i="3"/>
  <c r="AI454" i="3"/>
  <c r="AD442" i="3"/>
  <c r="AH442" i="3"/>
  <c r="AE442" i="3"/>
  <c r="AI442" i="3"/>
  <c r="AD430" i="3"/>
  <c r="AE430" i="3"/>
  <c r="AI430" i="3"/>
  <c r="AH430" i="3"/>
  <c r="AD418" i="3"/>
  <c r="AE418" i="3"/>
  <c r="AH418" i="3"/>
  <c r="AI418" i="3"/>
  <c r="AD406" i="3"/>
  <c r="AE406" i="3"/>
  <c r="AH406" i="3"/>
  <c r="AI406" i="3"/>
  <c r="AD232" i="3"/>
  <c r="AE232" i="3"/>
  <c r="AH232" i="3"/>
  <c r="AI232" i="3"/>
  <c r="AE172" i="3"/>
  <c r="AD172" i="3"/>
  <c r="AI172" i="3"/>
  <c r="AH172" i="3"/>
  <c r="AD88" i="3"/>
  <c r="AH88" i="3"/>
  <c r="AI88" i="3"/>
  <c r="AE88" i="3"/>
  <c r="AD40" i="3"/>
  <c r="AE40" i="3"/>
  <c r="AI40" i="3"/>
  <c r="AH40" i="3"/>
  <c r="AE356" i="3"/>
  <c r="AD356" i="3"/>
  <c r="AH356" i="3"/>
  <c r="AI356" i="3"/>
  <c r="AD499" i="3"/>
  <c r="AE499" i="3"/>
  <c r="AI499" i="3"/>
  <c r="AH499" i="3"/>
  <c r="AD303" i="3"/>
  <c r="AE303" i="3"/>
  <c r="AI303" i="3"/>
  <c r="AH303" i="3"/>
  <c r="AE183" i="3"/>
  <c r="AD183" i="3"/>
  <c r="AH183" i="3"/>
  <c r="AI183" i="3"/>
  <c r="AD63" i="3"/>
  <c r="AE63" i="3"/>
  <c r="AI63" i="3"/>
  <c r="AH63" i="3"/>
  <c r="AE474" i="3"/>
  <c r="AH474" i="3"/>
  <c r="AD474" i="3"/>
  <c r="AI474" i="3"/>
  <c r="AE277" i="3"/>
  <c r="AH277" i="3"/>
  <c r="AD277" i="3"/>
  <c r="AI277" i="3"/>
  <c r="AE229" i="3"/>
  <c r="AH229" i="3"/>
  <c r="AD229" i="3"/>
  <c r="AI229" i="3"/>
  <c r="AE193" i="3"/>
  <c r="AH193" i="3"/>
  <c r="AD193" i="3"/>
  <c r="AI193" i="3"/>
  <c r="AH157" i="3"/>
  <c r="AE157" i="3"/>
  <c r="AD157" i="3"/>
  <c r="AI157" i="3"/>
  <c r="AE97" i="3"/>
  <c r="AD97" i="3"/>
  <c r="AI97" i="3"/>
  <c r="AH97" i="3"/>
  <c r="AE37" i="3"/>
  <c r="AH37" i="3"/>
  <c r="AD37" i="3"/>
  <c r="AI37" i="3"/>
  <c r="AD401" i="3"/>
  <c r="AE401" i="3"/>
  <c r="AI401" i="3"/>
  <c r="AH401" i="3"/>
  <c r="AD329" i="3"/>
  <c r="AH329" i="3"/>
  <c r="AE329" i="3"/>
  <c r="AI329" i="3"/>
  <c r="W426" i="3"/>
  <c r="AD297" i="3"/>
  <c r="AH297" i="3"/>
  <c r="AE297" i="3"/>
  <c r="AI297" i="3"/>
  <c r="AD296" i="3"/>
  <c r="AE296" i="3"/>
  <c r="AH296" i="3"/>
  <c r="AI296" i="3"/>
  <c r="AH248" i="3"/>
  <c r="AD248" i="3"/>
  <c r="AI248" i="3"/>
  <c r="AE248" i="3"/>
  <c r="AD200" i="3"/>
  <c r="AH200" i="3"/>
  <c r="AI200" i="3"/>
  <c r="AE200" i="3"/>
  <c r="AD128" i="3"/>
  <c r="AE128" i="3"/>
  <c r="AI128" i="3"/>
  <c r="AH128" i="3"/>
  <c r="AE294" i="3"/>
  <c r="AI294" i="3"/>
  <c r="AD294" i="3"/>
  <c r="AH294" i="3"/>
  <c r="AD282" i="3"/>
  <c r="AH282" i="3"/>
  <c r="AE282" i="3"/>
  <c r="AI282" i="3"/>
  <c r="AE270" i="3"/>
  <c r="AD270" i="3"/>
  <c r="AH270" i="3"/>
  <c r="AI270" i="3"/>
  <c r="AD258" i="3"/>
  <c r="AE258" i="3"/>
  <c r="AH258" i="3"/>
  <c r="AI258" i="3"/>
  <c r="AE246" i="3"/>
  <c r="AD246" i="3"/>
  <c r="AI246" i="3"/>
  <c r="AH246" i="3"/>
  <c r="AD234" i="3"/>
  <c r="AH234" i="3"/>
  <c r="AI234" i="3"/>
  <c r="AE234" i="3"/>
  <c r="AD222" i="3"/>
  <c r="AE222" i="3"/>
  <c r="AI222" i="3"/>
  <c r="AH222" i="3"/>
  <c r="AD210" i="3"/>
  <c r="AE210" i="3"/>
  <c r="AI210" i="3"/>
  <c r="AH210" i="3"/>
  <c r="AD198" i="3"/>
  <c r="AE198" i="3"/>
  <c r="AH198" i="3"/>
  <c r="AI198" i="3"/>
  <c r="AH186" i="3"/>
  <c r="AI186" i="3"/>
  <c r="AD186" i="3"/>
  <c r="AE186" i="3"/>
  <c r="AE174" i="3"/>
  <c r="AD174" i="3"/>
  <c r="AH174" i="3"/>
  <c r="AI174" i="3"/>
  <c r="AE162" i="3"/>
  <c r="AI162" i="3"/>
  <c r="AD162" i="3"/>
  <c r="AH162" i="3"/>
  <c r="AE150" i="3"/>
  <c r="AD150" i="3"/>
  <c r="AI150" i="3"/>
  <c r="AH150" i="3"/>
  <c r="AI138" i="3"/>
  <c r="AD138" i="3"/>
  <c r="AH138" i="3"/>
  <c r="AE138" i="3"/>
  <c r="AE126" i="3"/>
  <c r="AD126" i="3"/>
  <c r="AI126" i="3"/>
  <c r="AH126" i="3"/>
  <c r="AD114" i="3"/>
  <c r="AE114" i="3"/>
  <c r="AI114" i="3"/>
  <c r="AH114" i="3"/>
  <c r="AE102" i="3"/>
  <c r="AD102" i="3"/>
  <c r="AH102" i="3"/>
  <c r="AI102" i="3"/>
  <c r="AD90" i="3"/>
  <c r="AH90" i="3"/>
  <c r="AE90" i="3"/>
  <c r="AI90" i="3"/>
  <c r="AD78" i="3"/>
  <c r="AE78" i="3"/>
  <c r="AI78" i="3"/>
  <c r="AH78" i="3"/>
  <c r="AD66" i="3"/>
  <c r="AH66" i="3"/>
  <c r="AE66" i="3"/>
  <c r="AI66" i="3"/>
  <c r="AD54" i="3"/>
  <c r="AE54" i="3"/>
  <c r="AI54" i="3"/>
  <c r="AH54" i="3"/>
  <c r="AD42" i="3"/>
  <c r="AI42" i="3"/>
  <c r="AE42" i="3"/>
  <c r="AH42" i="3"/>
  <c r="AE30" i="3"/>
  <c r="AH30" i="3"/>
  <c r="AI30" i="3"/>
  <c r="AD30" i="3"/>
  <c r="AD18" i="3"/>
  <c r="AE18" i="3"/>
  <c r="AI18" i="3"/>
  <c r="AH18" i="3"/>
  <c r="AH6" i="3"/>
  <c r="AE6" i="3"/>
  <c r="AD6" i="3"/>
  <c r="AI6" i="3"/>
  <c r="AD394" i="3"/>
  <c r="AH394" i="3"/>
  <c r="AI394" i="3"/>
  <c r="AE394" i="3"/>
  <c r="AE382" i="3"/>
  <c r="AD382" i="3"/>
  <c r="AH382" i="3"/>
  <c r="AI382" i="3"/>
  <c r="AD370" i="3"/>
  <c r="AI370" i="3"/>
  <c r="AH370" i="3"/>
  <c r="AE370" i="3"/>
  <c r="AE358" i="3"/>
  <c r="AH358" i="3"/>
  <c r="AD358" i="3"/>
  <c r="AI358" i="3"/>
  <c r="AD346" i="3"/>
  <c r="AH346" i="3"/>
  <c r="AE346" i="3"/>
  <c r="AI346" i="3"/>
  <c r="AD334" i="3"/>
  <c r="AE334" i="3"/>
  <c r="AH334" i="3"/>
  <c r="AI334" i="3"/>
  <c r="AD322" i="3"/>
  <c r="AE322" i="3"/>
  <c r="AH322" i="3"/>
  <c r="AI322" i="3"/>
  <c r="AD310" i="3"/>
  <c r="AH310" i="3"/>
  <c r="AE310" i="3"/>
  <c r="AI310" i="3"/>
  <c r="AD501" i="3"/>
  <c r="AE501" i="3"/>
  <c r="AH501" i="3"/>
  <c r="AI501" i="3"/>
  <c r="AE489" i="3"/>
  <c r="AD489" i="3"/>
  <c r="AH489" i="3"/>
  <c r="AI489" i="3"/>
  <c r="AE477" i="3"/>
  <c r="AH477" i="3"/>
  <c r="AD477" i="3"/>
  <c r="AI477" i="3"/>
  <c r="AD465" i="3"/>
  <c r="AE465" i="3"/>
  <c r="AH465" i="3"/>
  <c r="AI465" i="3"/>
  <c r="AI453" i="3"/>
  <c r="AE453" i="3"/>
  <c r="AD453" i="3"/>
  <c r="AH453" i="3"/>
  <c r="AE441" i="3"/>
  <c r="AH441" i="3"/>
  <c r="AD441" i="3"/>
  <c r="AI441" i="3"/>
  <c r="AH429" i="3"/>
  <c r="AE429" i="3"/>
  <c r="AD429" i="3"/>
  <c r="AI429" i="3"/>
  <c r="AD417" i="3"/>
  <c r="AH417" i="3"/>
  <c r="AI417" i="3"/>
  <c r="AE417" i="3"/>
  <c r="AD405" i="3"/>
  <c r="AE405" i="3"/>
  <c r="AH405" i="3"/>
  <c r="AI405" i="3"/>
  <c r="AD280" i="3"/>
  <c r="AE280" i="3"/>
  <c r="AH280" i="3"/>
  <c r="AI280" i="3"/>
  <c r="AD196" i="3"/>
  <c r="AE196" i="3"/>
  <c r="AH196" i="3"/>
  <c r="AI196" i="3"/>
  <c r="AD100" i="3"/>
  <c r="AE100" i="3"/>
  <c r="AI100" i="3"/>
  <c r="AH100" i="3"/>
  <c r="AE28" i="3"/>
  <c r="AD28" i="3"/>
  <c r="AH28" i="3"/>
  <c r="AI28" i="3"/>
  <c r="AD344" i="3"/>
  <c r="AH344" i="3"/>
  <c r="AI344" i="3"/>
  <c r="AE344" i="3"/>
  <c r="AE475" i="3"/>
  <c r="AD475" i="3"/>
  <c r="AI475" i="3"/>
  <c r="AH475" i="3"/>
  <c r="AE279" i="3"/>
  <c r="AD279" i="3"/>
  <c r="AH279" i="3"/>
  <c r="AI279" i="3"/>
  <c r="AE171" i="3"/>
  <c r="AI171" i="3"/>
  <c r="AD171" i="3"/>
  <c r="AH171" i="3"/>
  <c r="AE391" i="3"/>
  <c r="AD391" i="3"/>
  <c r="AI391" i="3"/>
  <c r="AH391" i="3"/>
  <c r="AD241" i="3"/>
  <c r="AH241" i="3"/>
  <c r="AE241" i="3"/>
  <c r="AI241" i="3"/>
  <c r="AE205" i="3"/>
  <c r="AH205" i="3"/>
  <c r="AD205" i="3"/>
  <c r="AI205" i="3"/>
  <c r="AD169" i="3"/>
  <c r="AE169" i="3"/>
  <c r="AH169" i="3"/>
  <c r="AI169" i="3"/>
  <c r="AE85" i="3"/>
  <c r="AH85" i="3"/>
  <c r="AD85" i="3"/>
  <c r="AI85" i="3"/>
  <c r="AD49" i="3"/>
  <c r="AH49" i="3"/>
  <c r="AE49" i="3"/>
  <c r="AI49" i="3"/>
  <c r="AD13" i="3"/>
  <c r="AE13" i="3"/>
  <c r="AI13" i="3"/>
  <c r="AH13" i="3"/>
  <c r="AH365" i="3"/>
  <c r="AD365" i="3"/>
  <c r="AE365" i="3"/>
  <c r="AI365" i="3"/>
  <c r="AD460" i="3"/>
  <c r="AE460" i="3"/>
  <c r="AH460" i="3"/>
  <c r="AI460" i="3"/>
  <c r="AH298" i="3"/>
  <c r="AI298" i="3"/>
  <c r="AD298" i="3"/>
  <c r="AE298" i="3"/>
  <c r="AD285" i="3"/>
  <c r="AI285" i="3"/>
  <c r="AE285" i="3"/>
  <c r="AH285" i="3"/>
  <c r="AH272" i="3"/>
  <c r="AD272" i="3"/>
  <c r="AI272" i="3"/>
  <c r="AE272" i="3"/>
  <c r="AD236" i="3"/>
  <c r="AH236" i="3"/>
  <c r="AE236" i="3"/>
  <c r="AI236" i="3"/>
  <c r="AD152" i="3"/>
  <c r="AI152" i="3"/>
  <c r="AE152" i="3"/>
  <c r="AH152" i="3"/>
  <c r="AH293" i="3"/>
  <c r="AD293" i="3"/>
  <c r="AE293" i="3"/>
  <c r="AI293" i="3"/>
  <c r="AD281" i="3"/>
  <c r="AE281" i="3"/>
  <c r="AI281" i="3"/>
  <c r="AH281" i="3"/>
  <c r="AD269" i="3"/>
  <c r="AH269" i="3"/>
  <c r="AE269" i="3"/>
  <c r="AI269" i="3"/>
  <c r="AD257" i="3"/>
  <c r="AH257" i="3"/>
  <c r="AE257" i="3"/>
  <c r="AI257" i="3"/>
  <c r="AD245" i="3"/>
  <c r="AE245" i="3"/>
  <c r="AI245" i="3"/>
  <c r="AH245" i="3"/>
  <c r="AD233" i="3"/>
  <c r="AH233" i="3"/>
  <c r="AI233" i="3"/>
  <c r="AE233" i="3"/>
  <c r="AE221" i="3"/>
  <c r="AD221" i="3"/>
  <c r="AI221" i="3"/>
  <c r="AH221" i="3"/>
  <c r="AH209" i="3"/>
  <c r="AD209" i="3"/>
  <c r="AI209" i="3"/>
  <c r="AE209" i="3"/>
  <c r="AE197" i="3"/>
  <c r="AD197" i="3"/>
  <c r="AH197" i="3"/>
  <c r="AI197" i="3"/>
  <c r="AD185" i="3"/>
  <c r="AE185" i="3"/>
  <c r="AI185" i="3"/>
  <c r="AH185" i="3"/>
  <c r="AD173" i="3"/>
  <c r="AE173" i="3"/>
  <c r="AH173" i="3"/>
  <c r="AI173" i="3"/>
  <c r="AD161" i="3"/>
  <c r="AE161" i="3"/>
  <c r="AH161" i="3"/>
  <c r="AI161" i="3"/>
  <c r="AE149" i="3"/>
  <c r="AD149" i="3"/>
  <c r="AI149" i="3"/>
  <c r="AH149" i="3"/>
  <c r="AI137" i="3"/>
  <c r="AD137" i="3"/>
  <c r="AE137" i="3"/>
  <c r="AH137" i="3"/>
  <c r="AE125" i="3"/>
  <c r="AD125" i="3"/>
  <c r="AH125" i="3"/>
  <c r="AI125" i="3"/>
  <c r="AH113" i="3"/>
  <c r="AD113" i="3"/>
  <c r="AI113" i="3"/>
  <c r="AE113" i="3"/>
  <c r="AD101" i="3"/>
  <c r="AE101" i="3"/>
  <c r="AH101" i="3"/>
  <c r="AI101" i="3"/>
  <c r="AD89" i="3"/>
  <c r="AE89" i="3"/>
  <c r="AH89" i="3"/>
  <c r="AI89" i="3"/>
  <c r="AE77" i="3"/>
  <c r="AD77" i="3"/>
  <c r="AI77" i="3"/>
  <c r="AH77" i="3"/>
  <c r="AD65" i="3"/>
  <c r="AI65" i="3"/>
  <c r="AH65" i="3"/>
  <c r="AE65" i="3"/>
  <c r="AE53" i="3"/>
  <c r="AD53" i="3"/>
  <c r="AI53" i="3"/>
  <c r="AH53" i="3"/>
  <c r="AD41" i="3"/>
  <c r="AE41" i="3"/>
  <c r="AH41" i="3"/>
  <c r="AI41" i="3"/>
  <c r="AE29" i="3"/>
  <c r="AH29" i="3"/>
  <c r="AD29" i="3"/>
  <c r="AI29" i="3"/>
  <c r="AD17" i="3"/>
  <c r="AE17" i="3"/>
  <c r="AH17" i="3"/>
  <c r="AI17" i="3"/>
  <c r="AD5" i="3"/>
  <c r="AE5" i="3"/>
  <c r="AI5" i="3"/>
  <c r="AH5" i="3"/>
  <c r="AI393" i="3"/>
  <c r="AE393" i="3"/>
  <c r="AD393" i="3"/>
  <c r="AH393" i="3"/>
  <c r="AH381" i="3"/>
  <c r="AE381" i="3"/>
  <c r="AD381" i="3"/>
  <c r="AI381" i="3"/>
  <c r="AE369" i="3"/>
  <c r="AD369" i="3"/>
  <c r="AI369" i="3"/>
  <c r="AH369" i="3"/>
  <c r="AE357" i="3"/>
  <c r="AD357" i="3"/>
  <c r="AI357" i="3"/>
  <c r="AH357" i="3"/>
  <c r="AD345" i="3"/>
  <c r="AH345" i="3"/>
  <c r="AE345" i="3"/>
  <c r="AI345" i="3"/>
  <c r="AH333" i="3"/>
  <c r="AD333" i="3"/>
  <c r="AE333" i="3"/>
  <c r="AI333" i="3"/>
  <c r="AE321" i="3"/>
  <c r="AD321" i="3"/>
  <c r="AH321" i="3"/>
  <c r="AI321" i="3"/>
  <c r="AE309" i="3"/>
  <c r="AH309" i="3"/>
  <c r="AD309" i="3"/>
  <c r="AI309" i="3"/>
  <c r="AD500" i="3"/>
  <c r="AI500" i="3"/>
  <c r="AH500" i="3"/>
  <c r="AE500" i="3"/>
  <c r="AD488" i="3"/>
  <c r="AE488" i="3"/>
  <c r="AH488" i="3"/>
  <c r="AI488" i="3"/>
  <c r="AD476" i="3"/>
  <c r="AE476" i="3"/>
  <c r="AH476" i="3"/>
  <c r="AI476" i="3"/>
  <c r="AD464" i="3"/>
  <c r="AH464" i="3"/>
  <c r="AE464" i="3"/>
  <c r="AI464" i="3"/>
  <c r="AE452" i="3"/>
  <c r="AD452" i="3"/>
  <c r="AH452" i="3"/>
  <c r="AI452" i="3"/>
  <c r="AD440" i="3"/>
  <c r="AE440" i="3"/>
  <c r="AH440" i="3"/>
  <c r="AI440" i="3"/>
  <c r="AH428" i="3"/>
  <c r="AD428" i="3"/>
  <c r="AE428" i="3"/>
  <c r="AI428" i="3"/>
  <c r="AE416" i="3"/>
  <c r="AH416" i="3"/>
  <c r="AD416" i="3"/>
  <c r="AI416" i="3"/>
  <c r="AE404" i="3"/>
  <c r="AI404" i="3"/>
  <c r="AD404" i="3"/>
  <c r="AH404" i="3"/>
  <c r="E10" i="3"/>
  <c r="AA498" i="3"/>
  <c r="Z503" i="3"/>
  <c r="W264" i="3"/>
  <c r="X256" i="3"/>
  <c r="Y240" i="3"/>
  <c r="Y232" i="3"/>
  <c r="AG216" i="3"/>
  <c r="X200" i="3"/>
  <c r="Y192" i="3"/>
  <c r="W299" i="3"/>
  <c r="V219" i="3"/>
  <c r="AG501" i="3"/>
  <c r="W496" i="3"/>
  <c r="AG493" i="3"/>
  <c r="AG489" i="3"/>
  <c r="X488" i="3"/>
  <c r="V482" i="3"/>
  <c r="V474" i="3"/>
  <c r="AF469" i="3"/>
  <c r="AA468" i="3"/>
  <c r="Y467" i="3"/>
  <c r="X466" i="3"/>
  <c r="Y465" i="3"/>
  <c r="AG463" i="3"/>
  <c r="Y462" i="3"/>
  <c r="AG460" i="3"/>
  <c r="V460" i="3"/>
  <c r="X458" i="3"/>
  <c r="X453" i="3"/>
  <c r="X449" i="3"/>
  <c r="AG447" i="3"/>
  <c r="X446" i="3"/>
  <c r="V444" i="3"/>
  <c r="X441" i="3"/>
  <c r="AG438" i="3"/>
  <c r="X437" i="3"/>
  <c r="W436" i="3"/>
  <c r="Y435" i="3"/>
  <c r="V432" i="3"/>
  <c r="Y424" i="3"/>
  <c r="X421" i="3"/>
  <c r="X417" i="3"/>
  <c r="Y416" i="3"/>
  <c r="AF415" i="3"/>
  <c r="Z412" i="3"/>
  <c r="V410" i="3"/>
  <c r="V279" i="3"/>
  <c r="V271" i="3"/>
  <c r="Y263" i="3"/>
  <c r="AF255" i="3"/>
  <c r="V223" i="3"/>
  <c r="Y207" i="3"/>
  <c r="V297" i="3"/>
  <c r="AF278" i="3"/>
  <c r="V261" i="3"/>
  <c r="W247" i="3"/>
  <c r="AG212" i="3"/>
  <c r="Y503" i="3"/>
  <c r="AF501" i="3"/>
  <c r="V496" i="3"/>
  <c r="AF493" i="3"/>
  <c r="V488" i="3"/>
  <c r="AG484" i="3"/>
  <c r="AG483" i="3"/>
  <c r="AK483" i="3" s="1"/>
  <c r="AG478" i="3"/>
  <c r="W477" i="3"/>
  <c r="AG469" i="3"/>
  <c r="Y468" i="3"/>
  <c r="V466" i="3"/>
  <c r="X465" i="3"/>
  <c r="X462" i="3"/>
  <c r="AF460" i="3"/>
  <c r="V458" i="3"/>
  <c r="W453" i="3"/>
  <c r="W449" i="3"/>
  <c r="W446" i="3"/>
  <c r="AG444" i="3"/>
  <c r="W441" i="3"/>
  <c r="Y440" i="3"/>
  <c r="V436" i="3"/>
  <c r="X435" i="3"/>
  <c r="AF433" i="3"/>
  <c r="AG432" i="3"/>
  <c r="X424" i="3"/>
  <c r="X416" i="3"/>
  <c r="Y413" i="3"/>
  <c r="Y412" i="3"/>
  <c r="AG407" i="3"/>
  <c r="E8" i="3"/>
  <c r="Y270" i="3"/>
  <c r="Y262" i="3"/>
  <c r="Y254" i="3"/>
  <c r="V182" i="3"/>
  <c r="Y260" i="3"/>
  <c r="AF503" i="3"/>
  <c r="AG500" i="3"/>
  <c r="Y499" i="3"/>
  <c r="Y498" i="3"/>
  <c r="AG496" i="3"/>
  <c r="Z489" i="3"/>
  <c r="Y486" i="3"/>
  <c r="AF484" i="3"/>
  <c r="X483" i="3"/>
  <c r="AF478" i="3"/>
  <c r="Y477" i="3"/>
  <c r="Y475" i="3"/>
  <c r="W473" i="3"/>
  <c r="AG470" i="3"/>
  <c r="X468" i="3"/>
  <c r="W465" i="3"/>
  <c r="Z463" i="3"/>
  <c r="Z459" i="3"/>
  <c r="AG453" i="3"/>
  <c r="V453" i="3"/>
  <c r="Y452" i="3"/>
  <c r="V449" i="3"/>
  <c r="Y448" i="3"/>
  <c r="Y447" i="3"/>
  <c r="V446" i="3"/>
  <c r="AF444" i="3"/>
  <c r="V443" i="3"/>
  <c r="V441" i="3"/>
  <c r="X440" i="3"/>
  <c r="Y438" i="3"/>
  <c r="W435" i="3"/>
  <c r="AF432" i="3"/>
  <c r="AJ432" i="3" s="1"/>
  <c r="AG431" i="3"/>
  <c r="W424" i="3"/>
  <c r="Y420" i="3"/>
  <c r="AA418" i="3"/>
  <c r="W416" i="3"/>
  <c r="AG414" i="3"/>
  <c r="AK414" i="3" s="1"/>
  <c r="X413" i="3"/>
  <c r="W412" i="3"/>
  <c r="Z411" i="3"/>
  <c r="AF409" i="3"/>
  <c r="Y408" i="3"/>
  <c r="AF407" i="3"/>
  <c r="AG404" i="3"/>
  <c r="E9" i="3"/>
  <c r="V293" i="3"/>
  <c r="X285" i="3"/>
  <c r="W277" i="3"/>
  <c r="V149" i="3"/>
  <c r="W303" i="3"/>
  <c r="AF259" i="3"/>
  <c r="W245" i="3"/>
  <c r="AG236" i="3"/>
  <c r="Y500" i="3"/>
  <c r="W499" i="3"/>
  <c r="X498" i="3"/>
  <c r="AF496" i="3"/>
  <c r="AJ496" i="3" s="1"/>
  <c r="W491" i="3"/>
  <c r="Y489" i="3"/>
  <c r="X486" i="3"/>
  <c r="AA484" i="3"/>
  <c r="Y480" i="3"/>
  <c r="X478" i="3"/>
  <c r="AF470" i="3"/>
  <c r="W468" i="3"/>
  <c r="AG466" i="3"/>
  <c r="V465" i="3"/>
  <c r="Y463" i="3"/>
  <c r="W456" i="3"/>
  <c r="AF453" i="3"/>
  <c r="X452" i="3"/>
  <c r="AG449" i="3"/>
  <c r="X448" i="3"/>
  <c r="V447" i="3"/>
  <c r="AG441" i="3"/>
  <c r="W440" i="3"/>
  <c r="V438" i="3"/>
  <c r="V435" i="3"/>
  <c r="AG427" i="3"/>
  <c r="V424" i="3"/>
  <c r="Y418" i="3"/>
  <c r="V416" i="3"/>
  <c r="Y415" i="3"/>
  <c r="Z414" i="3"/>
  <c r="V413" i="3"/>
  <c r="Y411" i="3"/>
  <c r="X408" i="3"/>
  <c r="AF404" i="3"/>
  <c r="V300" i="3"/>
  <c r="V292" i="3"/>
  <c r="X284" i="3"/>
  <c r="X276" i="3"/>
  <c r="V252" i="3"/>
  <c r="AF220" i="3"/>
  <c r="W204" i="3"/>
  <c r="Y196" i="3"/>
  <c r="Y302" i="3"/>
  <c r="X257" i="3"/>
  <c r="W244" i="3"/>
  <c r="AG235" i="3"/>
  <c r="AG502" i="3"/>
  <c r="Y501" i="3"/>
  <c r="V499" i="3"/>
  <c r="W498" i="3"/>
  <c r="Y493" i="3"/>
  <c r="V489" i="3"/>
  <c r="W486" i="3"/>
  <c r="Y484" i="3"/>
  <c r="X480" i="3"/>
  <c r="V478" i="3"/>
  <c r="AG476" i="3"/>
  <c r="AG474" i="3"/>
  <c r="AG472" i="3"/>
  <c r="AG468" i="3"/>
  <c r="AK468" i="3" s="1"/>
  <c r="V468" i="3"/>
  <c r="AF466" i="3"/>
  <c r="AG465" i="3"/>
  <c r="V463" i="3"/>
  <c r="AF461" i="3"/>
  <c r="AA460" i="3"/>
  <c r="AG458" i="3"/>
  <c r="V456" i="3"/>
  <c r="W452" i="3"/>
  <c r="AF449" i="3"/>
  <c r="W448" i="3"/>
  <c r="AF441" i="3"/>
  <c r="AG436" i="3"/>
  <c r="AG435" i="3"/>
  <c r="X433" i="3"/>
  <c r="Y430" i="3"/>
  <c r="Y427" i="3"/>
  <c r="AG424" i="3"/>
  <c r="AG419" i="3"/>
  <c r="W418" i="3"/>
  <c r="AG416" i="3"/>
  <c r="X415" i="3"/>
  <c r="Y414" i="3"/>
  <c r="X411" i="3"/>
  <c r="W408" i="3"/>
  <c r="E11" i="3"/>
  <c r="X291" i="3"/>
  <c r="AF283" i="3"/>
  <c r="W251" i="3"/>
  <c r="V227" i="3"/>
  <c r="Y203" i="3"/>
  <c r="AF179" i="3"/>
  <c r="AG171" i="3"/>
  <c r="AF3" i="3"/>
  <c r="Y287" i="3"/>
  <c r="Y502" i="3"/>
  <c r="X501" i="3"/>
  <c r="X493" i="3"/>
  <c r="AG490" i="3"/>
  <c r="V486" i="3"/>
  <c r="X484" i="3"/>
  <c r="AG482" i="3"/>
  <c r="V480" i="3"/>
  <c r="AF476" i="3"/>
  <c r="AF474" i="3"/>
  <c r="Y470" i="3"/>
  <c r="AF468" i="3"/>
  <c r="AF465" i="3"/>
  <c r="Y460" i="3"/>
  <c r="AF458" i="3"/>
  <c r="AG457" i="3"/>
  <c r="V452" i="3"/>
  <c r="AG446" i="3"/>
  <c r="X445" i="3"/>
  <c r="Y444" i="3"/>
  <c r="AG442" i="3"/>
  <c r="AG437" i="3"/>
  <c r="AF435" i="3"/>
  <c r="AJ435" i="3" s="1"/>
  <c r="AG434" i="3"/>
  <c r="V433" i="3"/>
  <c r="Y432" i="3"/>
  <c r="AG430" i="3"/>
  <c r="W427" i="3"/>
  <c r="AF424" i="3"/>
  <c r="AJ424" i="3" s="1"/>
  <c r="AF423" i="3"/>
  <c r="V418" i="3"/>
  <c r="AF416" i="3"/>
  <c r="W415" i="3"/>
  <c r="AG412" i="3"/>
  <c r="W411" i="3"/>
  <c r="V408" i="3"/>
  <c r="X407" i="3"/>
  <c r="Y404" i="3"/>
  <c r="E12" i="3"/>
  <c r="W298" i="3"/>
  <c r="W282" i="3"/>
  <c r="X274" i="3"/>
  <c r="X266" i="3"/>
  <c r="V234" i="3"/>
  <c r="X170" i="3"/>
  <c r="AG300" i="3"/>
  <c r="AF286" i="3"/>
  <c r="V254" i="3"/>
  <c r="V230" i="3"/>
  <c r="W501" i="3"/>
  <c r="AG498" i="3"/>
  <c r="Y496" i="3"/>
  <c r="W493" i="3"/>
  <c r="AG488" i="3"/>
  <c r="AG486" i="3"/>
  <c r="AF482" i="3"/>
  <c r="W479" i="3"/>
  <c r="Y476" i="3"/>
  <c r="Z474" i="3"/>
  <c r="AG471" i="3"/>
  <c r="W470" i="3"/>
  <c r="AA466" i="3"/>
  <c r="AG462" i="3"/>
  <c r="X460" i="3"/>
  <c r="W457" i="3"/>
  <c r="AA453" i="3"/>
  <c r="AG452" i="3"/>
  <c r="AG448" i="3"/>
  <c r="AF446" i="3"/>
  <c r="X444" i="3"/>
  <c r="Z442" i="3"/>
  <c r="AG440" i="3"/>
  <c r="Y439" i="3"/>
  <c r="AF437" i="3"/>
  <c r="Y434" i="3"/>
  <c r="X432" i="3"/>
  <c r="AA429" i="3"/>
  <c r="V415" i="3"/>
  <c r="AG413" i="3"/>
  <c r="AF412" i="3"/>
  <c r="AG411" i="3"/>
  <c r="V411" i="3"/>
  <c r="AG408" i="3"/>
  <c r="V407" i="3"/>
  <c r="X404" i="3"/>
  <c r="E13" i="3"/>
  <c r="V257" i="3"/>
  <c r="Y241" i="3"/>
  <c r="Y283" i="3"/>
  <c r="Y253" i="3"/>
  <c r="V501" i="3"/>
  <c r="AG499" i="3"/>
  <c r="AF498" i="3"/>
  <c r="X496" i="3"/>
  <c r="V493" i="3"/>
  <c r="AF488" i="3"/>
  <c r="AF486" i="3"/>
  <c r="X482" i="3"/>
  <c r="AG477" i="3"/>
  <c r="X476" i="3"/>
  <c r="X474" i="3"/>
  <c r="X470" i="3"/>
  <c r="AG467" i="3"/>
  <c r="Y466" i="3"/>
  <c r="Y464" i="3"/>
  <c r="AF462" i="3"/>
  <c r="W460" i="3"/>
  <c r="Y458" i="3"/>
  <c r="V457" i="3"/>
  <c r="AF454" i="3"/>
  <c r="Y453" i="3"/>
  <c r="AF452" i="3"/>
  <c r="Y449" i="3"/>
  <c r="AF448" i="3"/>
  <c r="W444" i="3"/>
  <c r="Y442" i="3"/>
  <c r="Y441" i="3"/>
  <c r="AF440" i="3"/>
  <c r="Y437" i="3"/>
  <c r="Y436" i="3"/>
  <c r="W432" i="3"/>
  <c r="X429" i="3"/>
  <c r="Y422" i="3"/>
  <c r="AG418" i="3"/>
  <c r="AG415" i="3"/>
  <c r="AF413" i="3"/>
  <c r="AF411" i="3"/>
  <c r="U260" i="3"/>
  <c r="U250" i="3"/>
  <c r="U158" i="3"/>
  <c r="U94" i="3"/>
  <c r="U30" i="3"/>
  <c r="U366" i="3"/>
  <c r="U457" i="3"/>
  <c r="U298" i="3"/>
  <c r="U270" i="3"/>
  <c r="U196" i="3"/>
  <c r="U150" i="3"/>
  <c r="U86" i="3"/>
  <c r="U22" i="3"/>
  <c r="U358" i="3"/>
  <c r="U478" i="3"/>
  <c r="U459" i="3"/>
  <c r="U423" i="3"/>
  <c r="U281" i="3"/>
  <c r="U225" i="3"/>
  <c r="U142" i="3"/>
  <c r="U78" i="3"/>
  <c r="U14" i="3"/>
  <c r="U350" i="3"/>
  <c r="U414" i="3"/>
  <c r="U413" i="3"/>
  <c r="U412" i="3"/>
  <c r="U189" i="3"/>
  <c r="U134" i="3"/>
  <c r="U70" i="3"/>
  <c r="U6" i="3"/>
  <c r="U342" i="3"/>
  <c r="U302" i="3"/>
  <c r="U255" i="3"/>
  <c r="U245" i="3"/>
  <c r="U218" i="3"/>
  <c r="U126" i="3"/>
  <c r="U62" i="3"/>
  <c r="U398" i="3"/>
  <c r="U334" i="3"/>
  <c r="U482" i="3"/>
  <c r="U182" i="3"/>
  <c r="U118" i="3"/>
  <c r="U54" i="3"/>
  <c r="U390" i="3"/>
  <c r="U326" i="3"/>
  <c r="U464" i="3"/>
  <c r="U276" i="3"/>
  <c r="U211" i="3"/>
  <c r="U174" i="3"/>
  <c r="U110" i="3"/>
  <c r="U46" i="3"/>
  <c r="U382" i="3"/>
  <c r="U318" i="3"/>
  <c r="U474" i="3"/>
  <c r="U287" i="3"/>
  <c r="U231" i="3"/>
  <c r="U203" i="3"/>
  <c r="U166" i="3"/>
  <c r="U102" i="3"/>
  <c r="U38" i="3"/>
  <c r="U374" i="3"/>
  <c r="U310" i="3"/>
  <c r="U455" i="3"/>
  <c r="U430" i="3"/>
  <c r="U420" i="3"/>
  <c r="U3" i="3"/>
  <c r="U303" i="3"/>
  <c r="U288" i="3"/>
  <c r="U283" i="3"/>
  <c r="U266" i="3"/>
  <c r="U261" i="3"/>
  <c r="U252" i="3"/>
  <c r="U246" i="3"/>
  <c r="U227" i="3"/>
  <c r="U205" i="3"/>
  <c r="U198" i="3"/>
  <c r="U191" i="3"/>
  <c r="U176" i="3"/>
  <c r="U168" i="3"/>
  <c r="U160" i="3"/>
  <c r="U152" i="3"/>
  <c r="U144" i="3"/>
  <c r="U136" i="3"/>
  <c r="U128" i="3"/>
  <c r="U120" i="3"/>
  <c r="U112" i="3"/>
  <c r="U104" i="3"/>
  <c r="U96" i="3"/>
  <c r="U88" i="3"/>
  <c r="U80" i="3"/>
  <c r="U72" i="3"/>
  <c r="U64" i="3"/>
  <c r="U56" i="3"/>
  <c r="U48" i="3"/>
  <c r="U40" i="3"/>
  <c r="U32" i="3"/>
  <c r="U24" i="3"/>
  <c r="U16" i="3"/>
  <c r="U8" i="3"/>
  <c r="U400" i="3"/>
  <c r="U392" i="3"/>
  <c r="U384" i="3"/>
  <c r="U376" i="3"/>
  <c r="U368" i="3"/>
  <c r="U360" i="3"/>
  <c r="U352" i="3"/>
  <c r="U344" i="3"/>
  <c r="U336" i="3"/>
  <c r="U328" i="3"/>
  <c r="U320" i="3"/>
  <c r="U312" i="3"/>
  <c r="U304" i="3"/>
  <c r="U492" i="3"/>
  <c r="U480" i="3"/>
  <c r="U477" i="3"/>
  <c r="U472" i="3"/>
  <c r="U460" i="3"/>
  <c r="U456" i="3"/>
  <c r="U448" i="3"/>
  <c r="U447" i="3"/>
  <c r="U446" i="3"/>
  <c r="U444" i="3"/>
  <c r="U434" i="3"/>
  <c r="U433" i="3"/>
  <c r="U428" i="3"/>
  <c r="U299" i="3"/>
  <c r="U294" i="3"/>
  <c r="U282" i="3"/>
  <c r="U277" i="3"/>
  <c r="U271" i="3"/>
  <c r="U265" i="3"/>
  <c r="U256" i="3"/>
  <c r="U251" i="3"/>
  <c r="U241" i="3"/>
  <c r="U237" i="3"/>
  <c r="U232" i="3"/>
  <c r="U226" i="3"/>
  <c r="U219" i="3"/>
  <c r="U212" i="3"/>
  <c r="U204" i="3"/>
  <c r="U197" i="3"/>
  <c r="U190" i="3"/>
  <c r="U183" i="3"/>
  <c r="U175" i="3"/>
  <c r="U167" i="3"/>
  <c r="U159" i="3"/>
  <c r="U151" i="3"/>
  <c r="U143" i="3"/>
  <c r="U135" i="3"/>
  <c r="U127" i="3"/>
  <c r="U119" i="3"/>
  <c r="U111" i="3"/>
  <c r="U103" i="3"/>
  <c r="U95" i="3"/>
  <c r="U87" i="3"/>
  <c r="U79" i="3"/>
  <c r="U71" i="3"/>
  <c r="U63" i="3"/>
  <c r="U55" i="3"/>
  <c r="U47" i="3"/>
  <c r="U39" i="3"/>
  <c r="U31" i="3"/>
  <c r="U23" i="3"/>
  <c r="U15" i="3"/>
  <c r="U7" i="3"/>
  <c r="U399" i="3"/>
  <c r="U391" i="3"/>
  <c r="U383" i="3"/>
  <c r="U375" i="3"/>
  <c r="U367" i="3"/>
  <c r="U359" i="3"/>
  <c r="U351" i="3"/>
  <c r="U343" i="3"/>
  <c r="U335" i="3"/>
  <c r="U327" i="3"/>
  <c r="U319" i="3"/>
  <c r="U311" i="3"/>
  <c r="U497" i="3"/>
  <c r="U467" i="3"/>
  <c r="U463" i="3"/>
  <c r="U453" i="3"/>
  <c r="U450" i="3"/>
  <c r="U442" i="3"/>
  <c r="U438" i="3"/>
  <c r="U436" i="3"/>
  <c r="U426" i="3"/>
  <c r="U410" i="3"/>
  <c r="U408" i="3"/>
  <c r="U293" i="3"/>
  <c r="U280" i="3"/>
  <c r="U269" i="3"/>
  <c r="U264" i="3"/>
  <c r="U249" i="3"/>
  <c r="U240" i="3"/>
  <c r="U236" i="3"/>
  <c r="U224" i="3"/>
  <c r="U217" i="3"/>
  <c r="U210" i="3"/>
  <c r="U202" i="3"/>
  <c r="U188" i="3"/>
  <c r="U181" i="3"/>
  <c r="U173" i="3"/>
  <c r="U165" i="3"/>
  <c r="U157" i="3"/>
  <c r="U149" i="3"/>
  <c r="U141" i="3"/>
  <c r="U133" i="3"/>
  <c r="U125" i="3"/>
  <c r="U117" i="3"/>
  <c r="U109" i="3"/>
  <c r="U101" i="3"/>
  <c r="U93" i="3"/>
  <c r="U85" i="3"/>
  <c r="U77" i="3"/>
  <c r="U69" i="3"/>
  <c r="U61" i="3"/>
  <c r="U53" i="3"/>
  <c r="U45" i="3"/>
  <c r="U37" i="3"/>
  <c r="U29" i="3"/>
  <c r="U21" i="3"/>
  <c r="U13" i="3"/>
  <c r="U5" i="3"/>
  <c r="U397" i="3"/>
  <c r="U389" i="3"/>
  <c r="U381" i="3"/>
  <c r="U373" i="3"/>
  <c r="U365" i="3"/>
  <c r="U357" i="3"/>
  <c r="U349" i="3"/>
  <c r="U341" i="3"/>
  <c r="U333" i="3"/>
  <c r="U325" i="3"/>
  <c r="U317" i="3"/>
  <c r="U309" i="3"/>
  <c r="U502" i="3"/>
  <c r="U500" i="3"/>
  <c r="U494" i="3"/>
  <c r="U486" i="3"/>
  <c r="U483" i="3"/>
  <c r="U479" i="3"/>
  <c r="U475" i="3"/>
  <c r="U466" i="3"/>
  <c r="U461" i="3"/>
  <c r="U458" i="3"/>
  <c r="U443" i="3"/>
  <c r="U439" i="3"/>
  <c r="U425" i="3"/>
  <c r="U417" i="3"/>
  <c r="U415" i="3"/>
  <c r="U407" i="3"/>
  <c r="E7" i="3"/>
  <c r="U301" i="3"/>
  <c r="U297" i="3"/>
  <c r="U292" i="3"/>
  <c r="U286" i="3"/>
  <c r="U275" i="3"/>
  <c r="U259" i="3"/>
  <c r="U254" i="3"/>
  <c r="U248" i="3"/>
  <c r="U244" i="3"/>
  <c r="U230" i="3"/>
  <c r="U223" i="3"/>
  <c r="U216" i="3"/>
  <c r="U209" i="3"/>
  <c r="U201" i="3"/>
  <c r="U195" i="3"/>
  <c r="U187" i="3"/>
  <c r="U180" i="3"/>
  <c r="U172" i="3"/>
  <c r="U164" i="3"/>
  <c r="U156" i="3"/>
  <c r="U148" i="3"/>
  <c r="U140" i="3"/>
  <c r="U132" i="3"/>
  <c r="U124" i="3"/>
  <c r="U116" i="3"/>
  <c r="U108" i="3"/>
  <c r="U100" i="3"/>
  <c r="U92" i="3"/>
  <c r="U84" i="3"/>
  <c r="U76" i="3"/>
  <c r="U68" i="3"/>
  <c r="U60" i="3"/>
  <c r="U52" i="3"/>
  <c r="U44" i="3"/>
  <c r="U36" i="3"/>
  <c r="U28" i="3"/>
  <c r="U20" i="3"/>
  <c r="U12" i="3"/>
  <c r="U4" i="3"/>
  <c r="U396" i="3"/>
  <c r="U388" i="3"/>
  <c r="U380" i="3"/>
  <c r="U372" i="3"/>
  <c r="U364" i="3"/>
  <c r="U356" i="3"/>
  <c r="U348" i="3"/>
  <c r="U340" i="3"/>
  <c r="U332" i="3"/>
  <c r="U324" i="3"/>
  <c r="U316" i="3"/>
  <c r="U308" i="3"/>
  <c r="U491" i="3"/>
  <c r="U481" i="3"/>
  <c r="U470" i="3"/>
  <c r="U468" i="3"/>
  <c r="U454" i="3"/>
  <c r="U445" i="3"/>
  <c r="U435" i="3"/>
  <c r="U432" i="3"/>
  <c r="U422" i="3"/>
  <c r="U291" i="3"/>
  <c r="U285" i="3"/>
  <c r="U279" i="3"/>
  <c r="U274" i="3"/>
  <c r="U268" i="3"/>
  <c r="U263" i="3"/>
  <c r="U258" i="3"/>
  <c r="U239" i="3"/>
  <c r="U235" i="3"/>
  <c r="U229" i="3"/>
  <c r="U222" i="3"/>
  <c r="U215" i="3"/>
  <c r="U208" i="3"/>
  <c r="U194" i="3"/>
  <c r="U186" i="3"/>
  <c r="U179" i="3"/>
  <c r="U171" i="3"/>
  <c r="U163" i="3"/>
  <c r="U155" i="3"/>
  <c r="U147" i="3"/>
  <c r="U139" i="3"/>
  <c r="U131" i="3"/>
  <c r="U123" i="3"/>
  <c r="U115" i="3"/>
  <c r="U107" i="3"/>
  <c r="U99" i="3"/>
  <c r="U91" i="3"/>
  <c r="U83" i="3"/>
  <c r="U75" i="3"/>
  <c r="U67" i="3"/>
  <c r="U59" i="3"/>
  <c r="U51" i="3"/>
  <c r="U43" i="3"/>
  <c r="U35" i="3"/>
  <c r="U27" i="3"/>
  <c r="U19" i="3"/>
  <c r="U11" i="3"/>
  <c r="U403" i="3"/>
  <c r="U395" i="3"/>
  <c r="U387" i="3"/>
  <c r="U379" i="3"/>
  <c r="U371" i="3"/>
  <c r="U363" i="3"/>
  <c r="U355" i="3"/>
  <c r="U347" i="3"/>
  <c r="U339" i="3"/>
  <c r="U331" i="3"/>
  <c r="U323" i="3"/>
  <c r="U315" i="3"/>
  <c r="U307" i="3"/>
  <c r="U499" i="3"/>
  <c r="U496" i="3"/>
  <c r="U488" i="3"/>
  <c r="U485" i="3"/>
  <c r="U484" i="3"/>
  <c r="U473" i="3"/>
  <c r="U471" i="3"/>
  <c r="U452" i="3"/>
  <c r="U449" i="3"/>
  <c r="U441" i="3"/>
  <c r="U419" i="3"/>
  <c r="U409" i="3"/>
  <c r="U406" i="3"/>
  <c r="U300" i="3"/>
  <c r="U296" i="3"/>
  <c r="U290" i="3"/>
  <c r="U284" i="3"/>
  <c r="U273" i="3"/>
  <c r="U262" i="3"/>
  <c r="U253" i="3"/>
  <c r="U247" i="3"/>
  <c r="U243" i="3"/>
  <c r="U234" i="3"/>
  <c r="U221" i="3"/>
  <c r="U214" i="3"/>
  <c r="U207" i="3"/>
  <c r="U200" i="3"/>
  <c r="U193" i="3"/>
  <c r="U185" i="3"/>
  <c r="U178" i="3"/>
  <c r="U170" i="3"/>
  <c r="U162" i="3"/>
  <c r="U154" i="3"/>
  <c r="U146" i="3"/>
  <c r="U138" i="3"/>
  <c r="U130" i="3"/>
  <c r="U122" i="3"/>
  <c r="U114" i="3"/>
  <c r="U106" i="3"/>
  <c r="U98" i="3"/>
  <c r="U90" i="3"/>
  <c r="U82" i="3"/>
  <c r="U74" i="3"/>
  <c r="U66" i="3"/>
  <c r="U58" i="3"/>
  <c r="U50" i="3"/>
  <c r="U42" i="3"/>
  <c r="U34" i="3"/>
  <c r="U26" i="3"/>
  <c r="U18" i="3"/>
  <c r="U10" i="3"/>
  <c r="U402" i="3"/>
  <c r="U394" i="3"/>
  <c r="U386" i="3"/>
  <c r="U378" i="3"/>
  <c r="U370" i="3"/>
  <c r="U362" i="3"/>
  <c r="U354" i="3"/>
  <c r="U346" i="3"/>
  <c r="U338" i="3"/>
  <c r="U330" i="3"/>
  <c r="U322" i="3"/>
  <c r="U314" i="3"/>
  <c r="U306" i="3"/>
  <c r="U503" i="3"/>
  <c r="U501" i="3"/>
  <c r="U498" i="3"/>
  <c r="U493" i="3"/>
  <c r="U490" i="3"/>
  <c r="U465" i="3"/>
  <c r="U429" i="3"/>
  <c r="U427" i="3"/>
  <c r="U404" i="3"/>
  <c r="U295" i="3"/>
  <c r="U289" i="3"/>
  <c r="U278" i="3"/>
  <c r="U272" i="3"/>
  <c r="U267" i="3"/>
  <c r="U257" i="3"/>
  <c r="U242" i="3"/>
  <c r="U238" i="3"/>
  <c r="U233" i="3"/>
  <c r="U228" i="3"/>
  <c r="U220" i="3"/>
  <c r="U213" i="3"/>
  <c r="U206" i="3"/>
  <c r="U199" i="3"/>
  <c r="U192" i="3"/>
  <c r="U184" i="3"/>
  <c r="U177" i="3"/>
  <c r="U169" i="3"/>
  <c r="U161" i="3"/>
  <c r="U153" i="3"/>
  <c r="U145" i="3"/>
  <c r="U137" i="3"/>
  <c r="U129" i="3"/>
  <c r="U121" i="3"/>
  <c r="U113" i="3"/>
  <c r="U105" i="3"/>
  <c r="U97" i="3"/>
  <c r="U89" i="3"/>
  <c r="U81" i="3"/>
  <c r="U73" i="3"/>
  <c r="U65" i="3"/>
  <c r="U57" i="3"/>
  <c r="U49" i="3"/>
  <c r="U41" i="3"/>
  <c r="U33" i="3"/>
  <c r="U25" i="3"/>
  <c r="U17" i="3"/>
  <c r="U9" i="3"/>
  <c r="U401" i="3"/>
  <c r="U393" i="3"/>
  <c r="U385" i="3"/>
  <c r="U377" i="3"/>
  <c r="U369" i="3"/>
  <c r="U361" i="3"/>
  <c r="U353" i="3"/>
  <c r="U345" i="3"/>
  <c r="U337" i="3"/>
  <c r="U329" i="3"/>
  <c r="U321" i="3"/>
  <c r="U313" i="3"/>
  <c r="U305" i="3"/>
  <c r="U495" i="3"/>
  <c r="U489" i="3"/>
  <c r="U487" i="3"/>
  <c r="U476" i="3"/>
  <c r="U469" i="3"/>
  <c r="U462" i="3"/>
  <c r="U451" i="3"/>
  <c r="U440" i="3"/>
  <c r="U437" i="3"/>
  <c r="U431" i="3"/>
  <c r="U424" i="3"/>
  <c r="U421" i="3"/>
  <c r="U418" i="3"/>
  <c r="U416" i="3"/>
  <c r="U411" i="3"/>
  <c r="B95" i="1"/>
  <c r="B27" i="4"/>
  <c r="B88" i="4"/>
  <c r="B48" i="4"/>
  <c r="B55" i="1"/>
  <c r="B57" i="1" s="1"/>
  <c r="M448" i="3" s="1"/>
  <c r="B38" i="4"/>
  <c r="X258" i="3"/>
  <c r="Y258" i="3"/>
  <c r="AG258" i="3"/>
  <c r="AF218" i="3"/>
  <c r="AG218" i="3"/>
  <c r="V218" i="3"/>
  <c r="W218" i="3"/>
  <c r="X218" i="3"/>
  <c r="Y218" i="3"/>
  <c r="X178" i="3"/>
  <c r="Y178" i="3"/>
  <c r="AF178" i="3"/>
  <c r="AG178" i="3"/>
  <c r="W178" i="3"/>
  <c r="V130" i="3"/>
  <c r="W130" i="3"/>
  <c r="AF130" i="3"/>
  <c r="X130" i="3"/>
  <c r="Y130" i="3"/>
  <c r="AG130" i="3"/>
  <c r="AG90" i="3"/>
  <c r="V90" i="3"/>
  <c r="W90" i="3"/>
  <c r="X90" i="3"/>
  <c r="AF90" i="3"/>
  <c r="Y90" i="3"/>
  <c r="AF50" i="3"/>
  <c r="X50" i="3"/>
  <c r="Y50" i="3"/>
  <c r="AG50" i="3"/>
  <c r="W50" i="3"/>
  <c r="V50" i="3"/>
  <c r="AF18" i="3"/>
  <c r="AG18" i="3"/>
  <c r="V18" i="3"/>
  <c r="W18" i="3"/>
  <c r="X18" i="3"/>
  <c r="Y18" i="3"/>
  <c r="W383" i="3"/>
  <c r="Y383" i="3"/>
  <c r="AF383" i="3"/>
  <c r="V383" i="3"/>
  <c r="X383" i="3"/>
  <c r="AG383" i="3"/>
  <c r="Y327" i="3"/>
  <c r="AG327" i="3"/>
  <c r="AF327" i="3"/>
  <c r="W327" i="3"/>
  <c r="X327" i="3"/>
  <c r="V327" i="3"/>
  <c r="AG311" i="3"/>
  <c r="V311" i="3"/>
  <c r="W311" i="3"/>
  <c r="X311" i="3"/>
  <c r="Y311" i="3"/>
  <c r="AF311" i="3"/>
  <c r="X297" i="3"/>
  <c r="AF297" i="3"/>
  <c r="AF281" i="3"/>
  <c r="W281" i="3"/>
  <c r="V265" i="3"/>
  <c r="W265" i="3"/>
  <c r="X265" i="3"/>
  <c r="V249" i="3"/>
  <c r="W249" i="3"/>
  <c r="X249" i="3"/>
  <c r="Y249" i="3"/>
  <c r="AF249" i="3"/>
  <c r="Y233" i="3"/>
  <c r="AF233" i="3"/>
  <c r="AG233" i="3"/>
  <c r="V233" i="3"/>
  <c r="W233" i="3"/>
  <c r="X233" i="3"/>
  <c r="AF217" i="3"/>
  <c r="AG217" i="3"/>
  <c r="V217" i="3"/>
  <c r="W217" i="3"/>
  <c r="X217" i="3"/>
  <c r="Y217" i="3"/>
  <c r="W201" i="3"/>
  <c r="X201" i="3"/>
  <c r="Y201" i="3"/>
  <c r="AF201" i="3"/>
  <c r="V201" i="3"/>
  <c r="AG201" i="3"/>
  <c r="Y185" i="3"/>
  <c r="AF185" i="3"/>
  <c r="AG185" i="3"/>
  <c r="V185" i="3"/>
  <c r="W185" i="3"/>
  <c r="X185" i="3"/>
  <c r="AF177" i="3"/>
  <c r="AG177" i="3"/>
  <c r="V177" i="3"/>
  <c r="W177" i="3"/>
  <c r="X177" i="3"/>
  <c r="Y177" i="3"/>
  <c r="AF169" i="3"/>
  <c r="AG169" i="3"/>
  <c r="V169" i="3"/>
  <c r="W169" i="3"/>
  <c r="X169" i="3"/>
  <c r="Y169" i="3"/>
  <c r="AG161" i="3"/>
  <c r="V161" i="3"/>
  <c r="W161" i="3"/>
  <c r="X161" i="3"/>
  <c r="Y161" i="3"/>
  <c r="AF161" i="3"/>
  <c r="AF153" i="3"/>
  <c r="AG153" i="3"/>
  <c r="V153" i="3"/>
  <c r="W153" i="3"/>
  <c r="X153" i="3"/>
  <c r="Y153" i="3"/>
  <c r="W145" i="3"/>
  <c r="X145" i="3"/>
  <c r="AF145" i="3"/>
  <c r="AG145" i="3"/>
  <c r="Y145" i="3"/>
  <c r="V145" i="3"/>
  <c r="W137" i="3"/>
  <c r="X137" i="3"/>
  <c r="AF137" i="3"/>
  <c r="AG137" i="3"/>
  <c r="Y137" i="3"/>
  <c r="V137" i="3"/>
  <c r="X129" i="3"/>
  <c r="Y129" i="3"/>
  <c r="AG129" i="3"/>
  <c r="V129" i="3"/>
  <c r="AF129" i="3"/>
  <c r="W129" i="3"/>
  <c r="W121" i="3"/>
  <c r="X121" i="3"/>
  <c r="AG121" i="3"/>
  <c r="V121" i="3"/>
  <c r="Y121" i="3"/>
  <c r="AF121" i="3"/>
  <c r="W113" i="3"/>
  <c r="X113" i="3"/>
  <c r="AG113" i="3"/>
  <c r="V113" i="3"/>
  <c r="Y113" i="3"/>
  <c r="AF113" i="3"/>
  <c r="AF105" i="3"/>
  <c r="AG105" i="3"/>
  <c r="X105" i="3"/>
  <c r="Y105" i="3"/>
  <c r="W105" i="3"/>
  <c r="V105" i="3"/>
  <c r="AF97" i="3"/>
  <c r="AG97" i="3"/>
  <c r="V97" i="3"/>
  <c r="W97" i="3"/>
  <c r="X97" i="3"/>
  <c r="Y97" i="3"/>
  <c r="W89" i="3"/>
  <c r="X89" i="3"/>
  <c r="Y89" i="3"/>
  <c r="AG89" i="3"/>
  <c r="V89" i="3"/>
  <c r="AF89" i="3"/>
  <c r="AF81" i="3"/>
  <c r="AG81" i="3"/>
  <c r="X81" i="3"/>
  <c r="Y81" i="3"/>
  <c r="V81" i="3"/>
  <c r="W81" i="3"/>
  <c r="W73" i="3"/>
  <c r="X73" i="3"/>
  <c r="Y73" i="3"/>
  <c r="AG73" i="3"/>
  <c r="V73" i="3"/>
  <c r="AF73" i="3"/>
  <c r="Y65" i="3"/>
  <c r="AF65" i="3"/>
  <c r="AG65" i="3"/>
  <c r="W65" i="3"/>
  <c r="V65" i="3"/>
  <c r="X65" i="3"/>
  <c r="Y57" i="3"/>
  <c r="AF57" i="3"/>
  <c r="AJ57" i="3" s="1"/>
  <c r="AG57" i="3"/>
  <c r="W57" i="3"/>
  <c r="V57" i="3"/>
  <c r="X57" i="3"/>
  <c r="AG49" i="3"/>
  <c r="V49" i="3"/>
  <c r="W49" i="3"/>
  <c r="Y49" i="3"/>
  <c r="X49" i="3"/>
  <c r="AF49" i="3"/>
  <c r="W41" i="3"/>
  <c r="X41" i="3"/>
  <c r="AF41" i="3"/>
  <c r="AG41" i="3"/>
  <c r="V41" i="3"/>
  <c r="Y41" i="3"/>
  <c r="W33" i="3"/>
  <c r="X33" i="3"/>
  <c r="AF33" i="3"/>
  <c r="AG33" i="3"/>
  <c r="V33" i="3"/>
  <c r="Y33" i="3"/>
  <c r="X25" i="3"/>
  <c r="Y25" i="3"/>
  <c r="AG25" i="3"/>
  <c r="V25" i="3"/>
  <c r="W25" i="3"/>
  <c r="AF25" i="3"/>
  <c r="W17" i="3"/>
  <c r="X17" i="3"/>
  <c r="Y17" i="3"/>
  <c r="AG17" i="3"/>
  <c r="V17" i="3"/>
  <c r="AF17" i="3"/>
  <c r="AF9" i="3"/>
  <c r="AG9" i="3"/>
  <c r="V9" i="3"/>
  <c r="W9" i="3"/>
  <c r="X9" i="3"/>
  <c r="Y9" i="3"/>
  <c r="AG3" i="3"/>
  <c r="AF398" i="3"/>
  <c r="AG398" i="3"/>
  <c r="V398" i="3"/>
  <c r="W398" i="3"/>
  <c r="X398" i="3"/>
  <c r="Y398" i="3"/>
  <c r="X390" i="3"/>
  <c r="Y390" i="3"/>
  <c r="AF390" i="3"/>
  <c r="AG390" i="3"/>
  <c r="V390" i="3"/>
  <c r="W390" i="3"/>
  <c r="Y382" i="3"/>
  <c r="AF382" i="3"/>
  <c r="AG382" i="3"/>
  <c r="V382" i="3"/>
  <c r="W382" i="3"/>
  <c r="X382" i="3"/>
  <c r="AF374" i="3"/>
  <c r="AG374" i="3"/>
  <c r="V374" i="3"/>
  <c r="W374" i="3"/>
  <c r="X374" i="3"/>
  <c r="Y374" i="3"/>
  <c r="X366" i="3"/>
  <c r="Y366" i="3"/>
  <c r="AF366" i="3"/>
  <c r="AG366" i="3"/>
  <c r="V366" i="3"/>
  <c r="W366" i="3"/>
  <c r="X358" i="3"/>
  <c r="Y358" i="3"/>
  <c r="W358" i="3"/>
  <c r="AF358" i="3"/>
  <c r="AG358" i="3"/>
  <c r="V358" i="3"/>
  <c r="AF350" i="3"/>
  <c r="AG350" i="3"/>
  <c r="V350" i="3"/>
  <c r="Y350" i="3"/>
  <c r="W350" i="3"/>
  <c r="X350" i="3"/>
  <c r="W342" i="3"/>
  <c r="X342" i="3"/>
  <c r="Y342" i="3"/>
  <c r="AG342" i="3"/>
  <c r="V342" i="3"/>
  <c r="AF342" i="3"/>
  <c r="X334" i="3"/>
  <c r="Y334" i="3"/>
  <c r="AF334" i="3"/>
  <c r="V334" i="3"/>
  <c r="AG334" i="3"/>
  <c r="W334" i="3"/>
  <c r="AF326" i="3"/>
  <c r="AG326" i="3"/>
  <c r="V326" i="3"/>
  <c r="X326" i="3"/>
  <c r="W326" i="3"/>
  <c r="Y326" i="3"/>
  <c r="X318" i="3"/>
  <c r="Y318" i="3"/>
  <c r="AF318" i="3"/>
  <c r="V318" i="3"/>
  <c r="W318" i="3"/>
  <c r="AG318" i="3"/>
  <c r="AG310" i="3"/>
  <c r="X310" i="3"/>
  <c r="Y310" i="3"/>
  <c r="W310" i="3"/>
  <c r="V310" i="3"/>
  <c r="AF310" i="3"/>
  <c r="V303" i="3"/>
  <c r="X302" i="3"/>
  <c r="AF300" i="3"/>
  <c r="V299" i="3"/>
  <c r="AG296" i="3"/>
  <c r="Y294" i="3"/>
  <c r="AF293" i="3"/>
  <c r="AJ293" i="3" s="1"/>
  <c r="X278" i="3"/>
  <c r="W275" i="3"/>
  <c r="AG274" i="3"/>
  <c r="W271" i="3"/>
  <c r="AG267" i="3"/>
  <c r="AG263" i="3"/>
  <c r="X260" i="3"/>
  <c r="AG255" i="3"/>
  <c r="X253" i="3"/>
  <c r="AG252" i="3"/>
  <c r="V244" i="3"/>
  <c r="Y243" i="3"/>
  <c r="AF242" i="3"/>
  <c r="AJ242" i="3" s="1"/>
  <c r="AF239" i="3"/>
  <c r="AG238" i="3"/>
  <c r="X237" i="3"/>
  <c r="AF235" i="3"/>
  <c r="AF187" i="3"/>
  <c r="V298" i="3"/>
  <c r="AG250" i="3"/>
  <c r="V250" i="3"/>
  <c r="W250" i="3"/>
  <c r="V194" i="3"/>
  <c r="W194" i="3"/>
  <c r="X194" i="3"/>
  <c r="Y194" i="3"/>
  <c r="AG194" i="3"/>
  <c r="AG138" i="3"/>
  <c r="V138" i="3"/>
  <c r="W138" i="3"/>
  <c r="X138" i="3"/>
  <c r="Y138" i="3"/>
  <c r="AF138" i="3"/>
  <c r="AG74" i="3"/>
  <c r="V74" i="3"/>
  <c r="W74" i="3"/>
  <c r="X74" i="3"/>
  <c r="Y74" i="3"/>
  <c r="AF74" i="3"/>
  <c r="AG34" i="3"/>
  <c r="V34" i="3"/>
  <c r="AF34" i="3"/>
  <c r="X34" i="3"/>
  <c r="W34" i="3"/>
  <c r="Y34" i="3"/>
  <c r="V391" i="3"/>
  <c r="Y391" i="3"/>
  <c r="AF391" i="3"/>
  <c r="AG391" i="3"/>
  <c r="X391" i="3"/>
  <c r="W391" i="3"/>
  <c r="AG335" i="3"/>
  <c r="V335" i="3"/>
  <c r="W335" i="3"/>
  <c r="Y335" i="3"/>
  <c r="X335" i="3"/>
  <c r="AF335" i="3"/>
  <c r="AF289" i="3"/>
  <c r="W289" i="3"/>
  <c r="AF273" i="3"/>
  <c r="AG273" i="3"/>
  <c r="V273" i="3"/>
  <c r="Y273" i="3"/>
  <c r="AF257" i="3"/>
  <c r="W257" i="3"/>
  <c r="AF241" i="3"/>
  <c r="AG241" i="3"/>
  <c r="X241" i="3"/>
  <c r="AF225" i="3"/>
  <c r="AG225" i="3"/>
  <c r="V225" i="3"/>
  <c r="W225" i="3"/>
  <c r="X225" i="3"/>
  <c r="Y225" i="3"/>
  <c r="AG209" i="3"/>
  <c r="V209" i="3"/>
  <c r="W209" i="3"/>
  <c r="X209" i="3"/>
  <c r="Y209" i="3"/>
  <c r="AF209" i="3"/>
  <c r="X193" i="3"/>
  <c r="Y193" i="3"/>
  <c r="AF193" i="3"/>
  <c r="AG193" i="3"/>
  <c r="V193" i="3"/>
  <c r="W193" i="3"/>
  <c r="AF296" i="3"/>
  <c r="W296" i="3"/>
  <c r="AF288" i="3"/>
  <c r="AG288" i="3"/>
  <c r="V288" i="3"/>
  <c r="Y288" i="3"/>
  <c r="AG280" i="3"/>
  <c r="V280" i="3"/>
  <c r="W280" i="3"/>
  <c r="V272" i="3"/>
  <c r="W272" i="3"/>
  <c r="X272" i="3"/>
  <c r="X264" i="3"/>
  <c r="Y264" i="3"/>
  <c r="AG264" i="3"/>
  <c r="AF256" i="3"/>
  <c r="AG256" i="3"/>
  <c r="V256" i="3"/>
  <c r="Y256" i="3"/>
  <c r="X248" i="3"/>
  <c r="Y248" i="3"/>
  <c r="V248" i="3"/>
  <c r="AF240" i="3"/>
  <c r="AG240" i="3"/>
  <c r="V240" i="3"/>
  <c r="W240" i="3"/>
  <c r="AF232" i="3"/>
  <c r="AG232" i="3"/>
  <c r="V232" i="3"/>
  <c r="W232" i="3"/>
  <c r="X232" i="3"/>
  <c r="AG224" i="3"/>
  <c r="V224" i="3"/>
  <c r="W224" i="3"/>
  <c r="X224" i="3"/>
  <c r="Y224" i="3"/>
  <c r="V216" i="3"/>
  <c r="W216" i="3"/>
  <c r="X216" i="3"/>
  <c r="Y216" i="3"/>
  <c r="W208" i="3"/>
  <c r="X208" i="3"/>
  <c r="Y208" i="3"/>
  <c r="AF208" i="3"/>
  <c r="V208" i="3"/>
  <c r="Y200" i="3"/>
  <c r="AF200" i="3"/>
  <c r="AG200" i="3"/>
  <c r="V200" i="3"/>
  <c r="W200" i="3"/>
  <c r="AF192" i="3"/>
  <c r="AG192" i="3"/>
  <c r="V192" i="3"/>
  <c r="W192" i="3"/>
  <c r="X192" i="3"/>
  <c r="AF184" i="3"/>
  <c r="AG184" i="3"/>
  <c r="V184" i="3"/>
  <c r="W184" i="3"/>
  <c r="X184" i="3"/>
  <c r="Y184" i="3"/>
  <c r="AG176" i="3"/>
  <c r="V176" i="3"/>
  <c r="W176" i="3"/>
  <c r="X176" i="3"/>
  <c r="Y176" i="3"/>
  <c r="AF176" i="3"/>
  <c r="V168" i="3"/>
  <c r="W168" i="3"/>
  <c r="X168" i="3"/>
  <c r="Y168" i="3"/>
  <c r="AF168" i="3"/>
  <c r="AG168" i="3"/>
  <c r="X160" i="3"/>
  <c r="Y160" i="3"/>
  <c r="AF160" i="3"/>
  <c r="AG160" i="3"/>
  <c r="V160" i="3"/>
  <c r="W160" i="3"/>
  <c r="AG152" i="3"/>
  <c r="V152" i="3"/>
  <c r="W152" i="3"/>
  <c r="X152" i="3"/>
  <c r="Y152" i="3"/>
  <c r="AF152" i="3"/>
  <c r="Y144" i="3"/>
  <c r="V144" i="3"/>
  <c r="W144" i="3"/>
  <c r="AF144" i="3"/>
  <c r="AG144" i="3"/>
  <c r="X144" i="3"/>
  <c r="W136" i="3"/>
  <c r="X136" i="3"/>
  <c r="V136" i="3"/>
  <c r="Y136" i="3"/>
  <c r="AF136" i="3"/>
  <c r="AG136" i="3"/>
  <c r="AF128" i="3"/>
  <c r="X128" i="3"/>
  <c r="Y128" i="3"/>
  <c r="V128" i="3"/>
  <c r="W128" i="3"/>
  <c r="AG128" i="3"/>
  <c r="AF120" i="3"/>
  <c r="AG120" i="3"/>
  <c r="Y120" i="3"/>
  <c r="V120" i="3"/>
  <c r="W120" i="3"/>
  <c r="X120" i="3"/>
  <c r="AF112" i="3"/>
  <c r="AG112" i="3"/>
  <c r="Y112" i="3"/>
  <c r="V112" i="3"/>
  <c r="W112" i="3"/>
  <c r="X112" i="3"/>
  <c r="AF104" i="3"/>
  <c r="AG104" i="3"/>
  <c r="V104" i="3"/>
  <c r="W104" i="3"/>
  <c r="X104" i="3"/>
  <c r="Y104" i="3"/>
  <c r="V96" i="3"/>
  <c r="W96" i="3"/>
  <c r="X96" i="3"/>
  <c r="Y96" i="3"/>
  <c r="AF96" i="3"/>
  <c r="AG96" i="3"/>
  <c r="Y88" i="3"/>
  <c r="AF88" i="3"/>
  <c r="W88" i="3"/>
  <c r="X88" i="3"/>
  <c r="AG88" i="3"/>
  <c r="V88" i="3"/>
  <c r="AF80" i="3"/>
  <c r="AG80" i="3"/>
  <c r="V80" i="3"/>
  <c r="W80" i="3"/>
  <c r="X80" i="3"/>
  <c r="Y80" i="3"/>
  <c r="Y72" i="3"/>
  <c r="AF72" i="3"/>
  <c r="AG72" i="3"/>
  <c r="W72" i="3"/>
  <c r="V72" i="3"/>
  <c r="X72" i="3"/>
  <c r="AF64" i="3"/>
  <c r="AG64" i="3"/>
  <c r="V64" i="3"/>
  <c r="W64" i="3"/>
  <c r="Y64" i="3"/>
  <c r="X64" i="3"/>
  <c r="AF56" i="3"/>
  <c r="AG56" i="3"/>
  <c r="V56" i="3"/>
  <c r="W56" i="3"/>
  <c r="Y56" i="3"/>
  <c r="X56" i="3"/>
  <c r="W48" i="3"/>
  <c r="X48" i="3"/>
  <c r="AF48" i="3"/>
  <c r="AG48" i="3"/>
  <c r="V48" i="3"/>
  <c r="Y48" i="3"/>
  <c r="Y40" i="3"/>
  <c r="V40" i="3"/>
  <c r="W40" i="3"/>
  <c r="X40" i="3"/>
  <c r="AF40" i="3"/>
  <c r="AG40" i="3"/>
  <c r="Y32" i="3"/>
  <c r="V32" i="3"/>
  <c r="W32" i="3"/>
  <c r="X32" i="3"/>
  <c r="AF32" i="3"/>
  <c r="AG32" i="3"/>
  <c r="W24" i="3"/>
  <c r="X24" i="3"/>
  <c r="V24" i="3"/>
  <c r="Y24" i="3"/>
  <c r="AF24" i="3"/>
  <c r="AG24" i="3"/>
  <c r="Y16" i="3"/>
  <c r="AF16" i="3"/>
  <c r="AG16" i="3"/>
  <c r="W16" i="3"/>
  <c r="X16" i="3"/>
  <c r="V16" i="3"/>
  <c r="V8" i="3"/>
  <c r="W8" i="3"/>
  <c r="X8" i="3"/>
  <c r="Y8" i="3"/>
  <c r="AF8" i="3"/>
  <c r="AG8" i="3"/>
  <c r="V397" i="3"/>
  <c r="W397" i="3"/>
  <c r="X397" i="3"/>
  <c r="Y397" i="3"/>
  <c r="AF397" i="3"/>
  <c r="AG397" i="3"/>
  <c r="X389" i="3"/>
  <c r="AF389" i="3"/>
  <c r="AJ389" i="3" s="1"/>
  <c r="AG389" i="3"/>
  <c r="V389" i="3"/>
  <c r="W389" i="3"/>
  <c r="Y389" i="3"/>
  <c r="AG381" i="3"/>
  <c r="V381" i="3"/>
  <c r="W381" i="3"/>
  <c r="X381" i="3"/>
  <c r="Y381" i="3"/>
  <c r="AF381" i="3"/>
  <c r="V373" i="3"/>
  <c r="W373" i="3"/>
  <c r="X373" i="3"/>
  <c r="Y373" i="3"/>
  <c r="AF373" i="3"/>
  <c r="AG373" i="3"/>
  <c r="AF365" i="3"/>
  <c r="AG365" i="3"/>
  <c r="V365" i="3"/>
  <c r="W365" i="3"/>
  <c r="X365" i="3"/>
  <c r="Y365" i="3"/>
  <c r="AF357" i="3"/>
  <c r="Y357" i="3"/>
  <c r="V357" i="3"/>
  <c r="W357" i="3"/>
  <c r="AG357" i="3"/>
  <c r="X357" i="3"/>
  <c r="AG349" i="3"/>
  <c r="V349" i="3"/>
  <c r="W349" i="3"/>
  <c r="X349" i="3"/>
  <c r="AF349" i="3"/>
  <c r="Y349" i="3"/>
  <c r="Y341" i="3"/>
  <c r="X341" i="3"/>
  <c r="AF341" i="3"/>
  <c r="AG341" i="3"/>
  <c r="V341" i="3"/>
  <c r="W341" i="3"/>
  <c r="AF333" i="3"/>
  <c r="V333" i="3"/>
  <c r="W333" i="3"/>
  <c r="X333" i="3"/>
  <c r="AG333" i="3"/>
  <c r="Y333" i="3"/>
  <c r="V325" i="3"/>
  <c r="W325" i="3"/>
  <c r="X325" i="3"/>
  <c r="Y325" i="3"/>
  <c r="AF325" i="3"/>
  <c r="AG325" i="3"/>
  <c r="AF317" i="3"/>
  <c r="V317" i="3"/>
  <c r="W317" i="3"/>
  <c r="X317" i="3"/>
  <c r="Y317" i="3"/>
  <c r="AG317" i="3"/>
  <c r="W309" i="3"/>
  <c r="X309" i="3"/>
  <c r="Y309" i="3"/>
  <c r="AF309" i="3"/>
  <c r="V309" i="3"/>
  <c r="AG309" i="3"/>
  <c r="AG303" i="3"/>
  <c r="W302" i="3"/>
  <c r="Y301" i="3"/>
  <c r="AG299" i="3"/>
  <c r="W290" i="3"/>
  <c r="AG289" i="3"/>
  <c r="W286" i="3"/>
  <c r="AG285" i="3"/>
  <c r="AG281" i="3"/>
  <c r="W278" i="3"/>
  <c r="V275" i="3"/>
  <c r="Y274" i="3"/>
  <c r="V268" i="3"/>
  <c r="Y267" i="3"/>
  <c r="V264" i="3"/>
  <c r="AG262" i="3"/>
  <c r="V260" i="3"/>
  <c r="Y259" i="3"/>
  <c r="W256" i="3"/>
  <c r="AG251" i="3"/>
  <c r="W242" i="3"/>
  <c r="W241" i="3"/>
  <c r="X240" i="3"/>
  <c r="X238" i="3"/>
  <c r="W237" i="3"/>
  <c r="W235" i="3"/>
  <c r="AF216" i="3"/>
  <c r="V178" i="3"/>
  <c r="Y166" i="3"/>
  <c r="X282" i="3"/>
  <c r="Y282" i="3"/>
  <c r="AG282" i="3"/>
  <c r="AG202" i="3"/>
  <c r="V202" i="3"/>
  <c r="W202" i="3"/>
  <c r="X202" i="3"/>
  <c r="Y202" i="3"/>
  <c r="AF202" i="3"/>
  <c r="W154" i="3"/>
  <c r="X154" i="3"/>
  <c r="Y154" i="3"/>
  <c r="AF154" i="3"/>
  <c r="AG154" i="3"/>
  <c r="V154" i="3"/>
  <c r="X82" i="3"/>
  <c r="Y82" i="3"/>
  <c r="V82" i="3"/>
  <c r="W82" i="3"/>
  <c r="AF82" i="3"/>
  <c r="AG82" i="3"/>
  <c r="W359" i="3"/>
  <c r="X359" i="3"/>
  <c r="AG359" i="3"/>
  <c r="V359" i="3"/>
  <c r="Y359" i="3"/>
  <c r="AF359" i="3"/>
  <c r="AF290" i="3"/>
  <c r="AF295" i="3"/>
  <c r="AG295" i="3"/>
  <c r="V295" i="3"/>
  <c r="Y295" i="3"/>
  <c r="V287" i="3"/>
  <c r="W287" i="3"/>
  <c r="X287" i="3"/>
  <c r="W279" i="3"/>
  <c r="X279" i="3"/>
  <c r="Y279" i="3"/>
  <c r="AF279" i="3"/>
  <c r="X271" i="3"/>
  <c r="Y271" i="3"/>
  <c r="AG271" i="3"/>
  <c r="AF263" i="3"/>
  <c r="W263" i="3"/>
  <c r="V255" i="3"/>
  <c r="W255" i="3"/>
  <c r="X255" i="3"/>
  <c r="AF247" i="3"/>
  <c r="AG247" i="3"/>
  <c r="V247" i="3"/>
  <c r="Y247" i="3"/>
  <c r="W239" i="3"/>
  <c r="X239" i="3"/>
  <c r="Y239" i="3"/>
  <c r="AG239" i="3"/>
  <c r="V231" i="3"/>
  <c r="W231" i="3"/>
  <c r="X231" i="3"/>
  <c r="Y231" i="3"/>
  <c r="AF231" i="3"/>
  <c r="W223" i="3"/>
  <c r="X223" i="3"/>
  <c r="Y223" i="3"/>
  <c r="AF223" i="3"/>
  <c r="AG223" i="3"/>
  <c r="X215" i="3"/>
  <c r="Y215" i="3"/>
  <c r="AF215" i="3"/>
  <c r="AG215" i="3"/>
  <c r="W215" i="3"/>
  <c r="AF207" i="3"/>
  <c r="AG207" i="3"/>
  <c r="V207" i="3"/>
  <c r="W207" i="3"/>
  <c r="X207" i="3"/>
  <c r="AF199" i="3"/>
  <c r="AG199" i="3"/>
  <c r="V199" i="3"/>
  <c r="W199" i="3"/>
  <c r="X199" i="3"/>
  <c r="AF191" i="3"/>
  <c r="AG191" i="3"/>
  <c r="V191" i="3"/>
  <c r="W191" i="3"/>
  <c r="X191" i="3"/>
  <c r="Y191" i="3"/>
  <c r="AG183" i="3"/>
  <c r="V183" i="3"/>
  <c r="W183" i="3"/>
  <c r="X183" i="3"/>
  <c r="Y183" i="3"/>
  <c r="W175" i="3"/>
  <c r="X175" i="3"/>
  <c r="Y175" i="3"/>
  <c r="AF175" i="3"/>
  <c r="V175" i="3"/>
  <c r="X167" i="3"/>
  <c r="Y167" i="3"/>
  <c r="AF167" i="3"/>
  <c r="AG167" i="3"/>
  <c r="V167" i="3"/>
  <c r="W159" i="3"/>
  <c r="X159" i="3"/>
  <c r="Y159" i="3"/>
  <c r="V159" i="3"/>
  <c r="AF159" i="3"/>
  <c r="AG159" i="3"/>
  <c r="W151" i="3"/>
  <c r="X151" i="3"/>
  <c r="Y151" i="3"/>
  <c r="AF151" i="3"/>
  <c r="AG151" i="3"/>
  <c r="V151" i="3"/>
  <c r="AF143" i="3"/>
  <c r="AJ143" i="3" s="1"/>
  <c r="X143" i="3"/>
  <c r="Y143" i="3"/>
  <c r="V143" i="3"/>
  <c r="W143" i="3"/>
  <c r="AG143" i="3"/>
  <c r="AF135" i="3"/>
  <c r="AG135" i="3"/>
  <c r="Y135" i="3"/>
  <c r="V135" i="3"/>
  <c r="W135" i="3"/>
  <c r="X135" i="3"/>
  <c r="AG127" i="3"/>
  <c r="V127" i="3"/>
  <c r="W127" i="3"/>
  <c r="X127" i="3"/>
  <c r="Y127" i="3"/>
  <c r="AF127" i="3"/>
  <c r="V119" i="3"/>
  <c r="W119" i="3"/>
  <c r="AF119" i="3"/>
  <c r="X119" i="3"/>
  <c r="Y119" i="3"/>
  <c r="AG119" i="3"/>
  <c r="V111" i="3"/>
  <c r="W111" i="3"/>
  <c r="AF111" i="3"/>
  <c r="X111" i="3"/>
  <c r="Y111" i="3"/>
  <c r="AG111" i="3"/>
  <c r="V103" i="3"/>
  <c r="W103" i="3"/>
  <c r="X103" i="3"/>
  <c r="Y103" i="3"/>
  <c r="AF103" i="3"/>
  <c r="AG103" i="3"/>
  <c r="Y95" i="3"/>
  <c r="AF95" i="3"/>
  <c r="W95" i="3"/>
  <c r="X95" i="3"/>
  <c r="V95" i="3"/>
  <c r="AG95" i="3"/>
  <c r="AG87" i="3"/>
  <c r="V87" i="3"/>
  <c r="W87" i="3"/>
  <c r="X87" i="3"/>
  <c r="AF87" i="3"/>
  <c r="Y87" i="3"/>
  <c r="W79" i="3"/>
  <c r="X79" i="3"/>
  <c r="Y79" i="3"/>
  <c r="AG79" i="3"/>
  <c r="V79" i="3"/>
  <c r="AF79" i="3"/>
  <c r="AF71" i="3"/>
  <c r="AG71" i="3"/>
  <c r="V71" i="3"/>
  <c r="W71" i="3"/>
  <c r="Y71" i="3"/>
  <c r="X71" i="3"/>
  <c r="AG63" i="3"/>
  <c r="V63" i="3"/>
  <c r="W63" i="3"/>
  <c r="X63" i="3"/>
  <c r="Y63" i="3"/>
  <c r="AF63" i="3"/>
  <c r="AG55" i="3"/>
  <c r="V55" i="3"/>
  <c r="W55" i="3"/>
  <c r="X55" i="3"/>
  <c r="Y55" i="3"/>
  <c r="AF55" i="3"/>
  <c r="W47" i="3"/>
  <c r="X47" i="3"/>
  <c r="Y47" i="3"/>
  <c r="AF47" i="3"/>
  <c r="AG47" i="3"/>
  <c r="V47" i="3"/>
  <c r="AF39" i="3"/>
  <c r="X39" i="3"/>
  <c r="Y39" i="3"/>
  <c r="AG39" i="3"/>
  <c r="V39" i="3"/>
  <c r="W39" i="3"/>
  <c r="AF31" i="3"/>
  <c r="X31" i="3"/>
  <c r="Y31" i="3"/>
  <c r="AG31" i="3"/>
  <c r="V31" i="3"/>
  <c r="W31" i="3"/>
  <c r="AF23" i="3"/>
  <c r="AG23" i="3"/>
  <c r="Y23" i="3"/>
  <c r="X23" i="3"/>
  <c r="V23" i="3"/>
  <c r="W23" i="3"/>
  <c r="AF15" i="3"/>
  <c r="AG15" i="3"/>
  <c r="V15" i="3"/>
  <c r="W15" i="3"/>
  <c r="Y15" i="3"/>
  <c r="X15" i="3"/>
  <c r="X7" i="3"/>
  <c r="Y7" i="3"/>
  <c r="AF7" i="3"/>
  <c r="V7" i="3"/>
  <c r="W7" i="3"/>
  <c r="AG7" i="3"/>
  <c r="X396" i="3"/>
  <c r="Y396" i="3"/>
  <c r="AF396" i="3"/>
  <c r="V396" i="3"/>
  <c r="W396" i="3"/>
  <c r="AG396" i="3"/>
  <c r="AF388" i="3"/>
  <c r="AG388" i="3"/>
  <c r="V388" i="3"/>
  <c r="W388" i="3"/>
  <c r="X388" i="3"/>
  <c r="Y388" i="3"/>
  <c r="AG380" i="3"/>
  <c r="V380" i="3"/>
  <c r="W380" i="3"/>
  <c r="X380" i="3"/>
  <c r="Y380" i="3"/>
  <c r="AF380" i="3"/>
  <c r="X372" i="3"/>
  <c r="Y372" i="3"/>
  <c r="AF372" i="3"/>
  <c r="AG372" i="3"/>
  <c r="V372" i="3"/>
  <c r="W372" i="3"/>
  <c r="AF364" i="3"/>
  <c r="AG364" i="3"/>
  <c r="V364" i="3"/>
  <c r="W364" i="3"/>
  <c r="X364" i="3"/>
  <c r="Y364" i="3"/>
  <c r="AG356" i="3"/>
  <c r="V356" i="3"/>
  <c r="W356" i="3"/>
  <c r="AF356" i="3"/>
  <c r="X356" i="3"/>
  <c r="Y356" i="3"/>
  <c r="X348" i="3"/>
  <c r="Y348" i="3"/>
  <c r="V348" i="3"/>
  <c r="W348" i="3"/>
  <c r="AF348" i="3"/>
  <c r="AG348" i="3"/>
  <c r="AF340" i="3"/>
  <c r="Y340" i="3"/>
  <c r="AG340" i="3"/>
  <c r="W340" i="3"/>
  <c r="X340" i="3"/>
  <c r="V340" i="3"/>
  <c r="AF332" i="3"/>
  <c r="AG332" i="3"/>
  <c r="V332" i="3"/>
  <c r="X332" i="3"/>
  <c r="W332" i="3"/>
  <c r="Y332" i="3"/>
  <c r="X324" i="3"/>
  <c r="Y324" i="3"/>
  <c r="AF324" i="3"/>
  <c r="AG324" i="3"/>
  <c r="V324" i="3"/>
  <c r="W324" i="3"/>
  <c r="AG316" i="3"/>
  <c r="V316" i="3"/>
  <c r="W316" i="3"/>
  <c r="Y316" i="3"/>
  <c r="AF316" i="3"/>
  <c r="X316" i="3"/>
  <c r="AF308" i="3"/>
  <c r="AG308" i="3"/>
  <c r="V308" i="3"/>
  <c r="W308" i="3"/>
  <c r="X308" i="3"/>
  <c r="Y308" i="3"/>
  <c r="AF303" i="3"/>
  <c r="V302" i="3"/>
  <c r="X301" i="3"/>
  <c r="AF299" i="3"/>
  <c r="AG297" i="3"/>
  <c r="Y296" i="3"/>
  <c r="W293" i="3"/>
  <c r="AG292" i="3"/>
  <c r="V290" i="3"/>
  <c r="Y289" i="3"/>
  <c r="V286" i="3"/>
  <c r="Y285" i="3"/>
  <c r="V282" i="3"/>
  <c r="Y281" i="3"/>
  <c r="AF280" i="3"/>
  <c r="Y277" i="3"/>
  <c r="AF276" i="3"/>
  <c r="X267" i="3"/>
  <c r="X263" i="3"/>
  <c r="AF262" i="3"/>
  <c r="X259" i="3"/>
  <c r="AF251" i="3"/>
  <c r="V241" i="3"/>
  <c r="V239" i="3"/>
  <c r="V238" i="3"/>
  <c r="AG220" i="3"/>
  <c r="X211" i="3"/>
  <c r="AF194" i="3"/>
  <c r="AF274" i="3"/>
  <c r="W274" i="3"/>
  <c r="Y226" i="3"/>
  <c r="AF226" i="3"/>
  <c r="AG226" i="3"/>
  <c r="V226" i="3"/>
  <c r="W226" i="3"/>
  <c r="X226" i="3"/>
  <c r="W186" i="3"/>
  <c r="X186" i="3"/>
  <c r="Y186" i="3"/>
  <c r="AF186" i="3"/>
  <c r="AG186" i="3"/>
  <c r="AG146" i="3"/>
  <c r="V146" i="3"/>
  <c r="W146" i="3"/>
  <c r="X146" i="3"/>
  <c r="Y146" i="3"/>
  <c r="AF146" i="3"/>
  <c r="AF98" i="3"/>
  <c r="AG98" i="3"/>
  <c r="X98" i="3"/>
  <c r="Y98" i="3"/>
  <c r="V98" i="3"/>
  <c r="W98" i="3"/>
  <c r="AG42" i="3"/>
  <c r="V42" i="3"/>
  <c r="AF42" i="3"/>
  <c r="X42" i="3"/>
  <c r="W42" i="3"/>
  <c r="Y42" i="3"/>
  <c r="AF399" i="3"/>
  <c r="AG399" i="3"/>
  <c r="V399" i="3"/>
  <c r="X399" i="3"/>
  <c r="W399" i="3"/>
  <c r="Y399" i="3"/>
  <c r="AF343" i="3"/>
  <c r="AG343" i="3"/>
  <c r="V343" i="3"/>
  <c r="W343" i="3"/>
  <c r="X343" i="3"/>
  <c r="Y343" i="3"/>
  <c r="AG38" i="3"/>
  <c r="V38" i="3"/>
  <c r="AF38" i="3"/>
  <c r="X38" i="3"/>
  <c r="W38" i="3"/>
  <c r="Y38" i="3"/>
  <c r="AG30" i="3"/>
  <c r="V30" i="3"/>
  <c r="AF30" i="3"/>
  <c r="X30" i="3"/>
  <c r="Y30" i="3"/>
  <c r="W30" i="3"/>
  <c r="V22" i="3"/>
  <c r="W22" i="3"/>
  <c r="AF22" i="3"/>
  <c r="AG22" i="3"/>
  <c r="Y22" i="3"/>
  <c r="X22" i="3"/>
  <c r="W14" i="3"/>
  <c r="X14" i="3"/>
  <c r="Y14" i="3"/>
  <c r="AG14" i="3"/>
  <c r="V14" i="3"/>
  <c r="AF14" i="3"/>
  <c r="AF6" i="3"/>
  <c r="AG6" i="3"/>
  <c r="V6" i="3"/>
  <c r="W6" i="3"/>
  <c r="Y6" i="3"/>
  <c r="X6" i="3"/>
  <c r="Y403" i="3"/>
  <c r="AF403" i="3"/>
  <c r="AG403" i="3"/>
  <c r="W403" i="3"/>
  <c r="V403" i="3"/>
  <c r="X403" i="3"/>
  <c r="V395" i="3"/>
  <c r="Y395" i="3"/>
  <c r="AF395" i="3"/>
  <c r="AG395" i="3"/>
  <c r="X395" i="3"/>
  <c r="W395" i="3"/>
  <c r="AF387" i="3"/>
  <c r="V387" i="3"/>
  <c r="W387" i="3"/>
  <c r="X387" i="3"/>
  <c r="Y387" i="3"/>
  <c r="AG387" i="3"/>
  <c r="W379" i="3"/>
  <c r="X379" i="3"/>
  <c r="Y379" i="3"/>
  <c r="AF379" i="3"/>
  <c r="AG379" i="3"/>
  <c r="V379" i="3"/>
  <c r="AF371" i="3"/>
  <c r="AG371" i="3"/>
  <c r="V371" i="3"/>
  <c r="W371" i="3"/>
  <c r="X371" i="3"/>
  <c r="Y371" i="3"/>
  <c r="V363" i="3"/>
  <c r="W363" i="3"/>
  <c r="X363" i="3"/>
  <c r="Y363" i="3"/>
  <c r="AG363" i="3"/>
  <c r="AF363" i="3"/>
  <c r="W355" i="3"/>
  <c r="X355" i="3"/>
  <c r="Y355" i="3"/>
  <c r="V355" i="3"/>
  <c r="AF355" i="3"/>
  <c r="AG355" i="3"/>
  <c r="AF347" i="3"/>
  <c r="AG347" i="3"/>
  <c r="X347" i="3"/>
  <c r="Y347" i="3"/>
  <c r="V347" i="3"/>
  <c r="W347" i="3"/>
  <c r="AF339" i="3"/>
  <c r="V339" i="3"/>
  <c r="W339" i="3"/>
  <c r="X339" i="3"/>
  <c r="Y339" i="3"/>
  <c r="AG339" i="3"/>
  <c r="V331" i="3"/>
  <c r="W331" i="3"/>
  <c r="X331" i="3"/>
  <c r="AF331" i="3"/>
  <c r="AG331" i="3"/>
  <c r="Y331" i="3"/>
  <c r="AF323" i="3"/>
  <c r="V323" i="3"/>
  <c r="AG323" i="3"/>
  <c r="X323" i="3"/>
  <c r="Y323" i="3"/>
  <c r="W323" i="3"/>
  <c r="W315" i="3"/>
  <c r="X315" i="3"/>
  <c r="Y315" i="3"/>
  <c r="V315" i="3"/>
  <c r="AF315" i="3"/>
  <c r="AG315" i="3"/>
  <c r="AF307" i="3"/>
  <c r="V307" i="3"/>
  <c r="W307" i="3"/>
  <c r="X307" i="3"/>
  <c r="Y307" i="3"/>
  <c r="AG307" i="3"/>
  <c r="AG302" i="3"/>
  <c r="W301" i="3"/>
  <c r="Y300" i="3"/>
  <c r="AG298" i="3"/>
  <c r="X296" i="3"/>
  <c r="Y292" i="3"/>
  <c r="X289" i="3"/>
  <c r="X281" i="3"/>
  <c r="V274" i="3"/>
  <c r="X273" i="3"/>
  <c r="AG272" i="3"/>
  <c r="AF269" i="3"/>
  <c r="V267" i="3"/>
  <c r="AG265" i="3"/>
  <c r="V263" i="3"/>
  <c r="AF258" i="3"/>
  <c r="Y255" i="3"/>
  <c r="X251" i="3"/>
  <c r="AF250" i="3"/>
  <c r="AG231" i="3"/>
  <c r="Y199" i="3"/>
  <c r="AG175" i="3"/>
  <c r="AF266" i="3"/>
  <c r="AG266" i="3"/>
  <c r="V266" i="3"/>
  <c r="Y266" i="3"/>
  <c r="AF210" i="3"/>
  <c r="AG210" i="3"/>
  <c r="V210" i="3"/>
  <c r="W210" i="3"/>
  <c r="X210" i="3"/>
  <c r="Y210" i="3"/>
  <c r="AF162" i="3"/>
  <c r="AG162" i="3"/>
  <c r="V162" i="3"/>
  <c r="W162" i="3"/>
  <c r="X162" i="3"/>
  <c r="Y162" i="3"/>
  <c r="X106" i="3"/>
  <c r="Y106" i="3"/>
  <c r="V106" i="3"/>
  <c r="W106" i="3"/>
  <c r="AF106" i="3"/>
  <c r="AG106" i="3"/>
  <c r="AG66" i="3"/>
  <c r="V66" i="3"/>
  <c r="W66" i="3"/>
  <c r="X66" i="3"/>
  <c r="Y66" i="3"/>
  <c r="AF66" i="3"/>
  <c r="V26" i="3"/>
  <c r="W26" i="3"/>
  <c r="AF26" i="3"/>
  <c r="AG26" i="3"/>
  <c r="Y26" i="3"/>
  <c r="X26" i="3"/>
  <c r="V367" i="3"/>
  <c r="W367" i="3"/>
  <c r="X367" i="3"/>
  <c r="Y367" i="3"/>
  <c r="AG367" i="3"/>
  <c r="AF367" i="3"/>
  <c r="V294" i="3"/>
  <c r="W294" i="3"/>
  <c r="X294" i="3"/>
  <c r="AF270" i="3"/>
  <c r="AG270" i="3"/>
  <c r="X270" i="3"/>
  <c r="V246" i="3"/>
  <c r="W246" i="3"/>
  <c r="X246" i="3"/>
  <c r="Y246" i="3"/>
  <c r="AF246" i="3"/>
  <c r="Y222" i="3"/>
  <c r="AF222" i="3"/>
  <c r="AG222" i="3"/>
  <c r="V222" i="3"/>
  <c r="W222" i="3"/>
  <c r="X222" i="3"/>
  <c r="V198" i="3"/>
  <c r="W198" i="3"/>
  <c r="X198" i="3"/>
  <c r="Y198" i="3"/>
  <c r="AG198" i="3"/>
  <c r="Y174" i="3"/>
  <c r="AF174" i="3"/>
  <c r="AG174" i="3"/>
  <c r="V174" i="3"/>
  <c r="W174" i="3"/>
  <c r="AG142" i="3"/>
  <c r="V142" i="3"/>
  <c r="W142" i="3"/>
  <c r="X142" i="3"/>
  <c r="Y142" i="3"/>
  <c r="AF142" i="3"/>
  <c r="W110" i="3"/>
  <c r="X110" i="3"/>
  <c r="Y110" i="3"/>
  <c r="AG110" i="3"/>
  <c r="V110" i="3"/>
  <c r="AF110" i="3"/>
  <c r="W54" i="3"/>
  <c r="V54" i="3"/>
  <c r="X54" i="3"/>
  <c r="Y54" i="3"/>
  <c r="AG54" i="3"/>
  <c r="AF54" i="3"/>
  <c r="X293" i="3"/>
  <c r="Y293" i="3"/>
  <c r="AG293" i="3"/>
  <c r="AF285" i="3"/>
  <c r="W285" i="3"/>
  <c r="AF277" i="3"/>
  <c r="AG277" i="3"/>
  <c r="X277" i="3"/>
  <c r="AG269" i="3"/>
  <c r="V269" i="3"/>
  <c r="W269" i="3"/>
  <c r="X261" i="3"/>
  <c r="Y261" i="3"/>
  <c r="AG261" i="3"/>
  <c r="AG253" i="3"/>
  <c r="V253" i="3"/>
  <c r="W253" i="3"/>
  <c r="X245" i="3"/>
  <c r="Y245" i="3"/>
  <c r="V245" i="3"/>
  <c r="AF237" i="3"/>
  <c r="AG237" i="3"/>
  <c r="V237" i="3"/>
  <c r="Y237" i="3"/>
  <c r="AF229" i="3"/>
  <c r="AG229" i="3"/>
  <c r="V229" i="3"/>
  <c r="W229" i="3"/>
  <c r="X229" i="3"/>
  <c r="Y229" i="3"/>
  <c r="AF221" i="3"/>
  <c r="AG221" i="3"/>
  <c r="V221" i="3"/>
  <c r="W221" i="3"/>
  <c r="X221" i="3"/>
  <c r="Y221" i="3"/>
  <c r="AF213" i="3"/>
  <c r="AG213" i="3"/>
  <c r="V213" i="3"/>
  <c r="W213" i="3"/>
  <c r="X213" i="3"/>
  <c r="Y213" i="3"/>
  <c r="V205" i="3"/>
  <c r="W205" i="3"/>
  <c r="X205" i="3"/>
  <c r="Y205" i="3"/>
  <c r="AF205" i="3"/>
  <c r="AG205" i="3"/>
  <c r="X197" i="3"/>
  <c r="Y197" i="3"/>
  <c r="AF197" i="3"/>
  <c r="AG197" i="3"/>
  <c r="V197" i="3"/>
  <c r="W197" i="3"/>
  <c r="Y189" i="3"/>
  <c r="AF189" i="3"/>
  <c r="AG189" i="3"/>
  <c r="V189" i="3"/>
  <c r="W189" i="3"/>
  <c r="X189" i="3"/>
  <c r="AF181" i="3"/>
  <c r="AG181" i="3"/>
  <c r="V181" i="3"/>
  <c r="W181" i="3"/>
  <c r="X181" i="3"/>
  <c r="Y181" i="3"/>
  <c r="AF173" i="3"/>
  <c r="AG173" i="3"/>
  <c r="V173" i="3"/>
  <c r="W173" i="3"/>
  <c r="X173" i="3"/>
  <c r="Y173" i="3"/>
  <c r="AG165" i="3"/>
  <c r="V165" i="3"/>
  <c r="W165" i="3"/>
  <c r="X165" i="3"/>
  <c r="Y165" i="3"/>
  <c r="AF165" i="3"/>
  <c r="Y157" i="3"/>
  <c r="AF157" i="3"/>
  <c r="AG157" i="3"/>
  <c r="V157" i="3"/>
  <c r="W157" i="3"/>
  <c r="X157" i="3"/>
  <c r="W149" i="3"/>
  <c r="X149" i="3"/>
  <c r="AF149" i="3"/>
  <c r="AG149" i="3"/>
  <c r="Y149" i="3"/>
  <c r="W141" i="3"/>
  <c r="X141" i="3"/>
  <c r="AF141" i="3"/>
  <c r="AG141" i="3"/>
  <c r="Y141" i="3"/>
  <c r="V141" i="3"/>
  <c r="X133" i="3"/>
  <c r="Y133" i="3"/>
  <c r="AG133" i="3"/>
  <c r="V133" i="3"/>
  <c r="AF133" i="3"/>
  <c r="W133" i="3"/>
  <c r="W125" i="3"/>
  <c r="X125" i="3"/>
  <c r="AG125" i="3"/>
  <c r="V125" i="3"/>
  <c r="Y125" i="3"/>
  <c r="AF125" i="3"/>
  <c r="W117" i="3"/>
  <c r="X117" i="3"/>
  <c r="AG117" i="3"/>
  <c r="V117" i="3"/>
  <c r="Y117" i="3"/>
  <c r="AF117" i="3"/>
  <c r="Y109" i="3"/>
  <c r="W109" i="3"/>
  <c r="X109" i="3"/>
  <c r="V109" i="3"/>
  <c r="AF109" i="3"/>
  <c r="AG109" i="3"/>
  <c r="AF101" i="3"/>
  <c r="AG101" i="3"/>
  <c r="V101" i="3"/>
  <c r="Y101" i="3"/>
  <c r="W101" i="3"/>
  <c r="X101" i="3"/>
  <c r="AG93" i="3"/>
  <c r="V93" i="3"/>
  <c r="W93" i="3"/>
  <c r="X93" i="3"/>
  <c r="AF93" i="3"/>
  <c r="Y93" i="3"/>
  <c r="Y85" i="3"/>
  <c r="AF85" i="3"/>
  <c r="W85" i="3"/>
  <c r="X85" i="3"/>
  <c r="V85" i="3"/>
  <c r="AG85" i="3"/>
  <c r="V77" i="3"/>
  <c r="X77" i="3"/>
  <c r="Y77" i="3"/>
  <c r="AF77" i="3"/>
  <c r="W77" i="3"/>
  <c r="AG77" i="3"/>
  <c r="W69" i="3"/>
  <c r="X69" i="3"/>
  <c r="Y69" i="3"/>
  <c r="AG69" i="3"/>
  <c r="V69" i="3"/>
  <c r="AF69" i="3"/>
  <c r="Y61" i="3"/>
  <c r="AF61" i="3"/>
  <c r="AG61" i="3"/>
  <c r="W61" i="3"/>
  <c r="V61" i="3"/>
  <c r="X61" i="3"/>
  <c r="AG53" i="3"/>
  <c r="V53" i="3"/>
  <c r="W53" i="3"/>
  <c r="Y53" i="3"/>
  <c r="X53" i="3"/>
  <c r="AF53" i="3"/>
  <c r="V45" i="3"/>
  <c r="W45" i="3"/>
  <c r="AF45" i="3"/>
  <c r="X45" i="3"/>
  <c r="AG45" i="3"/>
  <c r="Y45" i="3"/>
  <c r="W37" i="3"/>
  <c r="X37" i="3"/>
  <c r="AF37" i="3"/>
  <c r="AG37" i="3"/>
  <c r="V37" i="3"/>
  <c r="Y37" i="3"/>
  <c r="W29" i="3"/>
  <c r="X29" i="3"/>
  <c r="AF29" i="3"/>
  <c r="AG29" i="3"/>
  <c r="V29" i="3"/>
  <c r="Y29" i="3"/>
  <c r="V21" i="3"/>
  <c r="W21" i="3"/>
  <c r="X21" i="3"/>
  <c r="Y21" i="3"/>
  <c r="AF21" i="3"/>
  <c r="AG21" i="3"/>
  <c r="AF13" i="3"/>
  <c r="AG13" i="3"/>
  <c r="V13" i="3"/>
  <c r="X13" i="3"/>
  <c r="Y13" i="3"/>
  <c r="W13" i="3"/>
  <c r="AG5" i="3"/>
  <c r="V5" i="3"/>
  <c r="W5" i="3"/>
  <c r="X5" i="3"/>
  <c r="Y5" i="3"/>
  <c r="AF5" i="3"/>
  <c r="AF402" i="3"/>
  <c r="AG402" i="3"/>
  <c r="V402" i="3"/>
  <c r="W402" i="3"/>
  <c r="Y402" i="3"/>
  <c r="X402" i="3"/>
  <c r="X394" i="3"/>
  <c r="Y394" i="3"/>
  <c r="AF394" i="3"/>
  <c r="AG394" i="3"/>
  <c r="V394" i="3"/>
  <c r="W394" i="3"/>
  <c r="W386" i="3"/>
  <c r="Y386" i="3"/>
  <c r="AF386" i="3"/>
  <c r="V386" i="3"/>
  <c r="X386" i="3"/>
  <c r="AG386" i="3"/>
  <c r="Y378" i="3"/>
  <c r="AF378" i="3"/>
  <c r="AG378" i="3"/>
  <c r="V378" i="3"/>
  <c r="W378" i="3"/>
  <c r="X378" i="3"/>
  <c r="AG370" i="3"/>
  <c r="V370" i="3"/>
  <c r="W370" i="3"/>
  <c r="X370" i="3"/>
  <c r="Y370" i="3"/>
  <c r="AF370" i="3"/>
  <c r="X362" i="3"/>
  <c r="Y362" i="3"/>
  <c r="AF362" i="3"/>
  <c r="AG362" i="3"/>
  <c r="V362" i="3"/>
  <c r="W362" i="3"/>
  <c r="AF354" i="3"/>
  <c r="AG354" i="3"/>
  <c r="Y354" i="3"/>
  <c r="V354" i="3"/>
  <c r="W354" i="3"/>
  <c r="X354" i="3"/>
  <c r="V346" i="3"/>
  <c r="W346" i="3"/>
  <c r="X346" i="3"/>
  <c r="Y346" i="3"/>
  <c r="AF346" i="3"/>
  <c r="AG346" i="3"/>
  <c r="W338" i="3"/>
  <c r="Y338" i="3"/>
  <c r="V338" i="3"/>
  <c r="X338" i="3"/>
  <c r="AG338" i="3"/>
  <c r="AF338" i="3"/>
  <c r="AF330" i="3"/>
  <c r="V330" i="3"/>
  <c r="W330" i="3"/>
  <c r="Y330" i="3"/>
  <c r="AG330" i="3"/>
  <c r="X330" i="3"/>
  <c r="V322" i="3"/>
  <c r="W322" i="3"/>
  <c r="X322" i="3"/>
  <c r="Y322" i="3"/>
  <c r="AF322" i="3"/>
  <c r="AG322" i="3"/>
  <c r="AF314" i="3"/>
  <c r="AG314" i="3"/>
  <c r="W314" i="3"/>
  <c r="V314" i="3"/>
  <c r="X314" i="3"/>
  <c r="Y314" i="3"/>
  <c r="X306" i="3"/>
  <c r="AF306" i="3"/>
  <c r="V306" i="3"/>
  <c r="W306" i="3"/>
  <c r="Y306" i="3"/>
  <c r="AG306" i="3"/>
  <c r="AF302" i="3"/>
  <c r="V301" i="3"/>
  <c r="X300" i="3"/>
  <c r="AF298" i="3"/>
  <c r="V296" i="3"/>
  <c r="X292" i="3"/>
  <c r="V289" i="3"/>
  <c r="X288" i="3"/>
  <c r="AG287" i="3"/>
  <c r="V285" i="3"/>
  <c r="AG283" i="3"/>
  <c r="V281" i="3"/>
  <c r="Y280" i="3"/>
  <c r="V277" i="3"/>
  <c r="Y276" i="3"/>
  <c r="W273" i="3"/>
  <c r="AF272" i="3"/>
  <c r="AJ272" i="3" s="1"/>
  <c r="W270" i="3"/>
  <c r="W266" i="3"/>
  <c r="AF265" i="3"/>
  <c r="AF261" i="3"/>
  <c r="AG249" i="3"/>
  <c r="AG248" i="3"/>
  <c r="AF224" i="3"/>
  <c r="AG179" i="3"/>
  <c r="X242" i="3"/>
  <c r="Y242" i="3"/>
  <c r="V242" i="3"/>
  <c r="X122" i="3"/>
  <c r="Y122" i="3"/>
  <c r="AG122" i="3"/>
  <c r="V122" i="3"/>
  <c r="W122" i="3"/>
  <c r="AF122" i="3"/>
  <c r="Y351" i="3"/>
  <c r="AF351" i="3"/>
  <c r="W351" i="3"/>
  <c r="X351" i="3"/>
  <c r="V351" i="3"/>
  <c r="AG351" i="3"/>
  <c r="Y278" i="3"/>
  <c r="V278" i="3"/>
  <c r="V262" i="3"/>
  <c r="W262" i="3"/>
  <c r="X262" i="3"/>
  <c r="Y238" i="3"/>
  <c r="AF238" i="3"/>
  <c r="W238" i="3"/>
  <c r="AF214" i="3"/>
  <c r="AG214" i="3"/>
  <c r="V214" i="3"/>
  <c r="W214" i="3"/>
  <c r="X214" i="3"/>
  <c r="Y214" i="3"/>
  <c r="V190" i="3"/>
  <c r="W190" i="3"/>
  <c r="X190" i="3"/>
  <c r="Y190" i="3"/>
  <c r="AG190" i="3"/>
  <c r="W158" i="3"/>
  <c r="X158" i="3"/>
  <c r="Y158" i="3"/>
  <c r="AF158" i="3"/>
  <c r="AG158" i="3"/>
  <c r="V158" i="3"/>
  <c r="V134" i="3"/>
  <c r="W134" i="3"/>
  <c r="AF134" i="3"/>
  <c r="X134" i="3"/>
  <c r="Y134" i="3"/>
  <c r="AG134" i="3"/>
  <c r="X118" i="3"/>
  <c r="Y118" i="3"/>
  <c r="AG118" i="3"/>
  <c r="V118" i="3"/>
  <c r="W118" i="3"/>
  <c r="AF118" i="3"/>
  <c r="W62" i="3"/>
  <c r="X62" i="3"/>
  <c r="Y62" i="3"/>
  <c r="AG62" i="3"/>
  <c r="V62" i="3"/>
  <c r="AF62" i="3"/>
  <c r="AF284" i="3"/>
  <c r="AG284" i="3"/>
  <c r="V284" i="3"/>
  <c r="Y284" i="3"/>
  <c r="W252" i="3"/>
  <c r="X252" i="3"/>
  <c r="Y252" i="3"/>
  <c r="AF252" i="3"/>
  <c r="AG228" i="3"/>
  <c r="V228" i="3"/>
  <c r="W228" i="3"/>
  <c r="X228" i="3"/>
  <c r="Y228" i="3"/>
  <c r="W212" i="3"/>
  <c r="X212" i="3"/>
  <c r="Y212" i="3"/>
  <c r="AF212" i="3"/>
  <c r="V212" i="3"/>
  <c r="AF196" i="3"/>
  <c r="AG196" i="3"/>
  <c r="V196" i="3"/>
  <c r="W196" i="3"/>
  <c r="X196" i="3"/>
  <c r="AF180" i="3"/>
  <c r="AG180" i="3"/>
  <c r="V180" i="3"/>
  <c r="W180" i="3"/>
  <c r="X180" i="3"/>
  <c r="Y180" i="3"/>
  <c r="AG172" i="3"/>
  <c r="V172" i="3"/>
  <c r="W172" i="3"/>
  <c r="X172" i="3"/>
  <c r="Y172" i="3"/>
  <c r="AF172" i="3"/>
  <c r="W164" i="3"/>
  <c r="X164" i="3"/>
  <c r="Y164" i="3"/>
  <c r="AF164" i="3"/>
  <c r="V164" i="3"/>
  <c r="AG164" i="3"/>
  <c r="Y148" i="3"/>
  <c r="V148" i="3"/>
  <c r="W148" i="3"/>
  <c r="AF148" i="3"/>
  <c r="AG148" i="3"/>
  <c r="X148" i="3"/>
  <c r="Y140" i="3"/>
  <c r="V140" i="3"/>
  <c r="W140" i="3"/>
  <c r="AF140" i="3"/>
  <c r="AG140" i="3"/>
  <c r="X140" i="3"/>
  <c r="W132" i="3"/>
  <c r="X132" i="3"/>
  <c r="V132" i="3"/>
  <c r="Y132" i="3"/>
  <c r="AF132" i="3"/>
  <c r="AG132" i="3"/>
  <c r="AF124" i="3"/>
  <c r="AG124" i="3"/>
  <c r="Y124" i="3"/>
  <c r="V124" i="3"/>
  <c r="W124" i="3"/>
  <c r="X124" i="3"/>
  <c r="AF116" i="3"/>
  <c r="AG116" i="3"/>
  <c r="Y116" i="3"/>
  <c r="V116" i="3"/>
  <c r="W116" i="3"/>
  <c r="X116" i="3"/>
  <c r="AF108" i="3"/>
  <c r="AG108" i="3"/>
  <c r="V108" i="3"/>
  <c r="Y108" i="3"/>
  <c r="W108" i="3"/>
  <c r="X108" i="3"/>
  <c r="AG100" i="3"/>
  <c r="V100" i="3"/>
  <c r="W100" i="3"/>
  <c r="X100" i="3"/>
  <c r="AF100" i="3"/>
  <c r="Y100" i="3"/>
  <c r="W92" i="3"/>
  <c r="X92" i="3"/>
  <c r="Y92" i="3"/>
  <c r="AG92" i="3"/>
  <c r="V92" i="3"/>
  <c r="AF92" i="3"/>
  <c r="AF84" i="3"/>
  <c r="AG84" i="3"/>
  <c r="V84" i="3"/>
  <c r="Y84" i="3"/>
  <c r="W84" i="3"/>
  <c r="X84" i="3"/>
  <c r="X76" i="3"/>
  <c r="AF76" i="3"/>
  <c r="V76" i="3"/>
  <c r="W76" i="3"/>
  <c r="Y76" i="3"/>
  <c r="AG76" i="3"/>
  <c r="Y68" i="3"/>
  <c r="AF68" i="3"/>
  <c r="AG68" i="3"/>
  <c r="W68" i="3"/>
  <c r="V68" i="3"/>
  <c r="X68" i="3"/>
  <c r="AF60" i="3"/>
  <c r="AG60" i="3"/>
  <c r="V60" i="3"/>
  <c r="W60" i="3"/>
  <c r="Y60" i="3"/>
  <c r="X60" i="3"/>
  <c r="W52" i="3"/>
  <c r="X52" i="3"/>
  <c r="AF52" i="3"/>
  <c r="AG52" i="3"/>
  <c r="V52" i="3"/>
  <c r="Y52" i="3"/>
  <c r="X44" i="3"/>
  <c r="Y44" i="3"/>
  <c r="AG44" i="3"/>
  <c r="V44" i="3"/>
  <c r="W44" i="3"/>
  <c r="AF44" i="3"/>
  <c r="Y36" i="3"/>
  <c r="V36" i="3"/>
  <c r="W36" i="3"/>
  <c r="X36" i="3"/>
  <c r="AF36" i="3"/>
  <c r="AG36" i="3"/>
  <c r="Y28" i="3"/>
  <c r="V28" i="3"/>
  <c r="W28" i="3"/>
  <c r="X28" i="3"/>
  <c r="AF28" i="3"/>
  <c r="AG28" i="3"/>
  <c r="X20" i="3"/>
  <c r="Y20" i="3"/>
  <c r="AF20" i="3"/>
  <c r="V20" i="3"/>
  <c r="W20" i="3"/>
  <c r="AG20" i="3"/>
  <c r="AF12" i="3"/>
  <c r="AG12" i="3"/>
  <c r="V12" i="3"/>
  <c r="W12" i="3"/>
  <c r="X12" i="3"/>
  <c r="Y12" i="3"/>
  <c r="W4" i="3"/>
  <c r="X4" i="3"/>
  <c r="Y4" i="3"/>
  <c r="AG4" i="3"/>
  <c r="V4" i="3"/>
  <c r="AF4" i="3"/>
  <c r="V401" i="3"/>
  <c r="W401" i="3"/>
  <c r="X401" i="3"/>
  <c r="Y401" i="3"/>
  <c r="AF401" i="3"/>
  <c r="AG401" i="3"/>
  <c r="AG393" i="3"/>
  <c r="V393" i="3"/>
  <c r="W393" i="3"/>
  <c r="X393" i="3"/>
  <c r="Y393" i="3"/>
  <c r="AF393" i="3"/>
  <c r="Y385" i="3"/>
  <c r="AF385" i="3"/>
  <c r="AG385" i="3"/>
  <c r="V385" i="3"/>
  <c r="W385" i="3"/>
  <c r="X385" i="3"/>
  <c r="AF377" i="3"/>
  <c r="AG377" i="3"/>
  <c r="V377" i="3"/>
  <c r="W377" i="3"/>
  <c r="X377" i="3"/>
  <c r="Y377" i="3"/>
  <c r="X369" i="3"/>
  <c r="Y369" i="3"/>
  <c r="AF369" i="3"/>
  <c r="AG369" i="3"/>
  <c r="V369" i="3"/>
  <c r="W369" i="3"/>
  <c r="X361" i="3"/>
  <c r="Y361" i="3"/>
  <c r="AF361" i="3"/>
  <c r="AG361" i="3"/>
  <c r="V361" i="3"/>
  <c r="W361" i="3"/>
  <c r="AG353" i="3"/>
  <c r="V353" i="3"/>
  <c r="W353" i="3"/>
  <c r="AF353" i="3"/>
  <c r="Y353" i="3"/>
  <c r="X353" i="3"/>
  <c r="X345" i="3"/>
  <c r="Y345" i="3"/>
  <c r="V345" i="3"/>
  <c r="W345" i="3"/>
  <c r="AF345" i="3"/>
  <c r="AG345" i="3"/>
  <c r="Y337" i="3"/>
  <c r="AF337" i="3"/>
  <c r="AG337" i="3"/>
  <c r="W337" i="3"/>
  <c r="X337" i="3"/>
  <c r="V337" i="3"/>
  <c r="AF329" i="3"/>
  <c r="AG329" i="3"/>
  <c r="V329" i="3"/>
  <c r="X329" i="3"/>
  <c r="W329" i="3"/>
  <c r="Y329" i="3"/>
  <c r="X321" i="3"/>
  <c r="Y321" i="3"/>
  <c r="AF321" i="3"/>
  <c r="V321" i="3"/>
  <c r="W321" i="3"/>
  <c r="AG321" i="3"/>
  <c r="AG313" i="3"/>
  <c r="V313" i="3"/>
  <c r="W313" i="3"/>
  <c r="Y313" i="3"/>
  <c r="X313" i="3"/>
  <c r="AF313" i="3"/>
  <c r="AF305" i="3"/>
  <c r="AG305" i="3"/>
  <c r="V305" i="3"/>
  <c r="X305" i="3"/>
  <c r="Y305" i="3"/>
  <c r="W305" i="3"/>
  <c r="Y303" i="3"/>
  <c r="AG301" i="3"/>
  <c r="W300" i="3"/>
  <c r="Y299" i="3"/>
  <c r="Y297" i="3"/>
  <c r="X295" i="3"/>
  <c r="AG294" i="3"/>
  <c r="W288" i="3"/>
  <c r="AF287" i="3"/>
  <c r="W284" i="3"/>
  <c r="X280" i="3"/>
  <c r="AG279" i="3"/>
  <c r="V270" i="3"/>
  <c r="Y269" i="3"/>
  <c r="W258" i="3"/>
  <c r="AG257" i="3"/>
  <c r="AF253" i="3"/>
  <c r="Y250" i="3"/>
  <c r="AF248" i="3"/>
  <c r="AG246" i="3"/>
  <c r="AG245" i="3"/>
  <c r="V215" i="3"/>
  <c r="AG208" i="3"/>
  <c r="V186" i="3"/>
  <c r="X290" i="3"/>
  <c r="Y290" i="3"/>
  <c r="AG290" i="3"/>
  <c r="W234" i="3"/>
  <c r="Y234" i="3"/>
  <c r="X234" i="3"/>
  <c r="AF234" i="3"/>
  <c r="AG234" i="3"/>
  <c r="Y170" i="3"/>
  <c r="AF170" i="3"/>
  <c r="AG170" i="3"/>
  <c r="V170" i="3"/>
  <c r="W170" i="3"/>
  <c r="X114" i="3"/>
  <c r="Y114" i="3"/>
  <c r="AG114" i="3"/>
  <c r="V114" i="3"/>
  <c r="W114" i="3"/>
  <c r="AF114" i="3"/>
  <c r="W58" i="3"/>
  <c r="X58" i="3"/>
  <c r="Y58" i="3"/>
  <c r="AG58" i="3"/>
  <c r="V58" i="3"/>
  <c r="AF58" i="3"/>
  <c r="Y10" i="3"/>
  <c r="AF10" i="3"/>
  <c r="AG10" i="3"/>
  <c r="W10" i="3"/>
  <c r="X10" i="3"/>
  <c r="V10" i="3"/>
  <c r="Y375" i="3"/>
  <c r="AF375" i="3"/>
  <c r="AG375" i="3"/>
  <c r="V375" i="3"/>
  <c r="W375" i="3"/>
  <c r="X375" i="3"/>
  <c r="AG319" i="3"/>
  <c r="V319" i="3"/>
  <c r="W319" i="3"/>
  <c r="Y319" i="3"/>
  <c r="AF319" i="3"/>
  <c r="X319" i="3"/>
  <c r="X298" i="3"/>
  <c r="AF282" i="3"/>
  <c r="AG242" i="3"/>
  <c r="X286" i="3"/>
  <c r="Y286" i="3"/>
  <c r="AG286" i="3"/>
  <c r="AF254" i="3"/>
  <c r="AG254" i="3"/>
  <c r="X254" i="3"/>
  <c r="X230" i="3"/>
  <c r="Y230" i="3"/>
  <c r="AF230" i="3"/>
  <c r="AG230" i="3"/>
  <c r="W230" i="3"/>
  <c r="AF206" i="3"/>
  <c r="AG206" i="3"/>
  <c r="V206" i="3"/>
  <c r="W206" i="3"/>
  <c r="X206" i="3"/>
  <c r="Y206" i="3"/>
  <c r="W182" i="3"/>
  <c r="X182" i="3"/>
  <c r="Y182" i="3"/>
  <c r="AF182" i="3"/>
  <c r="AG182" i="3"/>
  <c r="AF166" i="3"/>
  <c r="AG166" i="3"/>
  <c r="V166" i="3"/>
  <c r="W166" i="3"/>
  <c r="X166" i="3"/>
  <c r="Y150" i="3"/>
  <c r="AF150" i="3"/>
  <c r="AG150" i="3"/>
  <c r="V150" i="3"/>
  <c r="W150" i="3"/>
  <c r="X150" i="3"/>
  <c r="W126" i="3"/>
  <c r="X126" i="3"/>
  <c r="AF126" i="3"/>
  <c r="AG126" i="3"/>
  <c r="Y126" i="3"/>
  <c r="V126" i="3"/>
  <c r="Y102" i="3"/>
  <c r="AF102" i="3"/>
  <c r="W102" i="3"/>
  <c r="X102" i="3"/>
  <c r="V102" i="3"/>
  <c r="AG102" i="3"/>
  <c r="AF94" i="3"/>
  <c r="AG94" i="3"/>
  <c r="V94" i="3"/>
  <c r="Y94" i="3"/>
  <c r="W94" i="3"/>
  <c r="X94" i="3"/>
  <c r="W86" i="3"/>
  <c r="X86" i="3"/>
  <c r="Y86" i="3"/>
  <c r="AG86" i="3"/>
  <c r="V86" i="3"/>
  <c r="AF86" i="3"/>
  <c r="Y78" i="3"/>
  <c r="AF78" i="3"/>
  <c r="W78" i="3"/>
  <c r="X78" i="3"/>
  <c r="V78" i="3"/>
  <c r="AG78" i="3"/>
  <c r="AG70" i="3"/>
  <c r="V70" i="3"/>
  <c r="W70" i="3"/>
  <c r="X70" i="3"/>
  <c r="Y70" i="3"/>
  <c r="AF70" i="3"/>
  <c r="AF46" i="3"/>
  <c r="AG46" i="3"/>
  <c r="Y46" i="3"/>
  <c r="W46" i="3"/>
  <c r="V46" i="3"/>
  <c r="X46" i="3"/>
  <c r="AF292" i="3"/>
  <c r="W292" i="3"/>
  <c r="AG276" i="3"/>
  <c r="V276" i="3"/>
  <c r="W276" i="3"/>
  <c r="W268" i="3"/>
  <c r="X268" i="3"/>
  <c r="Y268" i="3"/>
  <c r="AF268" i="3"/>
  <c r="AF260" i="3"/>
  <c r="W260" i="3"/>
  <c r="AF244" i="3"/>
  <c r="AG244" i="3"/>
  <c r="X244" i="3"/>
  <c r="V236" i="3"/>
  <c r="W236" i="3"/>
  <c r="X236" i="3"/>
  <c r="Y236" i="3"/>
  <c r="AF236" i="3"/>
  <c r="V220" i="3"/>
  <c r="W220" i="3"/>
  <c r="X220" i="3"/>
  <c r="Y220" i="3"/>
  <c r="X204" i="3"/>
  <c r="Y204" i="3"/>
  <c r="AF204" i="3"/>
  <c r="AG204" i="3"/>
  <c r="V204" i="3"/>
  <c r="AF188" i="3"/>
  <c r="AG188" i="3"/>
  <c r="V188" i="3"/>
  <c r="W188" i="3"/>
  <c r="X188" i="3"/>
  <c r="Y188" i="3"/>
  <c r="AF156" i="3"/>
  <c r="AG156" i="3"/>
  <c r="V156" i="3"/>
  <c r="W156" i="3"/>
  <c r="X156" i="3"/>
  <c r="Y156" i="3"/>
  <c r="AF291" i="3"/>
  <c r="AG291" i="3"/>
  <c r="V291" i="3"/>
  <c r="Y291" i="3"/>
  <c r="V283" i="3"/>
  <c r="W283" i="3"/>
  <c r="X283" i="3"/>
  <c r="X275" i="3"/>
  <c r="Y275" i="3"/>
  <c r="AG275" i="3"/>
  <c r="AF267" i="3"/>
  <c r="W267" i="3"/>
  <c r="AG259" i="3"/>
  <c r="V259" i="3"/>
  <c r="W259" i="3"/>
  <c r="Y251" i="3"/>
  <c r="V251" i="3"/>
  <c r="AG243" i="3"/>
  <c r="V243" i="3"/>
  <c r="W243" i="3"/>
  <c r="X243" i="3"/>
  <c r="X235" i="3"/>
  <c r="Y235" i="3"/>
  <c r="V235" i="3"/>
  <c r="W227" i="3"/>
  <c r="X227" i="3"/>
  <c r="Y227" i="3"/>
  <c r="AF227" i="3"/>
  <c r="AG227" i="3"/>
  <c r="X219" i="3"/>
  <c r="Y219" i="3"/>
  <c r="AF219" i="3"/>
  <c r="AG219" i="3"/>
  <c r="W219" i="3"/>
  <c r="Y211" i="3"/>
  <c r="AF211" i="3"/>
  <c r="AG211" i="3"/>
  <c r="V211" i="3"/>
  <c r="W211" i="3"/>
  <c r="AF203" i="3"/>
  <c r="AG203" i="3"/>
  <c r="V203" i="3"/>
  <c r="W203" i="3"/>
  <c r="X203" i="3"/>
  <c r="AF195" i="3"/>
  <c r="AG195" i="3"/>
  <c r="V195" i="3"/>
  <c r="W195" i="3"/>
  <c r="X195" i="3"/>
  <c r="Y195" i="3"/>
  <c r="AG187" i="3"/>
  <c r="V187" i="3"/>
  <c r="W187" i="3"/>
  <c r="X187" i="3"/>
  <c r="Y187" i="3"/>
  <c r="V179" i="3"/>
  <c r="W179" i="3"/>
  <c r="X179" i="3"/>
  <c r="Y179" i="3"/>
  <c r="W171" i="3"/>
  <c r="X171" i="3"/>
  <c r="Y171" i="3"/>
  <c r="AF171" i="3"/>
  <c r="V171" i="3"/>
  <c r="Y163" i="3"/>
  <c r="AF163" i="3"/>
  <c r="AG163" i="3"/>
  <c r="V163" i="3"/>
  <c r="W163" i="3"/>
  <c r="X163" i="3"/>
  <c r="AG155" i="3"/>
  <c r="V155" i="3"/>
  <c r="W155" i="3"/>
  <c r="X155" i="3"/>
  <c r="Y155" i="3"/>
  <c r="AF155" i="3"/>
  <c r="AF147" i="3"/>
  <c r="X147" i="3"/>
  <c r="Y147" i="3"/>
  <c r="V147" i="3"/>
  <c r="W147" i="3"/>
  <c r="AG147" i="3"/>
  <c r="AF139" i="3"/>
  <c r="X139" i="3"/>
  <c r="Y139" i="3"/>
  <c r="V139" i="3"/>
  <c r="W139" i="3"/>
  <c r="AG139" i="3"/>
  <c r="AF131" i="3"/>
  <c r="AG131" i="3"/>
  <c r="Y131" i="3"/>
  <c r="V131" i="3"/>
  <c r="W131" i="3"/>
  <c r="X131" i="3"/>
  <c r="V123" i="3"/>
  <c r="W123" i="3"/>
  <c r="AF123" i="3"/>
  <c r="X123" i="3"/>
  <c r="Y123" i="3"/>
  <c r="AG123" i="3"/>
  <c r="V115" i="3"/>
  <c r="W115" i="3"/>
  <c r="AF115" i="3"/>
  <c r="X115" i="3"/>
  <c r="Y115" i="3"/>
  <c r="AG115" i="3"/>
  <c r="V107" i="3"/>
  <c r="W107" i="3"/>
  <c r="X107" i="3"/>
  <c r="Y107" i="3"/>
  <c r="AF107" i="3"/>
  <c r="AG107" i="3"/>
  <c r="X99" i="3"/>
  <c r="Y99" i="3"/>
  <c r="V99" i="3"/>
  <c r="W99" i="3"/>
  <c r="AF99" i="3"/>
  <c r="AG99" i="3"/>
  <c r="AF91" i="3"/>
  <c r="AG91" i="3"/>
  <c r="V91" i="3"/>
  <c r="Y91" i="3"/>
  <c r="W91" i="3"/>
  <c r="X91" i="3"/>
  <c r="V83" i="3"/>
  <c r="W83" i="3"/>
  <c r="X83" i="3"/>
  <c r="Y83" i="3"/>
  <c r="AF83" i="3"/>
  <c r="AG83" i="3"/>
  <c r="AG75" i="3"/>
  <c r="V75" i="3"/>
  <c r="W75" i="3"/>
  <c r="Y75" i="3"/>
  <c r="X75" i="3"/>
  <c r="AF75" i="3"/>
  <c r="AF67" i="3"/>
  <c r="AG67" i="3"/>
  <c r="V67" i="3"/>
  <c r="W67" i="3"/>
  <c r="Y67" i="3"/>
  <c r="X67" i="3"/>
  <c r="AG59" i="3"/>
  <c r="V59" i="3"/>
  <c r="W59" i="3"/>
  <c r="X59" i="3"/>
  <c r="Y59" i="3"/>
  <c r="AF59" i="3"/>
  <c r="Y51" i="3"/>
  <c r="V51" i="3"/>
  <c r="W51" i="3"/>
  <c r="X51" i="3"/>
  <c r="AF51" i="3"/>
  <c r="AG51" i="3"/>
  <c r="W43" i="3"/>
  <c r="X43" i="3"/>
  <c r="Y43" i="3"/>
  <c r="AF43" i="3"/>
  <c r="AG43" i="3"/>
  <c r="V43" i="3"/>
  <c r="AF35" i="3"/>
  <c r="X35" i="3"/>
  <c r="Y35" i="3"/>
  <c r="AG35" i="3"/>
  <c r="V35" i="3"/>
  <c r="W35" i="3"/>
  <c r="AF27" i="3"/>
  <c r="X27" i="3"/>
  <c r="Y27" i="3"/>
  <c r="AG27" i="3"/>
  <c r="V27" i="3"/>
  <c r="W27" i="3"/>
  <c r="AF19" i="3"/>
  <c r="AG19" i="3"/>
  <c r="V19" i="3"/>
  <c r="X19" i="3"/>
  <c r="W19" i="3"/>
  <c r="Y19" i="3"/>
  <c r="V11" i="3"/>
  <c r="W11" i="3"/>
  <c r="X11" i="3"/>
  <c r="Y11" i="3"/>
  <c r="AF11" i="3"/>
  <c r="AG11" i="3"/>
  <c r="X400" i="3"/>
  <c r="Y400" i="3"/>
  <c r="AF400" i="3"/>
  <c r="V400" i="3"/>
  <c r="W400" i="3"/>
  <c r="AG400" i="3"/>
  <c r="AF392" i="3"/>
  <c r="W392" i="3"/>
  <c r="V392" i="3"/>
  <c r="X392" i="3"/>
  <c r="Y392" i="3"/>
  <c r="AG392" i="3"/>
  <c r="AG384" i="3"/>
  <c r="V384" i="3"/>
  <c r="W384" i="3"/>
  <c r="X384" i="3"/>
  <c r="Y384" i="3"/>
  <c r="AF384" i="3"/>
  <c r="V376" i="3"/>
  <c r="W376" i="3"/>
  <c r="X376" i="3"/>
  <c r="Y376" i="3"/>
  <c r="AF376" i="3"/>
  <c r="AJ376" i="3" s="1"/>
  <c r="AG376" i="3"/>
  <c r="AF368" i="3"/>
  <c r="AG368" i="3"/>
  <c r="V368" i="3"/>
  <c r="W368" i="3"/>
  <c r="X368" i="3"/>
  <c r="Y368" i="3"/>
  <c r="AG360" i="3"/>
  <c r="X360" i="3"/>
  <c r="Y360" i="3"/>
  <c r="AF360" i="3"/>
  <c r="V360" i="3"/>
  <c r="W360" i="3"/>
  <c r="W352" i="3"/>
  <c r="X352" i="3"/>
  <c r="Y352" i="3"/>
  <c r="AG352" i="3"/>
  <c r="V352" i="3"/>
  <c r="AF352" i="3"/>
  <c r="AF344" i="3"/>
  <c r="AG344" i="3"/>
  <c r="X344" i="3"/>
  <c r="Y344" i="3"/>
  <c r="V344" i="3"/>
  <c r="W344" i="3"/>
  <c r="AF336" i="3"/>
  <c r="AG336" i="3"/>
  <c r="V336" i="3"/>
  <c r="W336" i="3"/>
  <c r="X336" i="3"/>
  <c r="Y336" i="3"/>
  <c r="W328" i="3"/>
  <c r="X328" i="3"/>
  <c r="Y328" i="3"/>
  <c r="AF328" i="3"/>
  <c r="AG328" i="3"/>
  <c r="V328" i="3"/>
  <c r="AF320" i="3"/>
  <c r="AG320" i="3"/>
  <c r="W320" i="3"/>
  <c r="X320" i="3"/>
  <c r="Y320" i="3"/>
  <c r="V320" i="3"/>
  <c r="X312" i="3"/>
  <c r="Y312" i="3"/>
  <c r="AF312" i="3"/>
  <c r="V312" i="3"/>
  <c r="AG312" i="3"/>
  <c r="W312" i="3"/>
  <c r="AF304" i="3"/>
  <c r="V304" i="3"/>
  <c r="W304" i="3"/>
  <c r="X304" i="3"/>
  <c r="AG304" i="3"/>
  <c r="Y304" i="3"/>
  <c r="X303" i="3"/>
  <c r="AF301" i="3"/>
  <c r="X299" i="3"/>
  <c r="Y298" i="3"/>
  <c r="W297" i="3"/>
  <c r="W295" i="3"/>
  <c r="AF294" i="3"/>
  <c r="W291" i="3"/>
  <c r="AG278" i="3"/>
  <c r="AF275" i="3"/>
  <c r="Y272" i="3"/>
  <c r="AF271" i="3"/>
  <c r="X269" i="3"/>
  <c r="AG268" i="3"/>
  <c r="Y265" i="3"/>
  <c r="AF264" i="3"/>
  <c r="W261" i="3"/>
  <c r="AG260" i="3"/>
  <c r="V258" i="3"/>
  <c r="Y257" i="3"/>
  <c r="W254" i="3"/>
  <c r="X250" i="3"/>
  <c r="W248" i="3"/>
  <c r="X247" i="3"/>
  <c r="AF245" i="3"/>
  <c r="Y244" i="3"/>
  <c r="AF243" i="3"/>
  <c r="AF228" i="3"/>
  <c r="AF198" i="3"/>
  <c r="AF190" i="3"/>
  <c r="AF183" i="3"/>
  <c r="X174" i="3"/>
  <c r="W167" i="3"/>
  <c r="V455" i="3"/>
  <c r="Y455" i="3"/>
  <c r="AG455" i="3"/>
  <c r="Z495" i="3"/>
  <c r="AG495" i="3"/>
  <c r="Y481" i="3"/>
  <c r="AG481" i="3"/>
  <c r="AA481" i="3"/>
  <c r="AM169" i="3"/>
  <c r="X425" i="3"/>
  <c r="Y425" i="3"/>
  <c r="Z425" i="3"/>
  <c r="AA58" i="3"/>
  <c r="W490" i="3"/>
  <c r="Y490" i="3"/>
  <c r="V490" i="3"/>
  <c r="X490" i="3"/>
  <c r="AF490" i="3"/>
  <c r="V481" i="3"/>
  <c r="AF473" i="3"/>
  <c r="AG473" i="3"/>
  <c r="V473" i="3"/>
  <c r="X473" i="3"/>
  <c r="AA473" i="3"/>
  <c r="X450" i="3"/>
  <c r="AF450" i="3"/>
  <c r="AG450" i="3"/>
  <c r="Y485" i="3"/>
  <c r="W485" i="3"/>
  <c r="X491" i="3"/>
  <c r="AF491" i="3"/>
  <c r="AG491" i="3"/>
  <c r="AF487" i="3"/>
  <c r="AG487" i="3"/>
  <c r="W482" i="3"/>
  <c r="Y482" i="3"/>
  <c r="V475" i="3"/>
  <c r="Y405" i="3"/>
  <c r="AA405" i="3"/>
  <c r="AF405" i="3"/>
  <c r="AG405" i="3"/>
  <c r="V405" i="3"/>
  <c r="AG497" i="3"/>
  <c r="AA492" i="3"/>
  <c r="Z479" i="3"/>
  <c r="AG479" i="3"/>
  <c r="AG461" i="3"/>
  <c r="W461" i="3"/>
  <c r="X461" i="3"/>
  <c r="Y461" i="3"/>
  <c r="W443" i="3"/>
  <c r="X443" i="3"/>
  <c r="Y443" i="3"/>
  <c r="AF443" i="3"/>
  <c r="V469" i="3"/>
  <c r="X469" i="3"/>
  <c r="Y469" i="3"/>
  <c r="AG451" i="3"/>
  <c r="AG439" i="3"/>
  <c r="V439" i="3"/>
  <c r="V431" i="3"/>
  <c r="W431" i="3"/>
  <c r="X431" i="3"/>
  <c r="Y431" i="3"/>
  <c r="AF431" i="3"/>
  <c r="AF497" i="3"/>
  <c r="Y491" i="3"/>
  <c r="W478" i="3"/>
  <c r="Y478" i="3"/>
  <c r="AG475" i="3"/>
  <c r="Y426" i="3"/>
  <c r="AA426" i="3"/>
  <c r="AG426" i="3"/>
  <c r="V426" i="3"/>
  <c r="Y421" i="3"/>
  <c r="AF421" i="3"/>
  <c r="AG421" i="3"/>
  <c r="V421" i="3"/>
  <c r="V419" i="3"/>
  <c r="W419" i="3"/>
  <c r="X419" i="3"/>
  <c r="Y419" i="3"/>
  <c r="AF419" i="3"/>
  <c r="Y497" i="3"/>
  <c r="W469" i="3"/>
  <c r="AG464" i="3"/>
  <c r="V464" i="3"/>
  <c r="V461" i="3"/>
  <c r="V423" i="3"/>
  <c r="AG423" i="3"/>
  <c r="W423" i="3"/>
  <c r="X423" i="3"/>
  <c r="Y423" i="3"/>
  <c r="Z423" i="3"/>
  <c r="W410" i="3"/>
  <c r="Y410" i="3"/>
  <c r="AG410" i="3"/>
  <c r="AK410" i="3" s="1"/>
  <c r="AG406" i="3"/>
  <c r="Y406" i="3"/>
  <c r="Z406" i="3"/>
  <c r="X497" i="3"/>
  <c r="Y494" i="3"/>
  <c r="AA494" i="3"/>
  <c r="AG494" i="3"/>
  <c r="AK494" i="3" s="1"/>
  <c r="W487" i="3"/>
  <c r="W483" i="3"/>
  <c r="Y483" i="3"/>
  <c r="AF483" i="3"/>
  <c r="Y479" i="3"/>
  <c r="V471" i="3"/>
  <c r="W471" i="3"/>
  <c r="Z471" i="3"/>
  <c r="AG443" i="3"/>
  <c r="X405" i="3"/>
  <c r="AF457" i="3"/>
  <c r="AG456" i="3"/>
  <c r="X454" i="3"/>
  <c r="W433" i="3"/>
  <c r="Y429" i="3"/>
  <c r="V427" i="3"/>
  <c r="AG409" i="3"/>
  <c r="V429" i="3"/>
  <c r="Y428" i="3"/>
  <c r="AF427" i="3"/>
  <c r="Y407" i="3"/>
  <c r="Y457" i="3"/>
  <c r="AA456" i="3"/>
  <c r="X428" i="3"/>
  <c r="Y409" i="3"/>
  <c r="X457" i="3"/>
  <c r="Y456" i="3"/>
  <c r="AG429" i="3"/>
  <c r="W407" i="3"/>
  <c r="AO79" i="3"/>
  <c r="AF429" i="3"/>
  <c r="W404" i="3"/>
  <c r="X427" i="3"/>
  <c r="AK424" i="3"/>
  <c r="AK453" i="3"/>
  <c r="AN483" i="3"/>
  <c r="AO410" i="3"/>
  <c r="AO462" i="3"/>
  <c r="AO426" i="3"/>
  <c r="AO446" i="3"/>
  <c r="AO436" i="3"/>
  <c r="AN484" i="3"/>
  <c r="AO447" i="3"/>
  <c r="AN433" i="3"/>
  <c r="AO427" i="3"/>
  <c r="AL405" i="3"/>
  <c r="AO490" i="3"/>
  <c r="AO485" i="3"/>
  <c r="AO450" i="3"/>
  <c r="AN428" i="3"/>
  <c r="AO419" i="3"/>
  <c r="AO460" i="3"/>
  <c r="AO491" i="3"/>
  <c r="AO438" i="3"/>
  <c r="AO502" i="3"/>
  <c r="AO439" i="3"/>
  <c r="AL468" i="3"/>
  <c r="AL461" i="3"/>
  <c r="AL457" i="3"/>
  <c r="AM441" i="3"/>
  <c r="AM423" i="3"/>
  <c r="AL413" i="3"/>
  <c r="AO499" i="3"/>
  <c r="AO494" i="3"/>
  <c r="AN491" i="3"/>
  <c r="AN490" i="3"/>
  <c r="AO486" i="3"/>
  <c r="AM483" i="3"/>
  <c r="AO477" i="3"/>
  <c r="AO465" i="3"/>
  <c r="AN462" i="3"/>
  <c r="AN460" i="3"/>
  <c r="AN450" i="3"/>
  <c r="AL447" i="3"/>
  <c r="AN446" i="3"/>
  <c r="AL444" i="3"/>
  <c r="AL443" i="3"/>
  <c r="AL441" i="3"/>
  <c r="AL439" i="3"/>
  <c r="AL438" i="3"/>
  <c r="AM436" i="3"/>
  <c r="AO434" i="3"/>
  <c r="AM433" i="3"/>
  <c r="AN427" i="3"/>
  <c r="AM426" i="3"/>
  <c r="AO425" i="3"/>
  <c r="AL423" i="3"/>
  <c r="AO421" i="3"/>
  <c r="AO420" i="3"/>
  <c r="AN419" i="3"/>
  <c r="AO418" i="3"/>
  <c r="AL411" i="3"/>
  <c r="AM410" i="3"/>
  <c r="AO404" i="3"/>
  <c r="AO501" i="3"/>
  <c r="AM499" i="3"/>
  <c r="AM491" i="3"/>
  <c r="AM490" i="3"/>
  <c r="AN486" i="3"/>
  <c r="AO482" i="3"/>
  <c r="AO481" i="3"/>
  <c r="AO473" i="3"/>
  <c r="AO471" i="3"/>
  <c r="AO469" i="3"/>
  <c r="AN465" i="3"/>
  <c r="AM460" i="3"/>
  <c r="AO453" i="3"/>
  <c r="AM446" i="3"/>
  <c r="AL436" i="3"/>
  <c r="AL433" i="3"/>
  <c r="AM427" i="3"/>
  <c r="AL426" i="3"/>
  <c r="AN425" i="3"/>
  <c r="AN421" i="3"/>
  <c r="AM419" i="3"/>
  <c r="AM418" i="3"/>
  <c r="AO416" i="3"/>
  <c r="AL410" i="3"/>
  <c r="AN404" i="3"/>
  <c r="AN501" i="3"/>
  <c r="AL499" i="3"/>
  <c r="AO496" i="3"/>
  <c r="AO495" i="3"/>
  <c r="AL490" i="3"/>
  <c r="AM486" i="3"/>
  <c r="AN482" i="3"/>
  <c r="AL481" i="3"/>
  <c r="AO478" i="3"/>
  <c r="AN475" i="3"/>
  <c r="AN473" i="3"/>
  <c r="AN469" i="3"/>
  <c r="AM465" i="3"/>
  <c r="AO463" i="3"/>
  <c r="AL460" i="3"/>
  <c r="AO456" i="3"/>
  <c r="AN454" i="3"/>
  <c r="AN453" i="3"/>
  <c r="AO451" i="3"/>
  <c r="AO442" i="3"/>
  <c r="AO432" i="3"/>
  <c r="AO431" i="3"/>
  <c r="AL427" i="3"/>
  <c r="AL421" i="3"/>
  <c r="AL419" i="3"/>
  <c r="AL418" i="3"/>
  <c r="AO417" i="3"/>
  <c r="AN416" i="3"/>
  <c r="AO414" i="3"/>
  <c r="AM404" i="3"/>
  <c r="AM501" i="3"/>
  <c r="AN496" i="3"/>
  <c r="AO493" i="3"/>
  <c r="AL486" i="3"/>
  <c r="AM482" i="3"/>
  <c r="AN478" i="3"/>
  <c r="AL475" i="3"/>
  <c r="AM473" i="3"/>
  <c r="AM469" i="3"/>
  <c r="AL465" i="3"/>
  <c r="AL463" i="3"/>
  <c r="AO458" i="3"/>
  <c r="AM456" i="3"/>
  <c r="AM453" i="3"/>
  <c r="AO449" i="3"/>
  <c r="AO448" i="3"/>
  <c r="AO437" i="3"/>
  <c r="AO435" i="3"/>
  <c r="AN432" i="3"/>
  <c r="AN431" i="3"/>
  <c r="AO424" i="3"/>
  <c r="AM416" i="3"/>
  <c r="AO415" i="3"/>
  <c r="AO408" i="3"/>
  <c r="AM443" i="3"/>
  <c r="AL429" i="3"/>
  <c r="AL501" i="3"/>
  <c r="AO498" i="3"/>
  <c r="AO497" i="3"/>
  <c r="AM496" i="3"/>
  <c r="AN493" i="3"/>
  <c r="AL482" i="3"/>
  <c r="AM478" i="3"/>
  <c r="AO476" i="3"/>
  <c r="AL473" i="3"/>
  <c r="AL469" i="3"/>
  <c r="AO468" i="3"/>
  <c r="AO464" i="3"/>
  <c r="AO461" i="3"/>
  <c r="AN458" i="3"/>
  <c r="AO457" i="3"/>
  <c r="AL456" i="3"/>
  <c r="AL453" i="3"/>
  <c r="AO452" i="3"/>
  <c r="AN449" i="3"/>
  <c r="AN448" i="3"/>
  <c r="AN437" i="3"/>
  <c r="AN435" i="3"/>
  <c r="AM432" i="3"/>
  <c r="AM431" i="3"/>
  <c r="AN424" i="3"/>
  <c r="AL416" i="3"/>
  <c r="AN415" i="3"/>
  <c r="AN408" i="3"/>
  <c r="AO407" i="3"/>
  <c r="AO405" i="3"/>
  <c r="AL480" i="3"/>
  <c r="AL466" i="3"/>
  <c r="AL455" i="3"/>
  <c r="AM444" i="3"/>
  <c r="AM440" i="3"/>
  <c r="AM411" i="3"/>
  <c r="AL407" i="3"/>
  <c r="AN498" i="3"/>
  <c r="AN497" i="3"/>
  <c r="AL496" i="3"/>
  <c r="AP496" i="3" s="1"/>
  <c r="AM493" i="3"/>
  <c r="AO479" i="3"/>
  <c r="AL478" i="3"/>
  <c r="AN476" i="3"/>
  <c r="AM470" i="3"/>
  <c r="AN468" i="3"/>
  <c r="AO466" i="3"/>
  <c r="AL464" i="3"/>
  <c r="AN461" i="3"/>
  <c r="AL458" i="3"/>
  <c r="AN457" i="3"/>
  <c r="AN452" i="3"/>
  <c r="AM449" i="3"/>
  <c r="AM448" i="3"/>
  <c r="AO444" i="3"/>
  <c r="AO443" i="3"/>
  <c r="AO441" i="3"/>
  <c r="AO440" i="3"/>
  <c r="AM435" i="3"/>
  <c r="AL432" i="3"/>
  <c r="AL431" i="3"/>
  <c r="AO429" i="3"/>
  <c r="AM424" i="3"/>
  <c r="AO423" i="3"/>
  <c r="AM415" i="3"/>
  <c r="AO413" i="3"/>
  <c r="AO412" i="3"/>
  <c r="AO411" i="3"/>
  <c r="AM408" i="3"/>
  <c r="AN407" i="3"/>
  <c r="AN405" i="3"/>
  <c r="AL452" i="3"/>
  <c r="AO500" i="3"/>
  <c r="AM498" i="3"/>
  <c r="AL493" i="3"/>
  <c r="AO484" i="3"/>
  <c r="AO483" i="3"/>
  <c r="AM479" i="3"/>
  <c r="AN474" i="3"/>
  <c r="AM468" i="3"/>
  <c r="AN466" i="3"/>
  <c r="AM461" i="3"/>
  <c r="AM457" i="3"/>
  <c r="AO455" i="3"/>
  <c r="AM452" i="3"/>
  <c r="AL449" i="3"/>
  <c r="AL448" i="3"/>
  <c r="AN444" i="3"/>
  <c r="AN443" i="3"/>
  <c r="AN441" i="3"/>
  <c r="AN440" i="3"/>
  <c r="AL435" i="3"/>
  <c r="AN429" i="3"/>
  <c r="AO428" i="3"/>
  <c r="AL424" i="3"/>
  <c r="AN423" i="3"/>
  <c r="AL415" i="3"/>
  <c r="AN413" i="3"/>
  <c r="AM412" i="3"/>
  <c r="AN411" i="3"/>
  <c r="AL408" i="3"/>
  <c r="AM407" i="3"/>
  <c r="AM405" i="3"/>
  <c r="AA502" i="3"/>
  <c r="Z498" i="3"/>
  <c r="AA497" i="3"/>
  <c r="Z494" i="3"/>
  <c r="AA493" i="3"/>
  <c r="Z492" i="3"/>
  <c r="AA488" i="3"/>
  <c r="Z484" i="3"/>
  <c r="Z481" i="3"/>
  <c r="Z473" i="3"/>
  <c r="Z468" i="3"/>
  <c r="AA467" i="3"/>
  <c r="Z466" i="3"/>
  <c r="AA464" i="3"/>
  <c r="Z460" i="3"/>
  <c r="Z456" i="3"/>
  <c r="AA455" i="3"/>
  <c r="Z453" i="3"/>
  <c r="Z429" i="3"/>
  <c r="AA427" i="3"/>
  <c r="Z426" i="3"/>
  <c r="AA421" i="3"/>
  <c r="AA419" i="3"/>
  <c r="Z418" i="3"/>
  <c r="AA416" i="3"/>
  <c r="Z405" i="3"/>
  <c r="Z502" i="3"/>
  <c r="AA501" i="3"/>
  <c r="Z497" i="3"/>
  <c r="Z493" i="3"/>
  <c r="Z488" i="3"/>
  <c r="AA487" i="3"/>
  <c r="AA478" i="3"/>
  <c r="AA475" i="3"/>
  <c r="Z467" i="3"/>
  <c r="Z464" i="3"/>
  <c r="AA457" i="3"/>
  <c r="Z455" i="3"/>
  <c r="AA449" i="3"/>
  <c r="Z427" i="3"/>
  <c r="Z421" i="3"/>
  <c r="Z419" i="3"/>
  <c r="Z416" i="3"/>
  <c r="AA404" i="3"/>
  <c r="Z392" i="3"/>
  <c r="Z501" i="3"/>
  <c r="AA500" i="3"/>
  <c r="AA490" i="3"/>
  <c r="Z487" i="3"/>
  <c r="AA485" i="3"/>
  <c r="AA482" i="3"/>
  <c r="AA480" i="3"/>
  <c r="Z478" i="3"/>
  <c r="AA476" i="3"/>
  <c r="Z475" i="3"/>
  <c r="Z457" i="3"/>
  <c r="AA452" i="3"/>
  <c r="AA451" i="3"/>
  <c r="Z449" i="3"/>
  <c r="AA448" i="3"/>
  <c r="AA445" i="3"/>
  <c r="AA440" i="3"/>
  <c r="AA437" i="3"/>
  <c r="Z404" i="3"/>
  <c r="Z360" i="3"/>
  <c r="Z500" i="3"/>
  <c r="Z490" i="3"/>
  <c r="AA486" i="3"/>
  <c r="Z485" i="3"/>
  <c r="AA483" i="3"/>
  <c r="Z482" i="3"/>
  <c r="Z480" i="3"/>
  <c r="AA477" i="3"/>
  <c r="Z476" i="3"/>
  <c r="AA470" i="3"/>
  <c r="AA469" i="3"/>
  <c r="AA461" i="3"/>
  <c r="AA458" i="3"/>
  <c r="AA454" i="3"/>
  <c r="Z452" i="3"/>
  <c r="Z451" i="3"/>
  <c r="Z448" i="3"/>
  <c r="Z445" i="3"/>
  <c r="AA441" i="3"/>
  <c r="Z440" i="3"/>
  <c r="Z437" i="3"/>
  <c r="AA435" i="3"/>
  <c r="AA434" i="3"/>
  <c r="AA433" i="3"/>
  <c r="AA432" i="3"/>
  <c r="AA430" i="3"/>
  <c r="AA424" i="3"/>
  <c r="AA415" i="3"/>
  <c r="Z356" i="3"/>
  <c r="AA499" i="3"/>
  <c r="Z486" i="3"/>
  <c r="Z483" i="3"/>
  <c r="Z477" i="3"/>
  <c r="AA472" i="3"/>
  <c r="Z470" i="3"/>
  <c r="Z469" i="3"/>
  <c r="AA462" i="3"/>
  <c r="Z461" i="3"/>
  <c r="Z458" i="3"/>
  <c r="Z454" i="3"/>
  <c r="AA450" i="3"/>
  <c r="AA447" i="3"/>
  <c r="Z441" i="3"/>
  <c r="AA439" i="3"/>
  <c r="AA438" i="3"/>
  <c r="AA436" i="3"/>
  <c r="Z435" i="3"/>
  <c r="Z434" i="3"/>
  <c r="Z433" i="3"/>
  <c r="Z432" i="3"/>
  <c r="AA431" i="3"/>
  <c r="Z430" i="3"/>
  <c r="Z424" i="3"/>
  <c r="AA417" i="3"/>
  <c r="Z415" i="3"/>
  <c r="AA408" i="3"/>
  <c r="AA250" i="3"/>
  <c r="Z499" i="3"/>
  <c r="AA496" i="3"/>
  <c r="AA491" i="3"/>
  <c r="Z472" i="3"/>
  <c r="AA465" i="3"/>
  <c r="Z462" i="3"/>
  <c r="Z450" i="3"/>
  <c r="Z447" i="3"/>
  <c r="AA444" i="3"/>
  <c r="AA443" i="3"/>
  <c r="Z439" i="3"/>
  <c r="Z438" i="3"/>
  <c r="Z436" i="3"/>
  <c r="Z431" i="3"/>
  <c r="AA428" i="3"/>
  <c r="AA422" i="3"/>
  <c r="AA420" i="3"/>
  <c r="Z417" i="3"/>
  <c r="AA413" i="3"/>
  <c r="AA410" i="3"/>
  <c r="AA409" i="3"/>
  <c r="Z408" i="3"/>
  <c r="AA407" i="3"/>
  <c r="AA503" i="3"/>
  <c r="Z496" i="3"/>
  <c r="AA495" i="3"/>
  <c r="Z491" i="3"/>
  <c r="AA489" i="3"/>
  <c r="AA479" i="3"/>
  <c r="AA474" i="3"/>
  <c r="AA471" i="3"/>
  <c r="Z465" i="3"/>
  <c r="AA463" i="3"/>
  <c r="AA459" i="3"/>
  <c r="AA446" i="3"/>
  <c r="Z444" i="3"/>
  <c r="Z443" i="3"/>
  <c r="AA442" i="3"/>
  <c r="Z428" i="3"/>
  <c r="AA425" i="3"/>
  <c r="AA423" i="3"/>
  <c r="Z422" i="3"/>
  <c r="Z420" i="3"/>
  <c r="AA414" i="3"/>
  <c r="Z413" i="3"/>
  <c r="AA412" i="3"/>
  <c r="AA411" i="3"/>
  <c r="Z410" i="3"/>
  <c r="Z409" i="3"/>
  <c r="Z407" i="3"/>
  <c r="AA406" i="3"/>
  <c r="X503" i="3"/>
  <c r="AO503" i="3"/>
  <c r="Y495" i="3"/>
  <c r="AN503" i="3"/>
  <c r="AG503" i="3"/>
  <c r="V500" i="3"/>
  <c r="AL500" i="3"/>
  <c r="W500" i="3"/>
  <c r="AM500" i="3"/>
  <c r="X500" i="3"/>
  <c r="AF500" i="3"/>
  <c r="AN500" i="3"/>
  <c r="AG492" i="3"/>
  <c r="V492" i="3"/>
  <c r="AL492" i="3"/>
  <c r="W492" i="3"/>
  <c r="AM492" i="3"/>
  <c r="AO492" i="3"/>
  <c r="X492" i="3"/>
  <c r="AF492" i="3"/>
  <c r="AN492" i="3"/>
  <c r="Y492" i="3"/>
  <c r="V459" i="3"/>
  <c r="AL459" i="3"/>
  <c r="W459" i="3"/>
  <c r="AM459" i="3"/>
  <c r="X459" i="3"/>
  <c r="AF459" i="3"/>
  <c r="AN459" i="3"/>
  <c r="AO459" i="3"/>
  <c r="Y459" i="3"/>
  <c r="AG459" i="3"/>
  <c r="V503" i="3"/>
  <c r="AL503" i="3"/>
  <c r="W503" i="3"/>
  <c r="AM503" i="3"/>
  <c r="X495" i="3"/>
  <c r="AN495" i="3"/>
  <c r="V495" i="3"/>
  <c r="AL495" i="3"/>
  <c r="AF495" i="3"/>
  <c r="W495" i="3"/>
  <c r="AM495" i="3"/>
  <c r="AL498" i="3"/>
  <c r="V498" i="3"/>
  <c r="W489" i="3"/>
  <c r="AM489" i="3"/>
  <c r="X489" i="3"/>
  <c r="AF489" i="3"/>
  <c r="AN489" i="3"/>
  <c r="AM485" i="3"/>
  <c r="AG480" i="3"/>
  <c r="X472" i="3"/>
  <c r="AF472" i="3"/>
  <c r="AN472" i="3"/>
  <c r="W472" i="3"/>
  <c r="Y472" i="3"/>
  <c r="AL472" i="3"/>
  <c r="AO472" i="3"/>
  <c r="W480" i="3"/>
  <c r="AM480" i="3"/>
  <c r="AO488" i="3"/>
  <c r="AO487" i="3"/>
  <c r="V485" i="3"/>
  <c r="AL485" i="3"/>
  <c r="X485" i="3"/>
  <c r="AF485" i="3"/>
  <c r="AN485" i="3"/>
  <c r="AF480" i="3"/>
  <c r="AN502" i="3"/>
  <c r="AF502" i="3"/>
  <c r="X502" i="3"/>
  <c r="AM497" i="3"/>
  <c r="W497" i="3"/>
  <c r="AN494" i="3"/>
  <c r="AF494" i="3"/>
  <c r="X494" i="3"/>
  <c r="V491" i="3"/>
  <c r="AN488" i="3"/>
  <c r="AN487" i="3"/>
  <c r="V472" i="3"/>
  <c r="AM502" i="3"/>
  <c r="W502" i="3"/>
  <c r="AN499" i="3"/>
  <c r="AF499" i="3"/>
  <c r="X499" i="3"/>
  <c r="AL497" i="3"/>
  <c r="V497" i="3"/>
  <c r="AM494" i="3"/>
  <c r="W494" i="3"/>
  <c r="AL491" i="3"/>
  <c r="AO489" i="3"/>
  <c r="AL488" i="3"/>
  <c r="AM487" i="3"/>
  <c r="AG485" i="3"/>
  <c r="W481" i="3"/>
  <c r="AM481" i="3"/>
  <c r="X481" i="3"/>
  <c r="AF481" i="3"/>
  <c r="AN481" i="3"/>
  <c r="V479" i="3"/>
  <c r="AL479" i="3"/>
  <c r="X479" i="3"/>
  <c r="AF479" i="3"/>
  <c r="AN479" i="3"/>
  <c r="AM477" i="3"/>
  <c r="W475" i="3"/>
  <c r="AM475" i="3"/>
  <c r="AO475" i="3"/>
  <c r="AF475" i="3"/>
  <c r="X475" i="3"/>
  <c r="W474" i="3"/>
  <c r="AM474" i="3"/>
  <c r="Y474" i="3"/>
  <c r="AL474" i="3"/>
  <c r="AO474" i="3"/>
  <c r="AM472" i="3"/>
  <c r="W488" i="3"/>
  <c r="AM488" i="3"/>
  <c r="V487" i="3"/>
  <c r="AL487" i="3"/>
  <c r="AL502" i="3"/>
  <c r="V502" i="3"/>
  <c r="AL494" i="3"/>
  <c r="V494" i="3"/>
  <c r="AL489" i="3"/>
  <c r="Y487" i="3"/>
  <c r="AO480" i="3"/>
  <c r="V477" i="3"/>
  <c r="AL477" i="3"/>
  <c r="X477" i="3"/>
  <c r="AF477" i="3"/>
  <c r="AN477" i="3"/>
  <c r="Y488" i="3"/>
  <c r="X487" i="3"/>
  <c r="AN480" i="3"/>
  <c r="V451" i="3"/>
  <c r="AL451" i="3"/>
  <c r="W451" i="3"/>
  <c r="AM451" i="3"/>
  <c r="X451" i="3"/>
  <c r="AF451" i="3"/>
  <c r="AN451" i="3"/>
  <c r="Y451" i="3"/>
  <c r="AL483" i="3"/>
  <c r="V483" i="3"/>
  <c r="Y473" i="3"/>
  <c r="Y471" i="3"/>
  <c r="W463" i="3"/>
  <c r="AM463" i="3"/>
  <c r="X463" i="3"/>
  <c r="AF463" i="3"/>
  <c r="AN463" i="3"/>
  <c r="V462" i="3"/>
  <c r="AL462" i="3"/>
  <c r="W462" i="3"/>
  <c r="AM462" i="3"/>
  <c r="Y454" i="3"/>
  <c r="X471" i="3"/>
  <c r="AF471" i="3"/>
  <c r="AN471" i="3"/>
  <c r="V470" i="3"/>
  <c r="AL470" i="3"/>
  <c r="V467" i="3"/>
  <c r="AL467" i="3"/>
  <c r="W467" i="3"/>
  <c r="AM467" i="3"/>
  <c r="X467" i="3"/>
  <c r="AF467" i="3"/>
  <c r="AN467" i="3"/>
  <c r="AO454" i="3"/>
  <c r="V445" i="3"/>
  <c r="AL445" i="3"/>
  <c r="W445" i="3"/>
  <c r="AM445" i="3"/>
  <c r="Y445" i="3"/>
  <c r="AN445" i="3"/>
  <c r="AO445" i="3"/>
  <c r="AF445" i="3"/>
  <c r="AG445" i="3"/>
  <c r="AM484" i="3"/>
  <c r="W484" i="3"/>
  <c r="AM476" i="3"/>
  <c r="W476" i="3"/>
  <c r="AM471" i="3"/>
  <c r="AO470" i="3"/>
  <c r="AO467" i="3"/>
  <c r="AG454" i="3"/>
  <c r="AL484" i="3"/>
  <c r="V484" i="3"/>
  <c r="AL476" i="3"/>
  <c r="V476" i="3"/>
  <c r="AL471" i="3"/>
  <c r="AN470" i="3"/>
  <c r="V454" i="3"/>
  <c r="AL454" i="3"/>
  <c r="W454" i="3"/>
  <c r="AM454" i="3"/>
  <c r="AJ466" i="3"/>
  <c r="AN464" i="3"/>
  <c r="AF464" i="3"/>
  <c r="X464" i="3"/>
  <c r="AN456" i="3"/>
  <c r="AF456" i="3"/>
  <c r="X456" i="3"/>
  <c r="V450" i="3"/>
  <c r="AL450" i="3"/>
  <c r="W450" i="3"/>
  <c r="AM450" i="3"/>
  <c r="AM464" i="3"/>
  <c r="W464" i="3"/>
  <c r="AM466" i="3"/>
  <c r="AK466" i="3"/>
  <c r="W466" i="3"/>
  <c r="AM458" i="3"/>
  <c r="W458" i="3"/>
  <c r="AN455" i="3"/>
  <c r="AF455" i="3"/>
  <c r="X455" i="3"/>
  <c r="AL446" i="3"/>
  <c r="V422" i="3"/>
  <c r="AL422" i="3"/>
  <c r="W422" i="3"/>
  <c r="AM422" i="3"/>
  <c r="X422" i="3"/>
  <c r="AF422" i="3"/>
  <c r="AN422" i="3"/>
  <c r="AG422" i="3"/>
  <c r="AO422" i="3"/>
  <c r="AM455" i="3"/>
  <c r="W455" i="3"/>
  <c r="Y450" i="3"/>
  <c r="V448" i="3"/>
  <c r="Y446" i="3"/>
  <c r="V442" i="3"/>
  <c r="AL442" i="3"/>
  <c r="W442" i="3"/>
  <c r="AM442" i="3"/>
  <c r="X442" i="3"/>
  <c r="AF442" i="3"/>
  <c r="AN442" i="3"/>
  <c r="V434" i="3"/>
  <c r="AL434" i="3"/>
  <c r="W434" i="3"/>
  <c r="AM434" i="3"/>
  <c r="X434" i="3"/>
  <c r="AF434" i="3"/>
  <c r="AN434" i="3"/>
  <c r="V420" i="3"/>
  <c r="AL420" i="3"/>
  <c r="AF420" i="3"/>
  <c r="AG420" i="3"/>
  <c r="W420" i="3"/>
  <c r="AM420" i="3"/>
  <c r="X420" i="3"/>
  <c r="AN420" i="3"/>
  <c r="AL440" i="3"/>
  <c r="V440" i="3"/>
  <c r="AM437" i="3"/>
  <c r="W437" i="3"/>
  <c r="AO430" i="3"/>
  <c r="AM428" i="3"/>
  <c r="W428" i="3"/>
  <c r="AG425" i="3"/>
  <c r="AN417" i="3"/>
  <c r="V409" i="3"/>
  <c r="AL409" i="3"/>
  <c r="W409" i="3"/>
  <c r="AM409" i="3"/>
  <c r="AN447" i="3"/>
  <c r="AF447" i="3"/>
  <c r="X447" i="3"/>
  <c r="AN439" i="3"/>
  <c r="AF439" i="3"/>
  <c r="X439" i="3"/>
  <c r="AL437" i="3"/>
  <c r="V437" i="3"/>
  <c r="AG428" i="3"/>
  <c r="AF425" i="3"/>
  <c r="AJ415" i="3"/>
  <c r="V414" i="3"/>
  <c r="AL414" i="3"/>
  <c r="W414" i="3"/>
  <c r="AM414" i="3"/>
  <c r="X414" i="3"/>
  <c r="AF414" i="3"/>
  <c r="AN414" i="3"/>
  <c r="V412" i="3"/>
  <c r="AL412" i="3"/>
  <c r="AO409" i="3"/>
  <c r="X409" i="3"/>
  <c r="AM447" i="3"/>
  <c r="W447" i="3"/>
  <c r="AM439" i="3"/>
  <c r="W439" i="3"/>
  <c r="AN436" i="3"/>
  <c r="AF436" i="3"/>
  <c r="X436" i="3"/>
  <c r="AO433" i="3"/>
  <c r="AG433" i="3"/>
  <c r="Y433" i="3"/>
  <c r="AF428" i="3"/>
  <c r="AG417" i="3"/>
  <c r="AN412" i="3"/>
  <c r="X412" i="3"/>
  <c r="AN409" i="3"/>
  <c r="AF417" i="3"/>
  <c r="V406" i="3"/>
  <c r="AL406" i="3"/>
  <c r="W406" i="3"/>
  <c r="AM406" i="3"/>
  <c r="X406" i="3"/>
  <c r="AF406" i="3"/>
  <c r="AN406" i="3"/>
  <c r="AN438" i="3"/>
  <c r="AF438" i="3"/>
  <c r="X438" i="3"/>
  <c r="V425" i="3"/>
  <c r="AL425" i="3"/>
  <c r="W425" i="3"/>
  <c r="AM425" i="3"/>
  <c r="AM438" i="3"/>
  <c r="W438" i="3"/>
  <c r="AO406" i="3"/>
  <c r="V430" i="3"/>
  <c r="AL430" i="3"/>
  <c r="W430" i="3"/>
  <c r="AM430" i="3"/>
  <c r="X430" i="3"/>
  <c r="AF430" i="3"/>
  <c r="AN430" i="3"/>
  <c r="V428" i="3"/>
  <c r="AL428" i="3"/>
  <c r="V417" i="3"/>
  <c r="AL417" i="3"/>
  <c r="W417" i="3"/>
  <c r="AM417" i="3"/>
  <c r="AL404" i="3"/>
  <c r="V404" i="3"/>
  <c r="AM429" i="3"/>
  <c r="W429" i="3"/>
  <c r="AN426" i="3"/>
  <c r="AF426" i="3"/>
  <c r="X426" i="3"/>
  <c r="AM421" i="3"/>
  <c r="W421" i="3"/>
  <c r="AN418" i="3"/>
  <c r="AF418" i="3"/>
  <c r="X418" i="3"/>
  <c r="AM413" i="3"/>
  <c r="W413" i="3"/>
  <c r="AN410" i="3"/>
  <c r="AF410" i="3"/>
  <c r="X410" i="3"/>
  <c r="W405" i="3"/>
  <c r="Z352" i="3"/>
  <c r="Z396" i="3"/>
  <c r="AA282" i="3"/>
  <c r="Z388" i="3"/>
  <c r="AA218" i="3"/>
  <c r="Z384" i="3"/>
  <c r="AA186" i="3"/>
  <c r="Z364" i="3"/>
  <c r="AA26" i="3"/>
  <c r="Z380" i="3"/>
  <c r="Z348" i="3"/>
  <c r="AA154" i="3"/>
  <c r="Z376" i="3"/>
  <c r="Z344" i="3"/>
  <c r="AA122" i="3"/>
  <c r="AA3" i="3"/>
  <c r="Z372" i="3"/>
  <c r="AA337" i="3"/>
  <c r="AA90" i="3"/>
  <c r="Z400" i="3"/>
  <c r="Z368" i="3"/>
  <c r="AA314" i="3"/>
  <c r="Z4" i="3"/>
  <c r="Z8" i="3"/>
  <c r="Z12" i="3"/>
  <c r="Z16" i="3"/>
  <c r="Z20" i="3"/>
  <c r="Z24" i="3"/>
  <c r="Z28" i="3"/>
  <c r="Z32" i="3"/>
  <c r="Z36" i="3"/>
  <c r="Z40" i="3"/>
  <c r="Z44" i="3"/>
  <c r="Z48" i="3"/>
  <c r="Z52" i="3"/>
  <c r="Z56" i="3"/>
  <c r="Z60" i="3"/>
  <c r="Z64" i="3"/>
  <c r="Z68" i="3"/>
  <c r="Z72" i="3"/>
  <c r="Z76" i="3"/>
  <c r="Z80" i="3"/>
  <c r="Z84" i="3"/>
  <c r="Z88" i="3"/>
  <c r="Z92" i="3"/>
  <c r="Z96" i="3"/>
  <c r="Z100" i="3"/>
  <c r="Z104" i="3"/>
  <c r="Z108" i="3"/>
  <c r="Z112" i="3"/>
  <c r="Z116" i="3"/>
  <c r="Z120" i="3"/>
  <c r="Z124" i="3"/>
  <c r="Z128" i="3"/>
  <c r="Z132" i="3"/>
  <c r="Z136" i="3"/>
  <c r="Z140" i="3"/>
  <c r="Z144" i="3"/>
  <c r="Z148" i="3"/>
  <c r="Z152" i="3"/>
  <c r="Z156" i="3"/>
  <c r="Z160" i="3"/>
  <c r="Z164" i="3"/>
  <c r="Z168" i="3"/>
  <c r="Z172" i="3"/>
  <c r="Z176" i="3"/>
  <c r="Z180" i="3"/>
  <c r="Z184" i="3"/>
  <c r="Z188" i="3"/>
  <c r="Z192" i="3"/>
  <c r="Z196" i="3"/>
  <c r="Z200" i="3"/>
  <c r="Z204" i="3"/>
  <c r="Z208" i="3"/>
  <c r="Z212" i="3"/>
  <c r="Z216" i="3"/>
  <c r="Z220" i="3"/>
  <c r="Z224" i="3"/>
  <c r="Z228" i="3"/>
  <c r="Z232" i="3"/>
  <c r="Z236" i="3"/>
  <c r="Z240" i="3"/>
  <c r="Z244" i="3"/>
  <c r="Z248" i="3"/>
  <c r="Z252" i="3"/>
  <c r="Z256" i="3"/>
  <c r="Z260" i="3"/>
  <c r="Z264" i="3"/>
  <c r="Z268" i="3"/>
  <c r="Z272" i="3"/>
  <c r="Z276" i="3"/>
  <c r="Z280" i="3"/>
  <c r="Z284" i="3"/>
  <c r="Z288" i="3"/>
  <c r="Z292" i="3"/>
  <c r="Z296" i="3"/>
  <c r="Z300" i="3"/>
  <c r="Z304" i="3"/>
  <c r="Z308" i="3"/>
  <c r="Z312" i="3"/>
  <c r="Z316" i="3"/>
  <c r="Z320" i="3"/>
  <c r="Z324" i="3"/>
  <c r="Z328" i="3"/>
  <c r="Z332" i="3"/>
  <c r="Z336" i="3"/>
  <c r="Z340" i="3"/>
  <c r="AA4" i="3"/>
  <c r="AA8" i="3"/>
  <c r="AA12" i="3"/>
  <c r="AA16" i="3"/>
  <c r="AA20" i="3"/>
  <c r="AA24" i="3"/>
  <c r="AA28" i="3"/>
  <c r="AA32" i="3"/>
  <c r="AA36" i="3"/>
  <c r="AA40" i="3"/>
  <c r="AA44" i="3"/>
  <c r="AA48" i="3"/>
  <c r="AA52" i="3"/>
  <c r="AA56" i="3"/>
  <c r="AA60" i="3"/>
  <c r="AA64" i="3"/>
  <c r="AA68" i="3"/>
  <c r="AA72" i="3"/>
  <c r="AA76" i="3"/>
  <c r="AA80" i="3"/>
  <c r="AA84" i="3"/>
  <c r="AA88" i="3"/>
  <c r="AA92" i="3"/>
  <c r="AA96" i="3"/>
  <c r="AA100" i="3"/>
  <c r="AA104" i="3"/>
  <c r="AA108" i="3"/>
  <c r="AA112" i="3"/>
  <c r="AA116" i="3"/>
  <c r="AA120" i="3"/>
  <c r="AA124" i="3"/>
  <c r="AA128" i="3"/>
  <c r="AA132" i="3"/>
  <c r="AA136" i="3"/>
  <c r="AA140" i="3"/>
  <c r="AA144" i="3"/>
  <c r="AA148" i="3"/>
  <c r="AA152" i="3"/>
  <c r="AA156" i="3"/>
  <c r="AA160" i="3"/>
  <c r="AA164" i="3"/>
  <c r="AA168" i="3"/>
  <c r="AA172" i="3"/>
  <c r="AA176" i="3"/>
  <c r="AA180" i="3"/>
  <c r="AA184" i="3"/>
  <c r="AA188" i="3"/>
  <c r="AA192" i="3"/>
  <c r="AA196" i="3"/>
  <c r="AA200" i="3"/>
  <c r="AA204" i="3"/>
  <c r="AA208" i="3"/>
  <c r="AA212" i="3"/>
  <c r="AA216" i="3"/>
  <c r="AA220" i="3"/>
  <c r="AA224" i="3"/>
  <c r="AA228" i="3"/>
  <c r="AA232" i="3"/>
  <c r="AA236" i="3"/>
  <c r="AA240" i="3"/>
  <c r="AA244" i="3"/>
  <c r="AA248" i="3"/>
  <c r="AA252" i="3"/>
  <c r="AA256" i="3"/>
  <c r="AA260" i="3"/>
  <c r="AA264" i="3"/>
  <c r="AA268" i="3"/>
  <c r="AA272" i="3"/>
  <c r="AA276" i="3"/>
  <c r="AA280" i="3"/>
  <c r="AA284" i="3"/>
  <c r="AA288" i="3"/>
  <c r="AA292" i="3"/>
  <c r="AA296" i="3"/>
  <c r="AA300" i="3"/>
  <c r="AA304" i="3"/>
  <c r="AA308" i="3"/>
  <c r="AA312" i="3"/>
  <c r="AA316" i="3"/>
  <c r="AA320" i="3"/>
  <c r="AA324" i="3"/>
  <c r="AA328" i="3"/>
  <c r="AA332" i="3"/>
  <c r="Z5" i="3"/>
  <c r="Z9" i="3"/>
  <c r="Z13" i="3"/>
  <c r="Z17" i="3"/>
  <c r="Z21" i="3"/>
  <c r="Z25" i="3"/>
  <c r="Z29" i="3"/>
  <c r="Z33" i="3"/>
  <c r="Z37" i="3"/>
  <c r="Z41" i="3"/>
  <c r="Z45" i="3"/>
  <c r="Z49" i="3"/>
  <c r="Z53" i="3"/>
  <c r="Z57" i="3"/>
  <c r="Z61" i="3"/>
  <c r="Z65" i="3"/>
  <c r="Z69" i="3"/>
  <c r="Z73" i="3"/>
  <c r="Z77" i="3"/>
  <c r="Z81" i="3"/>
  <c r="Z85" i="3"/>
  <c r="Z89" i="3"/>
  <c r="Z93" i="3"/>
  <c r="Z97" i="3"/>
  <c r="Z101" i="3"/>
  <c r="Z105" i="3"/>
  <c r="Z109" i="3"/>
  <c r="Z113" i="3"/>
  <c r="Z117" i="3"/>
  <c r="Z121" i="3"/>
  <c r="Z125" i="3"/>
  <c r="Z129" i="3"/>
  <c r="Z133" i="3"/>
  <c r="Z137" i="3"/>
  <c r="Z141" i="3"/>
  <c r="Z145" i="3"/>
  <c r="Z149" i="3"/>
  <c r="Z153" i="3"/>
  <c r="Z157" i="3"/>
  <c r="Z161" i="3"/>
  <c r="Z165" i="3"/>
  <c r="Z169" i="3"/>
  <c r="Z173" i="3"/>
  <c r="Z177" i="3"/>
  <c r="Z181" i="3"/>
  <c r="Z185" i="3"/>
  <c r="Z189" i="3"/>
  <c r="Z193" i="3"/>
  <c r="Z197" i="3"/>
  <c r="Z201" i="3"/>
  <c r="Z205" i="3"/>
  <c r="Z209" i="3"/>
  <c r="Z213" i="3"/>
  <c r="Z217" i="3"/>
  <c r="Z221" i="3"/>
  <c r="Z225" i="3"/>
  <c r="Z229" i="3"/>
  <c r="Z233" i="3"/>
  <c r="Z237" i="3"/>
  <c r="Z241" i="3"/>
  <c r="Z245" i="3"/>
  <c r="Z249" i="3"/>
  <c r="Z253" i="3"/>
  <c r="Z257" i="3"/>
  <c r="Z261" i="3"/>
  <c r="Z265" i="3"/>
  <c r="Z269" i="3"/>
  <c r="Z273" i="3"/>
  <c r="Z277" i="3"/>
  <c r="Z281" i="3"/>
  <c r="Z285" i="3"/>
  <c r="Z289" i="3"/>
  <c r="Z293" i="3"/>
  <c r="Z297" i="3"/>
  <c r="Z301" i="3"/>
  <c r="Z305" i="3"/>
  <c r="Z309" i="3"/>
  <c r="Z313" i="3"/>
  <c r="Z317" i="3"/>
  <c r="Z321" i="3"/>
  <c r="Z325" i="3"/>
  <c r="Z329" i="3"/>
  <c r="Z333" i="3"/>
  <c r="Z337" i="3"/>
  <c r="Z341" i="3"/>
  <c r="AA5" i="3"/>
  <c r="AA9" i="3"/>
  <c r="AA13" i="3"/>
  <c r="AA17" i="3"/>
  <c r="AA21" i="3"/>
  <c r="AA25" i="3"/>
  <c r="AA29" i="3"/>
  <c r="AA33" i="3"/>
  <c r="AA37" i="3"/>
  <c r="AA41" i="3"/>
  <c r="AA45" i="3"/>
  <c r="AA49" i="3"/>
  <c r="AA53" i="3"/>
  <c r="AA57" i="3"/>
  <c r="AA61" i="3"/>
  <c r="AA65" i="3"/>
  <c r="AA69" i="3"/>
  <c r="AA73" i="3"/>
  <c r="AA77" i="3"/>
  <c r="AA81" i="3"/>
  <c r="AA85" i="3"/>
  <c r="AA89" i="3"/>
  <c r="AA93" i="3"/>
  <c r="AA97" i="3"/>
  <c r="AA101" i="3"/>
  <c r="AA105" i="3"/>
  <c r="AA109" i="3"/>
  <c r="AA113" i="3"/>
  <c r="AA117" i="3"/>
  <c r="AA121" i="3"/>
  <c r="AA125" i="3"/>
  <c r="AA129" i="3"/>
  <c r="AA133" i="3"/>
  <c r="AA137" i="3"/>
  <c r="AA141" i="3"/>
  <c r="AA145" i="3"/>
  <c r="AA149" i="3"/>
  <c r="AA153" i="3"/>
  <c r="AA157" i="3"/>
  <c r="AA161" i="3"/>
  <c r="AA165" i="3"/>
  <c r="AA169" i="3"/>
  <c r="AA173" i="3"/>
  <c r="AA177" i="3"/>
  <c r="AA181" i="3"/>
  <c r="AA185" i="3"/>
  <c r="AA189" i="3"/>
  <c r="AA193" i="3"/>
  <c r="AA197" i="3"/>
  <c r="AA201" i="3"/>
  <c r="AA205" i="3"/>
  <c r="AA209" i="3"/>
  <c r="AA213" i="3"/>
  <c r="AA217" i="3"/>
  <c r="AA221" i="3"/>
  <c r="AA225" i="3"/>
  <c r="AA229" i="3"/>
  <c r="AA233" i="3"/>
  <c r="AA237" i="3"/>
  <c r="AA241" i="3"/>
  <c r="AA245" i="3"/>
  <c r="AA249" i="3"/>
  <c r="AA253" i="3"/>
  <c r="AA257" i="3"/>
  <c r="AA261" i="3"/>
  <c r="AA265" i="3"/>
  <c r="AA269" i="3"/>
  <c r="AA273" i="3"/>
  <c r="AA277" i="3"/>
  <c r="AA281" i="3"/>
  <c r="AA285" i="3"/>
  <c r="AA289" i="3"/>
  <c r="AA293" i="3"/>
  <c r="AA297" i="3"/>
  <c r="AA301" i="3"/>
  <c r="AA305" i="3"/>
  <c r="AA309" i="3"/>
  <c r="AA313" i="3"/>
  <c r="AA317" i="3"/>
  <c r="AA321" i="3"/>
  <c r="AA325" i="3"/>
  <c r="AA329" i="3"/>
  <c r="Z6" i="3"/>
  <c r="Z10" i="3"/>
  <c r="Z14" i="3"/>
  <c r="Z18" i="3"/>
  <c r="Z22" i="3"/>
  <c r="Z26" i="3"/>
  <c r="Z30" i="3"/>
  <c r="Z34" i="3"/>
  <c r="Z38" i="3"/>
  <c r="Z42" i="3"/>
  <c r="Z46" i="3"/>
  <c r="Z50" i="3"/>
  <c r="Z54" i="3"/>
  <c r="Z58" i="3"/>
  <c r="Z62" i="3"/>
  <c r="Z66" i="3"/>
  <c r="Z70" i="3"/>
  <c r="Z74" i="3"/>
  <c r="Z78" i="3"/>
  <c r="Z82" i="3"/>
  <c r="Z86" i="3"/>
  <c r="Z90" i="3"/>
  <c r="Z94" i="3"/>
  <c r="Z98" i="3"/>
  <c r="Z102" i="3"/>
  <c r="Z106" i="3"/>
  <c r="Z110" i="3"/>
  <c r="Z114" i="3"/>
  <c r="Z118" i="3"/>
  <c r="Z122" i="3"/>
  <c r="Z126" i="3"/>
  <c r="Z130" i="3"/>
  <c r="Z134" i="3"/>
  <c r="Z138" i="3"/>
  <c r="Z142" i="3"/>
  <c r="Z146" i="3"/>
  <c r="Z150" i="3"/>
  <c r="Z154" i="3"/>
  <c r="Z158" i="3"/>
  <c r="Z162" i="3"/>
  <c r="Z166" i="3"/>
  <c r="Z170" i="3"/>
  <c r="Z174" i="3"/>
  <c r="Z178" i="3"/>
  <c r="Z182" i="3"/>
  <c r="Z186" i="3"/>
  <c r="Z190" i="3"/>
  <c r="Z194" i="3"/>
  <c r="Z198" i="3"/>
  <c r="Z202" i="3"/>
  <c r="Z206" i="3"/>
  <c r="Z210" i="3"/>
  <c r="Z214" i="3"/>
  <c r="Z218" i="3"/>
  <c r="Z222" i="3"/>
  <c r="Z226" i="3"/>
  <c r="Z230" i="3"/>
  <c r="Z234" i="3"/>
  <c r="Z238" i="3"/>
  <c r="Z242" i="3"/>
  <c r="Z246" i="3"/>
  <c r="Z250" i="3"/>
  <c r="Z254" i="3"/>
  <c r="Z258" i="3"/>
  <c r="Z262" i="3"/>
  <c r="Z266" i="3"/>
  <c r="Z270" i="3"/>
  <c r="Z274" i="3"/>
  <c r="Z278" i="3"/>
  <c r="Z282" i="3"/>
  <c r="Z286" i="3"/>
  <c r="Z290" i="3"/>
  <c r="Z294" i="3"/>
  <c r="Z298" i="3"/>
  <c r="Z302" i="3"/>
  <c r="Z306" i="3"/>
  <c r="Z310" i="3"/>
  <c r="Z314" i="3"/>
  <c r="Z318" i="3"/>
  <c r="Z322" i="3"/>
  <c r="Z326" i="3"/>
  <c r="Z330" i="3"/>
  <c r="Z334" i="3"/>
  <c r="Z338" i="3"/>
  <c r="Z342" i="3"/>
  <c r="Z7" i="3"/>
  <c r="Z11" i="3"/>
  <c r="Z15" i="3"/>
  <c r="Z19" i="3"/>
  <c r="Z23" i="3"/>
  <c r="Z27" i="3"/>
  <c r="Z31" i="3"/>
  <c r="Z35" i="3"/>
  <c r="Z39" i="3"/>
  <c r="Z43" i="3"/>
  <c r="Z47" i="3"/>
  <c r="Z51" i="3"/>
  <c r="Z55" i="3"/>
  <c r="Z59" i="3"/>
  <c r="Z63" i="3"/>
  <c r="Z67" i="3"/>
  <c r="Z71" i="3"/>
  <c r="Z75" i="3"/>
  <c r="Z79" i="3"/>
  <c r="Z83" i="3"/>
  <c r="Z87" i="3"/>
  <c r="Z91" i="3"/>
  <c r="Z95" i="3"/>
  <c r="Z99" i="3"/>
  <c r="Z103" i="3"/>
  <c r="Z107" i="3"/>
  <c r="Z111" i="3"/>
  <c r="Z115" i="3"/>
  <c r="Z119" i="3"/>
  <c r="Z123" i="3"/>
  <c r="Z127" i="3"/>
  <c r="Z131" i="3"/>
  <c r="Z135" i="3"/>
  <c r="Z139" i="3"/>
  <c r="Z143" i="3"/>
  <c r="Z147" i="3"/>
  <c r="Z151" i="3"/>
  <c r="Z155" i="3"/>
  <c r="Z159" i="3"/>
  <c r="Z163" i="3"/>
  <c r="Z167" i="3"/>
  <c r="Z171" i="3"/>
  <c r="Z175" i="3"/>
  <c r="Z179" i="3"/>
  <c r="Z183" i="3"/>
  <c r="Z187" i="3"/>
  <c r="Z191" i="3"/>
  <c r="Z195" i="3"/>
  <c r="Z199" i="3"/>
  <c r="Z203" i="3"/>
  <c r="Z207" i="3"/>
  <c r="Z211" i="3"/>
  <c r="Z215" i="3"/>
  <c r="Z219" i="3"/>
  <c r="Z223" i="3"/>
  <c r="Z227" i="3"/>
  <c r="Z231" i="3"/>
  <c r="Z235" i="3"/>
  <c r="Z239" i="3"/>
  <c r="Z243" i="3"/>
  <c r="Z247" i="3"/>
  <c r="Z251" i="3"/>
  <c r="Z255" i="3"/>
  <c r="Z259" i="3"/>
  <c r="Z263" i="3"/>
  <c r="Z267" i="3"/>
  <c r="Z271" i="3"/>
  <c r="Z275" i="3"/>
  <c r="Z279" i="3"/>
  <c r="Z283" i="3"/>
  <c r="Z287" i="3"/>
  <c r="Z291" i="3"/>
  <c r="Z295" i="3"/>
  <c r="Z299" i="3"/>
  <c r="Z303" i="3"/>
  <c r="Z307" i="3"/>
  <c r="Z311" i="3"/>
  <c r="Z315" i="3"/>
  <c r="Z319" i="3"/>
  <c r="Z323" i="3"/>
  <c r="Z327" i="3"/>
  <c r="Z331" i="3"/>
  <c r="Z335" i="3"/>
  <c r="AA7" i="3"/>
  <c r="AA11" i="3"/>
  <c r="AA15" i="3"/>
  <c r="AA19" i="3"/>
  <c r="AA23" i="3"/>
  <c r="AA27" i="3"/>
  <c r="AA31" i="3"/>
  <c r="AA35" i="3"/>
  <c r="AA39" i="3"/>
  <c r="AA43" i="3"/>
  <c r="AA47" i="3"/>
  <c r="AA51" i="3"/>
  <c r="AA55" i="3"/>
  <c r="AA59" i="3"/>
  <c r="AA63" i="3"/>
  <c r="AA67" i="3"/>
  <c r="AA71" i="3"/>
  <c r="AA75" i="3"/>
  <c r="AA79" i="3"/>
  <c r="AA83" i="3"/>
  <c r="AA87" i="3"/>
  <c r="AA91" i="3"/>
  <c r="AA95" i="3"/>
  <c r="AA99" i="3"/>
  <c r="AA103" i="3"/>
  <c r="AA107" i="3"/>
  <c r="AA111" i="3"/>
  <c r="AA115" i="3"/>
  <c r="AA119" i="3"/>
  <c r="AA123" i="3"/>
  <c r="AA127" i="3"/>
  <c r="AA131" i="3"/>
  <c r="AA135" i="3"/>
  <c r="AA139" i="3"/>
  <c r="AA143" i="3"/>
  <c r="AA147" i="3"/>
  <c r="AA151" i="3"/>
  <c r="AA155" i="3"/>
  <c r="AA159" i="3"/>
  <c r="AA163" i="3"/>
  <c r="AA167" i="3"/>
  <c r="AA171" i="3"/>
  <c r="AA175" i="3"/>
  <c r="AA179" i="3"/>
  <c r="AA183" i="3"/>
  <c r="AA187" i="3"/>
  <c r="AA191" i="3"/>
  <c r="AA195" i="3"/>
  <c r="AA199" i="3"/>
  <c r="AA203" i="3"/>
  <c r="AA207" i="3"/>
  <c r="AA211" i="3"/>
  <c r="AA215" i="3"/>
  <c r="AA219" i="3"/>
  <c r="AA223" i="3"/>
  <c r="AA227" i="3"/>
  <c r="AA231" i="3"/>
  <c r="AA235" i="3"/>
  <c r="AA239" i="3"/>
  <c r="AA243" i="3"/>
  <c r="AA247" i="3"/>
  <c r="AA251" i="3"/>
  <c r="AA255" i="3"/>
  <c r="AA259" i="3"/>
  <c r="AA263" i="3"/>
  <c r="AA267" i="3"/>
  <c r="AA271" i="3"/>
  <c r="AA275" i="3"/>
  <c r="AA279" i="3"/>
  <c r="AA283" i="3"/>
  <c r="AA287" i="3"/>
  <c r="AA291" i="3"/>
  <c r="AA295" i="3"/>
  <c r="AA299" i="3"/>
  <c r="AA303" i="3"/>
  <c r="AA307" i="3"/>
  <c r="AA311" i="3"/>
  <c r="AA315" i="3"/>
  <c r="AA319" i="3"/>
  <c r="AA323" i="3"/>
  <c r="AA327" i="3"/>
  <c r="AA331" i="3"/>
  <c r="AA335" i="3"/>
  <c r="AA339" i="3"/>
  <c r="Z401" i="3"/>
  <c r="Z397" i="3"/>
  <c r="Z393" i="3"/>
  <c r="Z389" i="3"/>
  <c r="Z385" i="3"/>
  <c r="Z381" i="3"/>
  <c r="Z377" i="3"/>
  <c r="Z373" i="3"/>
  <c r="Z369" i="3"/>
  <c r="Z365" i="3"/>
  <c r="Z361" i="3"/>
  <c r="Z357" i="3"/>
  <c r="Z353" i="3"/>
  <c r="Z349" i="3"/>
  <c r="Z345" i="3"/>
  <c r="Z339" i="3"/>
  <c r="AA322" i="3"/>
  <c r="AA290" i="3"/>
  <c r="AA258" i="3"/>
  <c r="AA226" i="3"/>
  <c r="AA194" i="3"/>
  <c r="AA162" i="3"/>
  <c r="AA130" i="3"/>
  <c r="AA98" i="3"/>
  <c r="AA66" i="3"/>
  <c r="AA34" i="3"/>
  <c r="Z3" i="3"/>
  <c r="AA400" i="3"/>
  <c r="AA396" i="3"/>
  <c r="AA392" i="3"/>
  <c r="AA388" i="3"/>
  <c r="AA384" i="3"/>
  <c r="AA380" i="3"/>
  <c r="AA376" i="3"/>
  <c r="AA372" i="3"/>
  <c r="AA368" i="3"/>
  <c r="AA364" i="3"/>
  <c r="AA360" i="3"/>
  <c r="AA356" i="3"/>
  <c r="AA352" i="3"/>
  <c r="AA348" i="3"/>
  <c r="AA344" i="3"/>
  <c r="AA338" i="3"/>
  <c r="AA318" i="3"/>
  <c r="AA286" i="3"/>
  <c r="AA254" i="3"/>
  <c r="AA222" i="3"/>
  <c r="AA190" i="3"/>
  <c r="AA158" i="3"/>
  <c r="AA126" i="3"/>
  <c r="AA94" i="3"/>
  <c r="AA62" i="3"/>
  <c r="AA30" i="3"/>
  <c r="AA403" i="3"/>
  <c r="AA399" i="3"/>
  <c r="AA395" i="3"/>
  <c r="AA391" i="3"/>
  <c r="AA387" i="3"/>
  <c r="AA383" i="3"/>
  <c r="AA379" i="3"/>
  <c r="AA375" i="3"/>
  <c r="AA371" i="3"/>
  <c r="AA367" i="3"/>
  <c r="AA363" i="3"/>
  <c r="AA359" i="3"/>
  <c r="AA355" i="3"/>
  <c r="AA351" i="3"/>
  <c r="AA347" i="3"/>
  <c r="AA343" i="3"/>
  <c r="AA336" i="3"/>
  <c r="AA310" i="3"/>
  <c r="AA278" i="3"/>
  <c r="AA246" i="3"/>
  <c r="AA214" i="3"/>
  <c r="AA182" i="3"/>
  <c r="AA150" i="3"/>
  <c r="AA118" i="3"/>
  <c r="AA86" i="3"/>
  <c r="AA54" i="3"/>
  <c r="AA22" i="3"/>
  <c r="Z403" i="3"/>
  <c r="Z399" i="3"/>
  <c r="Z395" i="3"/>
  <c r="Z391" i="3"/>
  <c r="Z387" i="3"/>
  <c r="Z383" i="3"/>
  <c r="Z379" i="3"/>
  <c r="Z375" i="3"/>
  <c r="Z371" i="3"/>
  <c r="Z367" i="3"/>
  <c r="Z363" i="3"/>
  <c r="Z359" i="3"/>
  <c r="Z355" i="3"/>
  <c r="Z351" i="3"/>
  <c r="Z347" i="3"/>
  <c r="Z343" i="3"/>
  <c r="AA334" i="3"/>
  <c r="AA306" i="3"/>
  <c r="AA274" i="3"/>
  <c r="AA242" i="3"/>
  <c r="AA210" i="3"/>
  <c r="AA178" i="3"/>
  <c r="AA146" i="3"/>
  <c r="AA114" i="3"/>
  <c r="AA82" i="3"/>
  <c r="AA50" i="3"/>
  <c r="AA18" i="3"/>
  <c r="AA402" i="3"/>
  <c r="AA398" i="3"/>
  <c r="AA394" i="3"/>
  <c r="AA390" i="3"/>
  <c r="AA386" i="3"/>
  <c r="AA382" i="3"/>
  <c r="AA378" i="3"/>
  <c r="AA374" i="3"/>
  <c r="AA370" i="3"/>
  <c r="AA366" i="3"/>
  <c r="AA362" i="3"/>
  <c r="AA358" i="3"/>
  <c r="AA354" i="3"/>
  <c r="AA350" i="3"/>
  <c r="AA346" i="3"/>
  <c r="AA342" i="3"/>
  <c r="AA333" i="3"/>
  <c r="AA302" i="3"/>
  <c r="AA270" i="3"/>
  <c r="AA238" i="3"/>
  <c r="AA206" i="3"/>
  <c r="AA174" i="3"/>
  <c r="AA142" i="3"/>
  <c r="AA110" i="3"/>
  <c r="AA78" i="3"/>
  <c r="AA46" i="3"/>
  <c r="AA14" i="3"/>
  <c r="Z402" i="3"/>
  <c r="Z398" i="3"/>
  <c r="Z394" i="3"/>
  <c r="Z390" i="3"/>
  <c r="Z386" i="3"/>
  <c r="Z382" i="3"/>
  <c r="Z378" i="3"/>
  <c r="Z374" i="3"/>
  <c r="Z370" i="3"/>
  <c r="Z366" i="3"/>
  <c r="Z362" i="3"/>
  <c r="Z358" i="3"/>
  <c r="Z354" i="3"/>
  <c r="Z350" i="3"/>
  <c r="Z346" i="3"/>
  <c r="AA341" i="3"/>
  <c r="AA330" i="3"/>
  <c r="AA298" i="3"/>
  <c r="AA266" i="3"/>
  <c r="AA234" i="3"/>
  <c r="AA202" i="3"/>
  <c r="AA170" i="3"/>
  <c r="AA138" i="3"/>
  <c r="AA106" i="3"/>
  <c r="AA74" i="3"/>
  <c r="AA42" i="3"/>
  <c r="AA10" i="3"/>
  <c r="AA401" i="3"/>
  <c r="AA397" i="3"/>
  <c r="AA393" i="3"/>
  <c r="AA389" i="3"/>
  <c r="AA385" i="3"/>
  <c r="AA381" i="3"/>
  <c r="AA377" i="3"/>
  <c r="AA373" i="3"/>
  <c r="AA369" i="3"/>
  <c r="AA365" i="3"/>
  <c r="AA361" i="3"/>
  <c r="AA357" i="3"/>
  <c r="AA353" i="3"/>
  <c r="AA349" i="3"/>
  <c r="AA345" i="3"/>
  <c r="AA340" i="3"/>
  <c r="AA326" i="3"/>
  <c r="AA294" i="3"/>
  <c r="AA262" i="3"/>
  <c r="AA230" i="3"/>
  <c r="AA198" i="3"/>
  <c r="AA166" i="3"/>
  <c r="AA134" i="3"/>
  <c r="AA102" i="3"/>
  <c r="AA70" i="3"/>
  <c r="AA38" i="3"/>
  <c r="AA6" i="3"/>
  <c r="AO380" i="3"/>
  <c r="AO400" i="3"/>
  <c r="AO384" i="3"/>
  <c r="AO368" i="3"/>
  <c r="AO352" i="3"/>
  <c r="AO336" i="3"/>
  <c r="AO320" i="3"/>
  <c r="AN271" i="3"/>
  <c r="AO398" i="3"/>
  <c r="AO382" i="3"/>
  <c r="AO366" i="3"/>
  <c r="AO350" i="3"/>
  <c r="AO334" i="3"/>
  <c r="AO318" i="3"/>
  <c r="AN255" i="3"/>
  <c r="AO316" i="3"/>
  <c r="AO394" i="3"/>
  <c r="AO378" i="3"/>
  <c r="AO362" i="3"/>
  <c r="AO346" i="3"/>
  <c r="AO330" i="3"/>
  <c r="AO314" i="3"/>
  <c r="AN223" i="3"/>
  <c r="AN239" i="3"/>
  <c r="AO392" i="3"/>
  <c r="AO376" i="3"/>
  <c r="AO360" i="3"/>
  <c r="AO344" i="3"/>
  <c r="AO328" i="3"/>
  <c r="AN311" i="3"/>
  <c r="AN207" i="3"/>
  <c r="AO348" i="3"/>
  <c r="AO390" i="3"/>
  <c r="AO374" i="3"/>
  <c r="AO358" i="3"/>
  <c r="AO342" i="3"/>
  <c r="AO326" i="3"/>
  <c r="AN307" i="3"/>
  <c r="AN191" i="3"/>
  <c r="AO332" i="3"/>
  <c r="AL3" i="3"/>
  <c r="AO388" i="3"/>
  <c r="AO372" i="3"/>
  <c r="AO356" i="3"/>
  <c r="AO340" i="3"/>
  <c r="AO324" i="3"/>
  <c r="AL303" i="3"/>
  <c r="AN175" i="3"/>
  <c r="AO396" i="3"/>
  <c r="AO364" i="3"/>
  <c r="AO402" i="3"/>
  <c r="AO386" i="3"/>
  <c r="AO370" i="3"/>
  <c r="AO354" i="3"/>
  <c r="AO338" i="3"/>
  <c r="AO322" i="3"/>
  <c r="AN287" i="3"/>
  <c r="AO127" i="3"/>
  <c r="AM3" i="3"/>
  <c r="AN402" i="3"/>
  <c r="AN400" i="3"/>
  <c r="AN398" i="3"/>
  <c r="AN396" i="3"/>
  <c r="AN394" i="3"/>
  <c r="AN392" i="3"/>
  <c r="AN390" i="3"/>
  <c r="AN388" i="3"/>
  <c r="AN386" i="3"/>
  <c r="AN384" i="3"/>
  <c r="AN382" i="3"/>
  <c r="AN380" i="3"/>
  <c r="AN378" i="3"/>
  <c r="AN376" i="3"/>
  <c r="AN374" i="3"/>
  <c r="AN372" i="3"/>
  <c r="AN370" i="3"/>
  <c r="AN368" i="3"/>
  <c r="AN366" i="3"/>
  <c r="AN364" i="3"/>
  <c r="AN362" i="3"/>
  <c r="AN360" i="3"/>
  <c r="AN358" i="3"/>
  <c r="AN356" i="3"/>
  <c r="AN354" i="3"/>
  <c r="AN352" i="3"/>
  <c r="AN350" i="3"/>
  <c r="AN348" i="3"/>
  <c r="AN346" i="3"/>
  <c r="AN344" i="3"/>
  <c r="AN342" i="3"/>
  <c r="AN340" i="3"/>
  <c r="AN338" i="3"/>
  <c r="AN336" i="3"/>
  <c r="AN334" i="3"/>
  <c r="AN332" i="3"/>
  <c r="AN330" i="3"/>
  <c r="AN328" i="3"/>
  <c r="AN326" i="3"/>
  <c r="AN324" i="3"/>
  <c r="AN322" i="3"/>
  <c r="AN320" i="3"/>
  <c r="AN318" i="3"/>
  <c r="AN316" i="3"/>
  <c r="AN314" i="3"/>
  <c r="AM311" i="3"/>
  <c r="AM307" i="3"/>
  <c r="AN301" i="3"/>
  <c r="AN285" i="3"/>
  <c r="AN269" i="3"/>
  <c r="AN253" i="3"/>
  <c r="AN237" i="3"/>
  <c r="AN221" i="3"/>
  <c r="AN205" i="3"/>
  <c r="AN189" i="3"/>
  <c r="AM173" i="3"/>
  <c r="AO111" i="3"/>
  <c r="AN3" i="3"/>
  <c r="AM402" i="3"/>
  <c r="AM400" i="3"/>
  <c r="AM398" i="3"/>
  <c r="AM396" i="3"/>
  <c r="AQ396" i="3" s="1"/>
  <c r="AM394" i="3"/>
  <c r="AM392" i="3"/>
  <c r="AM390" i="3"/>
  <c r="AM388" i="3"/>
  <c r="AM386" i="3"/>
  <c r="AM384" i="3"/>
  <c r="AM382" i="3"/>
  <c r="AM380" i="3"/>
  <c r="AM378" i="3"/>
  <c r="AM376" i="3"/>
  <c r="AM374" i="3"/>
  <c r="AM372" i="3"/>
  <c r="AM370" i="3"/>
  <c r="AM368" i="3"/>
  <c r="AM366" i="3"/>
  <c r="AM364" i="3"/>
  <c r="AM362" i="3"/>
  <c r="AM360" i="3"/>
  <c r="AM358" i="3"/>
  <c r="AM356" i="3"/>
  <c r="AM354" i="3"/>
  <c r="AM352" i="3"/>
  <c r="AM350" i="3"/>
  <c r="AM348" i="3"/>
  <c r="AM346" i="3"/>
  <c r="AM344" i="3"/>
  <c r="AM342" i="3"/>
  <c r="AM340" i="3"/>
  <c r="AM338" i="3"/>
  <c r="AM336" i="3"/>
  <c r="AM334" i="3"/>
  <c r="AM332" i="3"/>
  <c r="AM330" i="3"/>
  <c r="AM328" i="3"/>
  <c r="AM326" i="3"/>
  <c r="AM324" i="3"/>
  <c r="AM322" i="3"/>
  <c r="AM320" i="3"/>
  <c r="AM318" i="3"/>
  <c r="AM316" i="3"/>
  <c r="AM314" i="3"/>
  <c r="AL311" i="3"/>
  <c r="AL307" i="3"/>
  <c r="AN299" i="3"/>
  <c r="AN283" i="3"/>
  <c r="AN267" i="3"/>
  <c r="AN251" i="3"/>
  <c r="AN235" i="3"/>
  <c r="AN219" i="3"/>
  <c r="AN203" i="3"/>
  <c r="AN187" i="3"/>
  <c r="AO95" i="3"/>
  <c r="AL4" i="3"/>
  <c r="AL6" i="3"/>
  <c r="AL8" i="3"/>
  <c r="AL10" i="3"/>
  <c r="AL12" i="3"/>
  <c r="AL14" i="3"/>
  <c r="AL16" i="3"/>
  <c r="AL18" i="3"/>
  <c r="AL20" i="3"/>
  <c r="AL22" i="3"/>
  <c r="AL24" i="3"/>
  <c r="AL26" i="3"/>
  <c r="AL28" i="3"/>
  <c r="AL30" i="3"/>
  <c r="AL32" i="3"/>
  <c r="AL34" i="3"/>
  <c r="AL36" i="3"/>
  <c r="AL38" i="3"/>
  <c r="AL40" i="3"/>
  <c r="AL42" i="3"/>
  <c r="AL44" i="3"/>
  <c r="AL46" i="3"/>
  <c r="AL48" i="3"/>
  <c r="AL50" i="3"/>
  <c r="AL52" i="3"/>
  <c r="AL54" i="3"/>
  <c r="AL56" i="3"/>
  <c r="AL58" i="3"/>
  <c r="AL60" i="3"/>
  <c r="AL62" i="3"/>
  <c r="AL64" i="3"/>
  <c r="AL66" i="3"/>
  <c r="AL68" i="3"/>
  <c r="AL70" i="3"/>
  <c r="AL72" i="3"/>
  <c r="AL74" i="3"/>
  <c r="AL76" i="3"/>
  <c r="AL78" i="3"/>
  <c r="AL80" i="3"/>
  <c r="AL82" i="3"/>
  <c r="AL84" i="3"/>
  <c r="AL86" i="3"/>
  <c r="AL88" i="3"/>
  <c r="AL90" i="3"/>
  <c r="AL92" i="3"/>
  <c r="AL94" i="3"/>
  <c r="AL96" i="3"/>
  <c r="AL98" i="3"/>
  <c r="AL100" i="3"/>
  <c r="AL102" i="3"/>
  <c r="AL104" i="3"/>
  <c r="AL106" i="3"/>
  <c r="AL108" i="3"/>
  <c r="AL110" i="3"/>
  <c r="AL112" i="3"/>
  <c r="AL114" i="3"/>
  <c r="AL116" i="3"/>
  <c r="AL118" i="3"/>
  <c r="AL120" i="3"/>
  <c r="AL122" i="3"/>
  <c r="AL124" i="3"/>
  <c r="AL126" i="3"/>
  <c r="AL128" i="3"/>
  <c r="AL130" i="3"/>
  <c r="AL132" i="3"/>
  <c r="AL134" i="3"/>
  <c r="AL136" i="3"/>
  <c r="AL138" i="3"/>
  <c r="AL140" i="3"/>
  <c r="AL142" i="3"/>
  <c r="AL144" i="3"/>
  <c r="AL146" i="3"/>
  <c r="AL148" i="3"/>
  <c r="AL150" i="3"/>
  <c r="AL152" i="3"/>
  <c r="AL154" i="3"/>
  <c r="AL156" i="3"/>
  <c r="AL158" i="3"/>
  <c r="AL160" i="3"/>
  <c r="AL162" i="3"/>
  <c r="AL164" i="3"/>
  <c r="AL166" i="3"/>
  <c r="AM4" i="3"/>
  <c r="AM6" i="3"/>
  <c r="AM8" i="3"/>
  <c r="AM10" i="3"/>
  <c r="AM12" i="3"/>
  <c r="AM14" i="3"/>
  <c r="AM16" i="3"/>
  <c r="AM18" i="3"/>
  <c r="AM20" i="3"/>
  <c r="AM22" i="3"/>
  <c r="AM24" i="3"/>
  <c r="AM26" i="3"/>
  <c r="AM28" i="3"/>
  <c r="AM30" i="3"/>
  <c r="AM32" i="3"/>
  <c r="AM34" i="3"/>
  <c r="AM36" i="3"/>
  <c r="AM38" i="3"/>
  <c r="AM40" i="3"/>
  <c r="AM42" i="3"/>
  <c r="AM44" i="3"/>
  <c r="AM46" i="3"/>
  <c r="AM48" i="3"/>
  <c r="AM50" i="3"/>
  <c r="AM52" i="3"/>
  <c r="AM54" i="3"/>
  <c r="AM56" i="3"/>
  <c r="AM58" i="3"/>
  <c r="AM60" i="3"/>
  <c r="AM62" i="3"/>
  <c r="AM64" i="3"/>
  <c r="AM66" i="3"/>
  <c r="AM68" i="3"/>
  <c r="AM70" i="3"/>
  <c r="AM72" i="3"/>
  <c r="AM74" i="3"/>
  <c r="AM76" i="3"/>
  <c r="AM78" i="3"/>
  <c r="AM80" i="3"/>
  <c r="AM82" i="3"/>
  <c r="AM84" i="3"/>
  <c r="AM86" i="3"/>
  <c r="AM88" i="3"/>
  <c r="AM90" i="3"/>
  <c r="AM92" i="3"/>
  <c r="AM94" i="3"/>
  <c r="AM96" i="3"/>
  <c r="AM98" i="3"/>
  <c r="AM100" i="3"/>
  <c r="AM102" i="3"/>
  <c r="AM104" i="3"/>
  <c r="AM106" i="3"/>
  <c r="AM108" i="3"/>
  <c r="AM110" i="3"/>
  <c r="AM112" i="3"/>
  <c r="AM114" i="3"/>
  <c r="AM116" i="3"/>
  <c r="AM118" i="3"/>
  <c r="AM120" i="3"/>
  <c r="AM122" i="3"/>
  <c r="AM124" i="3"/>
  <c r="AM126" i="3"/>
  <c r="AM128" i="3"/>
  <c r="AM130" i="3"/>
  <c r="AM132" i="3"/>
  <c r="AM134" i="3"/>
  <c r="AM136" i="3"/>
  <c r="AM138" i="3"/>
  <c r="AM140" i="3"/>
  <c r="AM142" i="3"/>
  <c r="AM144" i="3"/>
  <c r="AM146" i="3"/>
  <c r="AM148" i="3"/>
  <c r="AM150" i="3"/>
  <c r="AM152" i="3"/>
  <c r="AM154" i="3"/>
  <c r="AM156" i="3"/>
  <c r="AM158" i="3"/>
  <c r="AM160" i="3"/>
  <c r="AM162" i="3"/>
  <c r="AM164" i="3"/>
  <c r="AM166" i="3"/>
  <c r="AM168" i="3"/>
  <c r="AM170" i="3"/>
  <c r="AM172" i="3"/>
  <c r="AL5" i="3"/>
  <c r="AL7" i="3"/>
  <c r="AL9" i="3"/>
  <c r="AL11" i="3"/>
  <c r="AL13" i="3"/>
  <c r="AL15" i="3"/>
  <c r="AL17" i="3"/>
  <c r="AL19" i="3"/>
  <c r="AL21" i="3"/>
  <c r="AL23" i="3"/>
  <c r="AL25" i="3"/>
  <c r="AL27" i="3"/>
  <c r="AL29" i="3"/>
  <c r="AL31" i="3"/>
  <c r="AL33" i="3"/>
  <c r="AL35" i="3"/>
  <c r="AL37" i="3"/>
  <c r="AL39" i="3"/>
  <c r="AL41" i="3"/>
  <c r="AL43" i="3"/>
  <c r="AL45" i="3"/>
  <c r="AL47" i="3"/>
  <c r="AL49" i="3"/>
  <c r="AL51" i="3"/>
  <c r="AL53" i="3"/>
  <c r="AL55" i="3"/>
  <c r="AL57" i="3"/>
  <c r="AL59" i="3"/>
  <c r="AL61" i="3"/>
  <c r="AL63" i="3"/>
  <c r="AL65" i="3"/>
  <c r="AL67" i="3"/>
  <c r="AL69" i="3"/>
  <c r="AL71" i="3"/>
  <c r="AL73" i="3"/>
  <c r="AL75" i="3"/>
  <c r="AL77" i="3"/>
  <c r="AL79" i="3"/>
  <c r="AL81" i="3"/>
  <c r="AL83" i="3"/>
  <c r="AL85" i="3"/>
  <c r="AL87" i="3"/>
  <c r="AL89" i="3"/>
  <c r="AL91" i="3"/>
  <c r="AL93" i="3"/>
  <c r="AL95" i="3"/>
  <c r="AL97" i="3"/>
  <c r="AL99" i="3"/>
  <c r="AL101" i="3"/>
  <c r="AL103" i="3"/>
  <c r="AL105" i="3"/>
  <c r="AL107" i="3"/>
  <c r="AL109" i="3"/>
  <c r="AL111" i="3"/>
  <c r="AL113" i="3"/>
  <c r="AL115" i="3"/>
  <c r="AL117" i="3"/>
  <c r="AL119" i="3"/>
  <c r="AL121" i="3"/>
  <c r="AL123" i="3"/>
  <c r="AL125" i="3"/>
  <c r="AL127" i="3"/>
  <c r="AL129" i="3"/>
  <c r="AL131" i="3"/>
  <c r="AL133" i="3"/>
  <c r="AL135" i="3"/>
  <c r="AL137" i="3"/>
  <c r="AM5" i="3"/>
  <c r="AM7" i="3"/>
  <c r="AM9" i="3"/>
  <c r="AM11" i="3"/>
  <c r="AM13" i="3"/>
  <c r="AM15" i="3"/>
  <c r="AM17" i="3"/>
  <c r="AM19" i="3"/>
  <c r="AM21" i="3"/>
  <c r="AM23" i="3"/>
  <c r="AM25" i="3"/>
  <c r="AM27" i="3"/>
  <c r="AM29" i="3"/>
  <c r="AM31" i="3"/>
  <c r="AM33" i="3"/>
  <c r="AM35" i="3"/>
  <c r="AM37" i="3"/>
  <c r="AM39" i="3"/>
  <c r="AM41" i="3"/>
  <c r="AM43" i="3"/>
  <c r="AM45" i="3"/>
  <c r="AM47" i="3"/>
  <c r="AM49" i="3"/>
  <c r="AM51" i="3"/>
  <c r="AM53" i="3"/>
  <c r="AM55" i="3"/>
  <c r="AM57" i="3"/>
  <c r="AM59" i="3"/>
  <c r="AM61" i="3"/>
  <c r="AM63" i="3"/>
  <c r="AM65" i="3"/>
  <c r="AM67" i="3"/>
  <c r="AM69" i="3"/>
  <c r="AM71" i="3"/>
  <c r="AM73" i="3"/>
  <c r="AM75" i="3"/>
  <c r="AM77" i="3"/>
  <c r="AM79" i="3"/>
  <c r="AM81" i="3"/>
  <c r="AM83" i="3"/>
  <c r="AM85" i="3"/>
  <c r="AM87" i="3"/>
  <c r="AM89" i="3"/>
  <c r="AM91" i="3"/>
  <c r="AM93" i="3"/>
  <c r="AM95" i="3"/>
  <c r="AM97" i="3"/>
  <c r="AM99" i="3"/>
  <c r="AM101" i="3"/>
  <c r="AM103" i="3"/>
  <c r="AM105" i="3"/>
  <c r="AM107" i="3"/>
  <c r="AM109" i="3"/>
  <c r="AM111" i="3"/>
  <c r="AM113" i="3"/>
  <c r="AM115" i="3"/>
  <c r="AM117" i="3"/>
  <c r="AM119" i="3"/>
  <c r="AM121" i="3"/>
  <c r="AM123" i="3"/>
  <c r="AM125" i="3"/>
  <c r="AM127" i="3"/>
  <c r="AM129" i="3"/>
  <c r="AM131" i="3"/>
  <c r="AM133" i="3"/>
  <c r="AM135" i="3"/>
  <c r="AM137" i="3"/>
  <c r="AM139" i="3"/>
  <c r="AM141" i="3"/>
  <c r="AM143" i="3"/>
  <c r="AM145" i="3"/>
  <c r="AM147" i="3"/>
  <c r="AL151" i="3"/>
  <c r="AM161" i="3"/>
  <c r="AL167" i="3"/>
  <c r="AL171" i="3"/>
  <c r="AM174" i="3"/>
  <c r="AM176" i="3"/>
  <c r="AM178" i="3"/>
  <c r="AM180" i="3"/>
  <c r="AM182" i="3"/>
  <c r="AM184" i="3"/>
  <c r="AM186" i="3"/>
  <c r="AM188" i="3"/>
  <c r="AM190" i="3"/>
  <c r="AM192" i="3"/>
  <c r="AM194" i="3"/>
  <c r="AM196" i="3"/>
  <c r="AM198" i="3"/>
  <c r="AM200" i="3"/>
  <c r="AM202" i="3"/>
  <c r="AM204" i="3"/>
  <c r="AM206" i="3"/>
  <c r="AM208" i="3"/>
  <c r="AM210" i="3"/>
  <c r="AM212" i="3"/>
  <c r="AM214" i="3"/>
  <c r="AM216" i="3"/>
  <c r="AM218" i="3"/>
  <c r="AM220" i="3"/>
  <c r="AM222" i="3"/>
  <c r="AM224" i="3"/>
  <c r="AM226" i="3"/>
  <c r="AM228" i="3"/>
  <c r="AM230" i="3"/>
  <c r="AM232" i="3"/>
  <c r="AM234" i="3"/>
  <c r="AM236" i="3"/>
  <c r="AM238" i="3"/>
  <c r="AM240" i="3"/>
  <c r="AM242" i="3"/>
  <c r="AM244" i="3"/>
  <c r="AM246" i="3"/>
  <c r="AM248" i="3"/>
  <c r="AM250" i="3"/>
  <c r="AM252" i="3"/>
  <c r="AM254" i="3"/>
  <c r="AM256" i="3"/>
  <c r="AM258" i="3"/>
  <c r="AM260" i="3"/>
  <c r="AM262" i="3"/>
  <c r="AM264" i="3"/>
  <c r="AM266" i="3"/>
  <c r="AM268" i="3"/>
  <c r="AM270" i="3"/>
  <c r="AM272" i="3"/>
  <c r="AM274" i="3"/>
  <c r="AM276" i="3"/>
  <c r="AM278" i="3"/>
  <c r="AM280" i="3"/>
  <c r="AM282" i="3"/>
  <c r="AM284" i="3"/>
  <c r="AM286" i="3"/>
  <c r="AM288" i="3"/>
  <c r="AM290" i="3"/>
  <c r="AM292" i="3"/>
  <c r="AM294" i="3"/>
  <c r="AM296" i="3"/>
  <c r="AM298" i="3"/>
  <c r="AM300" i="3"/>
  <c r="AM302" i="3"/>
  <c r="AM304" i="3"/>
  <c r="AL145" i="3"/>
  <c r="AM151" i="3"/>
  <c r="AL157" i="3"/>
  <c r="AM167" i="3"/>
  <c r="AM171" i="3"/>
  <c r="AM157" i="3"/>
  <c r="AL163" i="3"/>
  <c r="AL139" i="3"/>
  <c r="AL147" i="3"/>
  <c r="AL153" i="3"/>
  <c r="AM163" i="3"/>
  <c r="AL168" i="3"/>
  <c r="AL172" i="3"/>
  <c r="AL175" i="3"/>
  <c r="AL177" i="3"/>
  <c r="AL179" i="3"/>
  <c r="AL181" i="3"/>
  <c r="AL183" i="3"/>
  <c r="AL185" i="3"/>
  <c r="AL187" i="3"/>
  <c r="AL189" i="3"/>
  <c r="AL191" i="3"/>
  <c r="AL193" i="3"/>
  <c r="AL195" i="3"/>
  <c r="AL197" i="3"/>
  <c r="AL199" i="3"/>
  <c r="AL201" i="3"/>
  <c r="AL203" i="3"/>
  <c r="AL205" i="3"/>
  <c r="AL207" i="3"/>
  <c r="AL209" i="3"/>
  <c r="AL211" i="3"/>
  <c r="AL213" i="3"/>
  <c r="AL215" i="3"/>
  <c r="AL217" i="3"/>
  <c r="AL219" i="3"/>
  <c r="AL221" i="3"/>
  <c r="AL223" i="3"/>
  <c r="AL225" i="3"/>
  <c r="AL227" i="3"/>
  <c r="AL229" i="3"/>
  <c r="AL231" i="3"/>
  <c r="AL233" i="3"/>
  <c r="AL235" i="3"/>
  <c r="AL237" i="3"/>
  <c r="AL239" i="3"/>
  <c r="AL241" i="3"/>
  <c r="AL243" i="3"/>
  <c r="AL245" i="3"/>
  <c r="AL247" i="3"/>
  <c r="AL249" i="3"/>
  <c r="AL251" i="3"/>
  <c r="AL253" i="3"/>
  <c r="AL255" i="3"/>
  <c r="AL257" i="3"/>
  <c r="AL259" i="3"/>
  <c r="AL261" i="3"/>
  <c r="AL263" i="3"/>
  <c r="AL265" i="3"/>
  <c r="AL267" i="3"/>
  <c r="AL269" i="3"/>
  <c r="AL271" i="3"/>
  <c r="AL273" i="3"/>
  <c r="AL275" i="3"/>
  <c r="AL277" i="3"/>
  <c r="AL279" i="3"/>
  <c r="AL281" i="3"/>
  <c r="AL283" i="3"/>
  <c r="AL285" i="3"/>
  <c r="AL287" i="3"/>
  <c r="AL289" i="3"/>
  <c r="AL291" i="3"/>
  <c r="AL293" i="3"/>
  <c r="AL295" i="3"/>
  <c r="AL297" i="3"/>
  <c r="AL299" i="3"/>
  <c r="AL301" i="3"/>
  <c r="AM153" i="3"/>
  <c r="AL159" i="3"/>
  <c r="AL169" i="3"/>
  <c r="AL173" i="3"/>
  <c r="AM175" i="3"/>
  <c r="AM177" i="3"/>
  <c r="AM179" i="3"/>
  <c r="AM181" i="3"/>
  <c r="AM183" i="3"/>
  <c r="AM185" i="3"/>
  <c r="AM187" i="3"/>
  <c r="AM189" i="3"/>
  <c r="AM191" i="3"/>
  <c r="AM193" i="3"/>
  <c r="AM195" i="3"/>
  <c r="AM197" i="3"/>
  <c r="AM199" i="3"/>
  <c r="AM201" i="3"/>
  <c r="AM203" i="3"/>
  <c r="AM205" i="3"/>
  <c r="AM207" i="3"/>
  <c r="AM209" i="3"/>
  <c r="AM211" i="3"/>
  <c r="AM213" i="3"/>
  <c r="AM215" i="3"/>
  <c r="AM217" i="3"/>
  <c r="AM219" i="3"/>
  <c r="AM221" i="3"/>
  <c r="AM223" i="3"/>
  <c r="AM225" i="3"/>
  <c r="AM227" i="3"/>
  <c r="AM229" i="3"/>
  <c r="AM231" i="3"/>
  <c r="AM233" i="3"/>
  <c r="AM235" i="3"/>
  <c r="AM237" i="3"/>
  <c r="AM239" i="3"/>
  <c r="AM241" i="3"/>
  <c r="AM243" i="3"/>
  <c r="AM245" i="3"/>
  <c r="AM247" i="3"/>
  <c r="AM249" i="3"/>
  <c r="AM251" i="3"/>
  <c r="AM253" i="3"/>
  <c r="AM255" i="3"/>
  <c r="AM257" i="3"/>
  <c r="AM259" i="3"/>
  <c r="AM261" i="3"/>
  <c r="AM263" i="3"/>
  <c r="AM265" i="3"/>
  <c r="AM267" i="3"/>
  <c r="AM269" i="3"/>
  <c r="AM271" i="3"/>
  <c r="AM273" i="3"/>
  <c r="AM275" i="3"/>
  <c r="AM277" i="3"/>
  <c r="AM279" i="3"/>
  <c r="AM281" i="3"/>
  <c r="AM283" i="3"/>
  <c r="AM285" i="3"/>
  <c r="AM287" i="3"/>
  <c r="AM289" i="3"/>
  <c r="AM291" i="3"/>
  <c r="AM293" i="3"/>
  <c r="AM295" i="3"/>
  <c r="AM297" i="3"/>
  <c r="AM299" i="3"/>
  <c r="AM301" i="3"/>
  <c r="AM303" i="3"/>
  <c r="AM149" i="3"/>
  <c r="AL155" i="3"/>
  <c r="AM165" i="3"/>
  <c r="AL143" i="3"/>
  <c r="AM155" i="3"/>
  <c r="AL161" i="3"/>
  <c r="AL170" i="3"/>
  <c r="AL174" i="3"/>
  <c r="AL176" i="3"/>
  <c r="AL178" i="3"/>
  <c r="AL180" i="3"/>
  <c r="AL182" i="3"/>
  <c r="AL184" i="3"/>
  <c r="AL186" i="3"/>
  <c r="AL188" i="3"/>
  <c r="AL190" i="3"/>
  <c r="AL192" i="3"/>
  <c r="AL194" i="3"/>
  <c r="AL196" i="3"/>
  <c r="AL198" i="3"/>
  <c r="AL200" i="3"/>
  <c r="AL202" i="3"/>
  <c r="AL204" i="3"/>
  <c r="AL206" i="3"/>
  <c r="AL208" i="3"/>
  <c r="AL210" i="3"/>
  <c r="AL212" i="3"/>
  <c r="AL214" i="3"/>
  <c r="AL216" i="3"/>
  <c r="AL218" i="3"/>
  <c r="AL220" i="3"/>
  <c r="AL222" i="3"/>
  <c r="AL224" i="3"/>
  <c r="AL226" i="3"/>
  <c r="AL228" i="3"/>
  <c r="AL230" i="3"/>
  <c r="AL232" i="3"/>
  <c r="AL234" i="3"/>
  <c r="AL236" i="3"/>
  <c r="AL238" i="3"/>
  <c r="AL240" i="3"/>
  <c r="AL242" i="3"/>
  <c r="AL244" i="3"/>
  <c r="AL246" i="3"/>
  <c r="AL248" i="3"/>
  <c r="AL250" i="3"/>
  <c r="AL252" i="3"/>
  <c r="AL254" i="3"/>
  <c r="AL256" i="3"/>
  <c r="AL258" i="3"/>
  <c r="AL260" i="3"/>
  <c r="AL262" i="3"/>
  <c r="AL264" i="3"/>
  <c r="AL266" i="3"/>
  <c r="AL268" i="3"/>
  <c r="AL270" i="3"/>
  <c r="AL272" i="3"/>
  <c r="AL274" i="3"/>
  <c r="AL276" i="3"/>
  <c r="AL278" i="3"/>
  <c r="AL280" i="3"/>
  <c r="AL282" i="3"/>
  <c r="AL284" i="3"/>
  <c r="AL286" i="3"/>
  <c r="AL288" i="3"/>
  <c r="AL290" i="3"/>
  <c r="AL292" i="3"/>
  <c r="AL294" i="3"/>
  <c r="AL296" i="3"/>
  <c r="AL298" i="3"/>
  <c r="AL300" i="3"/>
  <c r="AL302" i="3"/>
  <c r="AL304" i="3"/>
  <c r="AL306" i="3"/>
  <c r="AL308" i="3"/>
  <c r="AL310" i="3"/>
  <c r="AL312" i="3"/>
  <c r="AO3" i="3"/>
  <c r="AL402" i="3"/>
  <c r="AL400" i="3"/>
  <c r="AL398" i="3"/>
  <c r="AL396" i="3"/>
  <c r="AL394" i="3"/>
  <c r="AL392" i="3"/>
  <c r="AL390" i="3"/>
  <c r="AL388" i="3"/>
  <c r="AL386" i="3"/>
  <c r="AL384" i="3"/>
  <c r="AL382" i="3"/>
  <c r="AL380" i="3"/>
  <c r="AL378" i="3"/>
  <c r="AL376" i="3"/>
  <c r="AL374" i="3"/>
  <c r="AL372" i="3"/>
  <c r="AL370" i="3"/>
  <c r="AL368" i="3"/>
  <c r="AL366" i="3"/>
  <c r="AL364" i="3"/>
  <c r="AL362" i="3"/>
  <c r="AL360" i="3"/>
  <c r="AL358" i="3"/>
  <c r="AL356" i="3"/>
  <c r="AL354" i="3"/>
  <c r="AL352" i="3"/>
  <c r="AL350" i="3"/>
  <c r="AL348" i="3"/>
  <c r="AL346" i="3"/>
  <c r="AL344" i="3"/>
  <c r="AL342" i="3"/>
  <c r="AL340" i="3"/>
  <c r="AL338" i="3"/>
  <c r="AL336" i="3"/>
  <c r="AL334" i="3"/>
  <c r="AL332" i="3"/>
  <c r="AL330" i="3"/>
  <c r="AL328" i="3"/>
  <c r="AL326" i="3"/>
  <c r="AL324" i="3"/>
  <c r="AL322" i="3"/>
  <c r="AL320" i="3"/>
  <c r="AL318" i="3"/>
  <c r="AL316" i="3"/>
  <c r="AL314" i="3"/>
  <c r="AM310" i="3"/>
  <c r="AM306" i="3"/>
  <c r="AN297" i="3"/>
  <c r="AN281" i="3"/>
  <c r="AN265" i="3"/>
  <c r="AN249" i="3"/>
  <c r="AN233" i="3"/>
  <c r="AN217" i="3"/>
  <c r="AN201" i="3"/>
  <c r="AN185" i="3"/>
  <c r="AL165" i="3"/>
  <c r="AN4" i="3"/>
  <c r="AN6" i="3"/>
  <c r="AN8" i="3"/>
  <c r="AN10" i="3"/>
  <c r="AN12" i="3"/>
  <c r="AN14" i="3"/>
  <c r="AN16" i="3"/>
  <c r="AN18" i="3"/>
  <c r="AN20" i="3"/>
  <c r="AN22" i="3"/>
  <c r="AN24" i="3"/>
  <c r="AN26" i="3"/>
  <c r="AN28" i="3"/>
  <c r="AN30" i="3"/>
  <c r="AN32" i="3"/>
  <c r="AN34" i="3"/>
  <c r="AN36" i="3"/>
  <c r="AN38" i="3"/>
  <c r="AN40" i="3"/>
  <c r="AN42" i="3"/>
  <c r="AN44" i="3"/>
  <c r="AN46" i="3"/>
  <c r="AN48" i="3"/>
  <c r="AN50" i="3"/>
  <c r="AN52" i="3"/>
  <c r="AN54" i="3"/>
  <c r="AN56" i="3"/>
  <c r="AN58" i="3"/>
  <c r="AN60" i="3"/>
  <c r="AN62" i="3"/>
  <c r="AN64" i="3"/>
  <c r="AN66" i="3"/>
  <c r="AN68" i="3"/>
  <c r="AN70" i="3"/>
  <c r="AN72" i="3"/>
  <c r="AN74" i="3"/>
  <c r="AN76" i="3"/>
  <c r="AN78" i="3"/>
  <c r="AN80" i="3"/>
  <c r="AN82" i="3"/>
  <c r="AN84" i="3"/>
  <c r="AN86" i="3"/>
  <c r="AN88" i="3"/>
  <c r="AN90" i="3"/>
  <c r="AN92" i="3"/>
  <c r="AN94" i="3"/>
  <c r="AN96" i="3"/>
  <c r="AN98" i="3"/>
  <c r="AN100" i="3"/>
  <c r="AN102" i="3"/>
  <c r="AN104" i="3"/>
  <c r="AN106" i="3"/>
  <c r="AN108" i="3"/>
  <c r="AN110" i="3"/>
  <c r="AN112" i="3"/>
  <c r="AN114" i="3"/>
  <c r="AN116" i="3"/>
  <c r="AN118" i="3"/>
  <c r="AN120" i="3"/>
  <c r="AN122" i="3"/>
  <c r="AN124" i="3"/>
  <c r="AN126" i="3"/>
  <c r="AN128" i="3"/>
  <c r="AN130" i="3"/>
  <c r="AN132" i="3"/>
  <c r="AN134" i="3"/>
  <c r="AN136" i="3"/>
  <c r="AN138" i="3"/>
  <c r="AN140" i="3"/>
  <c r="AN142" i="3"/>
  <c r="AN144" i="3"/>
  <c r="AN146" i="3"/>
  <c r="AN148" i="3"/>
  <c r="AN150" i="3"/>
  <c r="AN152" i="3"/>
  <c r="AN154" i="3"/>
  <c r="AN156" i="3"/>
  <c r="AN158" i="3"/>
  <c r="AN160" i="3"/>
  <c r="AN162" i="3"/>
  <c r="AP162" i="3" s="1"/>
  <c r="AN164" i="3"/>
  <c r="AN166" i="3"/>
  <c r="AN168" i="3"/>
  <c r="AN170" i="3"/>
  <c r="AN172" i="3"/>
  <c r="AO4" i="3"/>
  <c r="AO6" i="3"/>
  <c r="AO8" i="3"/>
  <c r="AO10" i="3"/>
  <c r="AO12" i="3"/>
  <c r="AO14" i="3"/>
  <c r="AO16" i="3"/>
  <c r="AO18" i="3"/>
  <c r="AO20" i="3"/>
  <c r="AO22" i="3"/>
  <c r="AO24" i="3"/>
  <c r="AO26" i="3"/>
  <c r="AO28" i="3"/>
  <c r="AO30" i="3"/>
  <c r="AO32" i="3"/>
  <c r="AO34" i="3"/>
  <c r="AO36" i="3"/>
  <c r="AO38" i="3"/>
  <c r="AO40" i="3"/>
  <c r="AO42" i="3"/>
  <c r="AO44" i="3"/>
  <c r="AO46" i="3"/>
  <c r="AO48" i="3"/>
  <c r="AO50" i="3"/>
  <c r="AO52" i="3"/>
  <c r="AO54" i="3"/>
  <c r="AO56" i="3"/>
  <c r="AO58" i="3"/>
  <c r="AO60" i="3"/>
  <c r="AO62" i="3"/>
  <c r="AO64" i="3"/>
  <c r="AO66" i="3"/>
  <c r="AO68" i="3"/>
  <c r="AO70" i="3"/>
  <c r="AO72" i="3"/>
  <c r="AO74" i="3"/>
  <c r="AO76" i="3"/>
  <c r="AO78" i="3"/>
  <c r="AO80" i="3"/>
  <c r="AO82" i="3"/>
  <c r="AO84" i="3"/>
  <c r="AO86" i="3"/>
  <c r="AO88" i="3"/>
  <c r="AO90" i="3"/>
  <c r="AO92" i="3"/>
  <c r="AO94" i="3"/>
  <c r="AO96" i="3"/>
  <c r="AO98" i="3"/>
  <c r="AO100" i="3"/>
  <c r="AO102" i="3"/>
  <c r="AO104" i="3"/>
  <c r="AO106" i="3"/>
  <c r="AO108" i="3"/>
  <c r="AO110" i="3"/>
  <c r="AO112" i="3"/>
  <c r="AO114" i="3"/>
  <c r="AO116" i="3"/>
  <c r="AO118" i="3"/>
  <c r="AO120" i="3"/>
  <c r="AO122" i="3"/>
  <c r="AO124" i="3"/>
  <c r="AO126" i="3"/>
  <c r="AO128" i="3"/>
  <c r="AO130" i="3"/>
  <c r="AO132" i="3"/>
  <c r="AO134" i="3"/>
  <c r="AO136" i="3"/>
  <c r="AO138" i="3"/>
  <c r="AO140" i="3"/>
  <c r="AO142" i="3"/>
  <c r="AO144" i="3"/>
  <c r="AO146" i="3"/>
  <c r="AO148" i="3"/>
  <c r="AO150" i="3"/>
  <c r="AO152" i="3"/>
  <c r="AO154" i="3"/>
  <c r="AO156" i="3"/>
  <c r="AO158" i="3"/>
  <c r="AO160" i="3"/>
  <c r="AO162" i="3"/>
  <c r="AO164" i="3"/>
  <c r="AO166" i="3"/>
  <c r="AO168" i="3"/>
  <c r="AO170" i="3"/>
  <c r="AO172" i="3"/>
  <c r="AN5" i="3"/>
  <c r="AN7" i="3"/>
  <c r="AN9" i="3"/>
  <c r="AN11" i="3"/>
  <c r="AN13" i="3"/>
  <c r="AN15" i="3"/>
  <c r="AN17" i="3"/>
  <c r="AN19" i="3"/>
  <c r="AN21" i="3"/>
  <c r="AN23" i="3"/>
  <c r="AN25" i="3"/>
  <c r="AN27" i="3"/>
  <c r="AN29" i="3"/>
  <c r="AN31" i="3"/>
  <c r="AN33" i="3"/>
  <c r="AN35" i="3"/>
  <c r="AN37" i="3"/>
  <c r="AN39" i="3"/>
  <c r="AN41" i="3"/>
  <c r="AN43" i="3"/>
  <c r="AN45" i="3"/>
  <c r="AN47" i="3"/>
  <c r="AN49" i="3"/>
  <c r="AN51" i="3"/>
  <c r="AN53" i="3"/>
  <c r="AN55" i="3"/>
  <c r="AN57" i="3"/>
  <c r="AN59" i="3"/>
  <c r="AN61" i="3"/>
  <c r="AN63" i="3"/>
  <c r="AN65" i="3"/>
  <c r="AN67" i="3"/>
  <c r="AN69" i="3"/>
  <c r="AN71" i="3"/>
  <c r="AN73" i="3"/>
  <c r="AN75" i="3"/>
  <c r="AN77" i="3"/>
  <c r="AN79" i="3"/>
  <c r="AN81" i="3"/>
  <c r="AN83" i="3"/>
  <c r="AN85" i="3"/>
  <c r="AN87" i="3"/>
  <c r="AN89" i="3"/>
  <c r="AN91" i="3"/>
  <c r="AN93" i="3"/>
  <c r="AN95" i="3"/>
  <c r="AN97" i="3"/>
  <c r="AN99" i="3"/>
  <c r="AN101" i="3"/>
  <c r="AN103" i="3"/>
  <c r="AN105" i="3"/>
  <c r="AN107" i="3"/>
  <c r="AN109" i="3"/>
  <c r="AN111" i="3"/>
  <c r="AN113" i="3"/>
  <c r="AN115" i="3"/>
  <c r="AN117" i="3"/>
  <c r="AN119" i="3"/>
  <c r="AN121" i="3"/>
  <c r="AN123" i="3"/>
  <c r="AN125" i="3"/>
  <c r="AN127" i="3"/>
  <c r="AN129" i="3"/>
  <c r="AN131" i="3"/>
  <c r="AN133" i="3"/>
  <c r="AN135" i="3"/>
  <c r="AN137" i="3"/>
  <c r="AN139" i="3"/>
  <c r="AN141" i="3"/>
  <c r="AN143" i="3"/>
  <c r="AN145" i="3"/>
  <c r="AN147" i="3"/>
  <c r="AN149" i="3"/>
  <c r="AN151" i="3"/>
  <c r="AN153" i="3"/>
  <c r="AN155" i="3"/>
  <c r="AN157" i="3"/>
  <c r="AN159" i="3"/>
  <c r="AN161" i="3"/>
  <c r="AN163" i="3"/>
  <c r="AN165" i="3"/>
  <c r="AN167" i="3"/>
  <c r="AN169" i="3"/>
  <c r="AN171" i="3"/>
  <c r="AN173" i="3"/>
  <c r="AO5" i="3"/>
  <c r="AO21" i="3"/>
  <c r="AO37" i="3"/>
  <c r="AO53" i="3"/>
  <c r="AO69" i="3"/>
  <c r="AO85" i="3"/>
  <c r="AO101" i="3"/>
  <c r="AO117" i="3"/>
  <c r="AO133" i="3"/>
  <c r="AO143" i="3"/>
  <c r="AO155" i="3"/>
  <c r="AO7" i="3"/>
  <c r="AO23" i="3"/>
  <c r="AO39" i="3"/>
  <c r="AO55" i="3"/>
  <c r="AO71" i="3"/>
  <c r="AO87" i="3"/>
  <c r="AO103" i="3"/>
  <c r="AO119" i="3"/>
  <c r="AO135" i="3"/>
  <c r="AO161" i="3"/>
  <c r="AQ161" i="3" s="1"/>
  <c r="AN174" i="3"/>
  <c r="AN176" i="3"/>
  <c r="AN178" i="3"/>
  <c r="AN180" i="3"/>
  <c r="AN182" i="3"/>
  <c r="AN184" i="3"/>
  <c r="AN186" i="3"/>
  <c r="AN188" i="3"/>
  <c r="AN190" i="3"/>
  <c r="AN192" i="3"/>
  <c r="AN194" i="3"/>
  <c r="AN196" i="3"/>
  <c r="AN198" i="3"/>
  <c r="AN200" i="3"/>
  <c r="AN202" i="3"/>
  <c r="AN204" i="3"/>
  <c r="AN206" i="3"/>
  <c r="AN208" i="3"/>
  <c r="AN210" i="3"/>
  <c r="AN212" i="3"/>
  <c r="AN214" i="3"/>
  <c r="AN216" i="3"/>
  <c r="AN218" i="3"/>
  <c r="AN220" i="3"/>
  <c r="AN222" i="3"/>
  <c r="AN224" i="3"/>
  <c r="AN226" i="3"/>
  <c r="AN228" i="3"/>
  <c r="AN230" i="3"/>
  <c r="AN232" i="3"/>
  <c r="AN234" i="3"/>
  <c r="AN236" i="3"/>
  <c r="AN238" i="3"/>
  <c r="AN240" i="3"/>
  <c r="AN242" i="3"/>
  <c r="AN244" i="3"/>
  <c r="AN246" i="3"/>
  <c r="AN248" i="3"/>
  <c r="AN250" i="3"/>
  <c r="AN252" i="3"/>
  <c r="AN254" i="3"/>
  <c r="AN256" i="3"/>
  <c r="AN258" i="3"/>
  <c r="AN260" i="3"/>
  <c r="AN262" i="3"/>
  <c r="AN264" i="3"/>
  <c r="AN266" i="3"/>
  <c r="AN268" i="3"/>
  <c r="AN270" i="3"/>
  <c r="AN272" i="3"/>
  <c r="AN274" i="3"/>
  <c r="AN276" i="3"/>
  <c r="AN278" i="3"/>
  <c r="AN280" i="3"/>
  <c r="AN282" i="3"/>
  <c r="AN284" i="3"/>
  <c r="AN286" i="3"/>
  <c r="AN288" i="3"/>
  <c r="AN290" i="3"/>
  <c r="AN292" i="3"/>
  <c r="AN294" i="3"/>
  <c r="AN296" i="3"/>
  <c r="AN298" i="3"/>
  <c r="AN300" i="3"/>
  <c r="AN302" i="3"/>
  <c r="AN304" i="3"/>
  <c r="AN306" i="3"/>
  <c r="AN308" i="3"/>
  <c r="AN310" i="3"/>
  <c r="AN312" i="3"/>
  <c r="AO9" i="3"/>
  <c r="AO25" i="3"/>
  <c r="AO41" i="3"/>
  <c r="AO57" i="3"/>
  <c r="AO73" i="3"/>
  <c r="AO89" i="3"/>
  <c r="AO105" i="3"/>
  <c r="AO121" i="3"/>
  <c r="AO137" i="3"/>
  <c r="AO145" i="3"/>
  <c r="AO151" i="3"/>
  <c r="AO167" i="3"/>
  <c r="AO171" i="3"/>
  <c r="AO174" i="3"/>
  <c r="AO176" i="3"/>
  <c r="AO178" i="3"/>
  <c r="AO180" i="3"/>
  <c r="AO182" i="3"/>
  <c r="AO184" i="3"/>
  <c r="AO186" i="3"/>
  <c r="AO188" i="3"/>
  <c r="AO190" i="3"/>
  <c r="AO192" i="3"/>
  <c r="AO194" i="3"/>
  <c r="AO196" i="3"/>
  <c r="AO198" i="3"/>
  <c r="AO200" i="3"/>
  <c r="AO202" i="3"/>
  <c r="AO204" i="3"/>
  <c r="AO206" i="3"/>
  <c r="AO208" i="3"/>
  <c r="AO210" i="3"/>
  <c r="AO212" i="3"/>
  <c r="AO214" i="3"/>
  <c r="AO216" i="3"/>
  <c r="AO218" i="3"/>
  <c r="AO220" i="3"/>
  <c r="AO222" i="3"/>
  <c r="AO224" i="3"/>
  <c r="AO226" i="3"/>
  <c r="AO228" i="3"/>
  <c r="AO230" i="3"/>
  <c r="AO232" i="3"/>
  <c r="AO234" i="3"/>
  <c r="AO236" i="3"/>
  <c r="AO238" i="3"/>
  <c r="AO240" i="3"/>
  <c r="AO242" i="3"/>
  <c r="AO244" i="3"/>
  <c r="AO246" i="3"/>
  <c r="AO248" i="3"/>
  <c r="AO250" i="3"/>
  <c r="AO252" i="3"/>
  <c r="AO254" i="3"/>
  <c r="AO256" i="3"/>
  <c r="AO258" i="3"/>
  <c r="AO260" i="3"/>
  <c r="AO262" i="3"/>
  <c r="AO264" i="3"/>
  <c r="AO266" i="3"/>
  <c r="AO268" i="3"/>
  <c r="AO270" i="3"/>
  <c r="AO272" i="3"/>
  <c r="AO274" i="3"/>
  <c r="AO276" i="3"/>
  <c r="AO278" i="3"/>
  <c r="AO280" i="3"/>
  <c r="AO282" i="3"/>
  <c r="AO284" i="3"/>
  <c r="AO286" i="3"/>
  <c r="AO288" i="3"/>
  <c r="AO290" i="3"/>
  <c r="AO292" i="3"/>
  <c r="AO294" i="3"/>
  <c r="AO296" i="3"/>
  <c r="AO298" i="3"/>
  <c r="AO300" i="3"/>
  <c r="AO302" i="3"/>
  <c r="AO304" i="3"/>
  <c r="AO306" i="3"/>
  <c r="AO308" i="3"/>
  <c r="AO310" i="3"/>
  <c r="AO312" i="3"/>
  <c r="AO11" i="3"/>
  <c r="AO27" i="3"/>
  <c r="AO43" i="3"/>
  <c r="AO59" i="3"/>
  <c r="AO75" i="3"/>
  <c r="AO91" i="3"/>
  <c r="AO107" i="3"/>
  <c r="AO123" i="3"/>
  <c r="AO157" i="3"/>
  <c r="AO13" i="3"/>
  <c r="AO29" i="3"/>
  <c r="AO45" i="3"/>
  <c r="AO61" i="3"/>
  <c r="AO77" i="3"/>
  <c r="AO93" i="3"/>
  <c r="AO109" i="3"/>
  <c r="AO125" i="3"/>
  <c r="AO139" i="3"/>
  <c r="AO147" i="3"/>
  <c r="AO163" i="3"/>
  <c r="AO17" i="3"/>
  <c r="AO33" i="3"/>
  <c r="AO49" i="3"/>
  <c r="AO65" i="3"/>
  <c r="AO81" i="3"/>
  <c r="AO97" i="3"/>
  <c r="AO113" i="3"/>
  <c r="AO129" i="3"/>
  <c r="AO141" i="3"/>
  <c r="AO159" i="3"/>
  <c r="AO169" i="3"/>
  <c r="AO173" i="3"/>
  <c r="AO175" i="3"/>
  <c r="AO177" i="3"/>
  <c r="AO179" i="3"/>
  <c r="AO181" i="3"/>
  <c r="AO183" i="3"/>
  <c r="AO185" i="3"/>
  <c r="AO187" i="3"/>
  <c r="AO189" i="3"/>
  <c r="AO191" i="3"/>
  <c r="AO193" i="3"/>
  <c r="AO195" i="3"/>
  <c r="AO197" i="3"/>
  <c r="AO199" i="3"/>
  <c r="AO201" i="3"/>
  <c r="AO203" i="3"/>
  <c r="AO205" i="3"/>
  <c r="AO207" i="3"/>
  <c r="AO209" i="3"/>
  <c r="AO211" i="3"/>
  <c r="AO213" i="3"/>
  <c r="AO215" i="3"/>
  <c r="AO217" i="3"/>
  <c r="AO219" i="3"/>
  <c r="AO221" i="3"/>
  <c r="AO223" i="3"/>
  <c r="AO225" i="3"/>
  <c r="AO227" i="3"/>
  <c r="AO229" i="3"/>
  <c r="AO231" i="3"/>
  <c r="AO233" i="3"/>
  <c r="AO235" i="3"/>
  <c r="AO237" i="3"/>
  <c r="AO239" i="3"/>
  <c r="AO241" i="3"/>
  <c r="AO243" i="3"/>
  <c r="AO245" i="3"/>
  <c r="AO247" i="3"/>
  <c r="AO249" i="3"/>
  <c r="AO251" i="3"/>
  <c r="AO253" i="3"/>
  <c r="AO255" i="3"/>
  <c r="AO257" i="3"/>
  <c r="AO259" i="3"/>
  <c r="AO261" i="3"/>
  <c r="AO263" i="3"/>
  <c r="AO265" i="3"/>
  <c r="AO267" i="3"/>
  <c r="AO269" i="3"/>
  <c r="AO271" i="3"/>
  <c r="AO273" i="3"/>
  <c r="AO275" i="3"/>
  <c r="AO277" i="3"/>
  <c r="AO279" i="3"/>
  <c r="AO281" i="3"/>
  <c r="AO283" i="3"/>
  <c r="AO285" i="3"/>
  <c r="AO287" i="3"/>
  <c r="AO289" i="3"/>
  <c r="AO291" i="3"/>
  <c r="AO293" i="3"/>
  <c r="AO295" i="3"/>
  <c r="AO297" i="3"/>
  <c r="AO299" i="3"/>
  <c r="AO301" i="3"/>
  <c r="AO303" i="3"/>
  <c r="AO305" i="3"/>
  <c r="AO307" i="3"/>
  <c r="AO309" i="3"/>
  <c r="AO311" i="3"/>
  <c r="AO313" i="3"/>
  <c r="AO19" i="3"/>
  <c r="AO35" i="3"/>
  <c r="AO51" i="3"/>
  <c r="AO67" i="3"/>
  <c r="AO83" i="3"/>
  <c r="AO99" i="3"/>
  <c r="AO115" i="3"/>
  <c r="AO131" i="3"/>
  <c r="AO149" i="3"/>
  <c r="AO165" i="3"/>
  <c r="AO403" i="3"/>
  <c r="AO401" i="3"/>
  <c r="AO399" i="3"/>
  <c r="AO397" i="3"/>
  <c r="AO395" i="3"/>
  <c r="AO393" i="3"/>
  <c r="AO391" i="3"/>
  <c r="AO389" i="3"/>
  <c r="AO387" i="3"/>
  <c r="AO385" i="3"/>
  <c r="AO383" i="3"/>
  <c r="AO381" i="3"/>
  <c r="AO379" i="3"/>
  <c r="AO377" i="3"/>
  <c r="AO375" i="3"/>
  <c r="AO373" i="3"/>
  <c r="AO371" i="3"/>
  <c r="AO369" i="3"/>
  <c r="AO367" i="3"/>
  <c r="AO365" i="3"/>
  <c r="AO363" i="3"/>
  <c r="AO361" i="3"/>
  <c r="AO359" i="3"/>
  <c r="AO357" i="3"/>
  <c r="AO355" i="3"/>
  <c r="AO353" i="3"/>
  <c r="AO351" i="3"/>
  <c r="AO349" i="3"/>
  <c r="AO347" i="3"/>
  <c r="AO345" i="3"/>
  <c r="AO343" i="3"/>
  <c r="AO341" i="3"/>
  <c r="AO339" i="3"/>
  <c r="AO337" i="3"/>
  <c r="AO335" i="3"/>
  <c r="AO333" i="3"/>
  <c r="AO331" i="3"/>
  <c r="AO329" i="3"/>
  <c r="AO327" i="3"/>
  <c r="AO325" i="3"/>
  <c r="AO323" i="3"/>
  <c r="AO321" i="3"/>
  <c r="AO319" i="3"/>
  <c r="AO317" i="3"/>
  <c r="AO315" i="3"/>
  <c r="AN313" i="3"/>
  <c r="AN309" i="3"/>
  <c r="AN305" i="3"/>
  <c r="AN295" i="3"/>
  <c r="AN279" i="3"/>
  <c r="AN263" i="3"/>
  <c r="AN247" i="3"/>
  <c r="AN231" i="3"/>
  <c r="AN215" i="3"/>
  <c r="AN199" i="3"/>
  <c r="AN183" i="3"/>
  <c r="AM159" i="3"/>
  <c r="AO63" i="3"/>
  <c r="AN403" i="3"/>
  <c r="AN401" i="3"/>
  <c r="AN399" i="3"/>
  <c r="AN397" i="3"/>
  <c r="AN395" i="3"/>
  <c r="AN393" i="3"/>
  <c r="AN391" i="3"/>
  <c r="AN389" i="3"/>
  <c r="AN387" i="3"/>
  <c r="AN385" i="3"/>
  <c r="AN383" i="3"/>
  <c r="AN381" i="3"/>
  <c r="AN379" i="3"/>
  <c r="AN377" i="3"/>
  <c r="AN375" i="3"/>
  <c r="AN373" i="3"/>
  <c r="AN371" i="3"/>
  <c r="AN369" i="3"/>
  <c r="AN367" i="3"/>
  <c r="AN365" i="3"/>
  <c r="AN363" i="3"/>
  <c r="AN361" i="3"/>
  <c r="AN359" i="3"/>
  <c r="AN357" i="3"/>
  <c r="AN355" i="3"/>
  <c r="AN353" i="3"/>
  <c r="AN351" i="3"/>
  <c r="AN349" i="3"/>
  <c r="AN347" i="3"/>
  <c r="AN345" i="3"/>
  <c r="AN343" i="3"/>
  <c r="AN341" i="3"/>
  <c r="AN339" i="3"/>
  <c r="AN337" i="3"/>
  <c r="AN335" i="3"/>
  <c r="AN333" i="3"/>
  <c r="AN331" i="3"/>
  <c r="AN329" i="3"/>
  <c r="AN327" i="3"/>
  <c r="AN325" i="3"/>
  <c r="AN323" i="3"/>
  <c r="AN321" i="3"/>
  <c r="AN319" i="3"/>
  <c r="AN317" i="3"/>
  <c r="AN315" i="3"/>
  <c r="AM313" i="3"/>
  <c r="AM309" i="3"/>
  <c r="AM305" i="3"/>
  <c r="AN293" i="3"/>
  <c r="AN277" i="3"/>
  <c r="AN261" i="3"/>
  <c r="AN245" i="3"/>
  <c r="AN229" i="3"/>
  <c r="AN213" i="3"/>
  <c r="AN197" i="3"/>
  <c r="AN181" i="3"/>
  <c r="AO153" i="3"/>
  <c r="AO47" i="3"/>
  <c r="AM403" i="3"/>
  <c r="AM401" i="3"/>
  <c r="AM399" i="3"/>
  <c r="AM397" i="3"/>
  <c r="AM395" i="3"/>
  <c r="AM393" i="3"/>
  <c r="AM391" i="3"/>
  <c r="AM389" i="3"/>
  <c r="AM387" i="3"/>
  <c r="AM385" i="3"/>
  <c r="AM383" i="3"/>
  <c r="AM381" i="3"/>
  <c r="AM379" i="3"/>
  <c r="AM377" i="3"/>
  <c r="AM375" i="3"/>
  <c r="AM373" i="3"/>
  <c r="AM371" i="3"/>
  <c r="AM369" i="3"/>
  <c r="AM367" i="3"/>
  <c r="AM365" i="3"/>
  <c r="AM363" i="3"/>
  <c r="AM361" i="3"/>
  <c r="AM359" i="3"/>
  <c r="AM357" i="3"/>
  <c r="AM355" i="3"/>
  <c r="AM353" i="3"/>
  <c r="AM351" i="3"/>
  <c r="AM349" i="3"/>
  <c r="AM347" i="3"/>
  <c r="AM345" i="3"/>
  <c r="AM343" i="3"/>
  <c r="AM341" i="3"/>
  <c r="AM339" i="3"/>
  <c r="AM337" i="3"/>
  <c r="AM335" i="3"/>
  <c r="AM333" i="3"/>
  <c r="AM331" i="3"/>
  <c r="AM329" i="3"/>
  <c r="AM327" i="3"/>
  <c r="AM325" i="3"/>
  <c r="AM323" i="3"/>
  <c r="AM321" i="3"/>
  <c r="AM319" i="3"/>
  <c r="AM317" i="3"/>
  <c r="AM315" i="3"/>
  <c r="AL313" i="3"/>
  <c r="AL309" i="3"/>
  <c r="AL305" i="3"/>
  <c r="AN291" i="3"/>
  <c r="AN275" i="3"/>
  <c r="AN259" i="3"/>
  <c r="AN243" i="3"/>
  <c r="AN227" i="3"/>
  <c r="AN211" i="3"/>
  <c r="AN195" i="3"/>
  <c r="AN179" i="3"/>
  <c r="AL149" i="3"/>
  <c r="AO31" i="3"/>
  <c r="AL403" i="3"/>
  <c r="AL401" i="3"/>
  <c r="AL399" i="3"/>
  <c r="AL397" i="3"/>
  <c r="AL395" i="3"/>
  <c r="AL393" i="3"/>
  <c r="AL391" i="3"/>
  <c r="AL389" i="3"/>
  <c r="AL387" i="3"/>
  <c r="AL385" i="3"/>
  <c r="AL383" i="3"/>
  <c r="AL381" i="3"/>
  <c r="AL379" i="3"/>
  <c r="AL377" i="3"/>
  <c r="AL375" i="3"/>
  <c r="AL373" i="3"/>
  <c r="AL371" i="3"/>
  <c r="AL369" i="3"/>
  <c r="AL367" i="3"/>
  <c r="AL365" i="3"/>
  <c r="AL363" i="3"/>
  <c r="AL361" i="3"/>
  <c r="AL359" i="3"/>
  <c r="AL357" i="3"/>
  <c r="AL355" i="3"/>
  <c r="AL353" i="3"/>
  <c r="AL351" i="3"/>
  <c r="AL349" i="3"/>
  <c r="AL347" i="3"/>
  <c r="AL345" i="3"/>
  <c r="AL343" i="3"/>
  <c r="AL341" i="3"/>
  <c r="AL339" i="3"/>
  <c r="AL337" i="3"/>
  <c r="AL335" i="3"/>
  <c r="AL333" i="3"/>
  <c r="AL331" i="3"/>
  <c r="AL329" i="3"/>
  <c r="AL327" i="3"/>
  <c r="AL325" i="3"/>
  <c r="AL323" i="3"/>
  <c r="AL321" i="3"/>
  <c r="AL319" i="3"/>
  <c r="AL317" i="3"/>
  <c r="AL315" i="3"/>
  <c r="AM312" i="3"/>
  <c r="AM308" i="3"/>
  <c r="AN303" i="3"/>
  <c r="AN289" i="3"/>
  <c r="AN273" i="3"/>
  <c r="AN257" i="3"/>
  <c r="AN241" i="3"/>
  <c r="AN225" i="3"/>
  <c r="AN209" i="3"/>
  <c r="AN193" i="3"/>
  <c r="AN177" i="3"/>
  <c r="AL141" i="3"/>
  <c r="AO15" i="3"/>
  <c r="E14" i="3"/>
  <c r="E15" i="3"/>
  <c r="AJ65" i="3"/>
  <c r="V3" i="3"/>
  <c r="Y3" i="3"/>
  <c r="W3" i="3"/>
  <c r="X3" i="3"/>
  <c r="B45" i="1"/>
  <c r="AQ380" i="3" l="1"/>
  <c r="AQ448" i="3"/>
  <c r="AQ449" i="3"/>
  <c r="AQ493" i="3"/>
  <c r="AQ342" i="3"/>
  <c r="AQ360" i="3"/>
  <c r="AB486" i="3"/>
  <c r="AJ501" i="3"/>
  <c r="AK482" i="3"/>
  <c r="AK441" i="3"/>
  <c r="AJ464" i="3"/>
  <c r="AJ436" i="3"/>
  <c r="AB383" i="3"/>
  <c r="AP124" i="3"/>
  <c r="AK234" i="3"/>
  <c r="AK440" i="3"/>
  <c r="AJ441" i="3"/>
  <c r="AQ412" i="3"/>
  <c r="AP146" i="3"/>
  <c r="AP122" i="3"/>
  <c r="AP26" i="3"/>
  <c r="AQ410" i="3"/>
  <c r="AQ436" i="3"/>
  <c r="AK481" i="3"/>
  <c r="AK407" i="3"/>
  <c r="AP501" i="3"/>
  <c r="AJ188" i="3"/>
  <c r="AK33" i="3"/>
  <c r="AJ440" i="3"/>
  <c r="AK412" i="3"/>
  <c r="AQ419" i="3"/>
  <c r="AJ301" i="3"/>
  <c r="AJ339" i="3"/>
  <c r="AK241" i="3"/>
  <c r="AB441" i="3"/>
  <c r="AP405" i="3"/>
  <c r="AJ476" i="3"/>
  <c r="AK347" i="3"/>
  <c r="AK264" i="3"/>
  <c r="AB444" i="3"/>
  <c r="AJ68" i="3"/>
  <c r="AQ453" i="3"/>
  <c r="AB344" i="3"/>
  <c r="AB480" i="3"/>
  <c r="AB311" i="3"/>
  <c r="AC452" i="3"/>
  <c r="AB135" i="3"/>
  <c r="AC224" i="3"/>
  <c r="AB16" i="3"/>
  <c r="AB233" i="3"/>
  <c r="AB68" i="3"/>
  <c r="AC477" i="3"/>
  <c r="AB384" i="3"/>
  <c r="AB366" i="3"/>
  <c r="AB391" i="3"/>
  <c r="AB318" i="3"/>
  <c r="AB218" i="3"/>
  <c r="AC82" i="3"/>
  <c r="AB49" i="3"/>
  <c r="AC132" i="3"/>
  <c r="AB362" i="3"/>
  <c r="AC265" i="3"/>
  <c r="AB354" i="3"/>
  <c r="AB386" i="3"/>
  <c r="AB25" i="3"/>
  <c r="AC154" i="3"/>
  <c r="AC449" i="3"/>
  <c r="AC129" i="3"/>
  <c r="B58" i="1"/>
  <c r="O349" i="3" s="1"/>
  <c r="AB278" i="3"/>
  <c r="AC285" i="3"/>
  <c r="AC60" i="3"/>
  <c r="AC367" i="3"/>
  <c r="AC207" i="3"/>
  <c r="AB283" i="3"/>
  <c r="AB110" i="3"/>
  <c r="AB200" i="3"/>
  <c r="AC362" i="3"/>
  <c r="AB4" i="3"/>
  <c r="AC121" i="3"/>
  <c r="AB251" i="3"/>
  <c r="AB302" i="3"/>
  <c r="AB297" i="3"/>
  <c r="AB478" i="3"/>
  <c r="AB466" i="3"/>
  <c r="AB496" i="3"/>
  <c r="AB416" i="3"/>
  <c r="AB382" i="3"/>
  <c r="AB34" i="3"/>
  <c r="AB453" i="3"/>
  <c r="AB153" i="3"/>
  <c r="AB435" i="3"/>
  <c r="AC151" i="3"/>
  <c r="AC87" i="3"/>
  <c r="AC23" i="3"/>
  <c r="AC375" i="3"/>
  <c r="AB230" i="3"/>
  <c r="AB161" i="3"/>
  <c r="AB160" i="3"/>
  <c r="AB465" i="3"/>
  <c r="AC18" i="3"/>
  <c r="AC383" i="3"/>
  <c r="AB254" i="3"/>
  <c r="AC165" i="3"/>
  <c r="AB390" i="3"/>
  <c r="AC192" i="3"/>
  <c r="AB452" i="3"/>
  <c r="AB209" i="3"/>
  <c r="AC499" i="3"/>
  <c r="AB460" i="3"/>
  <c r="AB178" i="3"/>
  <c r="AB45" i="3"/>
  <c r="AB358" i="3"/>
  <c r="AC34" i="3"/>
  <c r="AB263" i="3"/>
  <c r="AB227" i="3"/>
  <c r="AB144" i="3"/>
  <c r="AC42" i="3"/>
  <c r="AC298" i="3"/>
  <c r="AB373" i="3"/>
  <c r="AC216" i="3"/>
  <c r="AC166" i="3"/>
  <c r="AC390" i="3"/>
  <c r="AC111" i="3"/>
  <c r="AB40" i="3"/>
  <c r="AB415" i="3"/>
  <c r="AC353" i="3"/>
  <c r="AC178" i="3"/>
  <c r="AB74" i="3"/>
  <c r="AC145" i="3"/>
  <c r="AC81" i="3"/>
  <c r="AC465" i="3"/>
  <c r="AB378" i="3"/>
  <c r="AB211" i="3"/>
  <c r="AB463" i="3"/>
  <c r="AB424" i="3"/>
  <c r="AB493" i="3"/>
  <c r="AC226" i="3"/>
  <c r="AC233" i="3"/>
  <c r="AC264" i="3"/>
  <c r="AC146" i="3"/>
  <c r="AB315" i="3"/>
  <c r="AB151" i="3"/>
  <c r="AC101" i="3"/>
  <c r="AB281" i="3"/>
  <c r="AB21" i="3"/>
  <c r="AP423" i="3"/>
  <c r="AJ109" i="3"/>
  <c r="AK370" i="3"/>
  <c r="AK161" i="3"/>
  <c r="AK248" i="3"/>
  <c r="AK32" i="3"/>
  <c r="AJ129" i="3"/>
  <c r="AJ448" i="3"/>
  <c r="AK268" i="3"/>
  <c r="AK265" i="3"/>
  <c r="AJ300" i="3"/>
  <c r="AK61" i="3"/>
  <c r="AK150" i="3"/>
  <c r="AK220" i="3"/>
  <c r="AK337" i="3"/>
  <c r="AJ493" i="3"/>
  <c r="AK448" i="3"/>
  <c r="AJ469" i="3"/>
  <c r="AJ307" i="3"/>
  <c r="AJ468" i="3"/>
  <c r="AK452" i="3"/>
  <c r="AK496" i="3"/>
  <c r="AJ405" i="3"/>
  <c r="AK203" i="3"/>
  <c r="AK36" i="3"/>
  <c r="AK213" i="3"/>
  <c r="AK340" i="3"/>
  <c r="AJ127" i="3"/>
  <c r="AJ33" i="3"/>
  <c r="AK201" i="3"/>
  <c r="AB123" i="3"/>
  <c r="AB270" i="3"/>
  <c r="AC245" i="3"/>
  <c r="AC117" i="3"/>
  <c r="AB329" i="3"/>
  <c r="AK472" i="3"/>
  <c r="AP490" i="3"/>
  <c r="AJ423" i="3"/>
  <c r="AJ114" i="3"/>
  <c r="AJ76" i="3"/>
  <c r="AK132" i="3"/>
  <c r="AC158" i="3"/>
  <c r="AJ122" i="3"/>
  <c r="AJ330" i="3"/>
  <c r="AC221" i="3"/>
  <c r="AK307" i="3"/>
  <c r="AJ379" i="3"/>
  <c r="AK364" i="3"/>
  <c r="AK15" i="3"/>
  <c r="AK285" i="3"/>
  <c r="AC209" i="3"/>
  <c r="AJ89" i="3"/>
  <c r="AJ201" i="3"/>
  <c r="AJ416" i="3"/>
  <c r="AK486" i="3"/>
  <c r="AJ460" i="3"/>
  <c r="AK493" i="3"/>
  <c r="AC270" i="3"/>
  <c r="AB266" i="3"/>
  <c r="AB260" i="3"/>
  <c r="AJ478" i="3"/>
  <c r="AC259" i="3"/>
  <c r="AC163" i="3"/>
  <c r="AB124" i="3"/>
  <c r="AC110" i="3"/>
  <c r="AB393" i="3"/>
  <c r="AB24" i="3"/>
  <c r="AJ254" i="3"/>
  <c r="AJ180" i="3"/>
  <c r="AK29" i="3"/>
  <c r="AK299" i="3"/>
  <c r="AK316" i="3"/>
  <c r="AK332" i="3"/>
  <c r="AJ56" i="3"/>
  <c r="AJ184" i="3"/>
  <c r="AK244" i="3"/>
  <c r="AK249" i="3"/>
  <c r="AK228" i="3"/>
  <c r="AK229" i="3"/>
  <c r="AJ323" i="3"/>
  <c r="AK30" i="3"/>
  <c r="AJ151" i="3"/>
  <c r="AK183" i="3"/>
  <c r="AK64" i="3"/>
  <c r="AJ256" i="3"/>
  <c r="AJ233" i="3"/>
  <c r="AK311" i="3"/>
  <c r="AK411" i="3"/>
  <c r="AK216" i="3"/>
  <c r="AB431" i="3"/>
  <c r="AK479" i="3"/>
  <c r="AB215" i="3"/>
  <c r="AB202" i="3"/>
  <c r="AC113" i="3"/>
  <c r="AB293" i="3"/>
  <c r="AC240" i="3"/>
  <c r="AC144" i="3"/>
  <c r="AB292" i="3"/>
  <c r="AJ458" i="3"/>
  <c r="AJ252" i="3"/>
  <c r="AK73" i="3"/>
  <c r="AC370" i="3"/>
  <c r="AB303" i="3"/>
  <c r="AB79" i="3"/>
  <c r="AB66" i="3"/>
  <c r="AC329" i="3"/>
  <c r="AC137" i="3"/>
  <c r="AC73" i="3"/>
  <c r="AB157" i="3"/>
  <c r="AC136" i="3"/>
  <c r="AB316" i="3"/>
  <c r="AB156" i="3"/>
  <c r="AJ3" i="3"/>
  <c r="AC94" i="3"/>
  <c r="AB107" i="3"/>
  <c r="AB11" i="3"/>
  <c r="AB62" i="3"/>
  <c r="AB249" i="3"/>
  <c r="AB121" i="3"/>
  <c r="AC196" i="3"/>
  <c r="AC4" i="3"/>
  <c r="AB388" i="3"/>
  <c r="AJ410" i="3"/>
  <c r="AK477" i="3"/>
  <c r="AB407" i="3"/>
  <c r="AJ461" i="3"/>
  <c r="AC50" i="3"/>
  <c r="AC306" i="3"/>
  <c r="AB327" i="3"/>
  <c r="AB103" i="3"/>
  <c r="AB7" i="3"/>
  <c r="AB90" i="3"/>
  <c r="AC225" i="3"/>
  <c r="AB341" i="3"/>
  <c r="AB277" i="3"/>
  <c r="AB116" i="3"/>
  <c r="AC444" i="3"/>
  <c r="AB449" i="3"/>
  <c r="AB371" i="3"/>
  <c r="AC348" i="3"/>
  <c r="AC322" i="3"/>
  <c r="AB401" i="3"/>
  <c r="AC215" i="3"/>
  <c r="AB35" i="3"/>
  <c r="AB342" i="3"/>
  <c r="AB86" i="3"/>
  <c r="AB241" i="3"/>
  <c r="AB17" i="3"/>
  <c r="AC284" i="3"/>
  <c r="AC252" i="3"/>
  <c r="AB208" i="3"/>
  <c r="AB380" i="3"/>
  <c r="AC386" i="3"/>
  <c r="AB287" i="3"/>
  <c r="AB255" i="3"/>
  <c r="AB274" i="3"/>
  <c r="AB210" i="3"/>
  <c r="AC152" i="3"/>
  <c r="AB352" i="3"/>
  <c r="AK471" i="3"/>
  <c r="AC408" i="3"/>
  <c r="AK393" i="3"/>
  <c r="AK76" i="3"/>
  <c r="AK108" i="3"/>
  <c r="AJ297" i="3"/>
  <c r="AJ324" i="3"/>
  <c r="AK415" i="3"/>
  <c r="AJ210" i="3"/>
  <c r="AP210" i="3"/>
  <c r="AC28" i="3"/>
  <c r="AJ284" i="3"/>
  <c r="AB394" i="3"/>
  <c r="AK125" i="3"/>
  <c r="AK198" i="3"/>
  <c r="AB323" i="3"/>
  <c r="AK339" i="3"/>
  <c r="AK308" i="3"/>
  <c r="AB356" i="3"/>
  <c r="AB396" i="3"/>
  <c r="AK202" i="3"/>
  <c r="AB389" i="3"/>
  <c r="AK40" i="3"/>
  <c r="AJ48" i="3"/>
  <c r="AJ136" i="3"/>
  <c r="AK194" i="3"/>
  <c r="AJ88" i="3"/>
  <c r="AJ74" i="3"/>
  <c r="AB446" i="3"/>
  <c r="AK367" i="3"/>
  <c r="AK288" i="3"/>
  <c r="AJ372" i="3"/>
  <c r="AB370" i="3"/>
  <c r="AB402" i="3"/>
  <c r="AC239" i="3"/>
  <c r="AC47" i="3"/>
  <c r="AB142" i="3"/>
  <c r="AB421" i="3"/>
  <c r="AK501" i="3"/>
  <c r="AK237" i="3"/>
  <c r="AC106" i="3"/>
  <c r="AB325" i="3"/>
  <c r="AK253" i="3"/>
  <c r="AC242" i="3"/>
  <c r="AB207" i="3"/>
  <c r="AB226" i="3"/>
  <c r="AC72" i="3"/>
  <c r="AC8" i="3"/>
  <c r="AC410" i="3"/>
  <c r="AK280" i="3"/>
  <c r="AJ384" i="3"/>
  <c r="AC162" i="3"/>
  <c r="AB183" i="3"/>
  <c r="AC273" i="3"/>
  <c r="AB261" i="3"/>
  <c r="AB101" i="3"/>
  <c r="AB225" i="3"/>
  <c r="AC31" i="3"/>
  <c r="AB286" i="3"/>
  <c r="AB222" i="3"/>
  <c r="AB190" i="3"/>
  <c r="AB152" i="3"/>
  <c r="AJ246" i="3"/>
  <c r="AB140" i="3"/>
  <c r="AB36" i="3"/>
  <c r="AB447" i="3"/>
  <c r="AC422" i="3"/>
  <c r="AC355" i="3"/>
  <c r="AB199" i="3"/>
  <c r="AB250" i="3"/>
  <c r="AB309" i="3"/>
  <c r="AC128" i="3"/>
  <c r="AK180" i="3"/>
  <c r="AJ444" i="3"/>
  <c r="AC22" i="3"/>
  <c r="AC217" i="3"/>
  <c r="AC74" i="3"/>
  <c r="AC244" i="3"/>
  <c r="AC116" i="3"/>
  <c r="AC30" i="3"/>
  <c r="AC318" i="3"/>
  <c r="AC169" i="3"/>
  <c r="AC105" i="3"/>
  <c r="AC41" i="3"/>
  <c r="AC191" i="3"/>
  <c r="AC324" i="3"/>
  <c r="AC283" i="3"/>
  <c r="AK304" i="3"/>
  <c r="AC156" i="3"/>
  <c r="AJ260" i="3"/>
  <c r="AK313" i="3"/>
  <c r="AK402" i="3"/>
  <c r="AC61" i="3"/>
  <c r="AK109" i="3"/>
  <c r="AK133" i="3"/>
  <c r="AK38" i="3"/>
  <c r="AJ146" i="3"/>
  <c r="AJ7" i="3"/>
  <c r="AJ288" i="3"/>
  <c r="AC334" i="3"/>
  <c r="AC453" i="3"/>
  <c r="AK416" i="3"/>
  <c r="AK435" i="3"/>
  <c r="AC418" i="3"/>
  <c r="AK460" i="3"/>
  <c r="AK303" i="3"/>
  <c r="AB411" i="3"/>
  <c r="AK436" i="3"/>
  <c r="AB474" i="3"/>
  <c r="AC232" i="3"/>
  <c r="AK102" i="3"/>
  <c r="AB368" i="3"/>
  <c r="AC234" i="3"/>
  <c r="AB365" i="3"/>
  <c r="AB397" i="3"/>
  <c r="AC251" i="3"/>
  <c r="AB26" i="3"/>
  <c r="AC289" i="3"/>
  <c r="AC257" i="3"/>
  <c r="AB245" i="3"/>
  <c r="AB181" i="3"/>
  <c r="AC256" i="3"/>
  <c r="AC160" i="3"/>
  <c r="AB308" i="3"/>
  <c r="AB212" i="3"/>
  <c r="AB84" i="3"/>
  <c r="AB20" i="3"/>
  <c r="AC456" i="3"/>
  <c r="AJ489" i="3"/>
  <c r="AC254" i="3"/>
  <c r="AK418" i="3"/>
  <c r="AC412" i="3"/>
  <c r="AJ239" i="3"/>
  <c r="AK489" i="3"/>
  <c r="AJ345" i="3"/>
  <c r="AB131" i="3"/>
  <c r="AC86" i="3"/>
  <c r="AC102" i="3"/>
  <c r="AB60" i="3"/>
  <c r="AC92" i="3"/>
  <c r="AB100" i="3"/>
  <c r="AB196" i="3"/>
  <c r="AB284" i="3"/>
  <c r="AB134" i="3"/>
  <c r="AC29" i="3"/>
  <c r="AB69" i="3"/>
  <c r="AC93" i="3"/>
  <c r="AC157" i="3"/>
  <c r="AB221" i="3"/>
  <c r="AC300" i="3"/>
  <c r="AJ347" i="3"/>
  <c r="AB119" i="3"/>
  <c r="AC317" i="3"/>
  <c r="AB349" i="3"/>
  <c r="AB81" i="3"/>
  <c r="AC331" i="3"/>
  <c r="AC350" i="3"/>
  <c r="AC501" i="3"/>
  <c r="AK427" i="3"/>
  <c r="AP436" i="3"/>
  <c r="AQ408" i="3"/>
  <c r="AK96" i="3"/>
  <c r="AJ73" i="3"/>
  <c r="AK97" i="3"/>
  <c r="AK113" i="3"/>
  <c r="AQ428" i="3"/>
  <c r="AP435" i="3"/>
  <c r="AQ416" i="3"/>
  <c r="AJ41" i="3"/>
  <c r="AJ137" i="3"/>
  <c r="AJ169" i="3"/>
  <c r="AJ217" i="3"/>
  <c r="AQ481" i="3"/>
  <c r="AK240" i="3"/>
  <c r="AP458" i="3"/>
  <c r="AQ491" i="3"/>
  <c r="AQ463" i="3"/>
  <c r="AK54" i="3"/>
  <c r="AJ176" i="3"/>
  <c r="AJ241" i="3"/>
  <c r="AK17" i="3"/>
  <c r="AQ429" i="3"/>
  <c r="AQ477" i="3"/>
  <c r="AC96" i="3"/>
  <c r="AC503" i="3"/>
  <c r="AK37" i="3"/>
  <c r="AK53" i="3"/>
  <c r="AJ69" i="3"/>
  <c r="AJ157" i="3"/>
  <c r="AJ222" i="3"/>
  <c r="AK146" i="3"/>
  <c r="AK372" i="3"/>
  <c r="AJ64" i="3"/>
  <c r="AJ225" i="3"/>
  <c r="AK5" i="3"/>
  <c r="AJ237" i="3"/>
  <c r="AC198" i="3"/>
  <c r="AB298" i="3"/>
  <c r="AB503" i="3"/>
  <c r="AK432" i="3"/>
  <c r="AK444" i="3"/>
  <c r="AC302" i="3"/>
  <c r="AC135" i="3"/>
  <c r="AC103" i="3"/>
  <c r="AB275" i="3"/>
  <c r="AB179" i="3"/>
  <c r="AB115" i="3"/>
  <c r="AB83" i="3"/>
  <c r="AB289" i="3"/>
  <c r="AK247" i="3"/>
  <c r="AK419" i="3"/>
  <c r="AK431" i="3"/>
  <c r="AK344" i="3"/>
  <c r="AB203" i="3"/>
  <c r="AJ150" i="3"/>
  <c r="AB10" i="3"/>
  <c r="AB234" i="3"/>
  <c r="AK321" i="3"/>
  <c r="AC379" i="3"/>
  <c r="AB162" i="3"/>
  <c r="AC201" i="3"/>
  <c r="AK434" i="3"/>
  <c r="AK455" i="3"/>
  <c r="AC466" i="3"/>
  <c r="AK470" i="3"/>
  <c r="AK502" i="3"/>
  <c r="AC435" i="3"/>
  <c r="AQ404" i="3"/>
  <c r="AJ268" i="3"/>
  <c r="AK208" i="3"/>
  <c r="AK353" i="3"/>
  <c r="AJ108" i="3"/>
  <c r="AK378" i="3"/>
  <c r="AJ5" i="3"/>
  <c r="AK45" i="3"/>
  <c r="AJ77" i="3"/>
  <c r="AK85" i="3"/>
  <c r="AJ226" i="3"/>
  <c r="AK31" i="3"/>
  <c r="AK63" i="3"/>
  <c r="AJ104" i="3"/>
  <c r="AC460" i="3"/>
  <c r="AC38" i="3"/>
  <c r="AC351" i="3"/>
  <c r="AC319" i="3"/>
  <c r="AC159" i="3"/>
  <c r="AC95" i="3"/>
  <c r="AB331" i="3"/>
  <c r="AB75" i="3"/>
  <c r="AB158" i="3"/>
  <c r="AC229" i="3"/>
  <c r="AB217" i="3"/>
  <c r="AB312" i="3"/>
  <c r="AC421" i="3"/>
  <c r="AJ409" i="3"/>
  <c r="AB488" i="3"/>
  <c r="AK93" i="3"/>
  <c r="AK348" i="3"/>
  <c r="AK178" i="3"/>
  <c r="AC491" i="3"/>
  <c r="AC326" i="3"/>
  <c r="AC401" i="3"/>
  <c r="AB399" i="3"/>
  <c r="AC315" i="3"/>
  <c r="AC219" i="3"/>
  <c r="AB295" i="3"/>
  <c r="AB167" i="3"/>
  <c r="AB39" i="3"/>
  <c r="AB186" i="3"/>
  <c r="AB58" i="3"/>
  <c r="AB276" i="3"/>
  <c r="AC90" i="3"/>
  <c r="AK421" i="3"/>
  <c r="AK404" i="3"/>
  <c r="AK498" i="3"/>
  <c r="AB489" i="3"/>
  <c r="AC415" i="3"/>
  <c r="AJ206" i="3"/>
  <c r="AK305" i="3"/>
  <c r="AK92" i="3"/>
  <c r="AJ148" i="3"/>
  <c r="AJ174" i="3"/>
  <c r="AJ387" i="3"/>
  <c r="AJ395" i="3"/>
  <c r="AB259" i="3"/>
  <c r="AC125" i="3"/>
  <c r="AB177" i="3"/>
  <c r="AK143" i="3"/>
  <c r="AP29" i="3"/>
  <c r="AP16" i="3"/>
  <c r="AC377" i="3"/>
  <c r="AB375" i="3"/>
  <c r="AB242" i="3"/>
  <c r="AB50" i="3"/>
  <c r="AC249" i="3"/>
  <c r="AB173" i="3"/>
  <c r="AK447" i="3"/>
  <c r="AJ450" i="3"/>
  <c r="AB413" i="3"/>
  <c r="AK457" i="3"/>
  <c r="AJ443" i="3"/>
  <c r="AJ195" i="3"/>
  <c r="AK275" i="3"/>
  <c r="AK70" i="3"/>
  <c r="AJ230" i="3"/>
  <c r="AK389" i="3"/>
  <c r="AJ120" i="3"/>
  <c r="AJ342" i="3"/>
  <c r="AJ185" i="3"/>
  <c r="AP376" i="3"/>
  <c r="AB379" i="3"/>
  <c r="AC54" i="3"/>
  <c r="AC388" i="3"/>
  <c r="AC303" i="3"/>
  <c r="AC175" i="3"/>
  <c r="AB219" i="3"/>
  <c r="AB187" i="3"/>
  <c r="AB91" i="3"/>
  <c r="AB27" i="3"/>
  <c r="AB238" i="3"/>
  <c r="AB174" i="3"/>
  <c r="AB78" i="3"/>
  <c r="AB14" i="3"/>
  <c r="AC53" i="3"/>
  <c r="AB265" i="3"/>
  <c r="AJ413" i="3"/>
  <c r="AK458" i="3"/>
  <c r="AK408" i="3"/>
  <c r="AK329" i="3"/>
  <c r="AJ353" i="3"/>
  <c r="AK142" i="3"/>
  <c r="AC21" i="3"/>
  <c r="AC212" i="3"/>
  <c r="AK464" i="3"/>
  <c r="AP289" i="3"/>
  <c r="AB102" i="3"/>
  <c r="AJ421" i="3"/>
  <c r="AJ483" i="3"/>
  <c r="AP296" i="3"/>
  <c r="AP131" i="3"/>
  <c r="AP83" i="3"/>
  <c r="AQ12" i="3"/>
  <c r="AK300" i="3"/>
  <c r="AQ281" i="3"/>
  <c r="AQ61" i="3"/>
  <c r="AP216" i="3"/>
  <c r="AP99" i="3"/>
  <c r="AP67" i="3"/>
  <c r="AQ92" i="3"/>
  <c r="AP354" i="3"/>
  <c r="AP370" i="3"/>
  <c r="AQ386" i="3"/>
  <c r="AC290" i="3"/>
  <c r="AB314" i="3"/>
  <c r="AC321" i="3"/>
  <c r="AC288" i="3"/>
  <c r="AB180" i="3"/>
  <c r="AQ265" i="3"/>
  <c r="AQ201" i="3"/>
  <c r="AQ124" i="3"/>
  <c r="AQ190" i="3"/>
  <c r="AC447" i="3"/>
  <c r="AC473" i="3"/>
  <c r="AJ200" i="3"/>
  <c r="AJ232" i="3"/>
  <c r="AJ281" i="3"/>
  <c r="AJ427" i="3"/>
  <c r="AJ302" i="3"/>
  <c r="AC304" i="3"/>
  <c r="AK328" i="3"/>
  <c r="AC392" i="3"/>
  <c r="AC11" i="3"/>
  <c r="AJ59" i="3"/>
  <c r="AJ131" i="3"/>
  <c r="AJ155" i="3"/>
  <c r="AC195" i="3"/>
  <c r="AK78" i="3"/>
  <c r="AJ94" i="3"/>
  <c r="AJ375" i="3"/>
  <c r="AC10" i="3"/>
  <c r="AC250" i="3"/>
  <c r="AB28" i="3"/>
  <c r="AK60" i="3"/>
  <c r="AK68" i="3"/>
  <c r="AB92" i="3"/>
  <c r="AB164" i="3"/>
  <c r="AK172" i="3"/>
  <c r="AK284" i="3"/>
  <c r="AC62" i="3"/>
  <c r="AJ158" i="3"/>
  <c r="AB214" i="3"/>
  <c r="AB351" i="3"/>
  <c r="AJ314" i="3"/>
  <c r="AK394" i="3"/>
  <c r="AC402" i="3"/>
  <c r="AJ29" i="3"/>
  <c r="AB61" i="3"/>
  <c r="AK69" i="3"/>
  <c r="AJ93" i="3"/>
  <c r="AJ101" i="3"/>
  <c r="AC109" i="3"/>
  <c r="AK117" i="3"/>
  <c r="AB197" i="3"/>
  <c r="AB229" i="3"/>
  <c r="AK277" i="3"/>
  <c r="AC293" i="3"/>
  <c r="AC174" i="3"/>
  <c r="AB273" i="3"/>
  <c r="AK323" i="3"/>
  <c r="AK363" i="3"/>
  <c r="AK343" i="3"/>
  <c r="AB98" i="3"/>
  <c r="AK261" i="3"/>
  <c r="AJ298" i="3"/>
  <c r="AK324" i="3"/>
  <c r="AK356" i="3"/>
  <c r="AB364" i="3"/>
  <c r="AJ388" i="3"/>
  <c r="AB15" i="3"/>
  <c r="AJ119" i="3"/>
  <c r="AK151" i="3"/>
  <c r="AK159" i="3"/>
  <c r="AK167" i="3"/>
  <c r="AJ207" i="3"/>
  <c r="AK359" i="3"/>
  <c r="AJ309" i="3"/>
  <c r="AB357" i="3"/>
  <c r="AJ365" i="3"/>
  <c r="AC16" i="3"/>
  <c r="AB48" i="3"/>
  <c r="AK80" i="3"/>
  <c r="AB112" i="3"/>
  <c r="AJ128" i="3"/>
  <c r="AK168" i="3"/>
  <c r="AJ192" i="3"/>
  <c r="AC208" i="3"/>
  <c r="AK232" i="3"/>
  <c r="AJ248" i="3"/>
  <c r="AJ209" i="3"/>
  <c r="AK335" i="3"/>
  <c r="AK74" i="3"/>
  <c r="AK374" i="3"/>
  <c r="AC17" i="3"/>
  <c r="AK105" i="3"/>
  <c r="AK121" i="3"/>
  <c r="AK217" i="3"/>
  <c r="AC311" i="3"/>
  <c r="AK327" i="3"/>
  <c r="AC131" i="3"/>
  <c r="AB432" i="3"/>
  <c r="AJ182" i="3"/>
  <c r="AJ84" i="3"/>
  <c r="AK190" i="3"/>
  <c r="AK77" i="3"/>
  <c r="AJ205" i="3"/>
  <c r="AJ38" i="3"/>
  <c r="AK456" i="3"/>
  <c r="AK246" i="3"/>
  <c r="AJ255" i="3"/>
  <c r="AJ349" i="3"/>
  <c r="AJ164" i="3"/>
  <c r="AK118" i="3"/>
  <c r="AK134" i="3"/>
  <c r="AJ261" i="3"/>
  <c r="AK110" i="3"/>
  <c r="AC342" i="3"/>
  <c r="AC374" i="3"/>
  <c r="AB299" i="3"/>
  <c r="AB216" i="3"/>
  <c r="AB184" i="3"/>
  <c r="AB120" i="3"/>
  <c r="AP439" i="3"/>
  <c r="AB359" i="3"/>
  <c r="AK282" i="3"/>
  <c r="AC365" i="3"/>
  <c r="AK56" i="3"/>
  <c r="AK209" i="3"/>
  <c r="AK257" i="3"/>
  <c r="AK273" i="3"/>
  <c r="AK138" i="3"/>
  <c r="AB138" i="3"/>
  <c r="AK297" i="3"/>
  <c r="AB310" i="3"/>
  <c r="AK390" i="3"/>
  <c r="AJ398" i="3"/>
  <c r="AJ17" i="3"/>
  <c r="AK57" i="3"/>
  <c r="AC65" i="3"/>
  <c r="AJ105" i="3"/>
  <c r="AJ447" i="3"/>
  <c r="AJ52" i="3"/>
  <c r="AJ96" i="3"/>
  <c r="AJ390" i="3"/>
  <c r="AJ90" i="3"/>
  <c r="AB18" i="3"/>
  <c r="AC57" i="3"/>
  <c r="AB237" i="3"/>
  <c r="AK224" i="3"/>
  <c r="AK233" i="3"/>
  <c r="AQ392" i="3"/>
  <c r="AC381" i="3"/>
  <c r="AC310" i="3"/>
  <c r="AB334" i="3"/>
  <c r="AB201" i="3"/>
  <c r="AB105" i="3"/>
  <c r="AC454" i="3"/>
  <c r="AJ499" i="3"/>
  <c r="AC457" i="3"/>
  <c r="AK491" i="3"/>
  <c r="AJ91" i="3"/>
  <c r="AK187" i="3"/>
  <c r="AK8" i="3"/>
  <c r="AJ178" i="3"/>
  <c r="AK358" i="3"/>
  <c r="AC187" i="3"/>
  <c r="AB433" i="3"/>
  <c r="AC404" i="3"/>
  <c r="AJ278" i="3"/>
  <c r="AK193" i="3"/>
  <c r="AK177" i="3"/>
  <c r="AK50" i="3"/>
  <c r="AC389" i="3"/>
  <c r="AC398" i="3"/>
  <c r="AC263" i="3"/>
  <c r="AB257" i="3"/>
  <c r="AB256" i="3"/>
  <c r="AC470" i="3"/>
  <c r="AJ171" i="3"/>
  <c r="AK223" i="3"/>
  <c r="AJ168" i="3"/>
  <c r="AK176" i="3"/>
  <c r="AK81" i="3"/>
  <c r="AJ327" i="3"/>
  <c r="AJ449" i="3"/>
  <c r="AK449" i="3"/>
  <c r="AC9" i="3"/>
  <c r="AB253" i="3"/>
  <c r="AC218" i="3"/>
  <c r="AB410" i="3"/>
  <c r="AC455" i="3"/>
  <c r="AB470" i="3"/>
  <c r="AC502" i="3"/>
  <c r="AK171" i="3"/>
  <c r="AJ322" i="3"/>
  <c r="AK263" i="3"/>
  <c r="AK349" i="3"/>
  <c r="AC279" i="3"/>
  <c r="AB291" i="3"/>
  <c r="AB67" i="3"/>
  <c r="AB113" i="3"/>
  <c r="AC124" i="3"/>
  <c r="AB437" i="3"/>
  <c r="AC437" i="3"/>
  <c r="AC462" i="3"/>
  <c r="AP497" i="3"/>
  <c r="AB360" i="3"/>
  <c r="AJ198" i="3"/>
  <c r="AJ103" i="3"/>
  <c r="AC115" i="3"/>
  <c r="AC19" i="3"/>
  <c r="AB319" i="3"/>
  <c r="AB223" i="3"/>
  <c r="AB95" i="3"/>
  <c r="AB82" i="3"/>
  <c r="AC88" i="3"/>
  <c r="AB12" i="3"/>
  <c r="AJ463" i="3"/>
  <c r="AK368" i="3"/>
  <c r="AJ227" i="3"/>
  <c r="AK283" i="3"/>
  <c r="AK236" i="3"/>
  <c r="AJ319" i="3"/>
  <c r="AK158" i="3"/>
  <c r="AK269" i="3"/>
  <c r="AK13" i="3"/>
  <c r="AJ30" i="3"/>
  <c r="AJ42" i="3"/>
  <c r="AK186" i="3"/>
  <c r="AK309" i="3"/>
  <c r="AK333" i="3"/>
  <c r="AK373" i="3"/>
  <c r="AK16" i="3"/>
  <c r="AJ240" i="3"/>
  <c r="AK310" i="3"/>
  <c r="AK366" i="3"/>
  <c r="AK382" i="3"/>
  <c r="AK9" i="3"/>
  <c r="AK185" i="3"/>
  <c r="AC143" i="3"/>
  <c r="AB206" i="3"/>
  <c r="AC277" i="3"/>
  <c r="AB9" i="3"/>
  <c r="AC276" i="3"/>
  <c r="AC148" i="3"/>
  <c r="AC52" i="3"/>
  <c r="AC20" i="3"/>
  <c r="AB328" i="3"/>
  <c r="AB168" i="3"/>
  <c r="AB136" i="3"/>
  <c r="AB8" i="3"/>
  <c r="AK442" i="3"/>
  <c r="AJ419" i="3"/>
  <c r="AK197" i="3"/>
  <c r="AC107" i="3"/>
  <c r="AB87" i="3"/>
  <c r="AB55" i="3"/>
  <c r="AB418" i="3"/>
  <c r="AJ473" i="3"/>
  <c r="AK179" i="3"/>
  <c r="AC357" i="3"/>
  <c r="AC343" i="3"/>
  <c r="AB262" i="3"/>
  <c r="AC205" i="3"/>
  <c r="AB129" i="3"/>
  <c r="AC332" i="3"/>
  <c r="AC236" i="3"/>
  <c r="AB32" i="3"/>
  <c r="AK405" i="3"/>
  <c r="AK409" i="3"/>
  <c r="AB476" i="3"/>
  <c r="AB483" i="3"/>
  <c r="AJ494" i="3"/>
  <c r="AK503" i="3"/>
  <c r="AC500" i="3"/>
  <c r="AQ465" i="3"/>
  <c r="AK461" i="3"/>
  <c r="AJ344" i="3"/>
  <c r="AJ27" i="3"/>
  <c r="AJ203" i="3"/>
  <c r="AJ141" i="3"/>
  <c r="AK149" i="3"/>
  <c r="AK331" i="3"/>
  <c r="AJ39" i="3"/>
  <c r="AJ317" i="3"/>
  <c r="AB350" i="3"/>
  <c r="AC333" i="3"/>
  <c r="AC323" i="3"/>
  <c r="AB335" i="3"/>
  <c r="AB239" i="3"/>
  <c r="AB125" i="3"/>
  <c r="AK312" i="3"/>
  <c r="AJ360" i="3"/>
  <c r="AK376" i="3"/>
  <c r="AK19" i="3"/>
  <c r="AK35" i="3"/>
  <c r="AK43" i="3"/>
  <c r="AK51" i="3"/>
  <c r="AK115" i="3"/>
  <c r="AJ337" i="3"/>
  <c r="AK369" i="3"/>
  <c r="AJ385" i="3"/>
  <c r="AK401" i="3"/>
  <c r="AJ92" i="3"/>
  <c r="AK270" i="3"/>
  <c r="AK210" i="3"/>
  <c r="AJ315" i="3"/>
  <c r="AJ340" i="3"/>
  <c r="AJ111" i="3"/>
  <c r="AK397" i="3"/>
  <c r="AJ8" i="3"/>
  <c r="AK48" i="3"/>
  <c r="AJ80" i="3"/>
  <c r="AK88" i="3"/>
  <c r="AK112" i="3"/>
  <c r="AK184" i="3"/>
  <c r="AK192" i="3"/>
  <c r="AK391" i="3"/>
  <c r="AK41" i="3"/>
  <c r="AK89" i="3"/>
  <c r="AC182" i="3"/>
  <c r="AB361" i="3"/>
  <c r="AB235" i="3"/>
  <c r="AB139" i="3"/>
  <c r="AJ429" i="3"/>
  <c r="AK430" i="3"/>
  <c r="AC433" i="3"/>
  <c r="AP474" i="3"/>
  <c r="AB475" i="3"/>
  <c r="AK423" i="3"/>
  <c r="AK469" i="3"/>
  <c r="AJ191" i="3"/>
  <c r="AJ202" i="3"/>
  <c r="AB423" i="3"/>
  <c r="AJ110" i="3"/>
  <c r="AJ238" i="3"/>
  <c r="AC368" i="3"/>
  <c r="AC35" i="3"/>
  <c r="AC139" i="3"/>
  <c r="AJ44" i="3"/>
  <c r="AJ100" i="3"/>
  <c r="AJ172" i="3"/>
  <c r="AK351" i="3"/>
  <c r="AB330" i="3"/>
  <c r="AB29" i="3"/>
  <c r="AJ37" i="3"/>
  <c r="AJ85" i="3"/>
  <c r="AJ221" i="3"/>
  <c r="AJ262" i="3"/>
  <c r="AJ396" i="3"/>
  <c r="AJ23" i="3"/>
  <c r="AK135" i="3"/>
  <c r="AJ159" i="3"/>
  <c r="AJ231" i="3"/>
  <c r="AJ82" i="3"/>
  <c r="AJ373" i="3"/>
  <c r="AJ381" i="3"/>
  <c r="AJ257" i="3"/>
  <c r="AJ285" i="3"/>
  <c r="AJ299" i="3"/>
  <c r="AJ326" i="3"/>
  <c r="AJ81" i="3"/>
  <c r="AJ383" i="3"/>
  <c r="AK130" i="3"/>
  <c r="AK10" i="3"/>
  <c r="AJ362" i="3"/>
  <c r="AK205" i="3"/>
  <c r="AJ355" i="3"/>
  <c r="AJ380" i="3"/>
  <c r="AK191" i="3"/>
  <c r="AP358" i="3"/>
  <c r="AK360" i="3"/>
  <c r="AJ211" i="3"/>
  <c r="AK46" i="3"/>
  <c r="AJ144" i="3"/>
  <c r="AP448" i="3"/>
  <c r="AC482" i="3"/>
  <c r="AB258" i="3"/>
  <c r="AB304" i="3"/>
  <c r="AB320" i="3"/>
  <c r="AB336" i="3"/>
  <c r="AJ115" i="3"/>
  <c r="AK123" i="3"/>
  <c r="AJ147" i="3"/>
  <c r="AC188" i="3"/>
  <c r="AJ282" i="3"/>
  <c r="AJ12" i="3"/>
  <c r="AJ20" i="3"/>
  <c r="AK84" i="3"/>
  <c r="AJ351" i="3"/>
  <c r="AK245" i="3"/>
  <c r="AJ306" i="3"/>
  <c r="AB189" i="3"/>
  <c r="AJ197" i="3"/>
  <c r="AK221" i="3"/>
  <c r="AJ269" i="3"/>
  <c r="AC363" i="3"/>
  <c r="AJ258" i="3"/>
  <c r="AJ303" i="3"/>
  <c r="AJ135" i="3"/>
  <c r="AJ215" i="3"/>
  <c r="AK287" i="3"/>
  <c r="AK357" i="3"/>
  <c r="AJ112" i="3"/>
  <c r="AJ289" i="3"/>
  <c r="AJ250" i="3"/>
  <c r="AK398" i="3"/>
  <c r="AJ121" i="3"/>
  <c r="AK129" i="3"/>
  <c r="AJ311" i="3"/>
  <c r="AK218" i="3"/>
  <c r="AC479" i="3"/>
  <c r="AJ411" i="3"/>
  <c r="AC427" i="3"/>
  <c r="AB501" i="3"/>
  <c r="AB468" i="3"/>
  <c r="AJ482" i="3"/>
  <c r="AK271" i="3"/>
  <c r="AJ453" i="3"/>
  <c r="AK465" i="3"/>
  <c r="AJ407" i="3"/>
  <c r="AJ296" i="3"/>
  <c r="AJ452" i="3"/>
  <c r="AJ433" i="3"/>
  <c r="AC468" i="3"/>
  <c r="AK499" i="3"/>
  <c r="AC419" i="3"/>
  <c r="AK274" i="3"/>
  <c r="AK24" i="3"/>
  <c r="AB247" i="3"/>
  <c r="AC405" i="3"/>
  <c r="AB450" i="3"/>
  <c r="AP348" i="3"/>
  <c r="AC230" i="3"/>
  <c r="AC46" i="3"/>
  <c r="AC286" i="3"/>
  <c r="AC167" i="3"/>
  <c r="AC39" i="3"/>
  <c r="AC7" i="3"/>
  <c r="AB243" i="3"/>
  <c r="AB147" i="3"/>
  <c r="AB6" i="3"/>
  <c r="AC301" i="3"/>
  <c r="AB193" i="3"/>
  <c r="AC140" i="3"/>
  <c r="AC12" i="3"/>
  <c r="AB288" i="3"/>
  <c r="AB96" i="3"/>
  <c r="AC262" i="3"/>
  <c r="AC393" i="3"/>
  <c r="AC170" i="3"/>
  <c r="AC347" i="3"/>
  <c r="AC400" i="3"/>
  <c r="AC291" i="3"/>
  <c r="AC227" i="3"/>
  <c r="AC99" i="3"/>
  <c r="AB271" i="3"/>
  <c r="AB143" i="3"/>
  <c r="AB47" i="3"/>
  <c r="AB93" i="3"/>
  <c r="AC296" i="3"/>
  <c r="AB220" i="3"/>
  <c r="AB425" i="3"/>
  <c r="AK352" i="3"/>
  <c r="AK131" i="3"/>
  <c r="AB163" i="3"/>
  <c r="AK156" i="3"/>
  <c r="AK276" i="3"/>
  <c r="AK86" i="3"/>
  <c r="AB150" i="3"/>
  <c r="AK58" i="3"/>
  <c r="AK212" i="3"/>
  <c r="AJ338" i="3"/>
  <c r="AJ354" i="3"/>
  <c r="AJ45" i="3"/>
  <c r="AB246" i="3"/>
  <c r="AK302" i="3"/>
  <c r="AJ331" i="3"/>
  <c r="AK371" i="3"/>
  <c r="AK379" i="3"/>
  <c r="AJ343" i="3"/>
  <c r="AK399" i="3"/>
  <c r="AC340" i="3"/>
  <c r="AK175" i="3"/>
  <c r="AJ325" i="3"/>
  <c r="AK72" i="3"/>
  <c r="AK255" i="3"/>
  <c r="AB374" i="3"/>
  <c r="AC498" i="3"/>
  <c r="AC378" i="3"/>
  <c r="AB367" i="3"/>
  <c r="AC214" i="3"/>
  <c r="AC387" i="3"/>
  <c r="AC91" i="3"/>
  <c r="AC27" i="3"/>
  <c r="AB71" i="3"/>
  <c r="AB154" i="3"/>
  <c r="AB122" i="3"/>
  <c r="AB149" i="3"/>
  <c r="AB117" i="3"/>
  <c r="AB85" i="3"/>
  <c r="AC32" i="3"/>
  <c r="AB244" i="3"/>
  <c r="AB148" i="3"/>
  <c r="AB52" i="3"/>
  <c r="AB348" i="3"/>
  <c r="AB498" i="3"/>
  <c r="AB403" i="3"/>
  <c r="AB182" i="3"/>
  <c r="AB54" i="3"/>
  <c r="AC189" i="3"/>
  <c r="AB240" i="3"/>
  <c r="AB490" i="3"/>
  <c r="AP390" i="3"/>
  <c r="AC345" i="3"/>
  <c r="AC206" i="3"/>
  <c r="AC98" i="3"/>
  <c r="AC307" i="3"/>
  <c r="AC211" i="3"/>
  <c r="AC179" i="3"/>
  <c r="AC83" i="3"/>
  <c r="AB159" i="3"/>
  <c r="AB127" i="3"/>
  <c r="AB63" i="3"/>
  <c r="AC281" i="3"/>
  <c r="AB205" i="3"/>
  <c r="AB109" i="3"/>
  <c r="AB77" i="3"/>
  <c r="AB268" i="3"/>
  <c r="AB204" i="3"/>
  <c r="AB108" i="3"/>
  <c r="AB44" i="3"/>
  <c r="AC26" i="3"/>
  <c r="AK260" i="3"/>
  <c r="AK320" i="3"/>
  <c r="AJ400" i="3"/>
  <c r="AK147" i="3"/>
  <c r="AK163" i="3"/>
  <c r="AK195" i="3"/>
  <c r="AK204" i="3"/>
  <c r="AJ292" i="3"/>
  <c r="AJ126" i="3"/>
  <c r="AC150" i="3"/>
  <c r="AK254" i="3"/>
  <c r="AJ234" i="3"/>
  <c r="AB280" i="3"/>
  <c r="AJ329" i="3"/>
  <c r="AJ393" i="3"/>
  <c r="AK4" i="3"/>
  <c r="AK44" i="3"/>
  <c r="AJ214" i="3"/>
  <c r="AK122" i="3"/>
  <c r="AK386" i="3"/>
  <c r="AJ402" i="3"/>
  <c r="AJ125" i="3"/>
  <c r="AK141" i="3"/>
  <c r="AJ277" i="3"/>
  <c r="AJ98" i="3"/>
  <c r="AK226" i="3"/>
  <c r="AJ276" i="3"/>
  <c r="AJ15" i="3"/>
  <c r="AJ63" i="3"/>
  <c r="AJ79" i="3"/>
  <c r="AK111" i="3"/>
  <c r="AJ341" i="3"/>
  <c r="AK200" i="3"/>
  <c r="AJ335" i="3"/>
  <c r="AJ138" i="3"/>
  <c r="AK267" i="3"/>
  <c r="AJ9" i="3"/>
  <c r="AJ25" i="3"/>
  <c r="AJ18" i="3"/>
  <c r="AJ486" i="3"/>
  <c r="AK406" i="3"/>
  <c r="AK439" i="3"/>
  <c r="AB471" i="3"/>
  <c r="AJ497" i="3"/>
  <c r="AB458" i="3"/>
  <c r="AC360" i="3"/>
  <c r="AC43" i="3"/>
  <c r="AJ123" i="3"/>
  <c r="AC171" i="3"/>
  <c r="AC203" i="3"/>
  <c r="AJ156" i="3"/>
  <c r="AB94" i="3"/>
  <c r="AK286" i="3"/>
  <c r="AK114" i="3"/>
  <c r="AB337" i="3"/>
  <c r="AJ401" i="3"/>
  <c r="AJ4" i="3"/>
  <c r="AB132" i="3"/>
  <c r="AJ228" i="3"/>
  <c r="AK238" i="3"/>
  <c r="AK346" i="3"/>
  <c r="AB5" i="3"/>
  <c r="AJ229" i="3"/>
  <c r="AJ253" i="3"/>
  <c r="AK291" i="3"/>
  <c r="AK355" i="3"/>
  <c r="AJ274" i="3"/>
  <c r="AK47" i="3"/>
  <c r="AJ397" i="3"/>
  <c r="AK120" i="3"/>
  <c r="AK272" i="3"/>
  <c r="AK225" i="3"/>
  <c r="AJ310" i="3"/>
  <c r="AJ130" i="3"/>
  <c r="AC361" i="3"/>
  <c r="AC25" i="3"/>
  <c r="AC394" i="3"/>
  <c r="AC58" i="3"/>
  <c r="AC122" i="3"/>
  <c r="AC247" i="3"/>
  <c r="AC186" i="3"/>
  <c r="AC372" i="3"/>
  <c r="AC486" i="3"/>
  <c r="AC341" i="3"/>
  <c r="AC69" i="3"/>
  <c r="AC391" i="3"/>
  <c r="AC55" i="3"/>
  <c r="AC119" i="3"/>
  <c r="AC183" i="3"/>
  <c r="AC40" i="3"/>
  <c r="AC168" i="3"/>
  <c r="AQ421" i="3"/>
  <c r="AC417" i="3"/>
  <c r="AB438" i="3"/>
  <c r="AK433" i="3"/>
  <c r="AJ439" i="3"/>
  <c r="AJ465" i="3"/>
  <c r="AB456" i="3"/>
  <c r="AB481" i="3"/>
  <c r="AC496" i="3"/>
  <c r="AC436" i="3"/>
  <c r="AB429" i="3"/>
  <c r="AK443" i="3"/>
  <c r="AJ264" i="3"/>
  <c r="AJ294" i="3"/>
  <c r="AC328" i="3"/>
  <c r="AJ392" i="3"/>
  <c r="AK27" i="3"/>
  <c r="AK91" i="3"/>
  <c r="AK155" i="3"/>
  <c r="AJ187" i="3"/>
  <c r="AK227" i="3"/>
  <c r="AJ243" i="3"/>
  <c r="AJ46" i="3"/>
  <c r="AC78" i="3"/>
  <c r="AK94" i="3"/>
  <c r="AK126" i="3"/>
  <c r="AK182" i="3"/>
  <c r="AJ305" i="3"/>
  <c r="AC337" i="3"/>
  <c r="AB369" i="3"/>
  <c r="AJ60" i="3"/>
  <c r="AJ190" i="3"/>
  <c r="AJ346" i="3"/>
  <c r="AJ21" i="3"/>
  <c r="AK101" i="3"/>
  <c r="AK7" i="3"/>
  <c r="AK119" i="3"/>
  <c r="AJ199" i="3"/>
  <c r="AJ359" i="3"/>
  <c r="AC373" i="3"/>
  <c r="AJ152" i="3"/>
  <c r="AJ366" i="3"/>
  <c r="AJ49" i="3"/>
  <c r="AJ249" i="3"/>
  <c r="AK383" i="3"/>
  <c r="AC305" i="3"/>
  <c r="AC493" i="3"/>
  <c r="AC253" i="3"/>
  <c r="AC403" i="3"/>
  <c r="AC316" i="3"/>
  <c r="AC380" i="3"/>
  <c r="AC241" i="3"/>
  <c r="AC299" i="3"/>
  <c r="AC384" i="3"/>
  <c r="AC48" i="3"/>
  <c r="AC112" i="3"/>
  <c r="AC266" i="3"/>
  <c r="AB420" i="3"/>
  <c r="AQ455" i="3"/>
  <c r="AC463" i="3"/>
  <c r="AK475" i="3"/>
  <c r="AC423" i="3"/>
  <c r="AB408" i="3"/>
  <c r="AB482" i="3"/>
  <c r="AC416" i="3"/>
  <c r="AC426" i="3"/>
  <c r="AC297" i="3"/>
  <c r="AK336" i="3"/>
  <c r="AJ368" i="3"/>
  <c r="AB400" i="3"/>
  <c r="AJ267" i="3"/>
  <c r="AB188" i="3"/>
  <c r="AK170" i="3"/>
  <c r="AJ290" i="3"/>
  <c r="AJ377" i="3"/>
  <c r="AK354" i="3"/>
  <c r="AJ13" i="3"/>
  <c r="AJ399" i="3"/>
  <c r="AB301" i="3"/>
  <c r="AJ31" i="3"/>
  <c r="AB381" i="3"/>
  <c r="AJ72" i="3"/>
  <c r="AK136" i="3"/>
  <c r="AB417" i="3"/>
  <c r="AC475" i="3"/>
  <c r="AC431" i="3"/>
  <c r="AJ457" i="3"/>
  <c r="AC478" i="3"/>
  <c r="AJ490" i="3"/>
  <c r="AJ245" i="3"/>
  <c r="AJ328" i="3"/>
  <c r="AK11" i="3"/>
  <c r="AJ11" i="3"/>
  <c r="AK107" i="3"/>
  <c r="AJ139" i="3"/>
  <c r="AJ204" i="3"/>
  <c r="AJ10" i="3"/>
  <c r="AB305" i="3"/>
  <c r="AJ313" i="3"/>
  <c r="AJ361" i="3"/>
  <c r="AK385" i="3"/>
  <c r="AK100" i="3"/>
  <c r="AJ62" i="3"/>
  <c r="AB37" i="3"/>
  <c r="AJ53" i="3"/>
  <c r="AJ133" i="3"/>
  <c r="AJ213" i="3"/>
  <c r="AK174" i="3"/>
  <c r="AB42" i="3"/>
  <c r="AJ316" i="3"/>
  <c r="AB324" i="3"/>
  <c r="AJ356" i="3"/>
  <c r="AK388" i="3"/>
  <c r="AJ87" i="3"/>
  <c r="AB80" i="3"/>
  <c r="AK25" i="3"/>
  <c r="AJ408" i="3"/>
  <c r="AJ418" i="3"/>
  <c r="AC429" i="3"/>
  <c r="AP455" i="3"/>
  <c r="AK454" i="3"/>
  <c r="AJ484" i="3"/>
  <c r="AB445" i="3"/>
  <c r="AK462" i="3"/>
  <c r="AK451" i="3"/>
  <c r="AP472" i="3"/>
  <c r="AK459" i="3"/>
  <c r="AK500" i="3"/>
  <c r="AC411" i="3"/>
  <c r="AC424" i="3"/>
  <c r="AC441" i="3"/>
  <c r="AB405" i="3"/>
  <c r="AB473" i="3"/>
  <c r="AB376" i="3"/>
  <c r="AB392" i="3"/>
  <c r="AJ43" i="3"/>
  <c r="AJ75" i="3"/>
  <c r="AK75" i="3"/>
  <c r="AJ179" i="3"/>
  <c r="AJ275" i="3"/>
  <c r="AC70" i="3"/>
  <c r="AK242" i="3"/>
  <c r="AK319" i="3"/>
  <c r="AJ247" i="3"/>
  <c r="AK278" i="3"/>
  <c r="AC385" i="3"/>
  <c r="AK12" i="3"/>
  <c r="AJ140" i="3"/>
  <c r="AK164" i="3"/>
  <c r="AJ196" i="3"/>
  <c r="AK62" i="3"/>
  <c r="AB118" i="3"/>
  <c r="AK258" i="3"/>
  <c r="AJ117" i="3"/>
  <c r="AC246" i="3"/>
  <c r="AK298" i="3"/>
  <c r="AJ363" i="3"/>
  <c r="AJ14" i="3"/>
  <c r="AK396" i="3"/>
  <c r="AK55" i="3"/>
  <c r="AK295" i="3"/>
  <c r="AC359" i="3"/>
  <c r="AJ154" i="3"/>
  <c r="AK289" i="3"/>
  <c r="AK381" i="3"/>
  <c r="AJ16" i="3"/>
  <c r="AC80" i="3"/>
  <c r="AK104" i="3"/>
  <c r="AK144" i="3"/>
  <c r="AK160" i="3"/>
  <c r="AB176" i="3"/>
  <c r="AB272" i="3"/>
  <c r="AK318" i="3"/>
  <c r="AC382" i="3"/>
  <c r="AC49" i="3"/>
  <c r="AJ97" i="3"/>
  <c r="AJ218" i="3"/>
  <c r="AC395" i="3"/>
  <c r="AC190" i="3"/>
  <c r="AC339" i="3"/>
  <c r="AC153" i="3"/>
  <c r="AC89" i="3"/>
  <c r="AC280" i="3"/>
  <c r="AC176" i="3"/>
  <c r="AC349" i="3"/>
  <c r="AC330" i="3"/>
  <c r="AC399" i="3"/>
  <c r="AC130" i="3"/>
  <c r="AC335" i="3"/>
  <c r="AC320" i="3"/>
  <c r="AC490" i="3"/>
  <c r="AC5" i="3"/>
  <c r="AC67" i="3"/>
  <c r="AC104" i="3"/>
  <c r="AC220" i="3"/>
  <c r="AC294" i="3"/>
  <c r="AC338" i="3"/>
  <c r="AC223" i="3"/>
  <c r="AC63" i="3"/>
  <c r="AC164" i="3"/>
  <c r="AC100" i="3"/>
  <c r="AC36" i="3"/>
  <c r="AC442" i="3"/>
  <c r="AC484" i="3"/>
  <c r="AC440" i="3"/>
  <c r="AC327" i="3"/>
  <c r="AC369" i="3"/>
  <c r="AC123" i="3"/>
  <c r="AC193" i="3"/>
  <c r="AC161" i="3"/>
  <c r="AC97" i="3"/>
  <c r="AC33" i="3"/>
  <c r="AC272" i="3"/>
  <c r="AC66" i="3"/>
  <c r="AC406" i="3"/>
  <c r="AC432" i="3"/>
  <c r="AC448" i="3"/>
  <c r="B56" i="1"/>
  <c r="L416" i="3" s="1"/>
  <c r="B59" i="1"/>
  <c r="R391" i="3" s="1"/>
  <c r="N406" i="3"/>
  <c r="N462" i="3"/>
  <c r="M392" i="3"/>
  <c r="N450" i="3"/>
  <c r="N492" i="3"/>
  <c r="M473" i="3"/>
  <c r="N445" i="3"/>
  <c r="N414" i="3"/>
  <c r="N409" i="3"/>
  <c r="N412" i="3"/>
  <c r="N413" i="3"/>
  <c r="N418" i="3"/>
  <c r="M447" i="3"/>
  <c r="N453" i="3"/>
  <c r="N478" i="3"/>
  <c r="M411" i="3"/>
  <c r="M416" i="3"/>
  <c r="M424" i="3"/>
  <c r="N447" i="3"/>
  <c r="M463" i="3"/>
  <c r="M467" i="3"/>
  <c r="M468" i="3"/>
  <c r="M499" i="3"/>
  <c r="M501" i="3"/>
  <c r="N411" i="3"/>
  <c r="N416" i="3"/>
  <c r="M427" i="3"/>
  <c r="N463" i="3"/>
  <c r="N465" i="3"/>
  <c r="M466" i="3"/>
  <c r="N468" i="3"/>
  <c r="M474" i="3"/>
  <c r="N499" i="3"/>
  <c r="N501" i="3"/>
  <c r="M432" i="3"/>
  <c r="M441" i="3"/>
  <c r="N466" i="3"/>
  <c r="M493" i="3"/>
  <c r="N432" i="3"/>
  <c r="N441" i="3"/>
  <c r="N464" i="3"/>
  <c r="N493" i="3"/>
  <c r="M496" i="3"/>
  <c r="M429" i="3"/>
  <c r="M436" i="3"/>
  <c r="M438" i="3"/>
  <c r="M449" i="3"/>
  <c r="M477" i="3"/>
  <c r="N496" i="3"/>
  <c r="N436" i="3"/>
  <c r="M484" i="3"/>
  <c r="N285" i="3"/>
  <c r="M299" i="3"/>
  <c r="M303" i="3"/>
  <c r="M442" i="3"/>
  <c r="E4" i="3"/>
  <c r="M418" i="3"/>
  <c r="N438" i="3"/>
  <c r="M460" i="3"/>
  <c r="M263" i="3"/>
  <c r="M413" i="3"/>
  <c r="M415" i="3"/>
  <c r="N460" i="3"/>
  <c r="N415" i="3"/>
  <c r="N449" i="3"/>
  <c r="N486" i="3"/>
  <c r="N289" i="3"/>
  <c r="M433" i="3"/>
  <c r="N181" i="3"/>
  <c r="N259" i="3"/>
  <c r="N281" i="3"/>
  <c r="N433" i="3"/>
  <c r="M453" i="3"/>
  <c r="M293" i="3"/>
  <c r="N408" i="3"/>
  <c r="N452" i="3"/>
  <c r="M482" i="3"/>
  <c r="N296" i="3"/>
  <c r="M245" i="3"/>
  <c r="N211" i="3"/>
  <c r="N427" i="3"/>
  <c r="N311" i="3"/>
  <c r="M201" i="3"/>
  <c r="N177" i="3"/>
  <c r="N145" i="3"/>
  <c r="N89" i="3"/>
  <c r="N73" i="3"/>
  <c r="N41" i="3"/>
  <c r="N33" i="3"/>
  <c r="M25" i="3"/>
  <c r="N17" i="3"/>
  <c r="M310" i="3"/>
  <c r="N34" i="3"/>
  <c r="N209" i="3"/>
  <c r="M193" i="3"/>
  <c r="N264" i="3"/>
  <c r="M216" i="3"/>
  <c r="M208" i="3"/>
  <c r="M136" i="3"/>
  <c r="N128" i="3"/>
  <c r="N238" i="3"/>
  <c r="N163" i="3"/>
  <c r="M446" i="3"/>
  <c r="M440" i="3"/>
  <c r="M383" i="3"/>
  <c r="M327" i="3"/>
  <c r="M265" i="3"/>
  <c r="N217" i="3"/>
  <c r="N161" i="3"/>
  <c r="M121" i="3"/>
  <c r="M113" i="3"/>
  <c r="M81" i="3"/>
  <c r="M350" i="3"/>
  <c r="N342" i="3"/>
  <c r="M326" i="3"/>
  <c r="N302" i="3"/>
  <c r="M74" i="3"/>
  <c r="N241" i="3"/>
  <c r="N193" i="3"/>
  <c r="M272" i="3"/>
  <c r="N232" i="3"/>
  <c r="M192" i="3"/>
  <c r="N184" i="3"/>
  <c r="M176" i="3"/>
  <c r="M104" i="3"/>
  <c r="N96" i="3"/>
  <c r="M230" i="3"/>
  <c r="N299" i="3"/>
  <c r="M407" i="3"/>
  <c r="N297" i="3"/>
  <c r="M249" i="3"/>
  <c r="M129" i="3"/>
  <c r="M97" i="3"/>
  <c r="M9" i="3"/>
  <c r="M374" i="3"/>
  <c r="N350" i="3"/>
  <c r="M138" i="3"/>
  <c r="M335" i="3"/>
  <c r="N335" i="3"/>
  <c r="M225" i="3"/>
  <c r="M280" i="3"/>
  <c r="N168" i="3"/>
  <c r="N152" i="3"/>
  <c r="M144" i="3"/>
  <c r="M120" i="3"/>
  <c r="M112" i="3"/>
  <c r="N214" i="3"/>
  <c r="M189" i="3"/>
  <c r="M275" i="3"/>
  <c r="N424" i="3"/>
  <c r="N476" i="3"/>
  <c r="N178" i="3"/>
  <c r="M130" i="3"/>
  <c r="M50" i="3"/>
  <c r="M18" i="3"/>
  <c r="N327" i="3"/>
  <c r="M311" i="3"/>
  <c r="N201" i="3"/>
  <c r="M169" i="3"/>
  <c r="M105" i="3"/>
  <c r="N97" i="3"/>
  <c r="M398" i="3"/>
  <c r="M390" i="3"/>
  <c r="M366" i="3"/>
  <c r="N326" i="3"/>
  <c r="M318" i="3"/>
  <c r="N266" i="3"/>
  <c r="M255" i="3"/>
  <c r="M194" i="3"/>
  <c r="N391" i="3"/>
  <c r="M224" i="3"/>
  <c r="N216" i="3"/>
  <c r="N136" i="3"/>
  <c r="N120" i="3"/>
  <c r="N112" i="3"/>
  <c r="N104" i="3"/>
  <c r="N88" i="3"/>
  <c r="N273" i="3"/>
  <c r="M90" i="3"/>
  <c r="N383" i="3"/>
  <c r="M281" i="3"/>
  <c r="N265" i="3"/>
  <c r="M153" i="3"/>
  <c r="N121" i="3"/>
  <c r="N113" i="3"/>
  <c r="N105" i="3"/>
  <c r="N81" i="3"/>
  <c r="N65" i="3"/>
  <c r="N57" i="3"/>
  <c r="N49" i="3"/>
  <c r="M49" i="3"/>
  <c r="M358" i="3"/>
  <c r="M250" i="3"/>
  <c r="N138" i="3"/>
  <c r="N74" i="3"/>
  <c r="N272" i="3"/>
  <c r="N208" i="3"/>
  <c r="N192" i="3"/>
  <c r="N176" i="3"/>
  <c r="M128" i="3"/>
  <c r="N269" i="3"/>
  <c r="M494" i="3"/>
  <c r="N258" i="3"/>
  <c r="M218" i="3"/>
  <c r="N50" i="3"/>
  <c r="N249" i="3"/>
  <c r="M177" i="3"/>
  <c r="M145" i="3"/>
  <c r="N137" i="3"/>
  <c r="M89" i="3"/>
  <c r="M73" i="3"/>
  <c r="M41" i="3"/>
  <c r="M33" i="3"/>
  <c r="N25" i="3"/>
  <c r="M17" i="3"/>
  <c r="N9" i="3"/>
  <c r="M382" i="3"/>
  <c r="N374" i="3"/>
  <c r="N292" i="3"/>
  <c r="N225" i="3"/>
  <c r="M209" i="3"/>
  <c r="M296" i="3"/>
  <c r="M240" i="3"/>
  <c r="M200" i="3"/>
  <c r="N160" i="3"/>
  <c r="M456" i="3"/>
  <c r="M261" i="3"/>
  <c r="M242" i="3"/>
  <c r="M486" i="3"/>
  <c r="M408" i="3"/>
  <c r="N130" i="3"/>
  <c r="N18" i="3"/>
  <c r="N233" i="3"/>
  <c r="M217" i="3"/>
  <c r="N185" i="3"/>
  <c r="N169" i="3"/>
  <c r="M161" i="3"/>
  <c r="M137" i="3"/>
  <c r="M65" i="3"/>
  <c r="M57" i="3"/>
  <c r="N398" i="3"/>
  <c r="N390" i="3"/>
  <c r="N366" i="3"/>
  <c r="N358" i="3"/>
  <c r="M342" i="3"/>
  <c r="N334" i="3"/>
  <c r="N318" i="3"/>
  <c r="N194" i="3"/>
  <c r="M34" i="3"/>
  <c r="M391" i="3"/>
  <c r="N248" i="3"/>
  <c r="M232" i="3"/>
  <c r="N224" i="3"/>
  <c r="N200" i="3"/>
  <c r="M184" i="3"/>
  <c r="M96" i="3"/>
  <c r="N303" i="3"/>
  <c r="N278" i="3"/>
  <c r="N174" i="3"/>
  <c r="M235" i="3"/>
  <c r="M226" i="3"/>
  <c r="N484" i="3"/>
  <c r="N471" i="3"/>
  <c r="M178" i="3"/>
  <c r="N90" i="3"/>
  <c r="N153" i="3"/>
  <c r="N129" i="3"/>
  <c r="N382" i="3"/>
  <c r="M334" i="3"/>
  <c r="N310" i="3"/>
  <c r="M277" i="3"/>
  <c r="N251" i="3"/>
  <c r="M289" i="3"/>
  <c r="M257" i="3"/>
  <c r="M72" i="3"/>
  <c r="M16" i="3"/>
  <c r="N284" i="3"/>
  <c r="N359" i="3"/>
  <c r="M287" i="3"/>
  <c r="N231" i="3"/>
  <c r="M167" i="3"/>
  <c r="N127" i="3"/>
  <c r="M380" i="3"/>
  <c r="M372" i="3"/>
  <c r="M356" i="3"/>
  <c r="M340" i="3"/>
  <c r="M324" i="3"/>
  <c r="M316" i="3"/>
  <c r="N280" i="3"/>
  <c r="M274" i="3"/>
  <c r="N343" i="3"/>
  <c r="M22" i="3"/>
  <c r="M152" i="3"/>
  <c r="N144" i="3"/>
  <c r="M8" i="3"/>
  <c r="N389" i="3"/>
  <c r="N381" i="3"/>
  <c r="N333" i="3"/>
  <c r="M309" i="3"/>
  <c r="M248" i="3"/>
  <c r="N282" i="3"/>
  <c r="M239" i="3"/>
  <c r="M223" i="3"/>
  <c r="N207" i="3"/>
  <c r="N135" i="3"/>
  <c r="N119" i="3"/>
  <c r="N111" i="3"/>
  <c r="N87" i="3"/>
  <c r="N63" i="3"/>
  <c r="N55" i="3"/>
  <c r="N15" i="3"/>
  <c r="N226" i="3"/>
  <c r="N42" i="3"/>
  <c r="N399" i="3"/>
  <c r="N38" i="3"/>
  <c r="N30" i="3"/>
  <c r="M168" i="3"/>
  <c r="N48" i="3"/>
  <c r="M389" i="3"/>
  <c r="M365" i="3"/>
  <c r="M357" i="3"/>
  <c r="M273" i="3"/>
  <c r="M266" i="3"/>
  <c r="M154" i="3"/>
  <c r="N279" i="3"/>
  <c r="N199" i="3"/>
  <c r="N191" i="3"/>
  <c r="N175" i="3"/>
  <c r="M71" i="3"/>
  <c r="N47" i="3"/>
  <c r="M15" i="3"/>
  <c r="M364" i="3"/>
  <c r="N356" i="3"/>
  <c r="N340" i="3"/>
  <c r="N332" i="3"/>
  <c r="N301" i="3"/>
  <c r="M258" i="3"/>
  <c r="N250" i="3"/>
  <c r="M186" i="3"/>
  <c r="N72" i="3"/>
  <c r="N64" i="3"/>
  <c r="N56" i="3"/>
  <c r="M24" i="3"/>
  <c r="N16" i="3"/>
  <c r="M397" i="3"/>
  <c r="M373" i="3"/>
  <c r="M341" i="3"/>
  <c r="M325" i="3"/>
  <c r="M202" i="3"/>
  <c r="N287" i="3"/>
  <c r="M215" i="3"/>
  <c r="M159" i="3"/>
  <c r="M151" i="3"/>
  <c r="M143" i="3"/>
  <c r="M103" i="3"/>
  <c r="M95" i="3"/>
  <c r="M79" i="3"/>
  <c r="N7" i="3"/>
  <c r="N3" i="3"/>
  <c r="N380" i="3"/>
  <c r="M284" i="3"/>
  <c r="M146" i="3"/>
  <c r="M399" i="3"/>
  <c r="M80" i="3"/>
  <c r="N8" i="3"/>
  <c r="N357" i="3"/>
  <c r="M349" i="3"/>
  <c r="N309" i="3"/>
  <c r="M302" i="3"/>
  <c r="N288" i="3"/>
  <c r="N263" i="3"/>
  <c r="M247" i="3"/>
  <c r="N239" i="3"/>
  <c r="N223" i="3"/>
  <c r="M183" i="3"/>
  <c r="M23" i="3"/>
  <c r="N396" i="3"/>
  <c r="M388" i="3"/>
  <c r="M308" i="3"/>
  <c r="N276" i="3"/>
  <c r="M98" i="3"/>
  <c r="M88" i="3"/>
  <c r="N80" i="3"/>
  <c r="M40" i="3"/>
  <c r="N40" i="3"/>
  <c r="M32" i="3"/>
  <c r="N32" i="3"/>
  <c r="N341" i="3"/>
  <c r="N317" i="3"/>
  <c r="M270" i="3"/>
  <c r="M185" i="3"/>
  <c r="N154" i="3"/>
  <c r="N82" i="3"/>
  <c r="M359" i="3"/>
  <c r="M231" i="3"/>
  <c r="N167" i="3"/>
  <c r="N159" i="3"/>
  <c r="M119" i="3"/>
  <c r="M111" i="3"/>
  <c r="N372" i="3"/>
  <c r="N364" i="3"/>
  <c r="N348" i="3"/>
  <c r="N324" i="3"/>
  <c r="N295" i="3"/>
  <c r="N186" i="3"/>
  <c r="N146" i="3"/>
  <c r="M343" i="3"/>
  <c r="M64" i="3"/>
  <c r="M56" i="3"/>
  <c r="N24" i="3"/>
  <c r="N397" i="3"/>
  <c r="M381" i="3"/>
  <c r="N373" i="3"/>
  <c r="M333" i="3"/>
  <c r="N325" i="3"/>
  <c r="N202" i="3"/>
  <c r="M207" i="3"/>
  <c r="N151" i="3"/>
  <c r="M127" i="3"/>
  <c r="N103" i="3"/>
  <c r="N95" i="3"/>
  <c r="M87" i="3"/>
  <c r="N79" i="3"/>
  <c r="M63" i="3"/>
  <c r="M55" i="3"/>
  <c r="M39" i="3"/>
  <c r="M31" i="3"/>
  <c r="N23" i="3"/>
  <c r="M396" i="3"/>
  <c r="N308" i="3"/>
  <c r="M288" i="3"/>
  <c r="M48" i="3"/>
  <c r="M3" i="3"/>
  <c r="N365" i="3"/>
  <c r="N349" i="3"/>
  <c r="M317" i="3"/>
  <c r="M82" i="3"/>
  <c r="M279" i="3"/>
  <c r="N255" i="3"/>
  <c r="N215" i="3"/>
  <c r="M199" i="3"/>
  <c r="M191" i="3"/>
  <c r="N183" i="3"/>
  <c r="M175" i="3"/>
  <c r="N143" i="3"/>
  <c r="M135" i="3"/>
  <c r="N71" i="3"/>
  <c r="M47" i="3"/>
  <c r="N39" i="3"/>
  <c r="N31" i="3"/>
  <c r="M7" i="3"/>
  <c r="N388" i="3"/>
  <c r="M348" i="3"/>
  <c r="M332" i="3"/>
  <c r="N316" i="3"/>
  <c r="N98" i="3"/>
  <c r="M42" i="3"/>
  <c r="M38" i="3"/>
  <c r="M30" i="3"/>
  <c r="M395" i="3"/>
  <c r="N363" i="3"/>
  <c r="M323" i="3"/>
  <c r="M301" i="3"/>
  <c r="N244" i="3"/>
  <c r="N218" i="3"/>
  <c r="N66" i="3"/>
  <c r="N142" i="3"/>
  <c r="M285" i="3"/>
  <c r="N277" i="3"/>
  <c r="M197" i="3"/>
  <c r="M157" i="3"/>
  <c r="N149" i="3"/>
  <c r="M125" i="3"/>
  <c r="M117" i="3"/>
  <c r="N386" i="3"/>
  <c r="M370" i="3"/>
  <c r="N362" i="3"/>
  <c r="N338" i="3"/>
  <c r="M244" i="3"/>
  <c r="N122" i="3"/>
  <c r="M351" i="3"/>
  <c r="N190" i="3"/>
  <c r="M252" i="3"/>
  <c r="M148" i="3"/>
  <c r="M140" i="3"/>
  <c r="M124" i="3"/>
  <c r="M116" i="3"/>
  <c r="N100" i="3"/>
  <c r="M84" i="3"/>
  <c r="M14" i="3"/>
  <c r="M6" i="3"/>
  <c r="M347" i="3"/>
  <c r="M339" i="3"/>
  <c r="N367" i="3"/>
  <c r="M198" i="3"/>
  <c r="M174" i="3"/>
  <c r="M54" i="3"/>
  <c r="N245" i="3"/>
  <c r="N197" i="3"/>
  <c r="M181" i="3"/>
  <c r="N173" i="3"/>
  <c r="M165" i="3"/>
  <c r="M53" i="3"/>
  <c r="M402" i="3"/>
  <c r="N354" i="3"/>
  <c r="M306" i="3"/>
  <c r="M238" i="3"/>
  <c r="M158" i="3"/>
  <c r="N118" i="3"/>
  <c r="M62" i="3"/>
  <c r="N196" i="3"/>
  <c r="M180" i="3"/>
  <c r="N172" i="3"/>
  <c r="N132" i="3"/>
  <c r="N124" i="3"/>
  <c r="N116" i="3"/>
  <c r="M108" i="3"/>
  <c r="N14" i="3"/>
  <c r="N387" i="3"/>
  <c r="M355" i="3"/>
  <c r="N347" i="3"/>
  <c r="N294" i="3"/>
  <c r="N246" i="3"/>
  <c r="N261" i="3"/>
  <c r="M221" i="3"/>
  <c r="N213" i="3"/>
  <c r="M109" i="3"/>
  <c r="M101" i="3"/>
  <c r="N93" i="3"/>
  <c r="M13" i="3"/>
  <c r="N5" i="3"/>
  <c r="M394" i="3"/>
  <c r="N346" i="3"/>
  <c r="N322" i="3"/>
  <c r="M314" i="3"/>
  <c r="M297" i="3"/>
  <c r="M122" i="3"/>
  <c r="M262" i="3"/>
  <c r="N212" i="3"/>
  <c r="M164" i="3"/>
  <c r="N92" i="3"/>
  <c r="M379" i="3"/>
  <c r="N355" i="3"/>
  <c r="N339" i="3"/>
  <c r="M331" i="3"/>
  <c r="N315" i="3"/>
  <c r="M295" i="3"/>
  <c r="M254" i="3"/>
  <c r="M162" i="3"/>
  <c r="N270" i="3"/>
  <c r="M110" i="3"/>
  <c r="N54" i="3"/>
  <c r="N293" i="3"/>
  <c r="M205" i="3"/>
  <c r="N125" i="3"/>
  <c r="N117" i="3"/>
  <c r="N101" i="3"/>
  <c r="M77" i="3"/>
  <c r="N61" i="3"/>
  <c r="N53" i="3"/>
  <c r="N370" i="3"/>
  <c r="N314" i="3"/>
  <c r="N260" i="3"/>
  <c r="N351" i="3"/>
  <c r="M134" i="3"/>
  <c r="M118" i="3"/>
  <c r="N252" i="3"/>
  <c r="M403" i="3"/>
  <c r="M371" i="3"/>
  <c r="N323" i="3"/>
  <c r="M315" i="3"/>
  <c r="M307" i="3"/>
  <c r="M210" i="3"/>
  <c r="N106" i="3"/>
  <c r="N198" i="3"/>
  <c r="M253" i="3"/>
  <c r="N165" i="3"/>
  <c r="N157" i="3"/>
  <c r="M141" i="3"/>
  <c r="N133" i="3"/>
  <c r="M85" i="3"/>
  <c r="M69" i="3"/>
  <c r="M37" i="3"/>
  <c r="M29" i="3"/>
  <c r="N402" i="3"/>
  <c r="N378" i="3"/>
  <c r="N300" i="3"/>
  <c r="N237" i="3"/>
  <c r="N158" i="3"/>
  <c r="N62" i="3"/>
  <c r="M228" i="3"/>
  <c r="N180" i="3"/>
  <c r="M92" i="3"/>
  <c r="N22" i="3"/>
  <c r="M363" i="3"/>
  <c r="M160" i="3"/>
  <c r="M66" i="3"/>
  <c r="N110" i="3"/>
  <c r="M269" i="3"/>
  <c r="M229" i="3"/>
  <c r="N221" i="3"/>
  <c r="M149" i="3"/>
  <c r="M133" i="3"/>
  <c r="N109" i="3"/>
  <c r="N77" i="3"/>
  <c r="M61" i="3"/>
  <c r="N45" i="3"/>
  <c r="M21" i="3"/>
  <c r="N13" i="3"/>
  <c r="N394" i="3"/>
  <c r="M386" i="3"/>
  <c r="M378" i="3"/>
  <c r="M338" i="3"/>
  <c r="M330" i="3"/>
  <c r="N306" i="3"/>
  <c r="N229" i="3"/>
  <c r="N262" i="3"/>
  <c r="M214" i="3"/>
  <c r="M190" i="3"/>
  <c r="N164" i="3"/>
  <c r="N148" i="3"/>
  <c r="N140" i="3"/>
  <c r="N108" i="3"/>
  <c r="M100" i="3"/>
  <c r="N6" i="3"/>
  <c r="N379" i="3"/>
  <c r="N331" i="3"/>
  <c r="N291" i="3"/>
  <c r="N162" i="3"/>
  <c r="M106" i="3"/>
  <c r="M26" i="3"/>
  <c r="N26" i="3"/>
  <c r="M367" i="3"/>
  <c r="N222" i="3"/>
  <c r="M142" i="3"/>
  <c r="N205" i="3"/>
  <c r="M173" i="3"/>
  <c r="M45" i="3"/>
  <c r="M362" i="3"/>
  <c r="N242" i="3"/>
  <c r="N134" i="3"/>
  <c r="M196" i="3"/>
  <c r="M172" i="3"/>
  <c r="M132" i="3"/>
  <c r="N141" i="3"/>
  <c r="N85" i="3"/>
  <c r="N29" i="3"/>
  <c r="M354" i="3"/>
  <c r="M212" i="3"/>
  <c r="N68" i="3"/>
  <c r="N60" i="3"/>
  <c r="M20" i="3"/>
  <c r="M353" i="3"/>
  <c r="M313" i="3"/>
  <c r="N313" i="3"/>
  <c r="N298" i="3"/>
  <c r="M222" i="3"/>
  <c r="N114" i="3"/>
  <c r="M58" i="3"/>
  <c r="N10" i="3"/>
  <c r="N254" i="3"/>
  <c r="N206" i="3"/>
  <c r="N94" i="3"/>
  <c r="M236" i="3"/>
  <c r="N283" i="3"/>
  <c r="N235" i="3"/>
  <c r="N219" i="3"/>
  <c r="M195" i="3"/>
  <c r="N187" i="3"/>
  <c r="N107" i="3"/>
  <c r="N83" i="3"/>
  <c r="M75" i="3"/>
  <c r="N51" i="3"/>
  <c r="M19" i="3"/>
  <c r="N11" i="3"/>
  <c r="N371" i="3"/>
  <c r="M294" i="3"/>
  <c r="M5" i="3"/>
  <c r="M322" i="3"/>
  <c r="M44" i="3"/>
  <c r="M12" i="3"/>
  <c r="N361" i="3"/>
  <c r="M321" i="3"/>
  <c r="M264" i="3"/>
  <c r="N253" i="3"/>
  <c r="M241" i="3"/>
  <c r="N319" i="3"/>
  <c r="N166" i="3"/>
  <c r="N150" i="3"/>
  <c r="N70" i="3"/>
  <c r="M292" i="3"/>
  <c r="M204" i="3"/>
  <c r="M267" i="3"/>
  <c r="N243" i="3"/>
  <c r="N171" i="3"/>
  <c r="N155" i="3"/>
  <c r="N123" i="3"/>
  <c r="N115" i="3"/>
  <c r="N59" i="3"/>
  <c r="M51" i="3"/>
  <c r="N395" i="3"/>
  <c r="N189" i="3"/>
  <c r="M93" i="3"/>
  <c r="N69" i="3"/>
  <c r="N330" i="3"/>
  <c r="M36" i="3"/>
  <c r="N36" i="3"/>
  <c r="M28" i="3"/>
  <c r="N28" i="3"/>
  <c r="N401" i="3"/>
  <c r="M393" i="3"/>
  <c r="M377" i="3"/>
  <c r="N329" i="3"/>
  <c r="N305" i="3"/>
  <c r="N240" i="3"/>
  <c r="M114" i="3"/>
  <c r="N230" i="3"/>
  <c r="N182" i="3"/>
  <c r="N204" i="3"/>
  <c r="M251" i="3"/>
  <c r="M227" i="3"/>
  <c r="M211" i="3"/>
  <c r="M179" i="3"/>
  <c r="N131" i="3"/>
  <c r="M91" i="3"/>
  <c r="N75" i="3"/>
  <c r="M67" i="3"/>
  <c r="N403" i="3"/>
  <c r="N247" i="3"/>
  <c r="M213" i="3"/>
  <c r="N21" i="3"/>
  <c r="N84" i="3"/>
  <c r="M76" i="3"/>
  <c r="M60" i="3"/>
  <c r="N353" i="3"/>
  <c r="N58" i="3"/>
  <c r="M10" i="3"/>
  <c r="M319" i="3"/>
  <c r="M126" i="3"/>
  <c r="M102" i="3"/>
  <c r="M86" i="3"/>
  <c r="M78" i="3"/>
  <c r="M46" i="3"/>
  <c r="M260" i="3"/>
  <c r="N236" i="3"/>
  <c r="M220" i="3"/>
  <c r="M156" i="3"/>
  <c r="M203" i="3"/>
  <c r="N195" i="3"/>
  <c r="M147" i="3"/>
  <c r="M139" i="3"/>
  <c r="N99" i="3"/>
  <c r="N400" i="3"/>
  <c r="M246" i="3"/>
  <c r="N228" i="3"/>
  <c r="N76" i="3"/>
  <c r="M52" i="3"/>
  <c r="N44" i="3"/>
  <c r="N20" i="3"/>
  <c r="N12" i="3"/>
  <c r="M4" i="3"/>
  <c r="N393" i="3"/>
  <c r="M369" i="3"/>
  <c r="M337" i="3"/>
  <c r="M329" i="3"/>
  <c r="M300" i="3"/>
  <c r="N271" i="3"/>
  <c r="M237" i="3"/>
  <c r="M375" i="3"/>
  <c r="N286" i="3"/>
  <c r="M268" i="3"/>
  <c r="M188" i="3"/>
  <c r="N275" i="3"/>
  <c r="M219" i="3"/>
  <c r="M27" i="3"/>
  <c r="N19" i="3"/>
  <c r="M387" i="3"/>
  <c r="N257" i="3"/>
  <c r="N37" i="3"/>
  <c r="M68" i="3"/>
  <c r="N377" i="3"/>
  <c r="N369" i="3"/>
  <c r="N345" i="3"/>
  <c r="N321" i="3"/>
  <c r="M233" i="3"/>
  <c r="M234" i="3"/>
  <c r="N375" i="3"/>
  <c r="M206" i="3"/>
  <c r="N46" i="3"/>
  <c r="M283" i="3"/>
  <c r="N227" i="3"/>
  <c r="M187" i="3"/>
  <c r="N179" i="3"/>
  <c r="M123" i="3"/>
  <c r="M115" i="3"/>
  <c r="M107" i="3"/>
  <c r="M99" i="3"/>
  <c r="M83" i="3"/>
  <c r="M11" i="3"/>
  <c r="N210" i="3"/>
  <c r="M385" i="3"/>
  <c r="N337" i="3"/>
  <c r="M305" i="3"/>
  <c r="N290" i="3"/>
  <c r="M170" i="3"/>
  <c r="M166" i="3"/>
  <c r="M150" i="3"/>
  <c r="N126" i="3"/>
  <c r="N102" i="3"/>
  <c r="N86" i="3"/>
  <c r="N78" i="3"/>
  <c r="M70" i="3"/>
  <c r="N220" i="3"/>
  <c r="N156" i="3"/>
  <c r="M291" i="3"/>
  <c r="M243" i="3"/>
  <c r="N203" i="3"/>
  <c r="M171" i="3"/>
  <c r="M155" i="3"/>
  <c r="N91" i="3"/>
  <c r="M59" i="3"/>
  <c r="M35" i="3"/>
  <c r="N27" i="3"/>
  <c r="N234" i="3"/>
  <c r="N147" i="3"/>
  <c r="N67" i="3"/>
  <c r="M384" i="3"/>
  <c r="N376" i="3"/>
  <c r="N352" i="3"/>
  <c r="N328" i="3"/>
  <c r="N320" i="3"/>
  <c r="N312" i="3"/>
  <c r="M286" i="3"/>
  <c r="M490" i="3"/>
  <c r="N473" i="3"/>
  <c r="M497" i="3"/>
  <c r="N461" i="3"/>
  <c r="N426" i="3"/>
  <c r="N423" i="3"/>
  <c r="N435" i="3"/>
  <c r="N456" i="3"/>
  <c r="N52" i="3"/>
  <c r="M361" i="3"/>
  <c r="M43" i="3"/>
  <c r="N392" i="3"/>
  <c r="N360" i="3"/>
  <c r="M304" i="3"/>
  <c r="N267" i="3"/>
  <c r="M439" i="3"/>
  <c r="N502" i="3"/>
  <c r="M421" i="3"/>
  <c r="N458" i="3"/>
  <c r="M278" i="3"/>
  <c r="M259" i="3"/>
  <c r="N43" i="3"/>
  <c r="M344" i="3"/>
  <c r="M336" i="3"/>
  <c r="M320" i="3"/>
  <c r="N274" i="3"/>
  <c r="N170" i="3"/>
  <c r="M481" i="3"/>
  <c r="N469" i="3"/>
  <c r="M452" i="3"/>
  <c r="M444" i="3"/>
  <c r="N407" i="3"/>
  <c r="M401" i="3"/>
  <c r="N139" i="3"/>
  <c r="N384" i="3"/>
  <c r="M368" i="3"/>
  <c r="M298" i="3"/>
  <c r="M485" i="3"/>
  <c r="N443" i="3"/>
  <c r="N439" i="3"/>
  <c r="M502" i="3"/>
  <c r="N421" i="3"/>
  <c r="M419" i="3"/>
  <c r="M464" i="3"/>
  <c r="N307" i="3"/>
  <c r="M182" i="3"/>
  <c r="N268" i="3"/>
  <c r="N188" i="3"/>
  <c r="M131" i="3"/>
  <c r="M400" i="3"/>
  <c r="N344" i="3"/>
  <c r="N336" i="3"/>
  <c r="N304" i="3"/>
  <c r="M290" i="3"/>
  <c r="M282" i="3"/>
  <c r="N481" i="3"/>
  <c r="M431" i="3"/>
  <c r="M476" i="3"/>
  <c r="M346" i="3"/>
  <c r="N385" i="3"/>
  <c r="M345" i="3"/>
  <c r="M376" i="3"/>
  <c r="M352" i="3"/>
  <c r="M328" i="3"/>
  <c r="M256" i="3"/>
  <c r="N490" i="3"/>
  <c r="N482" i="3"/>
  <c r="M405" i="3"/>
  <c r="M469" i="3"/>
  <c r="M423" i="3"/>
  <c r="M410" i="3"/>
  <c r="M471" i="3"/>
  <c r="N256" i="3"/>
  <c r="M276" i="3"/>
  <c r="N35" i="3"/>
  <c r="N368" i="3"/>
  <c r="M312" i="3"/>
  <c r="M271" i="3"/>
  <c r="M455" i="3"/>
  <c r="M491" i="3"/>
  <c r="N475" i="3"/>
  <c r="M426" i="3"/>
  <c r="N419" i="3"/>
  <c r="N494" i="3"/>
  <c r="M458" i="3"/>
  <c r="N457" i="3"/>
  <c r="M406" i="3"/>
  <c r="M437" i="3"/>
  <c r="M412" i="3"/>
  <c r="M414" i="3"/>
  <c r="M409" i="3"/>
  <c r="N420" i="3"/>
  <c r="N434" i="3"/>
  <c r="N422" i="3"/>
  <c r="M445" i="3"/>
  <c r="M462" i="3"/>
  <c r="N483" i="3"/>
  <c r="N479" i="3"/>
  <c r="M498" i="3"/>
  <c r="M472" i="3"/>
  <c r="M435" i="3"/>
  <c r="M420" i="3"/>
  <c r="M434" i="3"/>
  <c r="N442" i="3"/>
  <c r="M450" i="3"/>
  <c r="M422" i="3"/>
  <c r="M479" i="3"/>
  <c r="N459" i="3"/>
  <c r="N444" i="3"/>
  <c r="N437" i="3"/>
  <c r="M443" i="3"/>
  <c r="N454" i="3"/>
  <c r="M488" i="3"/>
  <c r="N503" i="3"/>
  <c r="M459" i="3"/>
  <c r="N500" i="3"/>
  <c r="N4" i="3"/>
  <c r="M404" i="3"/>
  <c r="N428" i="3"/>
  <c r="N430" i="3"/>
  <c r="N446" i="3"/>
  <c r="M454" i="3"/>
  <c r="N470" i="3"/>
  <c r="N451" i="3"/>
  <c r="N477" i="3"/>
  <c r="N489" i="3"/>
  <c r="N497" i="3"/>
  <c r="N472" i="3"/>
  <c r="N495" i="3"/>
  <c r="M503" i="3"/>
  <c r="M492" i="3"/>
  <c r="M500" i="3"/>
  <c r="M478" i="3"/>
  <c r="M461" i="3"/>
  <c r="N405" i="3"/>
  <c r="M360" i="3"/>
  <c r="M428" i="3"/>
  <c r="M430" i="3"/>
  <c r="N425" i="3"/>
  <c r="M465" i="3"/>
  <c r="M470" i="3"/>
  <c r="M451" i="3"/>
  <c r="N488" i="3"/>
  <c r="N487" i="3"/>
  <c r="N474" i="3"/>
  <c r="N491" i="3"/>
  <c r="N485" i="3"/>
  <c r="N429" i="3"/>
  <c r="M483" i="3"/>
  <c r="N417" i="3"/>
  <c r="M425" i="3"/>
  <c r="M457" i="3"/>
  <c r="M489" i="3"/>
  <c r="M487" i="3"/>
  <c r="M480" i="3"/>
  <c r="M495" i="3"/>
  <c r="N410" i="3"/>
  <c r="N431" i="3"/>
  <c r="M163" i="3"/>
  <c r="M94" i="3"/>
  <c r="N404" i="3"/>
  <c r="M417" i="3"/>
  <c r="N440" i="3"/>
  <c r="N448" i="3"/>
  <c r="N467" i="3"/>
  <c r="N480" i="3"/>
  <c r="M475" i="3"/>
  <c r="N498" i="3"/>
  <c r="N455" i="3"/>
  <c r="B92" i="4"/>
  <c r="B89" i="4"/>
  <c r="B49" i="4"/>
  <c r="AQ344" i="3"/>
  <c r="AQ485" i="3"/>
  <c r="AP426" i="3"/>
  <c r="AQ500" i="3"/>
  <c r="AQ368" i="3"/>
  <c r="AP432" i="3"/>
  <c r="AP454" i="3"/>
  <c r="AQ503" i="3"/>
  <c r="AQ498" i="3"/>
  <c r="AQ300" i="3"/>
  <c r="AQ220" i="3"/>
  <c r="AQ204" i="3"/>
  <c r="AQ188" i="3"/>
  <c r="AQ11" i="3"/>
  <c r="AP171" i="3"/>
  <c r="AP126" i="3"/>
  <c r="AQ153" i="3"/>
  <c r="AP143" i="3"/>
  <c r="AQ372" i="3"/>
  <c r="AP142" i="3"/>
  <c r="AP94" i="3"/>
  <c r="AP46" i="3"/>
  <c r="AP110" i="3"/>
  <c r="AQ139" i="3"/>
  <c r="AQ27" i="3"/>
  <c r="AQ252" i="3"/>
  <c r="AQ358" i="3"/>
  <c r="AQ173" i="3"/>
  <c r="AQ123" i="3"/>
  <c r="AQ362" i="3"/>
  <c r="AP464" i="3"/>
  <c r="AQ310" i="3"/>
  <c r="AP203" i="3"/>
  <c r="AP360" i="3"/>
  <c r="AP392" i="3"/>
  <c r="AP462" i="3"/>
  <c r="AQ426" i="3"/>
  <c r="AQ366" i="3"/>
  <c r="AP407" i="3"/>
  <c r="AP391" i="3"/>
  <c r="AQ323" i="3"/>
  <c r="AQ339" i="3"/>
  <c r="AQ355" i="3"/>
  <c r="AQ371" i="3"/>
  <c r="AQ295" i="3"/>
  <c r="AQ263" i="3"/>
  <c r="AQ215" i="3"/>
  <c r="AQ199" i="3"/>
  <c r="AQ75" i="3"/>
  <c r="AQ384" i="3"/>
  <c r="AQ59" i="3"/>
  <c r="AP278" i="3"/>
  <c r="AP246" i="3"/>
  <c r="AP214" i="3"/>
  <c r="AP182" i="3"/>
  <c r="AP97" i="3"/>
  <c r="AP49" i="3"/>
  <c r="AP17" i="3"/>
  <c r="AQ106" i="3"/>
  <c r="AQ74" i="3"/>
  <c r="AQ58" i="3"/>
  <c r="AQ26" i="3"/>
  <c r="AP311" i="3"/>
  <c r="AQ502" i="3"/>
  <c r="AQ490" i="3"/>
  <c r="AC336" i="3"/>
  <c r="AC344" i="3"/>
  <c r="AK99" i="3"/>
  <c r="AP440" i="3"/>
  <c r="AQ434" i="3"/>
  <c r="AK474" i="3"/>
  <c r="AC407" i="3"/>
  <c r="AC485" i="3"/>
  <c r="AB419" i="3"/>
  <c r="AK478" i="3"/>
  <c r="AJ304" i="3"/>
  <c r="AK82" i="3"/>
  <c r="AC282" i="3"/>
  <c r="AK317" i="3"/>
  <c r="AK365" i="3"/>
  <c r="AB194" i="3"/>
  <c r="AK281" i="3"/>
  <c r="AB130" i="3"/>
  <c r="AQ414" i="3"/>
  <c r="AB285" i="3"/>
  <c r="AB322" i="3"/>
  <c r="AC346" i="3"/>
  <c r="AB53" i="3"/>
  <c r="AB213" i="3"/>
  <c r="AK222" i="3"/>
  <c r="AK162" i="3"/>
  <c r="AC6" i="3"/>
  <c r="AK98" i="3"/>
  <c r="AB290" i="3"/>
  <c r="AB340" i="3"/>
  <c r="AB111" i="3"/>
  <c r="AJ175" i="3"/>
  <c r="AB175" i="3"/>
  <c r="AB231" i="3"/>
  <c r="AC487" i="3"/>
  <c r="AK361" i="3"/>
  <c r="AK28" i="3"/>
  <c r="AK116" i="3"/>
  <c r="AK124" i="3"/>
  <c r="AB252" i="3"/>
  <c r="AJ134" i="3"/>
  <c r="AB282" i="3"/>
  <c r="AB317" i="3"/>
  <c r="AJ24" i="3"/>
  <c r="AJ32" i="3"/>
  <c r="AJ40" i="3"/>
  <c r="AC64" i="3"/>
  <c r="AC200" i="3"/>
  <c r="AC464" i="3"/>
  <c r="AQ451" i="3"/>
  <c r="AJ386" i="3"/>
  <c r="AJ394" i="3"/>
  <c r="AK181" i="3"/>
  <c r="AC142" i="3"/>
  <c r="AJ26" i="3"/>
  <c r="AK106" i="3"/>
  <c r="AK315" i="3"/>
  <c r="AJ251" i="3"/>
  <c r="AJ364" i="3"/>
  <c r="AK127" i="3"/>
  <c r="AJ223" i="3"/>
  <c r="AK279" i="3"/>
  <c r="AC376" i="3"/>
  <c r="AC59" i="3"/>
  <c r="AK139" i="3"/>
  <c r="AC155" i="3"/>
  <c r="AC126" i="3"/>
  <c r="AJ321" i="3"/>
  <c r="AK345" i="3"/>
  <c r="AQ497" i="3"/>
  <c r="AK375" i="3"/>
  <c r="AK152" i="3"/>
  <c r="AK256" i="3"/>
  <c r="AJ34" i="3"/>
  <c r="AJ194" i="3"/>
  <c r="AJ318" i="3"/>
  <c r="AK334" i="3"/>
  <c r="AJ334" i="3"/>
  <c r="AJ358" i="3"/>
  <c r="AJ374" i="3"/>
  <c r="AJ382" i="3"/>
  <c r="AK49" i="3"/>
  <c r="AK169" i="3"/>
  <c r="AJ177" i="3"/>
  <c r="AP261" i="3"/>
  <c r="AC397" i="3"/>
  <c r="AC202" i="3"/>
  <c r="AC274" i="3"/>
  <c r="AB363" i="3"/>
  <c r="AB395" i="3"/>
  <c r="AC258" i="3"/>
  <c r="AC287" i="3"/>
  <c r="AC255" i="3"/>
  <c r="AC127" i="3"/>
  <c r="AB267" i="3"/>
  <c r="AB171" i="3"/>
  <c r="AB43" i="3"/>
  <c r="AB126" i="3"/>
  <c r="AB30" i="3"/>
  <c r="AC325" i="3"/>
  <c r="AC261" i="3"/>
  <c r="AC197" i="3"/>
  <c r="AC133" i="3"/>
  <c r="AC37" i="3"/>
  <c r="AB313" i="3"/>
  <c r="AB185" i="3"/>
  <c r="AB89" i="3"/>
  <c r="AB57" i="3"/>
  <c r="AC292" i="3"/>
  <c r="AC260" i="3"/>
  <c r="AC228" i="3"/>
  <c r="AC68" i="3"/>
  <c r="AB248" i="3"/>
  <c r="AB88" i="3"/>
  <c r="AB56" i="3"/>
  <c r="AQ417" i="3"/>
  <c r="AJ425" i="3"/>
  <c r="AJ438" i="3"/>
  <c r="AP483" i="3"/>
  <c r="AQ487" i="3"/>
  <c r="AC494" i="3"/>
  <c r="AB461" i="3"/>
  <c r="AQ496" i="3"/>
  <c r="AJ352" i="3"/>
  <c r="AK384" i="3"/>
  <c r="AJ19" i="3"/>
  <c r="AJ35" i="3"/>
  <c r="AJ163" i="3"/>
  <c r="AK211" i="3"/>
  <c r="AJ259" i="3"/>
  <c r="AJ220" i="3"/>
  <c r="AJ86" i="3"/>
  <c r="AJ170" i="3"/>
  <c r="AJ132" i="3"/>
  <c r="AJ295" i="3"/>
  <c r="AK322" i="3"/>
  <c r="AJ173" i="3"/>
  <c r="AJ189" i="3"/>
  <c r="AJ54" i="3"/>
  <c r="AJ371" i="3"/>
  <c r="AK14" i="3"/>
  <c r="AJ22" i="3"/>
  <c r="AJ186" i="3"/>
  <c r="AJ266" i="3"/>
  <c r="AJ348" i="3"/>
  <c r="AK380" i="3"/>
  <c r="AJ95" i="3"/>
  <c r="AK239" i="3"/>
  <c r="AK325" i="3"/>
  <c r="AJ216" i="3"/>
  <c r="AK326" i="3"/>
  <c r="AK65" i="3"/>
  <c r="AK90" i="3"/>
  <c r="AQ127" i="3"/>
  <c r="AB195" i="3"/>
  <c r="AB99" i="3"/>
  <c r="AB22" i="3"/>
  <c r="AB145" i="3"/>
  <c r="AP428" i="3"/>
  <c r="AC409" i="3"/>
  <c r="AK446" i="3"/>
  <c r="AP471" i="3"/>
  <c r="AB469" i="3"/>
  <c r="AP441" i="3"/>
  <c r="AJ312" i="3"/>
  <c r="AJ336" i="3"/>
  <c r="AK400" i="3"/>
  <c r="AJ67" i="3"/>
  <c r="AK83" i="3"/>
  <c r="AJ107" i="3"/>
  <c r="AK259" i="3"/>
  <c r="AK230" i="3"/>
  <c r="AJ286" i="3"/>
  <c r="AK377" i="3"/>
  <c r="AK20" i="3"/>
  <c r="AK140" i="3"/>
  <c r="AK148" i="3"/>
  <c r="AJ118" i="3"/>
  <c r="AK250" i="3"/>
  <c r="AK306" i="3"/>
  <c r="AK362" i="3"/>
  <c r="AK21" i="3"/>
  <c r="AK157" i="3"/>
  <c r="AK165" i="3"/>
  <c r="AK26" i="3"/>
  <c r="AJ162" i="3"/>
  <c r="AK292" i="3"/>
  <c r="AK95" i="3"/>
  <c r="AK207" i="3"/>
  <c r="AJ263" i="3"/>
  <c r="AJ236" i="3"/>
  <c r="AK266" i="3"/>
  <c r="AJ280" i="3"/>
  <c r="AJ391" i="3"/>
  <c r="AK342" i="3"/>
  <c r="AJ350" i="3"/>
  <c r="AJ153" i="3"/>
  <c r="AJ161" i="3"/>
  <c r="AQ374" i="3"/>
  <c r="AC134" i="3"/>
  <c r="AB398" i="3"/>
  <c r="AC354" i="3"/>
  <c r="AC114" i="3"/>
  <c r="AB343" i="3"/>
  <c r="AC278" i="3"/>
  <c r="AC352" i="3"/>
  <c r="AB339" i="3"/>
  <c r="AC275" i="3"/>
  <c r="AC243" i="3"/>
  <c r="AC147" i="3"/>
  <c r="AC51" i="3"/>
  <c r="AB191" i="3"/>
  <c r="AB31" i="3"/>
  <c r="AB338" i="3"/>
  <c r="AB306" i="3"/>
  <c r="AB146" i="3"/>
  <c r="AB114" i="3"/>
  <c r="AC313" i="3"/>
  <c r="AC185" i="3"/>
  <c r="AB333" i="3"/>
  <c r="AB269" i="3"/>
  <c r="AB141" i="3"/>
  <c r="AB13" i="3"/>
  <c r="AC312" i="3"/>
  <c r="AC248" i="3"/>
  <c r="AC184" i="3"/>
  <c r="AC120" i="3"/>
  <c r="AC56" i="3"/>
  <c r="AC24" i="3"/>
  <c r="AB332" i="3"/>
  <c r="AB300" i="3"/>
  <c r="AB236" i="3"/>
  <c r="AB172" i="3"/>
  <c r="AB76" i="3"/>
  <c r="AB372" i="3"/>
  <c r="AB426" i="3"/>
  <c r="AC434" i="3"/>
  <c r="AP484" i="3"/>
  <c r="AK473" i="3"/>
  <c r="AB502" i="3"/>
  <c r="AC481" i="3"/>
  <c r="AB457" i="3"/>
  <c r="AB427" i="3"/>
  <c r="AP415" i="3"/>
  <c r="AP473" i="3"/>
  <c r="AP419" i="3"/>
  <c r="AJ283" i="3"/>
  <c r="AJ51" i="3"/>
  <c r="AK59" i="3"/>
  <c r="AJ83" i="3"/>
  <c r="AJ99" i="3"/>
  <c r="AK166" i="3"/>
  <c r="AJ369" i="3"/>
  <c r="AJ116" i="3"/>
  <c r="AJ124" i="3"/>
  <c r="AK196" i="3"/>
  <c r="AK262" i="3"/>
  <c r="AJ165" i="3"/>
  <c r="AJ181" i="3"/>
  <c r="AK294" i="3"/>
  <c r="AJ66" i="3"/>
  <c r="AJ106" i="3"/>
  <c r="AK387" i="3"/>
  <c r="AJ270" i="3"/>
  <c r="AK71" i="3"/>
  <c r="AK231" i="3"/>
  <c r="AJ279" i="3"/>
  <c r="AK341" i="3"/>
  <c r="AK128" i="3"/>
  <c r="AK290" i="3"/>
  <c r="AK350" i="3"/>
  <c r="AK137" i="3"/>
  <c r="AK145" i="3"/>
  <c r="AJ50" i="3"/>
  <c r="AC238" i="3"/>
  <c r="AC358" i="3"/>
  <c r="AB347" i="3"/>
  <c r="AC222" i="3"/>
  <c r="AC356" i="3"/>
  <c r="AB345" i="3"/>
  <c r="AB377" i="3"/>
  <c r="AC271" i="3"/>
  <c r="AC79" i="3"/>
  <c r="AC15" i="3"/>
  <c r="AB155" i="3"/>
  <c r="AB59" i="3"/>
  <c r="AB46" i="3"/>
  <c r="AC309" i="3"/>
  <c r="AC213" i="3"/>
  <c r="AC181" i="3"/>
  <c r="AC149" i="3"/>
  <c r="AC85" i="3"/>
  <c r="AB169" i="3"/>
  <c r="AB137" i="3"/>
  <c r="AB73" i="3"/>
  <c r="AB41" i="3"/>
  <c r="AC308" i="3"/>
  <c r="AC180" i="3"/>
  <c r="AC84" i="3"/>
  <c r="AB296" i="3"/>
  <c r="AB264" i="3"/>
  <c r="AB232" i="3"/>
  <c r="AB104" i="3"/>
  <c r="AB72" i="3"/>
  <c r="AJ426" i="3"/>
  <c r="AB428" i="3"/>
  <c r="AQ439" i="3"/>
  <c r="AJ412" i="3"/>
  <c r="AC446" i="3"/>
  <c r="AB464" i="3"/>
  <c r="AC476" i="3"/>
  <c r="AP463" i="3"/>
  <c r="AJ502" i="3"/>
  <c r="AB491" i="3"/>
  <c r="AP498" i="3"/>
  <c r="AB443" i="3"/>
  <c r="AC443" i="3"/>
  <c r="AC483" i="3"/>
  <c r="AQ468" i="3"/>
  <c r="AQ431" i="3"/>
  <c r="AP421" i="3"/>
  <c r="AQ427" i="3"/>
  <c r="AK490" i="3"/>
  <c r="AK392" i="3"/>
  <c r="AK67" i="3"/>
  <c r="AK219" i="3"/>
  <c r="AK235" i="3"/>
  <c r="AK243" i="3"/>
  <c r="AJ244" i="3"/>
  <c r="AJ70" i="3"/>
  <c r="AJ58" i="3"/>
  <c r="AJ212" i="3"/>
  <c r="AK214" i="3"/>
  <c r="AK330" i="3"/>
  <c r="AJ370" i="3"/>
  <c r="AK173" i="3"/>
  <c r="AK66" i="3"/>
  <c r="AK395" i="3"/>
  <c r="AJ6" i="3"/>
  <c r="AK42" i="3"/>
  <c r="AJ308" i="3"/>
  <c r="AJ332" i="3"/>
  <c r="AJ71" i="3"/>
  <c r="AK103" i="3"/>
  <c r="AJ167" i="3"/>
  <c r="AK215" i="3"/>
  <c r="AK154" i="3"/>
  <c r="AJ208" i="3"/>
  <c r="AK251" i="3"/>
  <c r="AJ113" i="3"/>
  <c r="AJ145" i="3"/>
  <c r="AK153" i="3"/>
  <c r="AC14" i="3"/>
  <c r="AC371" i="3"/>
  <c r="AC267" i="3"/>
  <c r="AC235" i="3"/>
  <c r="AC75" i="3"/>
  <c r="AB279" i="3"/>
  <c r="AB23" i="3"/>
  <c r="AB170" i="3"/>
  <c r="AB106" i="3"/>
  <c r="AC177" i="3"/>
  <c r="AB165" i="3"/>
  <c r="AB133" i="3"/>
  <c r="AB228" i="3"/>
  <c r="AK426" i="3"/>
  <c r="AP447" i="3"/>
  <c r="AC428" i="3"/>
  <c r="AB448" i="3"/>
  <c r="AC461" i="3"/>
  <c r="AQ424" i="3"/>
  <c r="AQ432" i="3"/>
  <c r="AP427" i="3"/>
  <c r="AP433" i="3"/>
  <c r="AK188" i="3"/>
  <c r="AJ78" i="3"/>
  <c r="AJ102" i="3"/>
  <c r="AJ265" i="3"/>
  <c r="AJ291" i="3"/>
  <c r="AJ378" i="3"/>
  <c r="AJ61" i="3"/>
  <c r="AJ142" i="3"/>
  <c r="AK22" i="3"/>
  <c r="AK23" i="3"/>
  <c r="AJ55" i="3"/>
  <c r="AJ271" i="3"/>
  <c r="AK293" i="3"/>
  <c r="AJ333" i="3"/>
  <c r="AJ357" i="3"/>
  <c r="AJ224" i="3"/>
  <c r="AJ273" i="3"/>
  <c r="AK34" i="3"/>
  <c r="AK252" i="3"/>
  <c r="AK18" i="3"/>
  <c r="AP306" i="3"/>
  <c r="AQ232" i="3"/>
  <c r="AP93" i="3"/>
  <c r="AP45" i="3"/>
  <c r="AQ166" i="3"/>
  <c r="AP74" i="3"/>
  <c r="AP42" i="3"/>
  <c r="AC138" i="3"/>
  <c r="AB346" i="3"/>
  <c r="AC366" i="3"/>
  <c r="AC210" i="3"/>
  <c r="AB355" i="3"/>
  <c r="AB387" i="3"/>
  <c r="AC118" i="3"/>
  <c r="AC364" i="3"/>
  <c r="AC396" i="3"/>
  <c r="AC194" i="3"/>
  <c r="AB353" i="3"/>
  <c r="AB385" i="3"/>
  <c r="AC295" i="3"/>
  <c r="AC231" i="3"/>
  <c r="AC199" i="3"/>
  <c r="AC71" i="3"/>
  <c r="AB307" i="3"/>
  <c r="AB51" i="3"/>
  <c r="AB19" i="3"/>
  <c r="AB326" i="3"/>
  <c r="AB294" i="3"/>
  <c r="AB198" i="3"/>
  <c r="AB166" i="3"/>
  <c r="AB70" i="3"/>
  <c r="AB38" i="3"/>
  <c r="AC269" i="3"/>
  <c r="AC237" i="3"/>
  <c r="AC173" i="3"/>
  <c r="AC141" i="3"/>
  <c r="AC77" i="3"/>
  <c r="AC45" i="3"/>
  <c r="AC13" i="3"/>
  <c r="AB321" i="3"/>
  <c r="AB97" i="3"/>
  <c r="AB65" i="3"/>
  <c r="AB33" i="3"/>
  <c r="AC268" i="3"/>
  <c r="AC204" i="3"/>
  <c r="AC172" i="3"/>
  <c r="AC108" i="3"/>
  <c r="AC76" i="3"/>
  <c r="AC44" i="3"/>
  <c r="AB224" i="3"/>
  <c r="AB192" i="3"/>
  <c r="AB128" i="3"/>
  <c r="AB64" i="3"/>
  <c r="AC314" i="3"/>
  <c r="AJ456" i="3"/>
  <c r="AC467" i="3"/>
  <c r="AJ470" i="3"/>
  <c r="AJ471" i="3"/>
  <c r="AJ451" i="3"/>
  <c r="AB479" i="3"/>
  <c r="AJ481" i="3"/>
  <c r="AK497" i="3"/>
  <c r="AC480" i="3"/>
  <c r="AC469" i="3"/>
  <c r="AJ431" i="3"/>
  <c r="AJ183" i="3"/>
  <c r="AJ320" i="3"/>
  <c r="AJ219" i="3"/>
  <c r="AJ235" i="3"/>
  <c r="AJ166" i="3"/>
  <c r="AK206" i="3"/>
  <c r="AJ287" i="3"/>
  <c r="AJ28" i="3"/>
  <c r="AJ36" i="3"/>
  <c r="AK52" i="3"/>
  <c r="AK314" i="3"/>
  <c r="AK338" i="3"/>
  <c r="AJ149" i="3"/>
  <c r="AK189" i="3"/>
  <c r="AJ367" i="3"/>
  <c r="AK301" i="3"/>
  <c r="AK403" i="3"/>
  <c r="AJ403" i="3"/>
  <c r="AK6" i="3"/>
  <c r="AK39" i="3"/>
  <c r="AJ47" i="3"/>
  <c r="AK79" i="3"/>
  <c r="AK87" i="3"/>
  <c r="AK199" i="3"/>
  <c r="AJ160" i="3"/>
  <c r="AK296" i="3"/>
  <c r="AJ193" i="3"/>
  <c r="AP325" i="3"/>
  <c r="AP341" i="3"/>
  <c r="AP357" i="3"/>
  <c r="AP373" i="3"/>
  <c r="AP389" i="3"/>
  <c r="AQ321" i="3"/>
  <c r="AQ337" i="3"/>
  <c r="AQ353" i="3"/>
  <c r="AQ369" i="3"/>
  <c r="AP418" i="3"/>
  <c r="AK429" i="3"/>
  <c r="AP425" i="3"/>
  <c r="AC420" i="3"/>
  <c r="AC450" i="3"/>
  <c r="AC497" i="3"/>
  <c r="AK492" i="3"/>
  <c r="AQ119" i="3"/>
  <c r="AB3" i="3"/>
  <c r="AB455" i="3"/>
  <c r="AC471" i="3"/>
  <c r="AJ474" i="3"/>
  <c r="AC472" i="3"/>
  <c r="AJ495" i="3"/>
  <c r="AB404" i="3"/>
  <c r="AK417" i="3"/>
  <c r="AJ455" i="3"/>
  <c r="AJ445" i="3"/>
  <c r="AJ472" i="3"/>
  <c r="AP424" i="3"/>
  <c r="AQ478" i="3"/>
  <c r="AQ469" i="3"/>
  <c r="AP347" i="3"/>
  <c r="AP379" i="3"/>
  <c r="AQ359" i="3"/>
  <c r="AQ391" i="3"/>
  <c r="AQ243" i="3"/>
  <c r="AQ227" i="3"/>
  <c r="AQ179" i="3"/>
  <c r="AQ87" i="3"/>
  <c r="AP3" i="3"/>
  <c r="AJ462" i="3"/>
  <c r="AC474" i="3"/>
  <c r="AB472" i="3"/>
  <c r="AJ488" i="3"/>
  <c r="AJ428" i="3"/>
  <c r="AJ437" i="3"/>
  <c r="AK420" i="3"/>
  <c r="AK422" i="3"/>
  <c r="AJ487" i="3"/>
  <c r="AK495" i="3"/>
  <c r="AQ446" i="3"/>
  <c r="AC3" i="3"/>
  <c r="AJ446" i="3"/>
  <c r="AJ417" i="3"/>
  <c r="AB412" i="3"/>
  <c r="AK467" i="3"/>
  <c r="AQ458" i="3"/>
  <c r="AP499" i="3"/>
  <c r="AP457" i="3"/>
  <c r="AQ420" i="3"/>
  <c r="AQ450" i="3"/>
  <c r="AQ409" i="3"/>
  <c r="AP491" i="3"/>
  <c r="AQ397" i="3"/>
  <c r="AQ474" i="3"/>
  <c r="AP466" i="3"/>
  <c r="AP465" i="3"/>
  <c r="AQ383" i="3"/>
  <c r="AP259" i="3"/>
  <c r="AQ328" i="3"/>
  <c r="AP450" i="3"/>
  <c r="AP480" i="3"/>
  <c r="AP410" i="3"/>
  <c r="AQ413" i="3"/>
  <c r="AP417" i="3"/>
  <c r="AQ452" i="3"/>
  <c r="AP475" i="3"/>
  <c r="AQ495" i="3"/>
  <c r="AQ457" i="3"/>
  <c r="AP478" i="3"/>
  <c r="AQ460" i="3"/>
  <c r="AP50" i="3"/>
  <c r="AP476" i="3"/>
  <c r="AP494" i="3"/>
  <c r="AP492" i="3"/>
  <c r="AQ461" i="3"/>
  <c r="AP416" i="3"/>
  <c r="AP469" i="3"/>
  <c r="AP486" i="3"/>
  <c r="AQ425" i="3"/>
  <c r="AQ433" i="3"/>
  <c r="AQ466" i="3"/>
  <c r="AP438" i="3"/>
  <c r="AP437" i="3"/>
  <c r="AQ442" i="3"/>
  <c r="AQ470" i="3"/>
  <c r="AQ462" i="3"/>
  <c r="AP452" i="3"/>
  <c r="AP429" i="3"/>
  <c r="AP481" i="3"/>
  <c r="AQ484" i="3"/>
  <c r="AP445" i="3"/>
  <c r="AQ438" i="3"/>
  <c r="AQ406" i="3"/>
  <c r="AQ437" i="3"/>
  <c r="AQ464" i="3"/>
  <c r="AP502" i="3"/>
  <c r="AQ407" i="3"/>
  <c r="AP449" i="3"/>
  <c r="AP482" i="3"/>
  <c r="AQ486" i="3"/>
  <c r="AP66" i="3"/>
  <c r="AQ447" i="3"/>
  <c r="AP446" i="3"/>
  <c r="AP408" i="3"/>
  <c r="AQ418" i="3"/>
  <c r="AP404" i="3"/>
  <c r="AP456" i="3"/>
  <c r="AQ454" i="3"/>
  <c r="AQ443" i="3"/>
  <c r="AQ501" i="3"/>
  <c r="AP460" i="3"/>
  <c r="AQ473" i="3"/>
  <c r="AP430" i="3"/>
  <c r="AQ471" i="3"/>
  <c r="AQ494" i="3"/>
  <c r="AQ405" i="3"/>
  <c r="AP413" i="3"/>
  <c r="AQ15" i="3"/>
  <c r="AP443" i="3"/>
  <c r="AQ423" i="3"/>
  <c r="AQ351" i="3"/>
  <c r="AQ399" i="3"/>
  <c r="AP299" i="3"/>
  <c r="AP489" i="3"/>
  <c r="AQ472" i="3"/>
  <c r="AQ411" i="3"/>
  <c r="AP411" i="3"/>
  <c r="AP444" i="3"/>
  <c r="AQ483" i="3"/>
  <c r="AQ441" i="3"/>
  <c r="AQ31" i="3"/>
  <c r="AP333" i="3"/>
  <c r="AP313" i="3"/>
  <c r="AQ329" i="3"/>
  <c r="AQ345" i="3"/>
  <c r="AQ159" i="3"/>
  <c r="AP288" i="3"/>
  <c r="AP493" i="3"/>
  <c r="AQ435" i="3"/>
  <c r="AQ440" i="3"/>
  <c r="AQ456" i="3"/>
  <c r="AQ482" i="3"/>
  <c r="AP320" i="3"/>
  <c r="AP368" i="3"/>
  <c r="AP400" i="3"/>
  <c r="AP22" i="3"/>
  <c r="AQ430" i="3"/>
  <c r="AQ476" i="3"/>
  <c r="AP477" i="3"/>
  <c r="AP485" i="3"/>
  <c r="AQ479" i="3"/>
  <c r="AQ444" i="3"/>
  <c r="AP431" i="3"/>
  <c r="AP453" i="3"/>
  <c r="AP461" i="3"/>
  <c r="AQ309" i="3"/>
  <c r="AQ304" i="3"/>
  <c r="AQ256" i="3"/>
  <c r="AQ240" i="3"/>
  <c r="AQ192" i="3"/>
  <c r="AQ370" i="3"/>
  <c r="AP409" i="3"/>
  <c r="AQ422" i="3"/>
  <c r="AQ415" i="3"/>
  <c r="AQ499" i="3"/>
  <c r="AP468" i="3"/>
  <c r="AC438" i="3"/>
  <c r="AC458" i="3"/>
  <c r="AC489" i="3"/>
  <c r="AC414" i="3"/>
  <c r="AB439" i="3"/>
  <c r="AB497" i="3"/>
  <c r="AC413" i="3"/>
  <c r="AC430" i="3"/>
  <c r="AC425" i="3"/>
  <c r="AC439" i="3"/>
  <c r="AB440" i="3"/>
  <c r="AB454" i="3"/>
  <c r="AB484" i="3"/>
  <c r="AB462" i="3"/>
  <c r="AB477" i="3"/>
  <c r="AC495" i="3"/>
  <c r="AB436" i="3"/>
  <c r="AB499" i="3"/>
  <c r="AB414" i="3"/>
  <c r="AJ500" i="3"/>
  <c r="AJ430" i="3"/>
  <c r="AK428" i="3"/>
  <c r="AB434" i="3"/>
  <c r="AQ445" i="3"/>
  <c r="AP451" i="3"/>
  <c r="AB487" i="3"/>
  <c r="AJ480" i="3"/>
  <c r="AK487" i="3"/>
  <c r="AC459" i="3"/>
  <c r="AJ492" i="3"/>
  <c r="AB500" i="3"/>
  <c r="AJ404" i="3"/>
  <c r="AB409" i="3"/>
  <c r="AK437" i="3"/>
  <c r="AP442" i="3"/>
  <c r="AK484" i="3"/>
  <c r="AC445" i="3"/>
  <c r="AJ467" i="3"/>
  <c r="AB451" i="3"/>
  <c r="AQ475" i="3"/>
  <c r="AJ485" i="3"/>
  <c r="AQ480" i="3"/>
  <c r="AP503" i="3"/>
  <c r="AP459" i="3"/>
  <c r="AK445" i="3"/>
  <c r="AK413" i="3"/>
  <c r="AK438" i="3"/>
  <c r="AP420" i="3"/>
  <c r="AJ442" i="3"/>
  <c r="AP422" i="3"/>
  <c r="AK450" i="3"/>
  <c r="AB467" i="3"/>
  <c r="AQ488" i="3"/>
  <c r="AJ491" i="3"/>
  <c r="AB485" i="3"/>
  <c r="AK480" i="3"/>
  <c r="AP495" i="3"/>
  <c r="AJ503" i="3"/>
  <c r="AJ459" i="3"/>
  <c r="AQ492" i="3"/>
  <c r="AB430" i="3"/>
  <c r="AP467" i="3"/>
  <c r="AK425" i="3"/>
  <c r="AJ420" i="3"/>
  <c r="AB442" i="3"/>
  <c r="AJ422" i="3"/>
  <c r="AJ454" i="3"/>
  <c r="AK463" i="3"/>
  <c r="AK488" i="3"/>
  <c r="AP488" i="3"/>
  <c r="AB459" i="3"/>
  <c r="AB406" i="3"/>
  <c r="AJ475" i="3"/>
  <c r="AP406" i="3"/>
  <c r="AP412" i="3"/>
  <c r="AP414" i="3"/>
  <c r="AB422" i="3"/>
  <c r="AQ467" i="3"/>
  <c r="AJ477" i="3"/>
  <c r="AK485" i="3"/>
  <c r="AB494" i="3"/>
  <c r="AC488" i="3"/>
  <c r="AP479" i="3"/>
  <c r="AJ498" i="3"/>
  <c r="AB495" i="3"/>
  <c r="AC492" i="3"/>
  <c r="AJ434" i="3"/>
  <c r="AB492" i="3"/>
  <c r="AJ406" i="3"/>
  <c r="AJ414" i="3"/>
  <c r="AP434" i="3"/>
  <c r="AK476" i="3"/>
  <c r="AP470" i="3"/>
  <c r="AC451" i="3"/>
  <c r="AP487" i="3"/>
  <c r="AJ479" i="3"/>
  <c r="AQ489" i="3"/>
  <c r="AQ459" i="3"/>
  <c r="AP500" i="3"/>
  <c r="AP300" i="3"/>
  <c r="AP284" i="3"/>
  <c r="AP236" i="3"/>
  <c r="AP170" i="3"/>
  <c r="AP181" i="3"/>
  <c r="AP145" i="3"/>
  <c r="AQ178" i="3"/>
  <c r="AQ97" i="3"/>
  <c r="AQ65" i="3"/>
  <c r="AP87" i="3"/>
  <c r="AP7" i="3"/>
  <c r="AQ144" i="3"/>
  <c r="AQ128" i="3"/>
  <c r="AQ112" i="3"/>
  <c r="AQ80" i="3"/>
  <c r="AP116" i="3"/>
  <c r="AP4" i="3"/>
  <c r="AQ402" i="3"/>
  <c r="AQ283" i="3"/>
  <c r="AQ251" i="3"/>
  <c r="AQ187" i="3"/>
  <c r="AP169" i="3"/>
  <c r="AP155" i="3"/>
  <c r="AQ291" i="3"/>
  <c r="AQ211" i="3"/>
  <c r="AQ195" i="3"/>
  <c r="AQ33" i="3"/>
  <c r="AP282" i="3"/>
  <c r="AP266" i="3"/>
  <c r="AP234" i="3"/>
  <c r="AP218" i="3"/>
  <c r="AQ135" i="3"/>
  <c r="AP165" i="3"/>
  <c r="AP133" i="3"/>
  <c r="AP85" i="3"/>
  <c r="AP69" i="3"/>
  <c r="AP37" i="3"/>
  <c r="AP21" i="3"/>
  <c r="AP5" i="3"/>
  <c r="AQ110" i="3"/>
  <c r="AQ78" i="3"/>
  <c r="AQ62" i="3"/>
  <c r="AP318" i="3"/>
  <c r="AP334" i="3"/>
  <c r="AP366" i="3"/>
  <c r="AP382" i="3"/>
  <c r="AP398" i="3"/>
  <c r="AP192" i="3"/>
  <c r="AQ241" i="3"/>
  <c r="AP281" i="3"/>
  <c r="AP265" i="3"/>
  <c r="AP233" i="3"/>
  <c r="AP185" i="3"/>
  <c r="AQ163" i="3"/>
  <c r="AQ230" i="3"/>
  <c r="AP151" i="3"/>
  <c r="AQ133" i="3"/>
  <c r="AQ101" i="3"/>
  <c r="AQ21" i="3"/>
  <c r="AQ5" i="3"/>
  <c r="AP43" i="3"/>
  <c r="AP27" i="3"/>
  <c r="AP11" i="3"/>
  <c r="AQ148" i="3"/>
  <c r="AQ132" i="3"/>
  <c r="AQ100" i="3"/>
  <c r="AQ84" i="3"/>
  <c r="AQ36" i="3"/>
  <c r="AQ322" i="3"/>
  <c r="AQ332" i="3"/>
  <c r="AP239" i="3"/>
  <c r="AQ274" i="3"/>
  <c r="AQ194" i="3"/>
  <c r="AQ336" i="3"/>
  <c r="AQ352" i="3"/>
  <c r="AQ327" i="3"/>
  <c r="AP355" i="3"/>
  <c r="AP290" i="3"/>
  <c r="AP242" i="3"/>
  <c r="AP61" i="3"/>
  <c r="AQ86" i="3"/>
  <c r="AQ70" i="3"/>
  <c r="AQ6" i="3"/>
  <c r="AQ390" i="3"/>
  <c r="AP315" i="3"/>
  <c r="AP323" i="3"/>
  <c r="AP403" i="3"/>
  <c r="AP363" i="3"/>
  <c r="AP371" i="3"/>
  <c r="AQ296" i="3"/>
  <c r="AQ184" i="3"/>
  <c r="AP269" i="3"/>
  <c r="AQ330" i="3"/>
  <c r="AP152" i="3"/>
  <c r="AP120" i="3"/>
  <c r="AP88" i="3"/>
  <c r="AP149" i="3"/>
  <c r="AP335" i="3"/>
  <c r="AP383" i="3"/>
  <c r="AQ331" i="3"/>
  <c r="AQ347" i="3"/>
  <c r="AP190" i="3"/>
  <c r="AQ207" i="3"/>
  <c r="AQ191" i="3"/>
  <c r="AQ175" i="3"/>
  <c r="AP247" i="3"/>
  <c r="AQ131" i="3"/>
  <c r="AQ83" i="3"/>
  <c r="AQ67" i="3"/>
  <c r="AQ51" i="3"/>
  <c r="AP25" i="3"/>
  <c r="AP316" i="3"/>
  <c r="AP364" i="3"/>
  <c r="AP380" i="3"/>
  <c r="AP255" i="3"/>
  <c r="AP268" i="3"/>
  <c r="AP252" i="3"/>
  <c r="AP204" i="3"/>
  <c r="AQ205" i="3"/>
  <c r="AP277" i="3"/>
  <c r="AP229" i="3"/>
  <c r="AP197" i="3"/>
  <c r="AQ81" i="3"/>
  <c r="AQ49" i="3"/>
  <c r="AP135" i="3"/>
  <c r="AP71" i="3"/>
  <c r="AP55" i="3"/>
  <c r="AQ48" i="3"/>
  <c r="AQ32" i="3"/>
  <c r="AP148" i="3"/>
  <c r="AP100" i="3"/>
  <c r="AP84" i="3"/>
  <c r="AP283" i="3"/>
  <c r="AP141" i="3"/>
  <c r="AP159" i="3"/>
  <c r="AP257" i="3"/>
  <c r="AQ302" i="3"/>
  <c r="AQ270" i="3"/>
  <c r="AQ206" i="3"/>
  <c r="AQ174" i="3"/>
  <c r="AQ93" i="3"/>
  <c r="AQ13" i="3"/>
  <c r="AP144" i="3"/>
  <c r="AP112" i="3"/>
  <c r="AQ196" i="3"/>
  <c r="AP54" i="3"/>
  <c r="AQ258" i="3"/>
  <c r="AQ53" i="3"/>
  <c r="AQ292" i="3"/>
  <c r="AQ244" i="3"/>
  <c r="AP349" i="3"/>
  <c r="AQ306" i="3"/>
  <c r="AP184" i="3"/>
  <c r="AP177" i="3"/>
  <c r="AP51" i="3"/>
  <c r="AP35" i="3"/>
  <c r="AP19" i="3"/>
  <c r="AQ108" i="3"/>
  <c r="AP104" i="3"/>
  <c r="AQ260" i="3"/>
  <c r="AQ210" i="3"/>
  <c r="AQ228" i="3"/>
  <c r="AP38" i="3"/>
  <c r="AQ17" i="3"/>
  <c r="AP337" i="3"/>
  <c r="AP353" i="3"/>
  <c r="AQ365" i="3"/>
  <c r="AQ381" i="3"/>
  <c r="AQ313" i="3"/>
  <c r="AP329" i="3"/>
  <c r="AP377" i="3"/>
  <c r="AQ341" i="3"/>
  <c r="AQ35" i="3"/>
  <c r="AQ301" i="3"/>
  <c r="AQ109" i="3"/>
  <c r="AP206" i="3"/>
  <c r="AP153" i="3"/>
  <c r="AP105" i="3"/>
  <c r="AP89" i="3"/>
  <c r="AP57" i="3"/>
  <c r="AP41" i="3"/>
  <c r="AQ162" i="3"/>
  <c r="AQ66" i="3"/>
  <c r="AQ34" i="3"/>
  <c r="AQ18" i="3"/>
  <c r="AP217" i="3"/>
  <c r="AP314" i="3"/>
  <c r="AP330" i="3"/>
  <c r="AP394" i="3"/>
  <c r="AP308" i="3"/>
  <c r="AP260" i="3"/>
  <c r="AP212" i="3"/>
  <c r="AQ277" i="3"/>
  <c r="AQ213" i="3"/>
  <c r="AQ197" i="3"/>
  <c r="AQ181" i="3"/>
  <c r="AP253" i="3"/>
  <c r="AP172" i="3"/>
  <c r="AQ171" i="3"/>
  <c r="AQ218" i="3"/>
  <c r="AQ186" i="3"/>
  <c r="AP167" i="3"/>
  <c r="AQ121" i="3"/>
  <c r="AQ105" i="3"/>
  <c r="AQ41" i="3"/>
  <c r="AP127" i="3"/>
  <c r="AP79" i="3"/>
  <c r="AP63" i="3"/>
  <c r="AQ168" i="3"/>
  <c r="AQ136" i="3"/>
  <c r="AQ104" i="3"/>
  <c r="AQ72" i="3"/>
  <c r="AQ40" i="3"/>
  <c r="AQ24" i="3"/>
  <c r="AP156" i="3"/>
  <c r="AP92" i="3"/>
  <c r="AP44" i="3"/>
  <c r="AP12" i="3"/>
  <c r="AP219" i="3"/>
  <c r="AQ346" i="3"/>
  <c r="AQ307" i="3"/>
  <c r="AP342" i="3"/>
  <c r="AP321" i="3"/>
  <c r="AP303" i="3"/>
  <c r="AP291" i="3"/>
  <c r="AP393" i="3"/>
  <c r="AQ275" i="3"/>
  <c r="AQ267" i="3"/>
  <c r="AQ278" i="3"/>
  <c r="AQ145" i="3"/>
  <c r="AQ222" i="3"/>
  <c r="AQ238" i="3"/>
  <c r="AQ4" i="3"/>
  <c r="AQ224" i="3"/>
  <c r="AP194" i="3"/>
  <c r="AQ176" i="3"/>
  <c r="AP160" i="3"/>
  <c r="AP118" i="3"/>
  <c r="AQ152" i="3"/>
  <c r="AP272" i="3"/>
  <c r="AQ254" i="3"/>
  <c r="AP238" i="3"/>
  <c r="AP207" i="3"/>
  <c r="AQ16" i="3"/>
  <c r="AQ377" i="3"/>
  <c r="AP91" i="3"/>
  <c r="AP65" i="3"/>
  <c r="AQ19" i="3"/>
  <c r="AQ379" i="3"/>
  <c r="AP119" i="3"/>
  <c r="AQ7" i="3"/>
  <c r="AQ94" i="3"/>
  <c r="AQ63" i="3"/>
  <c r="AQ185" i="3"/>
  <c r="AQ147" i="3"/>
  <c r="AP128" i="3"/>
  <c r="AQ111" i="3"/>
  <c r="AQ85" i="3"/>
  <c r="AQ38" i="3"/>
  <c r="AQ348" i="3"/>
  <c r="AQ280" i="3"/>
  <c r="AP213" i="3"/>
  <c r="AP188" i="3"/>
  <c r="AQ172" i="3"/>
  <c r="AQ208" i="3"/>
  <c r="AP193" i="3"/>
  <c r="AP157" i="3"/>
  <c r="AP132" i="3"/>
  <c r="AP173" i="3"/>
  <c r="AP147" i="3"/>
  <c r="AQ214" i="3"/>
  <c r="AQ155" i="3"/>
  <c r="AP123" i="3"/>
  <c r="AQ394" i="3"/>
  <c r="AQ395" i="3"/>
  <c r="AQ149" i="3"/>
  <c r="AQ71" i="3"/>
  <c r="AQ200" i="3"/>
  <c r="AQ170" i="3"/>
  <c r="AQ140" i="3"/>
  <c r="AQ10" i="3"/>
  <c r="AP359" i="3"/>
  <c r="AP331" i="3"/>
  <c r="AP40" i="3"/>
  <c r="AP109" i="3"/>
  <c r="AP75" i="3"/>
  <c r="AQ43" i="3"/>
  <c r="AQ20" i="3"/>
  <c r="AQ216" i="3"/>
  <c r="AQ273" i="3"/>
  <c r="AQ209" i="3"/>
  <c r="AP114" i="3"/>
  <c r="AQ96" i="3"/>
  <c r="AP73" i="3"/>
  <c r="AQ42" i="3"/>
  <c r="AQ116" i="3"/>
  <c r="AQ79" i="3"/>
  <c r="AP53" i="3"/>
  <c r="AQ25" i="3"/>
  <c r="AP387" i="3"/>
  <c r="AQ354" i="3"/>
  <c r="AQ318" i="3"/>
  <c r="AP375" i="3"/>
  <c r="AQ343" i="3"/>
  <c r="AP402" i="3"/>
  <c r="AP361" i="3"/>
  <c r="AP332" i="3"/>
  <c r="AP378" i="3"/>
  <c r="AP350" i="3"/>
  <c r="AP324" i="3"/>
  <c r="AQ308" i="3"/>
  <c r="AQ398" i="3"/>
  <c r="AQ364" i="3"/>
  <c r="AP317" i="3"/>
  <c r="AQ268" i="3"/>
  <c r="AP241" i="3"/>
  <c r="AQ117" i="3"/>
  <c r="AP111" i="3"/>
  <c r="AP86" i="3"/>
  <c r="AQ235" i="3"/>
  <c r="AP280" i="3"/>
  <c r="AQ22" i="3"/>
  <c r="AQ103" i="3"/>
  <c r="AP76" i="3"/>
  <c r="AQ52" i="3"/>
  <c r="AP90" i="3"/>
  <c r="AP31" i="3"/>
  <c r="AP395" i="3"/>
  <c r="AP362" i="3"/>
  <c r="AQ326" i="3"/>
  <c r="AP399" i="3"/>
  <c r="AP351" i="3"/>
  <c r="AQ314" i="3"/>
  <c r="AP369" i="3"/>
  <c r="AP343" i="3"/>
  <c r="AQ320" i="3"/>
  <c r="AP386" i="3"/>
  <c r="AP356" i="3"/>
  <c r="AP328" i="3"/>
  <c r="AQ312" i="3"/>
  <c r="AP374" i="3"/>
  <c r="AQ338" i="3"/>
  <c r="AQ305" i="3"/>
  <c r="AQ125" i="3"/>
  <c r="AP232" i="3"/>
  <c r="AP176" i="3"/>
  <c r="AP285" i="3"/>
  <c r="AQ262" i="3"/>
  <c r="AQ223" i="3"/>
  <c r="AQ340" i="3"/>
  <c r="AQ102" i="3"/>
  <c r="AQ77" i="3"/>
  <c r="AQ30" i="3"/>
  <c r="AP305" i="3"/>
  <c r="AQ387" i="3"/>
  <c r="AP276" i="3"/>
  <c r="AQ129" i="3"/>
  <c r="AQ297" i="3"/>
  <c r="AP33" i="3"/>
  <c r="AP98" i="3"/>
  <c r="AQ73" i="3"/>
  <c r="AP32" i="3"/>
  <c r="AP292" i="3"/>
  <c r="AP175" i="3"/>
  <c r="AP381" i="3"/>
  <c r="AP340" i="3"/>
  <c r="AQ245" i="3"/>
  <c r="AQ160" i="3"/>
  <c r="AP195" i="3"/>
  <c r="AQ150" i="3"/>
  <c r="AQ115" i="3"/>
  <c r="AQ88" i="3"/>
  <c r="AQ44" i="3"/>
  <c r="AP30" i="3"/>
  <c r="AP397" i="3"/>
  <c r="AP228" i="3"/>
  <c r="AQ246" i="3"/>
  <c r="AQ259" i="3"/>
  <c r="AP166" i="3"/>
  <c r="AQ189" i="3"/>
  <c r="AP220" i="3"/>
  <c r="AP352" i="3"/>
  <c r="AP264" i="3"/>
  <c r="AP139" i="3"/>
  <c r="AQ57" i="3"/>
  <c r="AP196" i="3"/>
  <c r="AP136" i="3"/>
  <c r="AQ82" i="3"/>
  <c r="AP150" i="3"/>
  <c r="AQ183" i="3"/>
  <c r="AP130" i="3"/>
  <c r="AQ29" i="3"/>
  <c r="AP209" i="3"/>
  <c r="AP178" i="3"/>
  <c r="AQ151" i="3"/>
  <c r="AQ50" i="3"/>
  <c r="AQ28" i="3"/>
  <c r="AQ393" i="3"/>
  <c r="AP367" i="3"/>
  <c r="AQ288" i="3"/>
  <c r="AP401" i="3"/>
  <c r="AP47" i="3"/>
  <c r="AQ23" i="3"/>
  <c r="AQ56" i="3"/>
  <c r="AQ198" i="3"/>
  <c r="AQ226" i="3"/>
  <c r="AQ257" i="3"/>
  <c r="AQ290" i="3"/>
  <c r="AP18" i="3"/>
  <c r="AP336" i="3"/>
  <c r="AQ9" i="3"/>
  <c r="AQ349" i="3"/>
  <c r="AQ113" i="3"/>
  <c r="AP82" i="3"/>
  <c r="AQ39" i="3"/>
  <c r="AP13" i="3"/>
  <c r="AP286" i="3"/>
  <c r="AP59" i="3"/>
  <c r="AP62" i="3"/>
  <c r="AP326" i="3"/>
  <c r="AP312" i="3"/>
  <c r="AP186" i="3"/>
  <c r="AQ107" i="3"/>
  <c r="AP81" i="3"/>
  <c r="AP36" i="3"/>
  <c r="AQ98" i="3"/>
  <c r="AP80" i="3"/>
  <c r="AP15" i="3"/>
  <c r="AQ403" i="3"/>
  <c r="AP327" i="3"/>
  <c r="AP211" i="3"/>
  <c r="AQ250" i="3"/>
  <c r="AP223" i="3"/>
  <c r="AP240" i="3"/>
  <c r="AP137" i="3"/>
  <c r="AQ285" i="3"/>
  <c r="AQ255" i="3"/>
  <c r="AP103" i="3"/>
  <c r="AP307" i="3"/>
  <c r="AQ356" i="3"/>
  <c r="AP9" i="3"/>
  <c r="AQ242" i="3"/>
  <c r="AP235" i="3"/>
  <c r="AQ212" i="3"/>
  <c r="AP164" i="3"/>
  <c r="AP243" i="3"/>
  <c r="AQ286" i="3"/>
  <c r="AQ229" i="3"/>
  <c r="AP256" i="3"/>
  <c r="AP338" i="3"/>
  <c r="AQ90" i="3"/>
  <c r="AQ382" i="3"/>
  <c r="AQ317" i="3"/>
  <c r="AP163" i="3"/>
  <c r="AP208" i="3"/>
  <c r="AQ169" i="3"/>
  <c r="AQ120" i="3"/>
  <c r="AP106" i="3"/>
  <c r="AP72" i="3"/>
  <c r="AQ388" i="3"/>
  <c r="AP319" i="3"/>
  <c r="AQ225" i="3"/>
  <c r="AP230" i="3"/>
  <c r="AP270" i="3"/>
  <c r="AQ234" i="3"/>
  <c r="AP258" i="3"/>
  <c r="AQ69" i="3"/>
  <c r="AQ375" i="3"/>
  <c r="AQ325" i="3"/>
  <c r="AQ389" i="3"/>
  <c r="AQ221" i="3"/>
  <c r="AP201" i="3"/>
  <c r="AQ182" i="3"/>
  <c r="AQ167" i="3"/>
  <c r="AP129" i="3"/>
  <c r="AQ203" i="3"/>
  <c r="AQ177" i="3"/>
  <c r="AQ143" i="3"/>
  <c r="AQ217" i="3"/>
  <c r="AP161" i="3"/>
  <c r="AP138" i="3"/>
  <c r="AP95" i="3"/>
  <c r="AQ202" i="3"/>
  <c r="AQ141" i="3"/>
  <c r="AP113" i="3"/>
  <c r="AP226" i="3"/>
  <c r="AP102" i="3"/>
  <c r="AQ361" i="3"/>
  <c r="AP339" i="3"/>
  <c r="AQ289" i="3"/>
  <c r="AQ249" i="3"/>
  <c r="AQ193" i="3"/>
  <c r="AP158" i="3"/>
  <c r="AP117" i="3"/>
  <c r="AP34" i="3"/>
  <c r="AP78" i="3"/>
  <c r="AQ400" i="3"/>
  <c r="AQ376" i="3"/>
  <c r="AP345" i="3"/>
  <c r="AQ319" i="3"/>
  <c r="AP287" i="3"/>
  <c r="AP221" i="3"/>
  <c r="AP271" i="3"/>
  <c r="AP263" i="3"/>
  <c r="AP293" i="3"/>
  <c r="AQ138" i="3"/>
  <c r="AP101" i="3"/>
  <c r="AP189" i="3"/>
  <c r="AP372" i="3"/>
  <c r="AQ324" i="3"/>
  <c r="AQ8" i="3"/>
  <c r="AP365" i="3"/>
  <c r="AQ316" i="3"/>
  <c r="AQ363" i="3"/>
  <c r="AP396" i="3"/>
  <c r="AP279" i="3"/>
  <c r="AQ293" i="3"/>
  <c r="AP39" i="3"/>
  <c r="AQ76" i="3"/>
  <c r="AQ46" i="3"/>
  <c r="AQ14" i="3"/>
  <c r="AP225" i="3"/>
  <c r="AQ180" i="3"/>
  <c r="AP274" i="3"/>
  <c r="AP231" i="3"/>
  <c r="AQ247" i="3"/>
  <c r="AP249" i="3"/>
  <c r="AP199" i="3"/>
  <c r="AP179" i="3"/>
  <c r="AQ114" i="3"/>
  <c r="AP222" i="3"/>
  <c r="AQ237" i="3"/>
  <c r="AP273" i="3"/>
  <c r="AQ276" i="3"/>
  <c r="AP301" i="3"/>
  <c r="AP248" i="3"/>
  <c r="AP224" i="3"/>
  <c r="AP237" i="3"/>
  <c r="AQ279" i="3"/>
  <c r="AQ134" i="3"/>
  <c r="AQ130" i="3"/>
  <c r="AP20" i="3"/>
  <c r="AQ60" i="3"/>
  <c r="AP68" i="3"/>
  <c r="AP23" i="3"/>
  <c r="AP205" i="3"/>
  <c r="AQ165" i="3"/>
  <c r="AQ334" i="3"/>
  <c r="AQ99" i="3"/>
  <c r="AP70" i="3"/>
  <c r="AQ47" i="3"/>
  <c r="AP385" i="3"/>
  <c r="AQ315" i="3"/>
  <c r="AQ248" i="3"/>
  <c r="AP275" i="3"/>
  <c r="AP302" i="3"/>
  <c r="AQ299" i="3"/>
  <c r="AQ303" i="3"/>
  <c r="AQ233" i="3"/>
  <c r="AP251" i="3"/>
  <c r="AQ261" i="3"/>
  <c r="AP262" i="3"/>
  <c r="AQ294" i="3"/>
  <c r="AQ401" i="3"/>
  <c r="AP388" i="3"/>
  <c r="AQ298" i="3"/>
  <c r="AP198" i="3"/>
  <c r="AP180" i="3"/>
  <c r="AQ164" i="3"/>
  <c r="AP125" i="3"/>
  <c r="AP200" i="3"/>
  <c r="AP174" i="3"/>
  <c r="AP140" i="3"/>
  <c r="AQ91" i="3"/>
  <c r="AP58" i="3"/>
  <c r="AP215" i="3"/>
  <c r="AQ156" i="3"/>
  <c r="AP134" i="3"/>
  <c r="AQ137" i="3"/>
  <c r="AP107" i="3"/>
  <c r="AQ311" i="3"/>
  <c r="AP202" i="3"/>
  <c r="AQ264" i="3"/>
  <c r="AQ253" i="3"/>
  <c r="AQ126" i="3"/>
  <c r="AQ154" i="3"/>
  <c r="AP28" i="3"/>
  <c r="AP60" i="3"/>
  <c r="AP310" i="3"/>
  <c r="AP384" i="3"/>
  <c r="AP250" i="3"/>
  <c r="AP154" i="3"/>
  <c r="AQ219" i="3"/>
  <c r="AP191" i="3"/>
  <c r="AQ157" i="3"/>
  <c r="AP77" i="3"/>
  <c r="AQ373" i="3"/>
  <c r="AP344" i="3"/>
  <c r="AP10" i="3"/>
  <c r="AP64" i="3"/>
  <c r="AP245" i="3"/>
  <c r="AP267" i="3"/>
  <c r="AP227" i="3"/>
  <c r="AQ269" i="3"/>
  <c r="AQ236" i="3"/>
  <c r="AP294" i="3"/>
  <c r="AP254" i="3"/>
  <c r="AP297" i="3"/>
  <c r="AQ146" i="3"/>
  <c r="AQ122" i="3"/>
  <c r="AQ118" i="3"/>
  <c r="AP187" i="3"/>
  <c r="AP108" i="3"/>
  <c r="AQ64" i="3"/>
  <c r="AP52" i="3"/>
  <c r="AP115" i="3"/>
  <c r="AQ95" i="3"/>
  <c r="AQ54" i="3"/>
  <c r="AQ37" i="3"/>
  <c r="AQ271" i="3"/>
  <c r="AQ158" i="3"/>
  <c r="AP295" i="3"/>
  <c r="AQ239" i="3"/>
  <c r="AQ266" i="3"/>
  <c r="AQ282" i="3"/>
  <c r="AQ231" i="3"/>
  <c r="AP244" i="3"/>
  <c r="AQ287" i="3"/>
  <c r="AP298" i="3"/>
  <c r="AQ142" i="3"/>
  <c r="AP24" i="3"/>
  <c r="AQ367" i="3"/>
  <c r="AQ284" i="3"/>
  <c r="AP168" i="3"/>
  <c r="AP121" i="3"/>
  <c r="AQ89" i="3"/>
  <c r="AQ55" i="3"/>
  <c r="AP14" i="3"/>
  <c r="AP96" i="3"/>
  <c r="AQ68" i="3"/>
  <c r="AQ45" i="3"/>
  <c r="AP6" i="3"/>
  <c r="AQ333" i="3"/>
  <c r="AP304" i="3"/>
  <c r="AQ357" i="3"/>
  <c r="AP322" i="3"/>
  <c r="AQ378" i="3"/>
  <c r="AQ350" i="3"/>
  <c r="AQ335" i="3"/>
  <c r="AP8" i="3"/>
  <c r="AQ385" i="3"/>
  <c r="AP346" i="3"/>
  <c r="AP309" i="3"/>
  <c r="AQ272" i="3"/>
  <c r="AP183" i="3"/>
  <c r="AP56" i="3"/>
  <c r="AP48" i="3"/>
  <c r="AQ3" i="3"/>
  <c r="AK3" i="3"/>
  <c r="B47" i="1"/>
  <c r="O77" i="3" l="1"/>
  <c r="R239" i="3"/>
  <c r="Q473" i="3"/>
  <c r="Q131" i="3"/>
  <c r="R160" i="3"/>
  <c r="P147" i="3"/>
  <c r="O11" i="3"/>
  <c r="P126" i="3"/>
  <c r="O395" i="3"/>
  <c r="P379" i="3"/>
  <c r="O389" i="3"/>
  <c r="O471" i="3"/>
  <c r="P423" i="3"/>
  <c r="O485" i="3"/>
  <c r="P150" i="3"/>
  <c r="O123" i="3"/>
  <c r="P385" i="3"/>
  <c r="O184" i="3"/>
  <c r="P346" i="3"/>
  <c r="O79" i="3"/>
  <c r="O289" i="3"/>
  <c r="P400" i="3"/>
  <c r="P11" i="3"/>
  <c r="P70" i="3"/>
  <c r="P6" i="3"/>
  <c r="P125" i="3"/>
  <c r="O347" i="3"/>
  <c r="O335" i="3"/>
  <c r="P467" i="3"/>
  <c r="P426" i="3"/>
  <c r="O491" i="3"/>
  <c r="O243" i="3"/>
  <c r="P290" i="3"/>
  <c r="P299" i="3"/>
  <c r="O172" i="3"/>
  <c r="O386" i="3"/>
  <c r="P327" i="3"/>
  <c r="O482" i="3"/>
  <c r="O27" i="3"/>
  <c r="P170" i="3"/>
  <c r="O35" i="3"/>
  <c r="O133" i="3"/>
  <c r="O101" i="3"/>
  <c r="P315" i="3"/>
  <c r="O366" i="3"/>
  <c r="O376" i="3"/>
  <c r="P230" i="3"/>
  <c r="O125" i="3"/>
  <c r="P291" i="3"/>
  <c r="O315" i="3"/>
  <c r="P347" i="3"/>
  <c r="P63" i="3"/>
  <c r="P476" i="3"/>
  <c r="O492" i="3"/>
  <c r="P429" i="3"/>
  <c r="O20" i="3"/>
  <c r="O171" i="3"/>
  <c r="P369" i="3"/>
  <c r="O252" i="3"/>
  <c r="O122" i="3"/>
  <c r="P175" i="3"/>
  <c r="O406" i="3"/>
  <c r="P217" i="3"/>
  <c r="O134" i="3"/>
  <c r="O313" i="3"/>
  <c r="P131" i="3"/>
  <c r="O157" i="3"/>
  <c r="P149" i="3"/>
  <c r="O459" i="3"/>
  <c r="P439" i="3"/>
  <c r="P422" i="3"/>
  <c r="O345" i="3"/>
  <c r="P463" i="3"/>
  <c r="O400" i="3"/>
  <c r="P428" i="3"/>
  <c r="O450" i="3"/>
  <c r="P450" i="3"/>
  <c r="P449" i="3"/>
  <c r="O453" i="3"/>
  <c r="P491" i="3"/>
  <c r="O501" i="3"/>
  <c r="P440" i="3"/>
  <c r="O277" i="3"/>
  <c r="O449" i="3"/>
  <c r="O496" i="3"/>
  <c r="P483" i="3"/>
  <c r="P137" i="3"/>
  <c r="O358" i="3"/>
  <c r="P176" i="3"/>
  <c r="P258" i="3"/>
  <c r="O310" i="3"/>
  <c r="P112" i="3"/>
  <c r="O73" i="3"/>
  <c r="P284" i="3"/>
  <c r="P248" i="3"/>
  <c r="O233" i="3"/>
  <c r="P184" i="3"/>
  <c r="P218" i="3"/>
  <c r="P33" i="3"/>
  <c r="O168" i="3"/>
  <c r="O416" i="3"/>
  <c r="P177" i="3"/>
  <c r="O57" i="3"/>
  <c r="P193" i="3"/>
  <c r="P90" i="3"/>
  <c r="O270" i="3"/>
  <c r="P168" i="3"/>
  <c r="O258" i="3"/>
  <c r="P57" i="3"/>
  <c r="P8" i="3"/>
  <c r="O154" i="3"/>
  <c r="O47" i="3"/>
  <c r="P399" i="3"/>
  <c r="P365" i="3"/>
  <c r="P167" i="3"/>
  <c r="P348" i="3"/>
  <c r="P373" i="3"/>
  <c r="O127" i="3"/>
  <c r="O291" i="3"/>
  <c r="P381" i="3"/>
  <c r="O95" i="3"/>
  <c r="O257" i="3"/>
  <c r="P30" i="3"/>
  <c r="O295" i="3"/>
  <c r="P300" i="3"/>
  <c r="P207" i="3"/>
  <c r="P388" i="3"/>
  <c r="O112" i="3"/>
  <c r="O359" i="3"/>
  <c r="O272" i="3"/>
  <c r="O16" i="3"/>
  <c r="P199" i="3"/>
  <c r="P380" i="3"/>
  <c r="O379" i="3"/>
  <c r="P26" i="3"/>
  <c r="P165" i="3"/>
  <c r="O242" i="3"/>
  <c r="P339" i="3"/>
  <c r="O13" i="3"/>
  <c r="O228" i="3"/>
  <c r="O300" i="3"/>
  <c r="O93" i="3"/>
  <c r="O240" i="3"/>
  <c r="O148" i="3"/>
  <c r="P210" i="3"/>
  <c r="P93" i="3"/>
  <c r="O118" i="3"/>
  <c r="P363" i="3"/>
  <c r="O85" i="3"/>
  <c r="P122" i="3"/>
  <c r="O14" i="3"/>
  <c r="O54" i="3"/>
  <c r="P378" i="3"/>
  <c r="P196" i="3"/>
  <c r="O430" i="3"/>
  <c r="P414" i="3"/>
  <c r="O472" i="3"/>
  <c r="O417" i="3"/>
  <c r="P456" i="3"/>
  <c r="P492" i="3"/>
  <c r="O414" i="3"/>
  <c r="O480" i="3"/>
  <c r="O460" i="3"/>
  <c r="P460" i="3"/>
  <c r="O411" i="3"/>
  <c r="O440" i="3"/>
  <c r="O441" i="3"/>
  <c r="E5" i="3"/>
  <c r="P270" i="3"/>
  <c r="P262" i="3"/>
  <c r="P444" i="3"/>
  <c r="O121" i="3"/>
  <c r="O334" i="3"/>
  <c r="O104" i="3"/>
  <c r="O18" i="3"/>
  <c r="P310" i="3"/>
  <c r="O221" i="3"/>
  <c r="P25" i="3"/>
  <c r="P194" i="3"/>
  <c r="P224" i="3"/>
  <c r="O217" i="3"/>
  <c r="O96" i="3"/>
  <c r="O383" i="3"/>
  <c r="P17" i="3"/>
  <c r="O152" i="3"/>
  <c r="O433" i="3"/>
  <c r="O129" i="3"/>
  <c r="O390" i="3"/>
  <c r="O288" i="3"/>
  <c r="P383" i="3"/>
  <c r="O262" i="3"/>
  <c r="P152" i="3"/>
  <c r="P178" i="3"/>
  <c r="O25" i="3"/>
  <c r="O397" i="3"/>
  <c r="P359" i="3"/>
  <c r="P39" i="3"/>
  <c r="O88" i="3"/>
  <c r="P357" i="3"/>
  <c r="P159" i="3"/>
  <c r="P332" i="3"/>
  <c r="O333" i="3"/>
  <c r="O119" i="3"/>
  <c r="P274" i="3"/>
  <c r="O280" i="3"/>
  <c r="O63" i="3"/>
  <c r="O247" i="3"/>
  <c r="O30" i="3"/>
  <c r="O279" i="3"/>
  <c r="P283" i="3"/>
  <c r="O199" i="3"/>
  <c r="O380" i="3"/>
  <c r="O80" i="3"/>
  <c r="O239" i="3"/>
  <c r="O254" i="3"/>
  <c r="O381" i="3"/>
  <c r="P464" i="3"/>
  <c r="P454" i="3"/>
  <c r="P433" i="3"/>
  <c r="O3" i="3"/>
  <c r="O487" i="3"/>
  <c r="P3" i="3"/>
  <c r="P447" i="3"/>
  <c r="O484" i="3"/>
  <c r="P475" i="3"/>
  <c r="O489" i="3"/>
  <c r="P445" i="3"/>
  <c r="P462" i="3"/>
  <c r="P486" i="3"/>
  <c r="P416" i="3"/>
  <c r="P465" i="3"/>
  <c r="O448" i="3"/>
  <c r="O436" i="3"/>
  <c r="P273" i="3"/>
  <c r="O296" i="3"/>
  <c r="P130" i="3"/>
  <c r="O113" i="3"/>
  <c r="O318" i="3"/>
  <c r="P288" i="3"/>
  <c r="O327" i="3"/>
  <c r="O391" i="3"/>
  <c r="P418" i="3"/>
  <c r="O17" i="3"/>
  <c r="P138" i="3"/>
  <c r="O200" i="3"/>
  <c r="P153" i="3"/>
  <c r="P96" i="3"/>
  <c r="O311" i="3"/>
  <c r="P335" i="3"/>
  <c r="O144" i="3"/>
  <c r="O466" i="3"/>
  <c r="P121" i="3"/>
  <c r="P374" i="3"/>
  <c r="P280" i="3"/>
  <c r="P281" i="3"/>
  <c r="P298" i="3"/>
  <c r="P144" i="3"/>
  <c r="O130" i="3"/>
  <c r="P9" i="3"/>
  <c r="O373" i="3"/>
  <c r="O271" i="3"/>
  <c r="P31" i="3"/>
  <c r="P72" i="3"/>
  <c r="O341" i="3"/>
  <c r="O143" i="3"/>
  <c r="P324" i="3"/>
  <c r="P202" i="3"/>
  <c r="O111" i="3"/>
  <c r="P343" i="3"/>
  <c r="P272" i="3"/>
  <c r="O55" i="3"/>
  <c r="O226" i="3"/>
  <c r="O160" i="3"/>
  <c r="P231" i="3"/>
  <c r="P244" i="3"/>
  <c r="P143" i="3"/>
  <c r="P356" i="3"/>
  <c r="O24" i="3"/>
  <c r="O223" i="3"/>
  <c r="O343" i="3"/>
  <c r="O357" i="3"/>
  <c r="O159" i="3"/>
  <c r="O364" i="3"/>
  <c r="P355" i="3"/>
  <c r="P198" i="3"/>
  <c r="O37" i="3"/>
  <c r="P477" i="3"/>
  <c r="O494" i="3"/>
  <c r="P489" i="3"/>
  <c r="O488" i="3"/>
  <c r="O474" i="3"/>
  <c r="O409" i="3"/>
  <c r="O445" i="3"/>
  <c r="O421" i="3"/>
  <c r="P480" i="3"/>
  <c r="P484" i="3"/>
  <c r="O404" i="3"/>
  <c r="P424" i="3"/>
  <c r="P466" i="3"/>
  <c r="O493" i="3"/>
  <c r="O435" i="3"/>
  <c r="O477" i="3"/>
  <c r="P295" i="3"/>
  <c r="P18" i="3"/>
  <c r="P49" i="3"/>
  <c r="O194" i="3"/>
  <c r="O458" i="3"/>
  <c r="P311" i="3"/>
  <c r="P289" i="3"/>
  <c r="O429" i="3"/>
  <c r="O398" i="3"/>
  <c r="P34" i="3"/>
  <c r="O128" i="3"/>
  <c r="O9" i="3"/>
  <c r="P302" i="3"/>
  <c r="O161" i="3"/>
  <c r="P209" i="3"/>
  <c r="P136" i="3"/>
  <c r="O178" i="3"/>
  <c r="P113" i="3"/>
  <c r="O350" i="3"/>
  <c r="O216" i="3"/>
  <c r="P161" i="3"/>
  <c r="O138" i="3"/>
  <c r="O136" i="3"/>
  <c r="O50" i="3"/>
  <c r="P390" i="3"/>
  <c r="O365" i="3"/>
  <c r="P239" i="3"/>
  <c r="P23" i="3"/>
  <c r="O64" i="3"/>
  <c r="P333" i="3"/>
  <c r="O103" i="3"/>
  <c r="P316" i="3"/>
  <c r="P154" i="3"/>
  <c r="O87" i="3"/>
  <c r="O208" i="3"/>
  <c r="P265" i="3"/>
  <c r="P47" i="3"/>
  <c r="P146" i="3"/>
  <c r="P64" i="3"/>
  <c r="O191" i="3"/>
  <c r="O399" i="3"/>
  <c r="P95" i="3"/>
  <c r="P340" i="3"/>
  <c r="O8" i="3"/>
  <c r="P191" i="3"/>
  <c r="P80" i="3"/>
  <c r="P341" i="3"/>
  <c r="P87" i="3"/>
  <c r="O348" i="3"/>
  <c r="P331" i="3"/>
  <c r="P110" i="3"/>
  <c r="O29" i="3"/>
  <c r="P158" i="3"/>
  <c r="O189" i="3"/>
  <c r="O338" i="3"/>
  <c r="O100" i="3"/>
  <c r="O142" i="3"/>
  <c r="P386" i="3"/>
  <c r="P351" i="3"/>
  <c r="O403" i="3"/>
  <c r="P54" i="3"/>
  <c r="P21" i="3"/>
  <c r="P108" i="3"/>
  <c r="P229" i="3"/>
  <c r="O5" i="3"/>
  <c r="O212" i="3"/>
  <c r="O339" i="3"/>
  <c r="P197" i="3"/>
  <c r="P330" i="3"/>
  <c r="P472" i="3"/>
  <c r="P502" i="3"/>
  <c r="P495" i="3"/>
  <c r="P474" i="3"/>
  <c r="P473" i="3"/>
  <c r="O437" i="3"/>
  <c r="P420" i="3"/>
  <c r="O420" i="3"/>
  <c r="O486" i="3"/>
  <c r="O424" i="3"/>
  <c r="O465" i="3"/>
  <c r="P468" i="3"/>
  <c r="P498" i="3"/>
  <c r="P441" i="3"/>
  <c r="P497" i="3"/>
  <c r="P246" i="3"/>
  <c r="O185" i="3"/>
  <c r="P398" i="3"/>
  <c r="O248" i="3"/>
  <c r="P237" i="3"/>
  <c r="P266" i="3"/>
  <c r="P257" i="3"/>
  <c r="O218" i="3"/>
  <c r="P366" i="3"/>
  <c r="O34" i="3"/>
  <c r="O447" i="3"/>
  <c r="O342" i="3"/>
  <c r="P206" i="3"/>
  <c r="O97" i="3"/>
  <c r="P264" i="3"/>
  <c r="P104" i="3"/>
  <c r="O90" i="3"/>
  <c r="P105" i="3"/>
  <c r="P342" i="3"/>
  <c r="O192" i="3"/>
  <c r="O105" i="3"/>
  <c r="O74" i="3"/>
  <c r="P128" i="3"/>
  <c r="O249" i="3"/>
  <c r="P350" i="3"/>
  <c r="P325" i="3"/>
  <c r="P223" i="3"/>
  <c r="O388" i="3"/>
  <c r="O56" i="3"/>
  <c r="P317" i="3"/>
  <c r="O39" i="3"/>
  <c r="O225" i="3"/>
  <c r="P271" i="3"/>
  <c r="P79" i="3"/>
  <c r="O120" i="3"/>
  <c r="O282" i="3"/>
  <c r="O356" i="3"/>
  <c r="P42" i="3"/>
  <c r="O476" i="3"/>
  <c r="O451" i="3"/>
  <c r="P443" i="3"/>
  <c r="P442" i="3"/>
  <c r="O304" i="3"/>
  <c r="P430" i="3"/>
  <c r="P471" i="3"/>
  <c r="O497" i="3"/>
  <c r="O434" i="3"/>
  <c r="P479" i="3"/>
  <c r="P413" i="3"/>
  <c r="P453" i="3"/>
  <c r="O468" i="3"/>
  <c r="O498" i="3"/>
  <c r="O408" i="3"/>
  <c r="O292" i="3"/>
  <c r="O251" i="3"/>
  <c r="O166" i="3"/>
  <c r="O169" i="3"/>
  <c r="P382" i="3"/>
  <c r="P240" i="3"/>
  <c r="P411" i="3"/>
  <c r="O153" i="3"/>
  <c r="P208" i="3"/>
  <c r="P185" i="3"/>
  <c r="P358" i="3"/>
  <c r="P241" i="3"/>
  <c r="O413" i="3"/>
  <c r="O326" i="3"/>
  <c r="O173" i="3"/>
  <c r="P89" i="3"/>
  <c r="O256" i="3"/>
  <c r="P88" i="3"/>
  <c r="P50" i="3"/>
  <c r="P97" i="3"/>
  <c r="P326" i="3"/>
  <c r="P236" i="3"/>
  <c r="O81" i="3"/>
  <c r="P74" i="3"/>
  <c r="P180" i="3"/>
  <c r="P201" i="3"/>
  <c r="P250" i="3"/>
  <c r="O325" i="3"/>
  <c r="O151" i="3"/>
  <c r="O308" i="3"/>
  <c r="P40" i="3"/>
  <c r="P82" i="3"/>
  <c r="O31" i="3"/>
  <c r="P186" i="3"/>
  <c r="O255" i="3"/>
  <c r="P71" i="3"/>
  <c r="P48" i="3"/>
  <c r="P215" i="3"/>
  <c r="O332" i="3"/>
  <c r="O42" i="3"/>
  <c r="O48" i="3"/>
  <c r="P119" i="3"/>
  <c r="P309" i="3"/>
  <c r="O15" i="3"/>
  <c r="O207" i="3"/>
  <c r="O317" i="3"/>
  <c r="O135" i="3"/>
  <c r="O40" i="3"/>
  <c r="P494" i="3"/>
  <c r="O425" i="3"/>
  <c r="P434" i="3"/>
  <c r="O392" i="3"/>
  <c r="P481" i="3"/>
  <c r="P500" i="3"/>
  <c r="O446" i="3"/>
  <c r="O462" i="3"/>
  <c r="O422" i="3"/>
  <c r="O502" i="3"/>
  <c r="O475" i="3"/>
  <c r="P408" i="3"/>
  <c r="P415" i="3"/>
  <c r="O470" i="3"/>
  <c r="P470" i="3"/>
  <c r="P501" i="3"/>
  <c r="O452" i="3"/>
  <c r="P493" i="3"/>
  <c r="P432" i="3"/>
  <c r="P499" i="3"/>
  <c r="O145" i="3"/>
  <c r="O374" i="3"/>
  <c r="O224" i="3"/>
  <c r="P436" i="3"/>
  <c r="O41" i="3"/>
  <c r="P160" i="3"/>
  <c r="P145" i="3"/>
  <c r="P334" i="3"/>
  <c r="O209" i="3"/>
  <c r="O412" i="3"/>
  <c r="P301" i="3"/>
  <c r="O267" i="3"/>
  <c r="P73" i="3"/>
  <c r="O232" i="3"/>
  <c r="P294" i="3"/>
  <c r="P233" i="3"/>
  <c r="P81" i="3"/>
  <c r="P391" i="3"/>
  <c r="P243" i="3"/>
  <c r="O49" i="3"/>
  <c r="P232" i="3"/>
  <c r="O438" i="3"/>
  <c r="P129" i="3"/>
  <c r="O273" i="3"/>
  <c r="P249" i="3"/>
  <c r="P135" i="3"/>
  <c r="O269" i="3"/>
  <c r="P32" i="3"/>
  <c r="O215" i="3"/>
  <c r="P372" i="3"/>
  <c r="O98" i="3"/>
  <c r="O231" i="3"/>
  <c r="P15" i="3"/>
  <c r="P389" i="3"/>
  <c r="P183" i="3"/>
  <c r="O316" i="3"/>
  <c r="P38" i="3"/>
  <c r="O309" i="3"/>
  <c r="P111" i="3"/>
  <c r="P282" i="3"/>
  <c r="O7" i="3"/>
  <c r="P226" i="3"/>
  <c r="O301" i="3"/>
  <c r="P127" i="3"/>
  <c r="O32" i="3"/>
  <c r="O82" i="3"/>
  <c r="P7" i="3"/>
  <c r="O186" i="3"/>
  <c r="O162" i="3"/>
  <c r="O205" i="3"/>
  <c r="O298" i="3"/>
  <c r="O503" i="3"/>
  <c r="O454" i="3"/>
  <c r="O188" i="3"/>
  <c r="P421" i="3"/>
  <c r="P296" i="3"/>
  <c r="P478" i="3"/>
  <c r="P410" i="3"/>
  <c r="P59" i="3"/>
  <c r="O456" i="3"/>
  <c r="O312" i="3"/>
  <c r="P427" i="3"/>
  <c r="O473" i="3"/>
  <c r="S473" i="3" s="1"/>
  <c r="J473" i="3" s="1"/>
  <c r="O377" i="3"/>
  <c r="P277" i="3"/>
  <c r="O131" i="3"/>
  <c r="O286" i="3"/>
  <c r="P28" i="3"/>
  <c r="P45" i="3"/>
  <c r="P155" i="3"/>
  <c r="P166" i="3"/>
  <c r="P91" i="3"/>
  <c r="P251" i="3"/>
  <c r="O177" i="3"/>
  <c r="P221" i="3"/>
  <c r="P267" i="3"/>
  <c r="O361" i="3"/>
  <c r="O43" i="3"/>
  <c r="O187" i="3"/>
  <c r="P86" i="3"/>
  <c r="P263" i="3"/>
  <c r="P43" i="3"/>
  <c r="P188" i="3"/>
  <c r="O4" i="3"/>
  <c r="O203" i="3"/>
  <c r="P286" i="3"/>
  <c r="P20" i="3"/>
  <c r="P14" i="3"/>
  <c r="P303" i="3"/>
  <c r="O165" i="3"/>
  <c r="O323" i="3"/>
  <c r="P118" i="3"/>
  <c r="P173" i="3"/>
  <c r="P403" i="3"/>
  <c r="P322" i="3"/>
  <c r="O213" i="3"/>
  <c r="P228" i="3"/>
  <c r="P189" i="3"/>
  <c r="P371" i="3"/>
  <c r="P242" i="3"/>
  <c r="P205" i="3"/>
  <c r="O84" i="3"/>
  <c r="O402" i="3"/>
  <c r="P395" i="3"/>
  <c r="O149" i="3"/>
  <c r="O371" i="3"/>
  <c r="O167" i="3"/>
  <c r="O276" i="3"/>
  <c r="O340" i="3"/>
  <c r="P297" i="3"/>
  <c r="O202" i="3"/>
  <c r="O65" i="3"/>
  <c r="O264" i="3"/>
  <c r="O137" i="3"/>
  <c r="O418" i="3"/>
  <c r="O481" i="3"/>
  <c r="O467" i="3"/>
  <c r="P406" i="3"/>
  <c r="O495" i="3"/>
  <c r="P455" i="3"/>
  <c r="O344" i="3"/>
  <c r="O443" i="3"/>
  <c r="P344" i="3"/>
  <c r="P320" i="3"/>
  <c r="O423" i="3"/>
  <c r="P107" i="3"/>
  <c r="P419" i="3"/>
  <c r="O320" i="3"/>
  <c r="O407" i="3"/>
  <c r="P425" i="3"/>
  <c r="O457" i="3"/>
  <c r="P304" i="3"/>
  <c r="P163" i="3"/>
  <c r="O319" i="3"/>
  <c r="P36" i="3"/>
  <c r="P174" i="3"/>
  <c r="P171" i="3"/>
  <c r="O58" i="3"/>
  <c r="P115" i="3"/>
  <c r="O244" i="3"/>
  <c r="P377" i="3"/>
  <c r="P307" i="3"/>
  <c r="P292" i="3"/>
  <c r="P4" i="3"/>
  <c r="P67" i="3"/>
  <c r="O219" i="3"/>
  <c r="O94" i="3"/>
  <c r="P313" i="3"/>
  <c r="P75" i="3"/>
  <c r="P204" i="3"/>
  <c r="O12" i="3"/>
  <c r="P211" i="3"/>
  <c r="O375" i="3"/>
  <c r="P52" i="3"/>
  <c r="P100" i="3"/>
  <c r="O322" i="3"/>
  <c r="O181" i="3"/>
  <c r="O355" i="3"/>
  <c r="P268" i="3"/>
  <c r="P245" i="3"/>
  <c r="P22" i="3"/>
  <c r="O346" i="3"/>
  <c r="O261" i="3"/>
  <c r="P238" i="3"/>
  <c r="O197" i="3"/>
  <c r="P132" i="3"/>
  <c r="O306" i="3"/>
  <c r="O237" i="3"/>
  <c r="O108" i="3"/>
  <c r="O21" i="3"/>
  <c r="P62" i="3"/>
  <c r="P181" i="3"/>
  <c r="O146" i="3"/>
  <c r="P247" i="3"/>
  <c r="P349" i="3"/>
  <c r="O175" i="3"/>
  <c r="P151" i="3"/>
  <c r="P225" i="3"/>
  <c r="O201" i="3"/>
  <c r="P318" i="3"/>
  <c r="O210" i="3"/>
  <c r="O415" i="3"/>
  <c r="O384" i="3"/>
  <c r="P461" i="3"/>
  <c r="P360" i="3"/>
  <c r="P352" i="3"/>
  <c r="P431" i="3"/>
  <c r="O179" i="3"/>
  <c r="O426" i="3"/>
  <c r="P328" i="3"/>
  <c r="P412" i="3"/>
  <c r="P252" i="3"/>
  <c r="O444" i="3"/>
  <c r="P312" i="3"/>
  <c r="O211" i="3"/>
  <c r="O299" i="3"/>
  <c r="O44" i="3"/>
  <c r="P323" i="3"/>
  <c r="O195" i="3"/>
  <c r="P305" i="3"/>
  <c r="P123" i="3"/>
  <c r="P94" i="3"/>
  <c r="O401" i="3"/>
  <c r="P19" i="3"/>
  <c r="O70" i="3"/>
  <c r="O164" i="3"/>
  <c r="P83" i="3"/>
  <c r="O235" i="3"/>
  <c r="O206" i="3"/>
  <c r="P329" i="3"/>
  <c r="O139" i="3"/>
  <c r="O268" i="3"/>
  <c r="O52" i="3"/>
  <c r="P275" i="3"/>
  <c r="P10" i="3"/>
  <c r="P92" i="3"/>
  <c r="O180" i="3"/>
  <c r="P394" i="3"/>
  <c r="P261" i="3"/>
  <c r="P387" i="3"/>
  <c r="O294" i="3"/>
  <c r="O293" i="3"/>
  <c r="O132" i="3"/>
  <c r="O394" i="3"/>
  <c r="O246" i="3"/>
  <c r="P338" i="3"/>
  <c r="O245" i="3"/>
  <c r="O140" i="3"/>
  <c r="P314" i="3"/>
  <c r="P285" i="3"/>
  <c r="P164" i="3"/>
  <c r="O69" i="3"/>
  <c r="P134" i="3"/>
  <c r="O229" i="3"/>
  <c r="P287" i="3"/>
  <c r="P169" i="3"/>
  <c r="P216" i="3"/>
  <c r="P254" i="3"/>
  <c r="P397" i="3"/>
  <c r="P65" i="3"/>
  <c r="P409" i="3"/>
  <c r="O89" i="3"/>
  <c r="P448" i="3"/>
  <c r="P451" i="3"/>
  <c r="P459" i="3"/>
  <c r="P58" i="3"/>
  <c r="P438" i="3"/>
  <c r="O369" i="3"/>
  <c r="P490" i="3"/>
  <c r="P376" i="3"/>
  <c r="P392" i="3"/>
  <c r="O461" i="3"/>
  <c r="P195" i="3"/>
  <c r="O478" i="3"/>
  <c r="O328" i="3"/>
  <c r="O483" i="3"/>
  <c r="O259" i="3"/>
  <c r="O419" i="3"/>
  <c r="P384" i="3"/>
  <c r="O275" i="3"/>
  <c r="O303" i="3"/>
  <c r="O60" i="3"/>
  <c r="P51" i="3"/>
  <c r="O236" i="3"/>
  <c r="O337" i="3"/>
  <c r="O163" i="3"/>
  <c r="O182" i="3"/>
  <c r="O28" i="3"/>
  <c r="O51" i="3"/>
  <c r="O78" i="3"/>
  <c r="P370" i="3"/>
  <c r="O83" i="3"/>
  <c r="P259" i="3"/>
  <c r="P375" i="3"/>
  <c r="P353" i="3"/>
  <c r="O147" i="3"/>
  <c r="O274" i="3"/>
  <c r="P60" i="3"/>
  <c r="O156" i="3"/>
  <c r="O234" i="3"/>
  <c r="P402" i="3"/>
  <c r="P212" i="3"/>
  <c r="O45" i="3"/>
  <c r="P142" i="3"/>
  <c r="O92" i="3"/>
  <c r="O362" i="3"/>
  <c r="O174" i="3"/>
  <c r="P140" i="3"/>
  <c r="P13" i="3"/>
  <c r="O387" i="3"/>
  <c r="P354" i="3"/>
  <c r="O367" i="3"/>
  <c r="O196" i="3"/>
  <c r="O354" i="3"/>
  <c r="P222" i="3"/>
  <c r="O238" i="3"/>
  <c r="P77" i="3"/>
  <c r="O278" i="3"/>
  <c r="P269" i="3"/>
  <c r="O324" i="3"/>
  <c r="O250" i="3"/>
  <c r="P308" i="3"/>
  <c r="P56" i="3"/>
  <c r="P364" i="3"/>
  <c r="O428" i="3"/>
  <c r="P200" i="3"/>
  <c r="P120" i="3"/>
  <c r="O302" i="3"/>
  <c r="O141" i="3"/>
  <c r="O455" i="3"/>
  <c r="P407" i="3"/>
  <c r="O117" i="3"/>
  <c r="O405" i="3"/>
  <c r="O227" i="3"/>
  <c r="P469" i="3"/>
  <c r="O352" i="3"/>
  <c r="O410" i="3"/>
  <c r="O285" i="3"/>
  <c r="O439" i="3"/>
  <c r="P99" i="3"/>
  <c r="O46" i="3"/>
  <c r="O393" i="3"/>
  <c r="P68" i="3"/>
  <c r="O67" i="3"/>
  <c r="P260" i="3"/>
  <c r="P361" i="3"/>
  <c r="P187" i="3"/>
  <c r="O230" i="3"/>
  <c r="O36" i="3"/>
  <c r="O59" i="3"/>
  <c r="O102" i="3"/>
  <c r="P157" i="3"/>
  <c r="O91" i="3"/>
  <c r="P156" i="3"/>
  <c r="O114" i="3"/>
  <c r="O76" i="3"/>
  <c r="P179" i="3"/>
  <c r="P321" i="3"/>
  <c r="P116" i="3"/>
  <c r="O220" i="3"/>
  <c r="O290" i="3"/>
  <c r="P53" i="3"/>
  <c r="O284" i="3"/>
  <c r="P61" i="3"/>
  <c r="O198" i="3"/>
  <c r="O116" i="3"/>
  <c r="O370" i="3"/>
  <c r="P367" i="3"/>
  <c r="P148" i="3"/>
  <c r="O61" i="3"/>
  <c r="O6" i="3"/>
  <c r="O378" i="3"/>
  <c r="O66" i="3"/>
  <c r="O190" i="3"/>
  <c r="P362" i="3"/>
  <c r="P162" i="3"/>
  <c r="O241" i="3"/>
  <c r="P141" i="3"/>
  <c r="O351" i="3"/>
  <c r="O222" i="3"/>
  <c r="O372" i="3"/>
  <c r="P24" i="3"/>
  <c r="O396" i="3"/>
  <c r="O38" i="3"/>
  <c r="O183" i="3"/>
  <c r="O176" i="3"/>
  <c r="P41" i="3"/>
  <c r="O33" i="3"/>
  <c r="P496" i="3"/>
  <c r="O442" i="3"/>
  <c r="P503" i="3"/>
  <c r="O463" i="3"/>
  <c r="P404" i="3"/>
  <c r="O263" i="3"/>
  <c r="P437" i="3"/>
  <c r="O427" i="3"/>
  <c r="O490" i="3"/>
  <c r="O204" i="3"/>
  <c r="O479" i="3"/>
  <c r="P368" i="3"/>
  <c r="O431" i="3"/>
  <c r="P336" i="3"/>
  <c r="O469" i="3"/>
  <c r="O321" i="3"/>
  <c r="O126" i="3"/>
  <c r="P401" i="3"/>
  <c r="P76" i="3"/>
  <c r="O99" i="3"/>
  <c r="P78" i="3"/>
  <c r="O385" i="3"/>
  <c r="P219" i="3"/>
  <c r="O10" i="3"/>
  <c r="O68" i="3"/>
  <c r="O75" i="3"/>
  <c r="O150" i="3"/>
  <c r="P253" i="3"/>
  <c r="O107" i="3"/>
  <c r="P220" i="3"/>
  <c r="O170" i="3"/>
  <c r="P133" i="3"/>
  <c r="P203" i="3"/>
  <c r="P345" i="3"/>
  <c r="P27" i="3"/>
  <c r="P46" i="3"/>
  <c r="O305" i="3"/>
  <c r="P293" i="3"/>
  <c r="O62" i="3"/>
  <c r="P85" i="3"/>
  <c r="O106" i="3"/>
  <c r="O124" i="3"/>
  <c r="O53" i="3"/>
  <c r="P66" i="3"/>
  <c r="P190" i="3"/>
  <c r="O109" i="3"/>
  <c r="O22" i="3"/>
  <c r="P37" i="3"/>
  <c r="O266" i="3"/>
  <c r="O214" i="3"/>
  <c r="P5" i="3"/>
  <c r="O307" i="3"/>
  <c r="O253" i="3"/>
  <c r="O287" i="3"/>
  <c r="P213" i="3"/>
  <c r="P106" i="3"/>
  <c r="P396" i="3"/>
  <c r="O72" i="3"/>
  <c r="O71" i="3"/>
  <c r="O265" i="3"/>
  <c r="P16" i="3"/>
  <c r="O382" i="3"/>
  <c r="P452" i="3"/>
  <c r="P417" i="3"/>
  <c r="O432" i="3"/>
  <c r="O336" i="3"/>
  <c r="O464" i="3"/>
  <c r="P485" i="3"/>
  <c r="O500" i="3"/>
  <c r="P446" i="3"/>
  <c r="P435" i="3"/>
  <c r="O281" i="3"/>
  <c r="P458" i="3"/>
  <c r="P457" i="3"/>
  <c r="O360" i="3"/>
  <c r="P337" i="3"/>
  <c r="P487" i="3"/>
  <c r="P44" i="3"/>
  <c r="P405" i="3"/>
  <c r="O368" i="3"/>
  <c r="P482" i="3"/>
  <c r="P306" i="3"/>
  <c r="P182" i="3"/>
  <c r="P12" i="3"/>
  <c r="P124" i="3"/>
  <c r="P139" i="3"/>
  <c r="P102" i="3"/>
  <c r="P393" i="3"/>
  <c r="P235" i="3"/>
  <c r="P114" i="3"/>
  <c r="P256" i="3"/>
  <c r="O155" i="3"/>
  <c r="P319" i="3"/>
  <c r="O110" i="3"/>
  <c r="O115" i="3"/>
  <c r="P276" i="3"/>
  <c r="P234" i="3"/>
  <c r="O19" i="3"/>
  <c r="P227" i="3"/>
  <c r="O353" i="3"/>
  <c r="P35" i="3"/>
  <c r="O86" i="3"/>
  <c r="O329" i="3"/>
  <c r="O26" i="3"/>
  <c r="O158" i="3"/>
  <c r="P109" i="3"/>
  <c r="P279" i="3"/>
  <c r="P172" i="3"/>
  <c r="P101" i="3"/>
  <c r="O260" i="3"/>
  <c r="P214" i="3"/>
  <c r="P117" i="3"/>
  <c r="P84" i="3"/>
  <c r="P69" i="3"/>
  <c r="O283" i="3"/>
  <c r="P278" i="3"/>
  <c r="P29" i="3"/>
  <c r="O363" i="3"/>
  <c r="O314" i="3"/>
  <c r="O331" i="3"/>
  <c r="O330" i="3"/>
  <c r="O297" i="3"/>
  <c r="P55" i="3"/>
  <c r="O23" i="3"/>
  <c r="P255" i="3"/>
  <c r="P103" i="3"/>
  <c r="P98" i="3"/>
  <c r="P488" i="3"/>
  <c r="O193" i="3"/>
  <c r="P192" i="3"/>
  <c r="O499" i="3"/>
  <c r="R150" i="3"/>
  <c r="Q481" i="3"/>
  <c r="Q302" i="3"/>
  <c r="Q144" i="3"/>
  <c r="R336" i="3"/>
  <c r="Q419" i="3"/>
  <c r="Q22" i="3"/>
  <c r="R439" i="3"/>
  <c r="Q206" i="3"/>
  <c r="R264" i="3"/>
  <c r="R377" i="3"/>
  <c r="R143" i="3"/>
  <c r="Q67" i="3"/>
  <c r="Q159" i="3"/>
  <c r="L411" i="3"/>
  <c r="R491" i="3"/>
  <c r="R472" i="3"/>
  <c r="R459" i="3"/>
  <c r="R488" i="3"/>
  <c r="R392" i="3"/>
  <c r="Q83" i="3"/>
  <c r="R203" i="3"/>
  <c r="Q70" i="3"/>
  <c r="R12" i="3"/>
  <c r="R44" i="3"/>
  <c r="R51" i="3"/>
  <c r="R251" i="3"/>
  <c r="R222" i="3"/>
  <c r="R165" i="3"/>
  <c r="R284" i="3"/>
  <c r="Q269" i="3"/>
  <c r="Q16" i="3"/>
  <c r="R291" i="3"/>
  <c r="R41" i="3"/>
  <c r="R464" i="3"/>
  <c r="R485" i="3"/>
  <c r="R400" i="3"/>
  <c r="Q155" i="3"/>
  <c r="Q219" i="3"/>
  <c r="R94" i="3"/>
  <c r="R20" i="3"/>
  <c r="Q52" i="3"/>
  <c r="Q99" i="3"/>
  <c r="R244" i="3"/>
  <c r="R246" i="3"/>
  <c r="Q222" i="3"/>
  <c r="R29" i="3"/>
  <c r="R309" i="3"/>
  <c r="Q72" i="3"/>
  <c r="R374" i="3"/>
  <c r="Q489" i="3"/>
  <c r="R418" i="3"/>
  <c r="R430" i="3"/>
  <c r="R292" i="3"/>
  <c r="R409" i="3"/>
  <c r="Q458" i="3"/>
  <c r="R478" i="3"/>
  <c r="Q418" i="3"/>
  <c r="R500" i="3"/>
  <c r="Q476" i="3"/>
  <c r="R453" i="3"/>
  <c r="Q437" i="3"/>
  <c r="R440" i="3"/>
  <c r="Q498" i="3"/>
  <c r="Q284" i="3"/>
  <c r="Q281" i="3"/>
  <c r="Q74" i="3"/>
  <c r="R88" i="3"/>
  <c r="Q201" i="3"/>
  <c r="Q65" i="3"/>
  <c r="Q216" i="3"/>
  <c r="R383" i="3"/>
  <c r="R33" i="3"/>
  <c r="R168" i="3"/>
  <c r="Q18" i="3"/>
  <c r="Q398" i="3"/>
  <c r="R216" i="3"/>
  <c r="R297" i="3"/>
  <c r="R342" i="3"/>
  <c r="Q248" i="3"/>
  <c r="S248" i="3" s="1"/>
  <c r="J248" i="3" s="1"/>
  <c r="R198" i="3"/>
  <c r="R97" i="3"/>
  <c r="R335" i="3"/>
  <c r="Q112" i="3"/>
  <c r="R311" i="3"/>
  <c r="R366" i="3"/>
  <c r="R241" i="3"/>
  <c r="Q253" i="3"/>
  <c r="Q81" i="3"/>
  <c r="R247" i="3"/>
  <c r="R55" i="3"/>
  <c r="Q381" i="3"/>
  <c r="Q396" i="3"/>
  <c r="Q246" i="3"/>
  <c r="R127" i="3"/>
  <c r="Q324" i="3"/>
  <c r="Q365" i="3"/>
  <c r="Q359" i="3"/>
  <c r="Q31" i="3"/>
  <c r="R324" i="3"/>
  <c r="Q373" i="3"/>
  <c r="R316" i="3"/>
  <c r="R38" i="3"/>
  <c r="R357" i="3"/>
  <c r="R87" i="3"/>
  <c r="R372" i="3"/>
  <c r="R40" i="3"/>
  <c r="R154" i="3"/>
  <c r="R303" i="3"/>
  <c r="Q56" i="3"/>
  <c r="Q191" i="3"/>
  <c r="Q226" i="3"/>
  <c r="R125" i="3"/>
  <c r="R322" i="3"/>
  <c r="Q180" i="3"/>
  <c r="Q202" i="3"/>
  <c r="S202" i="3" s="1"/>
  <c r="J202" i="3" s="1"/>
  <c r="Q157" i="3"/>
  <c r="S157" i="3" s="1"/>
  <c r="J157" i="3" s="1"/>
  <c r="R378" i="3"/>
  <c r="R92" i="3"/>
  <c r="R142" i="3"/>
  <c r="R85" i="3"/>
  <c r="R212" i="3"/>
  <c r="R387" i="3"/>
  <c r="R174" i="3"/>
  <c r="R69" i="3"/>
  <c r="Q116" i="3"/>
  <c r="Q294" i="3"/>
  <c r="Q37" i="3"/>
  <c r="R259" i="3"/>
  <c r="R100" i="3"/>
  <c r="Q54" i="3"/>
  <c r="Q314" i="3"/>
  <c r="S314" i="3" s="1"/>
  <c r="J314" i="3" s="1"/>
  <c r="Q315" i="3"/>
  <c r="R285" i="3"/>
  <c r="R53" i="3"/>
  <c r="R351" i="3"/>
  <c r="R480" i="3"/>
  <c r="R475" i="3"/>
  <c r="R426" i="3"/>
  <c r="R446" i="3"/>
  <c r="R432" i="3"/>
  <c r="R477" i="3"/>
  <c r="Q484" i="3"/>
  <c r="Q447" i="3"/>
  <c r="Q404" i="3"/>
  <c r="R486" i="3"/>
  <c r="Q475" i="3"/>
  <c r="Q465" i="3"/>
  <c r="Q448" i="3"/>
  <c r="Q255" i="3"/>
  <c r="Q440" i="3"/>
  <c r="Q161" i="3"/>
  <c r="R288" i="3"/>
  <c r="R287" i="3"/>
  <c r="R177" i="3"/>
  <c r="Q57" i="3"/>
  <c r="R184" i="3"/>
  <c r="R281" i="3"/>
  <c r="R382" i="3"/>
  <c r="R152" i="3"/>
  <c r="R201" i="3"/>
  <c r="R358" i="3"/>
  <c r="Q208" i="3"/>
  <c r="Q185" i="3"/>
  <c r="R334" i="3"/>
  <c r="Q224" i="3"/>
  <c r="Q259" i="3"/>
  <c r="Q41" i="3"/>
  <c r="R289" i="3"/>
  <c r="R96" i="3"/>
  <c r="Q265" i="3"/>
  <c r="Q350" i="3"/>
  <c r="R209" i="3"/>
  <c r="Q233" i="3"/>
  <c r="R49" i="3"/>
  <c r="Q199" i="3"/>
  <c r="Q23" i="3"/>
  <c r="Q349" i="3"/>
  <c r="S349" i="3" s="1"/>
  <c r="J349" i="3" s="1"/>
  <c r="Q388" i="3"/>
  <c r="R82" i="3"/>
  <c r="R119" i="3"/>
  <c r="Q316" i="3"/>
  <c r="Q357" i="3"/>
  <c r="R199" i="3"/>
  <c r="R23" i="3"/>
  <c r="Q186" i="3"/>
  <c r="Q297" i="3"/>
  <c r="Q308" i="3"/>
  <c r="R30" i="3"/>
  <c r="R333" i="3"/>
  <c r="R71" i="3"/>
  <c r="R364" i="3"/>
  <c r="R32" i="3"/>
  <c r="R279" i="3"/>
  <c r="R299" i="3"/>
  <c r="R389" i="3"/>
  <c r="Q103" i="3"/>
  <c r="R146" i="3"/>
  <c r="R117" i="3"/>
  <c r="R302" i="3"/>
  <c r="Q14" i="3"/>
  <c r="R106" i="3"/>
  <c r="R141" i="3"/>
  <c r="R338" i="3"/>
  <c r="Q6" i="3"/>
  <c r="R110" i="3"/>
  <c r="R61" i="3"/>
  <c r="R124" i="3"/>
  <c r="Q490" i="3"/>
  <c r="R421" i="3"/>
  <c r="R473" i="3"/>
  <c r="R435" i="3"/>
  <c r="Q496" i="3"/>
  <c r="R496" i="3"/>
  <c r="R449" i="3"/>
  <c r="R415" i="3"/>
  <c r="R489" i="3"/>
  <c r="R476" i="3"/>
  <c r="Q466" i="3"/>
  <c r="Q483" i="3"/>
  <c r="R280" i="3"/>
  <c r="Q477" i="3"/>
  <c r="Q390" i="3"/>
  <c r="R240" i="3"/>
  <c r="Q178" i="3"/>
  <c r="Q129" i="3"/>
  <c r="R390" i="3"/>
  <c r="R144" i="3"/>
  <c r="R161" i="3"/>
  <c r="Q358" i="3"/>
  <c r="R272" i="3"/>
  <c r="Q145" i="3"/>
  <c r="Q310" i="3"/>
  <c r="Q160" i="3"/>
  <c r="Q169" i="3"/>
  <c r="R318" i="3"/>
  <c r="R192" i="3"/>
  <c r="Q250" i="3"/>
  <c r="Q33" i="3"/>
  <c r="R257" i="3"/>
  <c r="Q286" i="3"/>
  <c r="R185" i="3"/>
  <c r="R326" i="3"/>
  <c r="Q272" i="3"/>
  <c r="Q177" i="3"/>
  <c r="Q342" i="3"/>
  <c r="Q175" i="3"/>
  <c r="R298" i="3"/>
  <c r="Q341" i="3"/>
  <c r="Q380" i="3"/>
  <c r="Q223" i="3"/>
  <c r="R111" i="3"/>
  <c r="Q98" i="3"/>
  <c r="R349" i="3"/>
  <c r="Q167" i="3"/>
  <c r="Q15" i="3"/>
  <c r="R256" i="3"/>
  <c r="Q154" i="3"/>
  <c r="Q209" i="3"/>
  <c r="R72" i="3"/>
  <c r="R317" i="3"/>
  <c r="Q63" i="3"/>
  <c r="R332" i="3"/>
  <c r="Q8" i="3"/>
  <c r="Q231" i="3"/>
  <c r="R294" i="3"/>
  <c r="R325" i="3"/>
  <c r="Q95" i="3"/>
  <c r="R22" i="3"/>
  <c r="Q109" i="3"/>
  <c r="R290" i="3"/>
  <c r="R403" i="3"/>
  <c r="Q26" i="3"/>
  <c r="Q133" i="3"/>
  <c r="R330" i="3"/>
  <c r="Q3" i="3"/>
  <c r="R54" i="3"/>
  <c r="Q402" i="3"/>
  <c r="R116" i="3"/>
  <c r="R339" i="3"/>
  <c r="Q237" i="3"/>
  <c r="R5" i="3"/>
  <c r="Q379" i="3"/>
  <c r="Q285" i="3"/>
  <c r="R21" i="3"/>
  <c r="Q351" i="3"/>
  <c r="Q371" i="3"/>
  <c r="S371" i="3" s="1"/>
  <c r="J371" i="3" s="1"/>
  <c r="R237" i="3"/>
  <c r="Q228" i="3"/>
  <c r="Q268" i="3"/>
  <c r="Q213" i="3"/>
  <c r="Q5" i="3"/>
  <c r="Q190" i="3"/>
  <c r="Q485" i="3"/>
  <c r="Q436" i="3"/>
  <c r="Q408" i="3"/>
  <c r="Q500" i="3"/>
  <c r="Q460" i="3"/>
  <c r="R447" i="3"/>
  <c r="Q411" i="3"/>
  <c r="Q499" i="3"/>
  <c r="Q468" i="3"/>
  <c r="Q301" i="3"/>
  <c r="Q438" i="3"/>
  <c r="E6" i="3"/>
  <c r="Q382" i="3"/>
  <c r="R200" i="3"/>
  <c r="Q90" i="3"/>
  <c r="R121" i="3"/>
  <c r="Q334" i="3"/>
  <c r="Q280" i="3"/>
  <c r="S280" i="3" s="1"/>
  <c r="J280" i="3" s="1"/>
  <c r="R145" i="3"/>
  <c r="Q295" i="3"/>
  <c r="Q434" i="3"/>
  <c r="R137" i="3"/>
  <c r="R34" i="3"/>
  <c r="R248" i="3"/>
  <c r="R73" i="3"/>
  <c r="R265" i="3"/>
  <c r="Q128" i="3"/>
  <c r="Q327" i="3"/>
  <c r="R25" i="3"/>
  <c r="R225" i="3"/>
  <c r="R190" i="3"/>
  <c r="R169" i="3"/>
  <c r="Q326" i="3"/>
  <c r="Q200" i="3"/>
  <c r="R153" i="3"/>
  <c r="R269" i="3"/>
  <c r="Q127" i="3"/>
  <c r="R343" i="3"/>
  <c r="R283" i="3"/>
  <c r="Q279" i="3"/>
  <c r="R191" i="3"/>
  <c r="Q79" i="3"/>
  <c r="Q399" i="3"/>
  <c r="R341" i="3"/>
  <c r="Q143" i="3"/>
  <c r="R7" i="3"/>
  <c r="R48" i="3"/>
  <c r="R359" i="3"/>
  <c r="Q274" i="3"/>
  <c r="Q48" i="3"/>
  <c r="Q287" i="3"/>
  <c r="Q55" i="3"/>
  <c r="R186" i="3"/>
  <c r="R373" i="3"/>
  <c r="R183" i="3"/>
  <c r="R202" i="3"/>
  <c r="Q309" i="3"/>
  <c r="R79" i="3"/>
  <c r="R363" i="3"/>
  <c r="Q85" i="3"/>
  <c r="R214" i="3"/>
  <c r="Q355" i="3"/>
  <c r="R367" i="3"/>
  <c r="Q77" i="3"/>
  <c r="S77" i="3" s="1"/>
  <c r="J77" i="3" s="1"/>
  <c r="Q306" i="3"/>
  <c r="R355" i="3"/>
  <c r="R213" i="3"/>
  <c r="Q346" i="3"/>
  <c r="Q108" i="3"/>
  <c r="Q331" i="3"/>
  <c r="Q221" i="3"/>
  <c r="R370" i="3"/>
  <c r="Q307" i="3"/>
  <c r="Q205" i="3"/>
  <c r="S205" i="3" s="1"/>
  <c r="J205" i="3" s="1"/>
  <c r="R3" i="3"/>
  <c r="Q278" i="3"/>
  <c r="R347" i="3"/>
  <c r="R221" i="3"/>
  <c r="R164" i="3"/>
  <c r="Q417" i="3"/>
  <c r="R487" i="3"/>
  <c r="Q433" i="3"/>
  <c r="R445" i="3"/>
  <c r="R441" i="3"/>
  <c r="R436" i="3"/>
  <c r="R407" i="3"/>
  <c r="R461" i="3"/>
  <c r="Q453" i="3"/>
  <c r="Q414" i="3"/>
  <c r="R411" i="3"/>
  <c r="R469" i="3"/>
  <c r="R468" i="3"/>
  <c r="Q435" i="3"/>
  <c r="R437" i="3"/>
  <c r="R350" i="3"/>
  <c r="Q168" i="3"/>
  <c r="Q50" i="3"/>
  <c r="R113" i="3"/>
  <c r="R258" i="3"/>
  <c r="Q247" i="3"/>
  <c r="Q137" i="3"/>
  <c r="R273" i="3"/>
  <c r="R404" i="3"/>
  <c r="R129" i="3"/>
  <c r="Q289" i="3"/>
  <c r="R301" i="3"/>
  <c r="Q25" i="3"/>
  <c r="Q194" i="3"/>
  <c r="R120" i="3"/>
  <c r="R327" i="3"/>
  <c r="R9" i="3"/>
  <c r="R224" i="3"/>
  <c r="R465" i="3"/>
  <c r="Q73" i="3"/>
  <c r="S73" i="3" s="1"/>
  <c r="J73" i="3" s="1"/>
  <c r="Q318" i="3"/>
  <c r="S318" i="3" s="1"/>
  <c r="J318" i="3" s="1"/>
  <c r="Q136" i="3"/>
  <c r="Q121" i="3"/>
  <c r="Q391" i="3"/>
  <c r="Q119" i="3"/>
  <c r="Q80" i="3"/>
  <c r="R263" i="3"/>
  <c r="R226" i="3"/>
  <c r="R175" i="3"/>
  <c r="R47" i="3"/>
  <c r="Q193" i="3"/>
  <c r="Q333" i="3"/>
  <c r="R135" i="3"/>
  <c r="R396" i="3"/>
  <c r="Q40" i="3"/>
  <c r="Q271" i="3"/>
  <c r="R98" i="3"/>
  <c r="R24" i="3"/>
  <c r="Q215" i="3"/>
  <c r="Q47" i="3"/>
  <c r="Q146" i="3"/>
  <c r="Q325" i="3"/>
  <c r="R151" i="3"/>
  <c r="R274" i="3"/>
  <c r="R295" i="3"/>
  <c r="R388" i="3"/>
  <c r="Q256" i="3"/>
  <c r="Q61" i="3"/>
  <c r="R134" i="3"/>
  <c r="R331" i="3"/>
  <c r="Q174" i="3"/>
  <c r="Q53" i="3"/>
  <c r="Q264" i="3"/>
  <c r="R315" i="3"/>
  <c r="Q181" i="3"/>
  <c r="R271" i="3"/>
  <c r="Q100" i="3"/>
  <c r="Q323" i="3"/>
  <c r="R157" i="3"/>
  <c r="R306" i="3"/>
  <c r="Q303" i="3"/>
  <c r="R181" i="3"/>
  <c r="Q386" i="3"/>
  <c r="Q503" i="3"/>
  <c r="R479" i="3"/>
  <c r="R431" i="3"/>
  <c r="R438" i="3"/>
  <c r="R422" i="3"/>
  <c r="R442" i="3"/>
  <c r="Q415" i="3"/>
  <c r="Q424" i="3"/>
  <c r="Q288" i="3"/>
  <c r="Q383" i="3"/>
  <c r="R233" i="3"/>
  <c r="R457" i="3"/>
  <c r="R176" i="3"/>
  <c r="Q225" i="3"/>
  <c r="Q138" i="3"/>
  <c r="Q153" i="3"/>
  <c r="Q130" i="3"/>
  <c r="R128" i="3"/>
  <c r="Q291" i="3"/>
  <c r="R95" i="3"/>
  <c r="R380" i="3"/>
  <c r="Q82" i="3"/>
  <c r="R397" i="3"/>
  <c r="R16" i="3"/>
  <c r="R15" i="3"/>
  <c r="R340" i="3"/>
  <c r="R308" i="3"/>
  <c r="R394" i="3"/>
  <c r="R197" i="3"/>
  <c r="R242" i="3"/>
  <c r="Q62" i="3"/>
  <c r="Q277" i="3"/>
  <c r="R6" i="3"/>
  <c r="Q29" i="3"/>
  <c r="R108" i="3"/>
  <c r="Q69" i="3"/>
  <c r="Q298" i="3"/>
  <c r="Q125" i="3"/>
  <c r="Q275" i="3"/>
  <c r="Q76" i="3"/>
  <c r="R206" i="3"/>
  <c r="Q163" i="3"/>
  <c r="Q11" i="3"/>
  <c r="R385" i="3"/>
  <c r="R78" i="3"/>
  <c r="Q339" i="3"/>
  <c r="Q44" i="3"/>
  <c r="R182" i="3"/>
  <c r="Q51" i="3"/>
  <c r="R4" i="3"/>
  <c r="Q254" i="3"/>
  <c r="Q147" i="3"/>
  <c r="R27" i="3"/>
  <c r="Q329" i="3"/>
  <c r="Q220" i="3"/>
  <c r="Q173" i="3"/>
  <c r="R329" i="3"/>
  <c r="Q188" i="3"/>
  <c r="Q59" i="3"/>
  <c r="R353" i="3"/>
  <c r="R156" i="3"/>
  <c r="R210" i="3"/>
  <c r="Q384" i="3"/>
  <c r="R114" i="3"/>
  <c r="Q497" i="3"/>
  <c r="Q352" i="3"/>
  <c r="Q171" i="3"/>
  <c r="R497" i="3"/>
  <c r="Q338" i="3"/>
  <c r="Q336" i="3"/>
  <c r="Q464" i="3"/>
  <c r="Q166" i="3"/>
  <c r="R419" i="3"/>
  <c r="R467" i="3"/>
  <c r="Q446" i="3"/>
  <c r="R412" i="3"/>
  <c r="Q480" i="3"/>
  <c r="R470" i="3"/>
  <c r="R320" i="3"/>
  <c r="Q459" i="3"/>
  <c r="R448" i="3"/>
  <c r="Q467" i="3"/>
  <c r="R444" i="3"/>
  <c r="Q442" i="3"/>
  <c r="Q276" i="3"/>
  <c r="R217" i="3"/>
  <c r="R501" i="3"/>
  <c r="R178" i="3"/>
  <c r="R296" i="3"/>
  <c r="Q34" i="3"/>
  <c r="R310" i="3"/>
  <c r="R18" i="3"/>
  <c r="Q104" i="3"/>
  <c r="Q111" i="3"/>
  <c r="Q7" i="3"/>
  <c r="Q364" i="3"/>
  <c r="Q87" i="3"/>
  <c r="R381" i="3"/>
  <c r="Q389" i="3"/>
  <c r="Q42" i="3"/>
  <c r="Q340" i="3"/>
  <c r="Q261" i="3"/>
  <c r="S261" i="3" s="1"/>
  <c r="J261" i="3" s="1"/>
  <c r="R118" i="3"/>
  <c r="R173" i="3"/>
  <c r="Q106" i="3"/>
  <c r="Q84" i="3"/>
  <c r="Q149" i="3"/>
  <c r="Q299" i="3"/>
  <c r="Q370" i="3"/>
  <c r="R395" i="3"/>
  <c r="R402" i="3"/>
  <c r="R266" i="3"/>
  <c r="Q117" i="3"/>
  <c r="Q122" i="3"/>
  <c r="Q68" i="3"/>
  <c r="Q182" i="3"/>
  <c r="Q123" i="3"/>
  <c r="R278" i="3"/>
  <c r="Q377" i="3"/>
  <c r="R70" i="3"/>
  <c r="R189" i="3"/>
  <c r="Q20" i="3"/>
  <c r="Q283" i="3"/>
  <c r="Q367" i="3"/>
  <c r="Q369" i="3"/>
  <c r="Q94" i="3"/>
  <c r="Q139" i="3"/>
  <c r="Q330" i="3"/>
  <c r="Q313" i="3"/>
  <c r="Q156" i="3"/>
  <c r="Q394" i="3"/>
  <c r="R234" i="3"/>
  <c r="Q267" i="3"/>
  <c r="R43" i="3"/>
  <c r="R231" i="3"/>
  <c r="Q251" i="3"/>
  <c r="Q455" i="3"/>
  <c r="R376" i="3"/>
  <c r="Q86" i="3"/>
  <c r="Q416" i="3"/>
  <c r="Q273" i="3"/>
  <c r="R352" i="3"/>
  <c r="Q479" i="3"/>
  <c r="R305" i="3"/>
  <c r="Q320" i="3"/>
  <c r="R410" i="3"/>
  <c r="Q102" i="3"/>
  <c r="Q457" i="3"/>
  <c r="Q428" i="3"/>
  <c r="Q376" i="3"/>
  <c r="S376" i="3" s="1"/>
  <c r="J376" i="3" s="1"/>
  <c r="R481" i="3"/>
  <c r="Q429" i="3"/>
  <c r="R503" i="3"/>
  <c r="R360" i="3"/>
  <c r="R458" i="3"/>
  <c r="R474" i="3"/>
  <c r="R368" i="3"/>
  <c r="Q420" i="3"/>
  <c r="R455" i="3"/>
  <c r="Q452" i="3"/>
  <c r="R484" i="3"/>
  <c r="Q412" i="3"/>
  <c r="R490" i="3"/>
  <c r="Q249" i="3"/>
  <c r="R105" i="3"/>
  <c r="R493" i="3"/>
  <c r="R90" i="3"/>
  <c r="Q290" i="3"/>
  <c r="Q241" i="3"/>
  <c r="R300" i="3"/>
  <c r="Q17" i="3"/>
  <c r="S17" i="3" s="1"/>
  <c r="J17" i="3" s="1"/>
  <c r="Q88" i="3"/>
  <c r="R103" i="3"/>
  <c r="R136" i="3"/>
  <c r="Q332" i="3"/>
  <c r="Q71" i="3"/>
  <c r="R223" i="3"/>
  <c r="R365" i="3"/>
  <c r="Q38" i="3"/>
  <c r="Q232" i="3"/>
  <c r="R253" i="3"/>
  <c r="R62" i="3"/>
  <c r="Q45" i="3"/>
  <c r="Q198" i="3"/>
  <c r="R14" i="3"/>
  <c r="R109" i="3"/>
  <c r="Q236" i="3"/>
  <c r="S236" i="3" s="1"/>
  <c r="J236" i="3" s="1"/>
  <c r="Q362" i="3"/>
  <c r="R323" i="3"/>
  <c r="Q354" i="3"/>
  <c r="R162" i="3"/>
  <c r="R101" i="3"/>
  <c r="Q214" i="3"/>
  <c r="R401" i="3"/>
  <c r="R126" i="3"/>
  <c r="Q115" i="3"/>
  <c r="R122" i="3"/>
  <c r="Q337" i="3"/>
  <c r="R260" i="3"/>
  <c r="Q378" i="3"/>
  <c r="Q12" i="3"/>
  <c r="Q211" i="3"/>
  <c r="R238" i="3"/>
  <c r="Q345" i="3"/>
  <c r="R46" i="3"/>
  <c r="R131" i="3"/>
  <c r="R314" i="3"/>
  <c r="Q305" i="3"/>
  <c r="R211" i="3"/>
  <c r="R252" i="3"/>
  <c r="R319" i="3"/>
  <c r="R227" i="3"/>
  <c r="R35" i="3"/>
  <c r="Q170" i="3"/>
  <c r="R243" i="3"/>
  <c r="Q406" i="3"/>
  <c r="R344" i="3"/>
  <c r="Q392" i="3"/>
  <c r="Q197" i="3"/>
  <c r="R450" i="3"/>
  <c r="Q328" i="3"/>
  <c r="Q469" i="3"/>
  <c r="R188" i="3"/>
  <c r="R312" i="3"/>
  <c r="Q456" i="3"/>
  <c r="Q360" i="3"/>
  <c r="Q494" i="3"/>
  <c r="Q385" i="3"/>
  <c r="R428" i="3"/>
  <c r="R466" i="3"/>
  <c r="Q449" i="3"/>
  <c r="Q486" i="3"/>
  <c r="R414" i="3"/>
  <c r="Q441" i="3"/>
  <c r="R250" i="3"/>
  <c r="Q89" i="3"/>
  <c r="R89" i="3"/>
  <c r="R50" i="3"/>
  <c r="R498" i="3"/>
  <c r="R112" i="3"/>
  <c r="R74" i="3"/>
  <c r="R398" i="3"/>
  <c r="Q113" i="3"/>
  <c r="R63" i="3"/>
  <c r="R8" i="3"/>
  <c r="Q184" i="3"/>
  <c r="Q39" i="3"/>
  <c r="Q151" i="3"/>
  <c r="Q183" i="3"/>
  <c r="Q30" i="3"/>
  <c r="R80" i="3"/>
  <c r="R270" i="3"/>
  <c r="Q212" i="3"/>
  <c r="R37" i="3"/>
  <c r="R149" i="3"/>
  <c r="Q395" i="3"/>
  <c r="R77" i="3"/>
  <c r="Q162" i="3"/>
  <c r="R286" i="3"/>
  <c r="R307" i="3"/>
  <c r="Q238" i="3"/>
  <c r="Q270" i="3"/>
  <c r="R93" i="3"/>
  <c r="Q134" i="3"/>
  <c r="R393" i="3"/>
  <c r="R86" i="3"/>
  <c r="Q107" i="3"/>
  <c r="Q118" i="3"/>
  <c r="Q58" i="3"/>
  <c r="S58" i="3" s="1"/>
  <c r="J58" i="3" s="1"/>
  <c r="R171" i="3"/>
  <c r="R354" i="3"/>
  <c r="Q393" i="3"/>
  <c r="R163" i="3"/>
  <c r="R148" i="3"/>
  <c r="R321" i="3"/>
  <c r="R268" i="3"/>
  <c r="Q91" i="3"/>
  <c r="Q60" i="3"/>
  <c r="R293" i="3"/>
  <c r="Q203" i="3"/>
  <c r="R172" i="3"/>
  <c r="R254" i="3"/>
  <c r="R179" i="3"/>
  <c r="Q19" i="3"/>
  <c r="Q114" i="3"/>
  <c r="Q235" i="3"/>
  <c r="R456" i="3"/>
  <c r="Q293" i="3"/>
  <c r="Q266" i="3"/>
  <c r="R267" i="3"/>
  <c r="Q405" i="3"/>
  <c r="R328" i="3"/>
  <c r="Q502" i="3"/>
  <c r="R187" i="3"/>
  <c r="R304" i="3"/>
  <c r="R427" i="3"/>
  <c r="R262" i="3"/>
  <c r="R417" i="3"/>
  <c r="R462" i="3"/>
  <c r="R405" i="3"/>
  <c r="R420" i="3"/>
  <c r="Q488" i="3"/>
  <c r="Q471" i="3"/>
  <c r="Q487" i="3"/>
  <c r="R413" i="3"/>
  <c r="Q78" i="3"/>
  <c r="R452" i="3"/>
  <c r="R460" i="3"/>
  <c r="R424" i="3"/>
  <c r="Q493" i="3"/>
  <c r="Q152" i="3"/>
  <c r="R81" i="3"/>
  <c r="Q49" i="3"/>
  <c r="R65" i="3"/>
  <c r="Q472" i="3"/>
  <c r="R451" i="3"/>
  <c r="R408" i="3"/>
  <c r="Q474" i="3"/>
  <c r="Q501" i="3"/>
  <c r="R218" i="3"/>
  <c r="Q96" i="3"/>
  <c r="R193" i="3"/>
  <c r="R232" i="3"/>
  <c r="R17" i="3"/>
  <c r="Q374" i="3"/>
  <c r="S374" i="3" s="1"/>
  <c r="J374" i="3" s="1"/>
  <c r="Q311" i="3"/>
  <c r="Q120" i="3"/>
  <c r="R138" i="3"/>
  <c r="Q397" i="3"/>
  <c r="Q24" i="3"/>
  <c r="R159" i="3"/>
  <c r="Q317" i="3"/>
  <c r="Q348" i="3"/>
  <c r="R399" i="3"/>
  <c r="R39" i="3"/>
  <c r="R261" i="3"/>
  <c r="R215" i="3"/>
  <c r="Q21" i="3"/>
  <c r="Q243" i="3"/>
  <c r="R196" i="3"/>
  <c r="R194" i="3"/>
  <c r="Q66" i="3"/>
  <c r="Q164" i="3"/>
  <c r="Q101" i="3"/>
  <c r="R180" i="3"/>
  <c r="R277" i="3"/>
  <c r="R379" i="3"/>
  <c r="Q229" i="3"/>
  <c r="R362" i="3"/>
  <c r="Q140" i="3"/>
  <c r="R170" i="3"/>
  <c r="R219" i="3"/>
  <c r="R59" i="3"/>
  <c r="Q36" i="3"/>
  <c r="Q126" i="3"/>
  <c r="Q387" i="3"/>
  <c r="R76" i="3"/>
  <c r="Q10" i="3"/>
  <c r="R123" i="3"/>
  <c r="R36" i="3"/>
  <c r="Q282" i="3"/>
  <c r="R195" i="3"/>
  <c r="Q43" i="3"/>
  <c r="Q401" i="3"/>
  <c r="Q375" i="3"/>
  <c r="Q403" i="3"/>
  <c r="R369" i="3"/>
  <c r="Q292" i="3"/>
  <c r="R91" i="3"/>
  <c r="R140" i="3"/>
  <c r="Q244" i="3"/>
  <c r="Q187" i="3"/>
  <c r="Q260" i="3"/>
  <c r="R423" i="3"/>
  <c r="Q450" i="3"/>
  <c r="R19" i="3"/>
  <c r="Q444" i="3"/>
  <c r="Q165" i="3"/>
  <c r="R483" i="3"/>
  <c r="R384" i="3"/>
  <c r="Q439" i="3"/>
  <c r="R361" i="3"/>
  <c r="Q451" i="3"/>
  <c r="R502" i="3"/>
  <c r="Q445" i="3"/>
  <c r="R494" i="3"/>
  <c r="Q430" i="3"/>
  <c r="Q421" i="3"/>
  <c r="Q413" i="3"/>
  <c r="R416" i="3"/>
  <c r="T416" i="3" s="1"/>
  <c r="K416" i="3" s="1"/>
  <c r="Q432" i="3"/>
  <c r="R130" i="3"/>
  <c r="R249" i="3"/>
  <c r="Q296" i="3"/>
  <c r="Q192" i="3"/>
  <c r="Q257" i="3"/>
  <c r="Q366" i="3"/>
  <c r="Q217" i="3"/>
  <c r="Q218" i="3"/>
  <c r="Q335" i="3"/>
  <c r="Q300" i="3"/>
  <c r="R207" i="3"/>
  <c r="Q135" i="3"/>
  <c r="R245" i="3"/>
  <c r="Q32" i="3"/>
  <c r="Q343" i="3"/>
  <c r="R31" i="3"/>
  <c r="Q356" i="3"/>
  <c r="Q207" i="3"/>
  <c r="R13" i="3"/>
  <c r="Q110" i="3"/>
  <c r="Q92" i="3"/>
  <c r="Q158" i="3"/>
  <c r="R26" i="3"/>
  <c r="Q124" i="3"/>
  <c r="Q93" i="3"/>
  <c r="Q132" i="3"/>
  <c r="Q189" i="3"/>
  <c r="Q363" i="3"/>
  <c r="R205" i="3"/>
  <c r="R346" i="3"/>
  <c r="Q245" i="3"/>
  <c r="S245" i="3" s="1"/>
  <c r="J245" i="3" s="1"/>
  <c r="Q230" i="3"/>
  <c r="Q195" i="3"/>
  <c r="Q27" i="3"/>
  <c r="Q28" i="3"/>
  <c r="R102" i="3"/>
  <c r="R371" i="3"/>
  <c r="R68" i="3"/>
  <c r="R230" i="3"/>
  <c r="R115" i="3"/>
  <c r="R28" i="3"/>
  <c r="Q239" i="3"/>
  <c r="Q179" i="3"/>
  <c r="Q35" i="3"/>
  <c r="Q353" i="3"/>
  <c r="Q319" i="3"/>
  <c r="R66" i="3"/>
  <c r="Q361" i="3"/>
  <c r="R204" i="3"/>
  <c r="R67" i="3"/>
  <c r="R60" i="3"/>
  <c r="R220" i="3"/>
  <c r="R11" i="3"/>
  <c r="R236" i="3"/>
  <c r="R406" i="3"/>
  <c r="Q482" i="3"/>
  <c r="Q400" i="3"/>
  <c r="Q454" i="3"/>
  <c r="R482" i="3"/>
  <c r="Q407" i="3"/>
  <c r="Q368" i="3"/>
  <c r="Q431" i="3"/>
  <c r="R58" i="3"/>
  <c r="Q478" i="3"/>
  <c r="R495" i="3"/>
  <c r="Q422" i="3"/>
  <c r="Q492" i="3"/>
  <c r="Q409" i="3"/>
  <c r="R463" i="3"/>
  <c r="Q461" i="3"/>
  <c r="Q426" i="3"/>
  <c r="Q75" i="3"/>
  <c r="R132" i="3"/>
  <c r="R208" i="3"/>
  <c r="Q344" i="3"/>
  <c r="R433" i="3"/>
  <c r="Q304" i="3"/>
  <c r="Q443" i="3"/>
  <c r="S443" i="3" s="1"/>
  <c r="J443" i="3" s="1"/>
  <c r="Q262" i="3"/>
  <c r="R83" i="3"/>
  <c r="Q227" i="3"/>
  <c r="Q252" i="3"/>
  <c r="R52" i="3"/>
  <c r="Q148" i="3"/>
  <c r="Q210" i="3"/>
  <c r="Q240" i="3"/>
  <c r="R229" i="3"/>
  <c r="R42" i="3"/>
  <c r="R56" i="3"/>
  <c r="Q176" i="3"/>
  <c r="R499" i="3"/>
  <c r="R471" i="3"/>
  <c r="Q423" i="3"/>
  <c r="R255" i="3"/>
  <c r="R425" i="3"/>
  <c r="Q4" i="3"/>
  <c r="R155" i="3"/>
  <c r="R166" i="3"/>
  <c r="R337" i="3"/>
  <c r="R45" i="3"/>
  <c r="R275" i="3"/>
  <c r="R167" i="3"/>
  <c r="R276" i="3"/>
  <c r="R429" i="3"/>
  <c r="Q425" i="3"/>
  <c r="Q427" i="3"/>
  <c r="Q312" i="3"/>
  <c r="Q172" i="3"/>
  <c r="S172" i="3" s="1"/>
  <c r="J172" i="3" s="1"/>
  <c r="Q322" i="3"/>
  <c r="R107" i="3"/>
  <c r="Q204" i="3"/>
  <c r="R345" i="3"/>
  <c r="R84" i="3"/>
  <c r="R228" i="3"/>
  <c r="R235" i="3"/>
  <c r="Q347" i="3"/>
  <c r="Q142" i="3"/>
  <c r="R348" i="3"/>
  <c r="R64" i="3"/>
  <c r="R104" i="3"/>
  <c r="Q463" i="3"/>
  <c r="Q470" i="3"/>
  <c r="R492" i="3"/>
  <c r="Q410" i="3"/>
  <c r="Q46" i="3"/>
  <c r="R139" i="3"/>
  <c r="R10" i="3"/>
  <c r="R313" i="3"/>
  <c r="Q196" i="3"/>
  <c r="S196" i="3" s="1"/>
  <c r="J196" i="3" s="1"/>
  <c r="R75" i="3"/>
  <c r="R386" i="3"/>
  <c r="R158" i="3"/>
  <c r="R133" i="3"/>
  <c r="Q263" i="3"/>
  <c r="R356" i="3"/>
  <c r="Q97" i="3"/>
  <c r="Q9" i="3"/>
  <c r="Q462" i="3"/>
  <c r="R375" i="3"/>
  <c r="Q258" i="3"/>
  <c r="R454" i="3"/>
  <c r="R434" i="3"/>
  <c r="Q495" i="3"/>
  <c r="R443" i="3"/>
  <c r="Q150" i="3"/>
  <c r="R147" i="3"/>
  <c r="Q234" i="3"/>
  <c r="Q321" i="3"/>
  <c r="R282" i="3"/>
  <c r="R99" i="3"/>
  <c r="Q13" i="3"/>
  <c r="Q242" i="3"/>
  <c r="Q141" i="3"/>
  <c r="Q64" i="3"/>
  <c r="Q372" i="3"/>
  <c r="Q105" i="3"/>
  <c r="R57" i="3"/>
  <c r="L118" i="3"/>
  <c r="L184" i="3"/>
  <c r="L258" i="3"/>
  <c r="L12" i="3"/>
  <c r="L452" i="3"/>
  <c r="L485" i="3"/>
  <c r="L470" i="3"/>
  <c r="L86" i="3"/>
  <c r="L153" i="3"/>
  <c r="L195" i="3"/>
  <c r="L288" i="3"/>
  <c r="L410" i="3"/>
  <c r="L62" i="3"/>
  <c r="L420" i="3"/>
  <c r="L277" i="3"/>
  <c r="L384" i="3"/>
  <c r="L121" i="3"/>
  <c r="L160" i="3"/>
  <c r="L224" i="3"/>
  <c r="L39" i="3"/>
  <c r="L30" i="3"/>
  <c r="L45" i="3"/>
  <c r="L216" i="3"/>
  <c r="L293" i="3"/>
  <c r="L89" i="3"/>
  <c r="L128" i="3"/>
  <c r="L179" i="3"/>
  <c r="L7" i="3"/>
  <c r="L398" i="3"/>
  <c r="L13" i="3"/>
  <c r="L484" i="3"/>
  <c r="L215" i="3"/>
  <c r="L8" i="3"/>
  <c r="L96" i="3"/>
  <c r="L147" i="3"/>
  <c r="L375" i="3"/>
  <c r="L366" i="3"/>
  <c r="L381" i="3"/>
  <c r="L242" i="3"/>
  <c r="L497" i="3"/>
  <c r="L253" i="3"/>
  <c r="L64" i="3"/>
  <c r="L115" i="3"/>
  <c r="L343" i="3"/>
  <c r="L334" i="3"/>
  <c r="L349" i="3"/>
  <c r="L185" i="3"/>
  <c r="L281" i="3"/>
  <c r="L52" i="3"/>
  <c r="L413" i="3"/>
  <c r="L83" i="3"/>
  <c r="L311" i="3"/>
  <c r="L493" i="3"/>
  <c r="L317" i="3"/>
  <c r="L150" i="3"/>
  <c r="L236" i="3"/>
  <c r="E3" i="3"/>
  <c r="L249" i="3"/>
  <c r="L360" i="3"/>
  <c r="L436" i="3"/>
  <c r="L430" i="3"/>
  <c r="L487" i="3"/>
  <c r="L274" i="3"/>
  <c r="L197" i="3"/>
  <c r="L483" i="3"/>
  <c r="L227" i="3"/>
  <c r="L178" i="3"/>
  <c r="L146" i="3"/>
  <c r="L114" i="3"/>
  <c r="L82" i="3"/>
  <c r="L352" i="3"/>
  <c r="L287" i="3"/>
  <c r="L200" i="3"/>
  <c r="L462" i="3"/>
  <c r="L276" i="3"/>
  <c r="L226" i="3"/>
  <c r="L181" i="3"/>
  <c r="L149" i="3"/>
  <c r="L117" i="3"/>
  <c r="L85" i="3"/>
  <c r="L376" i="3"/>
  <c r="L250" i="3"/>
  <c r="L20" i="3"/>
  <c r="L3" i="3"/>
  <c r="L238" i="3"/>
  <c r="L191" i="3"/>
  <c r="L156" i="3"/>
  <c r="L124" i="3"/>
  <c r="L92" i="3"/>
  <c r="L32" i="3"/>
  <c r="L406" i="3"/>
  <c r="L246" i="3"/>
  <c r="L380" i="3"/>
  <c r="L265" i="3"/>
  <c r="L220" i="3"/>
  <c r="L175" i="3"/>
  <c r="L143" i="3"/>
  <c r="L111" i="3"/>
  <c r="L79" i="3"/>
  <c r="L328" i="3"/>
  <c r="L442" i="3"/>
  <c r="L408" i="3"/>
  <c r="L35" i="3"/>
  <c r="L403" i="3"/>
  <c r="L371" i="3"/>
  <c r="L339" i="3"/>
  <c r="L307" i="3"/>
  <c r="L429" i="3"/>
  <c r="L475" i="3"/>
  <c r="L58" i="3"/>
  <c r="L26" i="3"/>
  <c r="L394" i="3"/>
  <c r="L362" i="3"/>
  <c r="L330" i="3"/>
  <c r="L489" i="3"/>
  <c r="L425" i="3"/>
  <c r="L466" i="3"/>
  <c r="L417" i="3"/>
  <c r="L41" i="3"/>
  <c r="L9" i="3"/>
  <c r="L377" i="3"/>
  <c r="L345" i="3"/>
  <c r="L313" i="3"/>
  <c r="L468" i="3"/>
  <c r="L271" i="3"/>
  <c r="L182" i="3"/>
  <c r="L296" i="3"/>
  <c r="L223" i="3"/>
  <c r="L174" i="3"/>
  <c r="L142" i="3"/>
  <c r="L110" i="3"/>
  <c r="L78" i="3"/>
  <c r="L320" i="3"/>
  <c r="L264" i="3"/>
  <c r="L196" i="3"/>
  <c r="L453" i="3"/>
  <c r="L273" i="3"/>
  <c r="L222" i="3"/>
  <c r="L177" i="3"/>
  <c r="L145" i="3"/>
  <c r="L113" i="3"/>
  <c r="L81" i="3"/>
  <c r="L344" i="3"/>
  <c r="L244" i="3"/>
  <c r="L388" i="3"/>
  <c r="L297" i="3"/>
  <c r="L232" i="3"/>
  <c r="L187" i="3"/>
  <c r="L152" i="3"/>
  <c r="L120" i="3"/>
  <c r="L88" i="3"/>
  <c r="L400" i="3"/>
  <c r="L294" i="3"/>
  <c r="L235" i="3"/>
  <c r="L348" i="3"/>
  <c r="L260" i="3"/>
  <c r="L209" i="3"/>
  <c r="L171" i="3"/>
  <c r="L139" i="3"/>
  <c r="L107" i="3"/>
  <c r="L75" i="3"/>
  <c r="L490" i="3"/>
  <c r="L435" i="3"/>
  <c r="L63" i="3"/>
  <c r="L31" i="3"/>
  <c r="L399" i="3"/>
  <c r="L367" i="3"/>
  <c r="L335" i="3"/>
  <c r="L477" i="3"/>
  <c r="L423" i="3"/>
  <c r="L471" i="3"/>
  <c r="L54" i="3"/>
  <c r="L22" i="3"/>
  <c r="L390" i="3"/>
  <c r="L358" i="3"/>
  <c r="L326" i="3"/>
  <c r="L481" i="3"/>
  <c r="L502" i="3"/>
  <c r="L465" i="3"/>
  <c r="L407" i="3"/>
  <c r="L37" i="3"/>
  <c r="L5" i="3"/>
  <c r="L373" i="3"/>
  <c r="L341" i="3"/>
  <c r="L309" i="3"/>
  <c r="L467" i="3"/>
  <c r="L303" i="3"/>
  <c r="L268" i="3"/>
  <c r="L36" i="3"/>
  <c r="L290" i="3"/>
  <c r="L212" i="3"/>
  <c r="L170" i="3"/>
  <c r="L138" i="3"/>
  <c r="L106" i="3"/>
  <c r="L74" i="3"/>
  <c r="L478" i="3"/>
  <c r="L251" i="3"/>
  <c r="L60" i="3"/>
  <c r="L446" i="3"/>
  <c r="L270" i="3"/>
  <c r="L211" i="3"/>
  <c r="L173" i="3"/>
  <c r="L141" i="3"/>
  <c r="L109" i="3"/>
  <c r="L77" i="3"/>
  <c r="L312" i="3"/>
  <c r="L241" i="3"/>
  <c r="L356" i="3"/>
  <c r="L292" i="3"/>
  <c r="L225" i="3"/>
  <c r="L180" i="3"/>
  <c r="L148" i="3"/>
  <c r="L116" i="3"/>
  <c r="L84" i="3"/>
  <c r="L368" i="3"/>
  <c r="L283" i="3"/>
  <c r="L217" i="3"/>
  <c r="L316" i="3"/>
  <c r="L252" i="3"/>
  <c r="L205" i="3"/>
  <c r="L167" i="3"/>
  <c r="L135" i="3"/>
  <c r="L103" i="3"/>
  <c r="L71" i="3"/>
  <c r="L482" i="3"/>
  <c r="L433" i="3"/>
  <c r="L59" i="3"/>
  <c r="L27" i="3"/>
  <c r="L395" i="3"/>
  <c r="L363" i="3"/>
  <c r="L331" i="3"/>
  <c r="L469" i="3"/>
  <c r="L412" i="3"/>
  <c r="L464" i="3"/>
  <c r="L50" i="3"/>
  <c r="L18" i="3"/>
  <c r="L386" i="3"/>
  <c r="L354" i="3"/>
  <c r="L322" i="3"/>
  <c r="L459" i="3"/>
  <c r="L491" i="3"/>
  <c r="L461" i="3"/>
  <c r="L404" i="3"/>
  <c r="L33" i="3"/>
  <c r="L401" i="3"/>
  <c r="L369" i="3"/>
  <c r="L337" i="3"/>
  <c r="L305" i="3"/>
  <c r="L463" i="3"/>
  <c r="L301" i="3"/>
  <c r="L257" i="3"/>
  <c r="L4" i="3"/>
  <c r="L279" i="3"/>
  <c r="L208" i="3"/>
  <c r="L166" i="3"/>
  <c r="L134" i="3"/>
  <c r="L102" i="3"/>
  <c r="L70" i="3"/>
  <c r="L458" i="3"/>
  <c r="L239" i="3"/>
  <c r="L28" i="3"/>
  <c r="L409" i="3"/>
  <c r="L267" i="3"/>
  <c r="L207" i="3"/>
  <c r="L169" i="3"/>
  <c r="L137" i="3"/>
  <c r="L105" i="3"/>
  <c r="L73" i="3"/>
  <c r="L302" i="3"/>
  <c r="L229" i="3"/>
  <c r="L324" i="3"/>
  <c r="L286" i="3"/>
  <c r="L221" i="3"/>
  <c r="L176" i="3"/>
  <c r="L144" i="3"/>
  <c r="L112" i="3"/>
  <c r="L80" i="3"/>
  <c r="L336" i="3"/>
  <c r="L280" i="3"/>
  <c r="L213" i="3"/>
  <c r="L492" i="3"/>
  <c r="L243" i="3"/>
  <c r="L201" i="3"/>
  <c r="L163" i="3"/>
  <c r="L131" i="3"/>
  <c r="L99" i="3"/>
  <c r="L67" i="3"/>
  <c r="L480" i="3"/>
  <c r="L426" i="3"/>
  <c r="L55" i="3"/>
  <c r="L23" i="3"/>
  <c r="L391" i="3"/>
  <c r="L359" i="3"/>
  <c r="L327" i="3"/>
  <c r="L449" i="3"/>
  <c r="L498" i="3"/>
  <c r="L444" i="3"/>
  <c r="L46" i="3"/>
  <c r="L14" i="3"/>
  <c r="L382" i="3"/>
  <c r="L350" i="3"/>
  <c r="L318" i="3"/>
  <c r="L454" i="3"/>
  <c r="L479" i="3"/>
  <c r="L445" i="3"/>
  <c r="L61" i="3"/>
  <c r="L29" i="3"/>
  <c r="L397" i="3"/>
  <c r="L365" i="3"/>
  <c r="L333" i="3"/>
  <c r="L501" i="3"/>
  <c r="L456" i="3"/>
  <c r="L299" i="3"/>
  <c r="L248" i="3"/>
  <c r="L372" i="3"/>
  <c r="L262" i="3"/>
  <c r="L204" i="3"/>
  <c r="L162" i="3"/>
  <c r="L130" i="3"/>
  <c r="L98" i="3"/>
  <c r="L66" i="3"/>
  <c r="L457" i="3"/>
  <c r="L233" i="3"/>
  <c r="L396" i="3"/>
  <c r="L300" i="3"/>
  <c r="L259" i="3"/>
  <c r="L203" i="3"/>
  <c r="L165" i="3"/>
  <c r="L133" i="3"/>
  <c r="L101" i="3"/>
  <c r="L69" i="3"/>
  <c r="L289" i="3"/>
  <c r="L218" i="3"/>
  <c r="L503" i="3"/>
  <c r="L272" i="3"/>
  <c r="L210" i="3"/>
  <c r="L172" i="3"/>
  <c r="L140" i="3"/>
  <c r="L108" i="3"/>
  <c r="L76" i="3"/>
  <c r="L304" i="3"/>
  <c r="L275" i="3"/>
  <c r="L198" i="3"/>
  <c r="L443" i="3"/>
  <c r="L240" i="3"/>
  <c r="L194" i="3"/>
  <c r="L159" i="3"/>
  <c r="L127" i="3"/>
  <c r="L95" i="3"/>
  <c r="L56" i="3"/>
  <c r="L473" i="3"/>
  <c r="L421" i="3"/>
  <c r="L51" i="3"/>
  <c r="L19" i="3"/>
  <c r="L387" i="3"/>
  <c r="L355" i="3"/>
  <c r="L323" i="3"/>
  <c r="L448" i="3"/>
  <c r="L496" i="3"/>
  <c r="L440" i="3"/>
  <c r="L42" i="3"/>
  <c r="L10" i="3"/>
  <c r="L378" i="3"/>
  <c r="L346" i="3"/>
  <c r="L314" i="3"/>
  <c r="L451" i="3"/>
  <c r="L476" i="3"/>
  <c r="L428" i="3"/>
  <c r="L57" i="3"/>
  <c r="L25" i="3"/>
  <c r="L393" i="3"/>
  <c r="L361" i="3"/>
  <c r="L329" i="3"/>
  <c r="L500" i="3"/>
  <c r="L434" i="3"/>
  <c r="L285" i="3"/>
  <c r="L237" i="3"/>
  <c r="L340" i="3"/>
  <c r="L254" i="3"/>
  <c r="L193" i="3"/>
  <c r="L158" i="3"/>
  <c r="L126" i="3"/>
  <c r="L94" i="3"/>
  <c r="L48" i="3"/>
  <c r="L447" i="3"/>
  <c r="L230" i="3"/>
  <c r="L364" i="3"/>
  <c r="L295" i="3"/>
  <c r="L256" i="3"/>
  <c r="L192" i="3"/>
  <c r="L161" i="3"/>
  <c r="L129" i="3"/>
  <c r="L97" i="3"/>
  <c r="L65" i="3"/>
  <c r="L278" i="3"/>
  <c r="L214" i="3"/>
  <c r="L486" i="3"/>
  <c r="L269" i="3"/>
  <c r="L206" i="3"/>
  <c r="L168" i="3"/>
  <c r="L136" i="3"/>
  <c r="L104" i="3"/>
  <c r="L72" i="3"/>
  <c r="L450" i="3"/>
  <c r="L263" i="3"/>
  <c r="L183" i="3"/>
  <c r="L418" i="3"/>
  <c r="L231" i="3"/>
  <c r="L190" i="3"/>
  <c r="L155" i="3"/>
  <c r="L123" i="3"/>
  <c r="L91" i="3"/>
  <c r="L24" i="3"/>
  <c r="L460" i="3"/>
  <c r="L419" i="3"/>
  <c r="L47" i="3"/>
  <c r="L15" i="3"/>
  <c r="L383" i="3"/>
  <c r="L351" i="3"/>
  <c r="L319" i="3"/>
  <c r="L438" i="3"/>
  <c r="L494" i="3"/>
  <c r="L414" i="3"/>
  <c r="L38" i="3"/>
  <c r="L6" i="3"/>
  <c r="L374" i="3"/>
  <c r="L342" i="3"/>
  <c r="L310" i="3"/>
  <c r="L441" i="3"/>
  <c r="L474" i="3"/>
  <c r="L427" i="3"/>
  <c r="L53" i="3"/>
  <c r="L21" i="3"/>
  <c r="L389" i="3"/>
  <c r="L357" i="3"/>
  <c r="L325" i="3"/>
  <c r="L499" i="3"/>
  <c r="L424" i="3"/>
  <c r="L282" i="3"/>
  <c r="L234" i="3"/>
  <c r="L308" i="3"/>
  <c r="L245" i="3"/>
  <c r="L189" i="3"/>
  <c r="L154" i="3"/>
  <c r="L122" i="3"/>
  <c r="L90" i="3"/>
  <c r="L16" i="3"/>
  <c r="L298" i="3"/>
  <c r="L219" i="3"/>
  <c r="L332" i="3"/>
  <c r="L284" i="3"/>
  <c r="L247" i="3"/>
  <c r="L188" i="3"/>
  <c r="L157" i="3"/>
  <c r="L125" i="3"/>
  <c r="L93" i="3"/>
  <c r="L40" i="3"/>
  <c r="L261" i="3"/>
  <c r="L199" i="3"/>
  <c r="L431" i="3"/>
  <c r="L266" i="3"/>
  <c r="L202" i="3"/>
  <c r="L164" i="3"/>
  <c r="L132" i="3"/>
  <c r="L100" i="3"/>
  <c r="L68" i="3"/>
  <c r="L439" i="3"/>
  <c r="L255" i="3"/>
  <c r="L44" i="3"/>
  <c r="L291" i="3"/>
  <c r="L228" i="3"/>
  <c r="L186" i="3"/>
  <c r="L151" i="3"/>
  <c r="L119" i="3"/>
  <c r="L87" i="3"/>
  <c r="L392" i="3"/>
  <c r="L455" i="3"/>
  <c r="L415" i="3"/>
  <c r="L43" i="3"/>
  <c r="L11" i="3"/>
  <c r="L379" i="3"/>
  <c r="L347" i="3"/>
  <c r="L315" i="3"/>
  <c r="L437" i="3"/>
  <c r="L488" i="3"/>
  <c r="L405" i="3"/>
  <c r="L34" i="3"/>
  <c r="L402" i="3"/>
  <c r="L370" i="3"/>
  <c r="L338" i="3"/>
  <c r="L306" i="3"/>
  <c r="L432" i="3"/>
  <c r="L472" i="3"/>
  <c r="L422" i="3"/>
  <c r="L49" i="3"/>
  <c r="L17" i="3"/>
  <c r="L385" i="3"/>
  <c r="L353" i="3"/>
  <c r="L321" i="3"/>
  <c r="L495" i="3"/>
  <c r="Q491" i="3"/>
  <c r="B18" i="4"/>
  <c r="B37" i="4"/>
  <c r="B31" i="4"/>
  <c r="B26" i="4"/>
  <c r="B53" i="4"/>
  <c r="B14" i="4" s="1"/>
  <c r="S94" i="3" l="1"/>
  <c r="J94" i="3" s="1"/>
  <c r="S29" i="3"/>
  <c r="J29" i="3" s="1"/>
  <c r="S200" i="3"/>
  <c r="J200" i="3" s="1"/>
  <c r="S219" i="3"/>
  <c r="J219" i="3" s="1"/>
  <c r="S37" i="3"/>
  <c r="J37" i="3" s="1"/>
  <c r="S272" i="3"/>
  <c r="J272" i="3" s="1"/>
  <c r="S430" i="3"/>
  <c r="J430" i="3" s="1"/>
  <c r="S389" i="3"/>
  <c r="J389" i="3" s="1"/>
  <c r="S325" i="3"/>
  <c r="J325" i="3" s="1"/>
  <c r="T271" i="3"/>
  <c r="K271" i="3" s="1"/>
  <c r="S366" i="3"/>
  <c r="J366" i="3" s="1"/>
  <c r="S176" i="3"/>
  <c r="J176" i="3" s="1"/>
  <c r="S394" i="3"/>
  <c r="J394" i="3" s="1"/>
  <c r="S156" i="3"/>
  <c r="J156" i="3" s="1"/>
  <c r="S498" i="3"/>
  <c r="J498" i="3" s="1"/>
  <c r="S338" i="3"/>
  <c r="J338" i="3" s="1"/>
  <c r="S271" i="3"/>
  <c r="J271" i="3" s="1"/>
  <c r="S246" i="3"/>
  <c r="J246" i="3" s="1"/>
  <c r="S471" i="3"/>
  <c r="J471" i="3" s="1"/>
  <c r="S83" i="3"/>
  <c r="J83" i="3" s="1"/>
  <c r="S46" i="3"/>
  <c r="J46" i="3" s="1"/>
  <c r="S131" i="3"/>
  <c r="J131" i="3" s="1"/>
  <c r="S265" i="3"/>
  <c r="J265" i="3" s="1"/>
  <c r="S18" i="3"/>
  <c r="J18" i="3" s="1"/>
  <c r="S300" i="3"/>
  <c r="J300" i="3" s="1"/>
  <c r="S150" i="3"/>
  <c r="J150" i="3" s="1"/>
  <c r="S93" i="3"/>
  <c r="J93" i="3" s="1"/>
  <c r="S406" i="3"/>
  <c r="J406" i="3" s="1"/>
  <c r="S429" i="3"/>
  <c r="J429" i="3" s="1"/>
  <c r="S418" i="3"/>
  <c r="J418" i="3" s="1"/>
  <c r="S239" i="3"/>
  <c r="J239" i="3" s="1"/>
  <c r="S482" i="3"/>
  <c r="J482" i="3" s="1"/>
  <c r="S135" i="3"/>
  <c r="J135" i="3" s="1"/>
  <c r="S192" i="3"/>
  <c r="J192" i="3" s="1"/>
  <c r="S492" i="3"/>
  <c r="J492" i="3" s="1"/>
  <c r="S24" i="3"/>
  <c r="J24" i="3" s="1"/>
  <c r="S45" i="3"/>
  <c r="J45" i="3" s="1"/>
  <c r="S332" i="3"/>
  <c r="J332" i="3" s="1"/>
  <c r="S479" i="3"/>
  <c r="J479" i="3" s="1"/>
  <c r="S139" i="3"/>
  <c r="J139" i="3" s="1"/>
  <c r="S464" i="3"/>
  <c r="J464" i="3" s="1"/>
  <c r="S286" i="3"/>
  <c r="J286" i="3" s="1"/>
  <c r="S81" i="3"/>
  <c r="J81" i="3" s="1"/>
  <c r="S104" i="3"/>
  <c r="J104" i="3" s="1"/>
  <c r="S421" i="3"/>
  <c r="J421" i="3" s="1"/>
  <c r="S88" i="3"/>
  <c r="J88" i="3" s="1"/>
  <c r="S282" i="3"/>
  <c r="J282" i="3" s="1"/>
  <c r="S96" i="3"/>
  <c r="J96" i="3" s="1"/>
  <c r="S379" i="3"/>
  <c r="J379" i="3" s="1"/>
  <c r="S388" i="3"/>
  <c r="J388" i="3" s="1"/>
  <c r="S241" i="3"/>
  <c r="J241" i="3" s="1"/>
  <c r="S164" i="3"/>
  <c r="J164" i="3" s="1"/>
  <c r="S425" i="3"/>
  <c r="J425" i="3" s="1"/>
  <c r="S251" i="3"/>
  <c r="J251" i="3" s="1"/>
  <c r="S359" i="3"/>
  <c r="J359" i="3" s="1"/>
  <c r="S220" i="3"/>
  <c r="J220" i="3" s="1"/>
  <c r="S313" i="3"/>
  <c r="J313" i="3" s="1"/>
  <c r="S61" i="3"/>
  <c r="J61" i="3" s="1"/>
  <c r="S208" i="3"/>
  <c r="J208" i="3" s="1"/>
  <c r="S391" i="3"/>
  <c r="J391" i="3" s="1"/>
  <c r="T239" i="3"/>
  <c r="K239" i="3" s="1"/>
  <c r="S305" i="3"/>
  <c r="J305" i="3" s="1"/>
  <c r="S52" i="3"/>
  <c r="J52" i="3" s="1"/>
  <c r="S452" i="3"/>
  <c r="J452" i="3" s="1"/>
  <c r="S74" i="3"/>
  <c r="J74" i="3" s="1"/>
  <c r="T32" i="3"/>
  <c r="K32" i="3" s="1"/>
  <c r="S355" i="3"/>
  <c r="J355" i="3" s="1"/>
  <c r="S455" i="3"/>
  <c r="J455" i="3" s="1"/>
  <c r="S293" i="3"/>
  <c r="J293" i="3" s="1"/>
  <c r="T55" i="3"/>
  <c r="K55" i="3" s="1"/>
  <c r="T59" i="3"/>
  <c r="K59" i="3" s="1"/>
  <c r="T141" i="3"/>
  <c r="K141" i="3" s="1"/>
  <c r="T177" i="3"/>
  <c r="K177" i="3" s="1"/>
  <c r="S242" i="3"/>
  <c r="J242" i="3" s="1"/>
  <c r="S478" i="3"/>
  <c r="J478" i="3" s="1"/>
  <c r="S361" i="3"/>
  <c r="J361" i="3" s="1"/>
  <c r="S501" i="3"/>
  <c r="J501" i="3" s="1"/>
  <c r="S152" i="3"/>
  <c r="J152" i="3" s="1"/>
  <c r="S39" i="3"/>
  <c r="J39" i="3" s="1"/>
  <c r="S415" i="3"/>
  <c r="J415" i="3" s="1"/>
  <c r="S500" i="3"/>
  <c r="J500" i="3" s="1"/>
  <c r="S404" i="3"/>
  <c r="J404" i="3" s="1"/>
  <c r="S23" i="3"/>
  <c r="J23" i="3" s="1"/>
  <c r="S99" i="3"/>
  <c r="J99" i="3" s="1"/>
  <c r="S302" i="3"/>
  <c r="J302" i="3" s="1"/>
  <c r="S275" i="3"/>
  <c r="J275" i="3" s="1"/>
  <c r="S4" i="3"/>
  <c r="J4" i="3" s="1"/>
  <c r="S456" i="3"/>
  <c r="J456" i="3" s="1"/>
  <c r="S503" i="3"/>
  <c r="J503" i="3" s="1"/>
  <c r="S49" i="3"/>
  <c r="J49" i="3" s="1"/>
  <c r="S462" i="3"/>
  <c r="J462" i="3" s="1"/>
  <c r="S178" i="3"/>
  <c r="J178" i="3" s="1"/>
  <c r="S223" i="3"/>
  <c r="J223" i="3" s="1"/>
  <c r="S55" i="3"/>
  <c r="J55" i="3" s="1"/>
  <c r="S247" i="3"/>
  <c r="J247" i="3" s="1"/>
  <c r="S14" i="3"/>
  <c r="J14" i="3" s="1"/>
  <c r="S27" i="3"/>
  <c r="J27" i="3" s="1"/>
  <c r="T372" i="3"/>
  <c r="K372" i="3" s="1"/>
  <c r="T100" i="3"/>
  <c r="K100" i="3" s="1"/>
  <c r="T40" i="3"/>
  <c r="K40" i="3" s="1"/>
  <c r="T6" i="3"/>
  <c r="K6" i="3" s="1"/>
  <c r="T447" i="3"/>
  <c r="K447" i="3" s="1"/>
  <c r="T172" i="3"/>
  <c r="K172" i="3" s="1"/>
  <c r="T426" i="3"/>
  <c r="K426" i="3" s="1"/>
  <c r="T221" i="3"/>
  <c r="K221" i="3" s="1"/>
  <c r="T464" i="3"/>
  <c r="K464" i="3" s="1"/>
  <c r="T173" i="3"/>
  <c r="K173" i="3" s="1"/>
  <c r="T96" i="3"/>
  <c r="K96" i="3" s="1"/>
  <c r="T160" i="3"/>
  <c r="K160" i="3" s="1"/>
  <c r="S60" i="3"/>
  <c r="J60" i="3" s="1"/>
  <c r="S354" i="3"/>
  <c r="J354" i="3" s="1"/>
  <c r="S339" i="3"/>
  <c r="J339" i="3" s="1"/>
  <c r="S82" i="3"/>
  <c r="J82" i="3" s="1"/>
  <c r="S287" i="3"/>
  <c r="J287" i="3" s="1"/>
  <c r="S128" i="3"/>
  <c r="J128" i="3" s="1"/>
  <c r="S438" i="3"/>
  <c r="J438" i="3" s="1"/>
  <c r="S263" i="3"/>
  <c r="J263" i="3" s="1"/>
  <c r="S319" i="3"/>
  <c r="J319" i="3" s="1"/>
  <c r="S260" i="3"/>
  <c r="J260" i="3" s="1"/>
  <c r="S502" i="3"/>
  <c r="J502" i="3" s="1"/>
  <c r="S436" i="3"/>
  <c r="J436" i="3" s="1"/>
  <c r="S357" i="3"/>
  <c r="J357" i="3" s="1"/>
  <c r="S143" i="3"/>
  <c r="J143" i="3" s="1"/>
  <c r="T335" i="3"/>
  <c r="K335" i="3" s="1"/>
  <c r="S385" i="3"/>
  <c r="J385" i="3" s="1"/>
  <c r="S362" i="3"/>
  <c r="J362" i="3" s="1"/>
  <c r="S232" i="3"/>
  <c r="J232" i="3" s="1"/>
  <c r="S414" i="3"/>
  <c r="J414" i="3" s="1"/>
  <c r="S309" i="3"/>
  <c r="J309" i="3" s="1"/>
  <c r="S109" i="3"/>
  <c r="J109" i="3" s="1"/>
  <c r="S437" i="3"/>
  <c r="J437" i="3" s="1"/>
  <c r="S382" i="3"/>
  <c r="J382" i="3" s="1"/>
  <c r="S160" i="3"/>
  <c r="J160" i="3" s="1"/>
  <c r="T500" i="3"/>
  <c r="K500" i="3" s="1"/>
  <c r="T448" i="3"/>
  <c r="K448" i="3" s="1"/>
  <c r="T503" i="3"/>
  <c r="K503" i="3" s="1"/>
  <c r="T327" i="3"/>
  <c r="K327" i="3" s="1"/>
  <c r="T373" i="3"/>
  <c r="K373" i="3" s="1"/>
  <c r="T344" i="3"/>
  <c r="K344" i="3" s="1"/>
  <c r="S35" i="3"/>
  <c r="J35" i="3" s="1"/>
  <c r="S363" i="3"/>
  <c r="J363" i="3" s="1"/>
  <c r="S110" i="3"/>
  <c r="J110" i="3" s="1"/>
  <c r="S43" i="3"/>
  <c r="J43" i="3" s="1"/>
  <c r="S86" i="3"/>
  <c r="J86" i="3" s="1"/>
  <c r="S171" i="3"/>
  <c r="J171" i="3" s="1"/>
  <c r="S279" i="3"/>
  <c r="J279" i="3" s="1"/>
  <c r="S395" i="3"/>
  <c r="J395" i="3" s="1"/>
  <c r="S434" i="3"/>
  <c r="J434" i="3" s="1"/>
  <c r="S312" i="3"/>
  <c r="J312" i="3" s="1"/>
  <c r="S78" i="3"/>
  <c r="J78" i="3" s="1"/>
  <c r="S30" i="3"/>
  <c r="J30" i="3" s="1"/>
  <c r="S20" i="3"/>
  <c r="J20" i="3" s="1"/>
  <c r="S84" i="3"/>
  <c r="J84" i="3" s="1"/>
  <c r="S467" i="3"/>
  <c r="J467" i="3" s="1"/>
  <c r="S188" i="3"/>
  <c r="J188" i="3" s="1"/>
  <c r="S146" i="3"/>
  <c r="J146" i="3" s="1"/>
  <c r="S221" i="3"/>
  <c r="J221" i="3" s="1"/>
  <c r="S285" i="3"/>
  <c r="J285" i="3" s="1"/>
  <c r="S95" i="3"/>
  <c r="J95" i="3" s="1"/>
  <c r="S350" i="3"/>
  <c r="J350" i="3" s="1"/>
  <c r="S381" i="3"/>
  <c r="J381" i="3" s="1"/>
  <c r="S112" i="3"/>
  <c r="J112" i="3" s="1"/>
  <c r="S476" i="3"/>
  <c r="J476" i="3" s="1"/>
  <c r="T87" i="3"/>
  <c r="K87" i="3" s="1"/>
  <c r="T201" i="3"/>
  <c r="K201" i="3" s="1"/>
  <c r="T260" i="3"/>
  <c r="K260" i="3" s="1"/>
  <c r="T387" i="3"/>
  <c r="K387" i="3" s="1"/>
  <c r="T468" i="3"/>
  <c r="K468" i="3" s="1"/>
  <c r="T436" i="3"/>
  <c r="K436" i="3" s="1"/>
  <c r="T137" i="3"/>
  <c r="K137" i="3" s="1"/>
  <c r="T74" i="3"/>
  <c r="K74" i="3" s="1"/>
  <c r="S463" i="3"/>
  <c r="J463" i="3" s="1"/>
  <c r="S356" i="3"/>
  <c r="J356" i="3" s="1"/>
  <c r="S71" i="3"/>
  <c r="J71" i="3" s="1"/>
  <c r="S173" i="3"/>
  <c r="J173" i="3" s="1"/>
  <c r="S153" i="3"/>
  <c r="J153" i="3" s="1"/>
  <c r="S127" i="3"/>
  <c r="J127" i="3" s="1"/>
  <c r="S268" i="3"/>
  <c r="J268" i="3" s="1"/>
  <c r="S154" i="3"/>
  <c r="J154" i="3" s="1"/>
  <c r="S481" i="3"/>
  <c r="J481" i="3" s="1"/>
  <c r="S399" i="3"/>
  <c r="J399" i="3" s="1"/>
  <c r="S408" i="3"/>
  <c r="J408" i="3" s="1"/>
  <c r="T206" i="3"/>
  <c r="K206" i="3" s="1"/>
  <c r="T501" i="3"/>
  <c r="K501" i="3" s="1"/>
  <c r="S240" i="3"/>
  <c r="J240" i="3" s="1"/>
  <c r="S461" i="3"/>
  <c r="J461" i="3" s="1"/>
  <c r="S348" i="3"/>
  <c r="J348" i="3" s="1"/>
  <c r="S267" i="3"/>
  <c r="J267" i="3" s="1"/>
  <c r="S370" i="3"/>
  <c r="J370" i="3" s="1"/>
  <c r="S276" i="3"/>
  <c r="J276" i="3" s="1"/>
  <c r="S298" i="3"/>
  <c r="J298" i="3" s="1"/>
  <c r="S53" i="3"/>
  <c r="J53" i="3" s="1"/>
  <c r="T411" i="3"/>
  <c r="K411" i="3" s="1"/>
  <c r="S301" i="3"/>
  <c r="J301" i="3" s="1"/>
  <c r="S167" i="3"/>
  <c r="J167" i="3" s="1"/>
  <c r="S440" i="3"/>
  <c r="J440" i="3" s="1"/>
  <c r="S191" i="3"/>
  <c r="J191" i="3" s="1"/>
  <c r="S269" i="3"/>
  <c r="J269" i="3" s="1"/>
  <c r="T480" i="3"/>
  <c r="K480" i="3" s="1"/>
  <c r="T118" i="3"/>
  <c r="K118" i="3" s="1"/>
  <c r="S262" i="3"/>
  <c r="J262" i="3" s="1"/>
  <c r="S491" i="3"/>
  <c r="J491" i="3" s="1"/>
  <c r="T291" i="3"/>
  <c r="K291" i="3" s="1"/>
  <c r="T90" i="3"/>
  <c r="K90" i="3" s="1"/>
  <c r="T269" i="3"/>
  <c r="K269" i="3" s="1"/>
  <c r="T162" i="3"/>
  <c r="K162" i="3" s="1"/>
  <c r="T150" i="3"/>
  <c r="K150" i="3" s="1"/>
  <c r="S142" i="3"/>
  <c r="J142" i="3" s="1"/>
  <c r="S322" i="3"/>
  <c r="J322" i="3" s="1"/>
  <c r="S401" i="3"/>
  <c r="J401" i="3" s="1"/>
  <c r="S457" i="3"/>
  <c r="J457" i="3" s="1"/>
  <c r="S182" i="3"/>
  <c r="J182" i="3" s="1"/>
  <c r="S42" i="3"/>
  <c r="J42" i="3" s="1"/>
  <c r="S50" i="3"/>
  <c r="J50" i="3" s="1"/>
  <c r="S485" i="3"/>
  <c r="J485" i="3" s="1"/>
  <c r="S63" i="3"/>
  <c r="J63" i="3" s="1"/>
  <c r="S342" i="3"/>
  <c r="J342" i="3" s="1"/>
  <c r="S477" i="3"/>
  <c r="J477" i="3" s="1"/>
  <c r="S224" i="3"/>
  <c r="J224" i="3" s="1"/>
  <c r="T388" i="3"/>
  <c r="K388" i="3" s="1"/>
  <c r="S140" i="3"/>
  <c r="J140" i="3" s="1"/>
  <c r="T472" i="3"/>
  <c r="K472" i="3" s="1"/>
  <c r="T44" i="3"/>
  <c r="K44" i="3" s="1"/>
  <c r="T441" i="3"/>
  <c r="K441" i="3" s="1"/>
  <c r="T256" i="3"/>
  <c r="K256" i="3" s="1"/>
  <c r="T390" i="3"/>
  <c r="K390" i="3" s="1"/>
  <c r="S105" i="3"/>
  <c r="J105" i="3" s="1"/>
  <c r="S244" i="3"/>
  <c r="J244" i="3" s="1"/>
  <c r="S38" i="3"/>
  <c r="J38" i="3" s="1"/>
  <c r="S102" i="3"/>
  <c r="J102" i="3" s="1"/>
  <c r="S283" i="3"/>
  <c r="J283" i="3" s="1"/>
  <c r="S446" i="3"/>
  <c r="J446" i="3" s="1"/>
  <c r="S254" i="3"/>
  <c r="J254" i="3" s="1"/>
  <c r="S11" i="3"/>
  <c r="J11" i="3" s="1"/>
  <c r="S291" i="3"/>
  <c r="J291" i="3" s="1"/>
  <c r="S323" i="3"/>
  <c r="J323" i="3" s="1"/>
  <c r="S453" i="3"/>
  <c r="J453" i="3" s="1"/>
  <c r="S417" i="3"/>
  <c r="J417" i="3" s="1"/>
  <c r="S499" i="3"/>
  <c r="J499" i="3" s="1"/>
  <c r="S396" i="3"/>
  <c r="J396" i="3" s="1"/>
  <c r="S201" i="3"/>
  <c r="J201" i="3" s="1"/>
  <c r="T456" i="3"/>
  <c r="K456" i="3" s="1"/>
  <c r="T91" i="3"/>
  <c r="K91" i="3" s="1"/>
  <c r="T320" i="3"/>
  <c r="K320" i="3" s="1"/>
  <c r="T181" i="3"/>
  <c r="K181" i="3" s="1"/>
  <c r="S179" i="3"/>
  <c r="J179" i="3" s="1"/>
  <c r="S28" i="3"/>
  <c r="J28" i="3" s="1"/>
  <c r="S441" i="3"/>
  <c r="J441" i="3" s="1"/>
  <c r="S360" i="3"/>
  <c r="J360" i="3" s="1"/>
  <c r="S211" i="3"/>
  <c r="J211" i="3" s="1"/>
  <c r="S352" i="3"/>
  <c r="J352" i="3" s="1"/>
  <c r="S383" i="3"/>
  <c r="J383" i="3" s="1"/>
  <c r="S100" i="3"/>
  <c r="J100" i="3" s="1"/>
  <c r="S5" i="3"/>
  <c r="J5" i="3" s="1"/>
  <c r="S57" i="3"/>
  <c r="J57" i="3" s="1"/>
  <c r="S465" i="3"/>
  <c r="J465" i="3" s="1"/>
  <c r="S398" i="3"/>
  <c r="J398" i="3" s="1"/>
  <c r="T23" i="3"/>
  <c r="K23" i="3" s="1"/>
  <c r="T144" i="3"/>
  <c r="K144" i="3" s="1"/>
  <c r="T407" i="3"/>
  <c r="K407" i="3" s="1"/>
  <c r="T7" i="3"/>
  <c r="K7" i="3" s="1"/>
  <c r="S183" i="3"/>
  <c r="J183" i="3" s="1"/>
  <c r="S290" i="3"/>
  <c r="J290" i="3" s="1"/>
  <c r="S141" i="3"/>
  <c r="J141" i="3" s="1"/>
  <c r="S51" i="3"/>
  <c r="J51" i="3" s="1"/>
  <c r="S44" i="3"/>
  <c r="J44" i="3" s="1"/>
  <c r="S181" i="3"/>
  <c r="J181" i="3" s="1"/>
  <c r="S203" i="3"/>
  <c r="J203" i="3" s="1"/>
  <c r="S454" i="3"/>
  <c r="J454" i="3" s="1"/>
  <c r="S215" i="3"/>
  <c r="J215" i="3" s="1"/>
  <c r="S422" i="3"/>
  <c r="J422" i="3" s="1"/>
  <c r="S31" i="3"/>
  <c r="J31" i="3" s="1"/>
  <c r="S256" i="3"/>
  <c r="J256" i="3" s="1"/>
  <c r="S292" i="3"/>
  <c r="J292" i="3" s="1"/>
  <c r="S497" i="3"/>
  <c r="J497" i="3" s="1"/>
  <c r="S97" i="3"/>
  <c r="J97" i="3" s="1"/>
  <c r="S87" i="3"/>
  <c r="J87" i="3" s="1"/>
  <c r="S365" i="3"/>
  <c r="J365" i="3" s="1"/>
  <c r="S341" i="3"/>
  <c r="J341" i="3" s="1"/>
  <c r="S327" i="3"/>
  <c r="J327" i="3" s="1"/>
  <c r="S54" i="3"/>
  <c r="J54" i="3" s="1"/>
  <c r="S47" i="3"/>
  <c r="J47" i="3" s="1"/>
  <c r="S134" i="3"/>
  <c r="J134" i="3" s="1"/>
  <c r="T261" i="3"/>
  <c r="K261" i="3" s="1"/>
  <c r="T101" i="3"/>
  <c r="K101" i="3" s="1"/>
  <c r="T243" i="3"/>
  <c r="K243" i="3" s="1"/>
  <c r="T70" i="3"/>
  <c r="K70" i="3" s="1"/>
  <c r="T180" i="3"/>
  <c r="K180" i="3" s="1"/>
  <c r="T489" i="3"/>
  <c r="K489" i="3" s="1"/>
  <c r="T288" i="3"/>
  <c r="K288" i="3" s="1"/>
  <c r="T186" i="3"/>
  <c r="K186" i="3" s="1"/>
  <c r="T498" i="3"/>
  <c r="K498" i="3" s="1"/>
  <c r="T377" i="3"/>
  <c r="K377" i="3" s="1"/>
  <c r="T287" i="3"/>
  <c r="K287" i="3" s="1"/>
  <c r="S426" i="3"/>
  <c r="J426" i="3" s="1"/>
  <c r="S343" i="3"/>
  <c r="J343" i="3" s="1"/>
  <c r="S311" i="3"/>
  <c r="J311" i="3" s="1"/>
  <c r="S125" i="3"/>
  <c r="J125" i="3" s="1"/>
  <c r="S303" i="3"/>
  <c r="J303" i="3" s="1"/>
  <c r="S41" i="3"/>
  <c r="J41" i="3" s="1"/>
  <c r="S226" i="3"/>
  <c r="J226" i="3" s="1"/>
  <c r="S253" i="3"/>
  <c r="J253" i="3" s="1"/>
  <c r="T473" i="3"/>
  <c r="K473" i="3" s="1"/>
  <c r="T212" i="3"/>
  <c r="K212" i="3" s="1"/>
  <c r="T185" i="3"/>
  <c r="K185" i="3" s="1"/>
  <c r="T484" i="3"/>
  <c r="K484" i="3" s="1"/>
  <c r="S431" i="3"/>
  <c r="J431" i="3" s="1"/>
  <c r="S32" i="3"/>
  <c r="J32" i="3" s="1"/>
  <c r="S91" i="3"/>
  <c r="J91" i="3" s="1"/>
  <c r="S212" i="3"/>
  <c r="J212" i="3" s="1"/>
  <c r="S123" i="3"/>
  <c r="J123" i="3" s="1"/>
  <c r="S340" i="3"/>
  <c r="J340" i="3" s="1"/>
  <c r="S48" i="3"/>
  <c r="J48" i="3" s="1"/>
  <c r="S484" i="3"/>
  <c r="J484" i="3" s="1"/>
  <c r="S294" i="3"/>
  <c r="J294" i="3" s="1"/>
  <c r="S70" i="3"/>
  <c r="J70" i="3" s="1"/>
  <c r="T16" i="3"/>
  <c r="K16" i="3" s="1"/>
  <c r="T427" i="3"/>
  <c r="K427" i="3" s="1"/>
  <c r="T459" i="3"/>
  <c r="K459" i="3" s="1"/>
  <c r="T208" i="3"/>
  <c r="K208" i="3" s="1"/>
  <c r="T266" i="3"/>
  <c r="K266" i="3" s="1"/>
  <c r="T188" i="3"/>
  <c r="K188" i="3" s="1"/>
  <c r="T314" i="3"/>
  <c r="K314" i="3" s="1"/>
  <c r="T304" i="3"/>
  <c r="K304" i="3" s="1"/>
  <c r="T204" i="3"/>
  <c r="K204" i="3" s="1"/>
  <c r="T28" i="3"/>
  <c r="K28" i="3" s="1"/>
  <c r="T279" i="3"/>
  <c r="K279" i="3" s="1"/>
  <c r="T354" i="3"/>
  <c r="K354" i="3" s="1"/>
  <c r="T84" i="3"/>
  <c r="K84" i="3" s="1"/>
  <c r="T5" i="3"/>
  <c r="K5" i="3" s="1"/>
  <c r="T120" i="3"/>
  <c r="K120" i="3" s="1"/>
  <c r="T81" i="3"/>
  <c r="K81" i="3" s="1"/>
  <c r="T264" i="3"/>
  <c r="K264" i="3" s="1"/>
  <c r="T182" i="3"/>
  <c r="K182" i="3" s="1"/>
  <c r="T149" i="3"/>
  <c r="K149" i="3" s="1"/>
  <c r="S423" i="3"/>
  <c r="J423" i="3" s="1"/>
  <c r="S210" i="3"/>
  <c r="J210" i="3" s="1"/>
  <c r="S353" i="3"/>
  <c r="J353" i="3" s="1"/>
  <c r="S92" i="3"/>
  <c r="J92" i="3" s="1"/>
  <c r="S345" i="3"/>
  <c r="J345" i="3" s="1"/>
  <c r="S367" i="3"/>
  <c r="J367" i="3" s="1"/>
  <c r="S299" i="3"/>
  <c r="J299" i="3" s="1"/>
  <c r="S147" i="3"/>
  <c r="J147" i="3" s="1"/>
  <c r="S40" i="3"/>
  <c r="J40" i="3" s="1"/>
  <c r="S307" i="3"/>
  <c r="J307" i="3" s="1"/>
  <c r="S274" i="3"/>
  <c r="J274" i="3" s="1"/>
  <c r="S250" i="3"/>
  <c r="J250" i="3" s="1"/>
  <c r="S358" i="3"/>
  <c r="J358" i="3" s="1"/>
  <c r="S316" i="3"/>
  <c r="J316" i="3" s="1"/>
  <c r="S233" i="3"/>
  <c r="J233" i="3" s="1"/>
  <c r="S56" i="3"/>
  <c r="J56" i="3" s="1"/>
  <c r="T247" i="3"/>
  <c r="K247" i="3" s="1"/>
  <c r="T163" i="3"/>
  <c r="K163" i="3" s="1"/>
  <c r="T475" i="3"/>
  <c r="K475" i="3" s="1"/>
  <c r="S410" i="3"/>
  <c r="J410" i="3" s="1"/>
  <c r="S148" i="3"/>
  <c r="J148" i="3" s="1"/>
  <c r="S243" i="3"/>
  <c r="J243" i="3" s="1"/>
  <c r="S107" i="3"/>
  <c r="J107" i="3" s="1"/>
  <c r="S494" i="3"/>
  <c r="J494" i="3" s="1"/>
  <c r="S197" i="3"/>
  <c r="J197" i="3" s="1"/>
  <c r="S448" i="3"/>
  <c r="J448" i="3" s="1"/>
  <c r="S67" i="3"/>
  <c r="J67" i="3" s="1"/>
  <c r="S284" i="3"/>
  <c r="J284" i="3" s="1"/>
  <c r="S195" i="3"/>
  <c r="J195" i="3" s="1"/>
  <c r="S451" i="3"/>
  <c r="J451" i="3" s="1"/>
  <c r="S218" i="3"/>
  <c r="J218" i="3" s="1"/>
  <c r="S333" i="3"/>
  <c r="J333" i="3" s="1"/>
  <c r="T218" i="3"/>
  <c r="K218" i="3" s="1"/>
  <c r="S297" i="3"/>
  <c r="J297" i="3" s="1"/>
  <c r="S72" i="3"/>
  <c r="J72" i="3" s="1"/>
  <c r="S310" i="3"/>
  <c r="J310" i="3" s="1"/>
  <c r="S214" i="3"/>
  <c r="J214" i="3" s="1"/>
  <c r="S124" i="3"/>
  <c r="J124" i="3" s="1"/>
  <c r="S75" i="3"/>
  <c r="J75" i="3" s="1"/>
  <c r="S393" i="3"/>
  <c r="J393" i="3" s="1"/>
  <c r="S227" i="3"/>
  <c r="J227" i="3" s="1"/>
  <c r="S278" i="3"/>
  <c r="J278" i="3" s="1"/>
  <c r="S346" i="3"/>
  <c r="J346" i="3" s="1"/>
  <c r="S137" i="3"/>
  <c r="J137" i="3" s="1"/>
  <c r="S120" i="3"/>
  <c r="J120" i="3" s="1"/>
  <c r="S424" i="3"/>
  <c r="J424" i="3" s="1"/>
  <c r="S136" i="3"/>
  <c r="J136" i="3" s="1"/>
  <c r="S435" i="3"/>
  <c r="J435" i="3" s="1"/>
  <c r="S445" i="3"/>
  <c r="J445" i="3" s="1"/>
  <c r="S487" i="3"/>
  <c r="J487" i="3" s="1"/>
  <c r="S288" i="3"/>
  <c r="J288" i="3" s="1"/>
  <c r="S85" i="3"/>
  <c r="J85" i="3" s="1"/>
  <c r="S459" i="3"/>
  <c r="J459" i="3" s="1"/>
  <c r="T24" i="3"/>
  <c r="K24" i="3" s="1"/>
  <c r="T312" i="3"/>
  <c r="K312" i="3" s="1"/>
  <c r="S304" i="3"/>
  <c r="J304" i="3" s="1"/>
  <c r="S387" i="3"/>
  <c r="J387" i="3" s="1"/>
  <c r="S229" i="3"/>
  <c r="J229" i="3" s="1"/>
  <c r="S317" i="3"/>
  <c r="J317" i="3" s="1"/>
  <c r="S19" i="3"/>
  <c r="J19" i="3" s="1"/>
  <c r="S89" i="3"/>
  <c r="J89" i="3" s="1"/>
  <c r="S416" i="3"/>
  <c r="J416" i="3" s="1"/>
  <c r="S442" i="3"/>
  <c r="J442" i="3" s="1"/>
  <c r="S289" i="3"/>
  <c r="J289" i="3" s="1"/>
  <c r="S326" i="3"/>
  <c r="J326" i="3" s="1"/>
  <c r="S334" i="3"/>
  <c r="J334" i="3" s="1"/>
  <c r="S468" i="3"/>
  <c r="J468" i="3" s="1"/>
  <c r="S116" i="3"/>
  <c r="J116" i="3" s="1"/>
  <c r="S419" i="3"/>
  <c r="J419" i="3" s="1"/>
  <c r="T289" i="3"/>
  <c r="K289" i="3" s="1"/>
  <c r="T391" i="3"/>
  <c r="K391" i="3" s="1"/>
  <c r="T114" i="3"/>
  <c r="K114" i="3" s="1"/>
  <c r="S472" i="3"/>
  <c r="J472" i="3" s="1"/>
  <c r="S113" i="3"/>
  <c r="J113" i="3" s="1"/>
  <c r="S59" i="3"/>
  <c r="J59" i="3" s="1"/>
  <c r="S80" i="3"/>
  <c r="J80" i="3" s="1"/>
  <c r="S190" i="3"/>
  <c r="J190" i="3" s="1"/>
  <c r="S177" i="3"/>
  <c r="J177" i="3" s="1"/>
  <c r="S496" i="3"/>
  <c r="J496" i="3" s="1"/>
  <c r="S103" i="3"/>
  <c r="J103" i="3" s="1"/>
  <c r="S331" i="3"/>
  <c r="J331" i="3" s="1"/>
  <c r="S26" i="3"/>
  <c r="J26" i="3" s="1"/>
  <c r="S281" i="3"/>
  <c r="J281" i="3" s="1"/>
  <c r="S321" i="3"/>
  <c r="J321" i="3" s="1"/>
  <c r="S427" i="3"/>
  <c r="J427" i="3" s="1"/>
  <c r="S378" i="3"/>
  <c r="J378" i="3" s="1"/>
  <c r="S76" i="3"/>
  <c r="J76" i="3" s="1"/>
  <c r="S117" i="3"/>
  <c r="J117" i="3" s="1"/>
  <c r="S237" i="3"/>
  <c r="J237" i="3" s="1"/>
  <c r="S320" i="3"/>
  <c r="J320" i="3" s="1"/>
  <c r="S213" i="3"/>
  <c r="J213" i="3" s="1"/>
  <c r="S377" i="3"/>
  <c r="J377" i="3" s="1"/>
  <c r="S186" i="3"/>
  <c r="J186" i="3" s="1"/>
  <c r="S231" i="3"/>
  <c r="J231" i="3" s="1"/>
  <c r="S169" i="3"/>
  <c r="J169" i="3" s="1"/>
  <c r="S364" i="3"/>
  <c r="J364" i="3" s="1"/>
  <c r="S466" i="3"/>
  <c r="J466" i="3" s="1"/>
  <c r="S397" i="3"/>
  <c r="J397" i="3" s="1"/>
  <c r="S129" i="3"/>
  <c r="J129" i="3" s="1"/>
  <c r="S460" i="3"/>
  <c r="J460" i="3" s="1"/>
  <c r="S277" i="3"/>
  <c r="J277" i="3" s="1"/>
  <c r="S252" i="3"/>
  <c r="J252" i="3" s="1"/>
  <c r="S101" i="3"/>
  <c r="J101" i="3" s="1"/>
  <c r="S347" i="3"/>
  <c r="J347" i="3" s="1"/>
  <c r="T329" i="3"/>
  <c r="K329" i="3" s="1"/>
  <c r="T189" i="3"/>
  <c r="K189" i="3" s="1"/>
  <c r="T343" i="3"/>
  <c r="K343" i="3" s="1"/>
  <c r="S165" i="3"/>
  <c r="J165" i="3" s="1"/>
  <c r="S21" i="3"/>
  <c r="J21" i="3" s="1"/>
  <c r="S412" i="3"/>
  <c r="J412" i="3" s="1"/>
  <c r="S163" i="3"/>
  <c r="J163" i="3" s="1"/>
  <c r="S411" i="3"/>
  <c r="J411" i="3" s="1"/>
  <c r="S308" i="3"/>
  <c r="J308" i="3" s="1"/>
  <c r="T374" i="3"/>
  <c r="K374" i="3" s="1"/>
  <c r="S470" i="3"/>
  <c r="J470" i="3" s="1"/>
  <c r="T225" i="3"/>
  <c r="K225" i="3" s="1"/>
  <c r="T502" i="3"/>
  <c r="K502" i="3" s="1"/>
  <c r="T200" i="3"/>
  <c r="K200" i="3" s="1"/>
  <c r="T486" i="3"/>
  <c r="K486" i="3" s="1"/>
  <c r="T476" i="3"/>
  <c r="K476" i="3" s="1"/>
  <c r="T198" i="3"/>
  <c r="K198" i="3" s="1"/>
  <c r="T341" i="3"/>
  <c r="K341" i="3" s="1"/>
  <c r="T223" i="3"/>
  <c r="K223" i="3" s="1"/>
  <c r="S204" i="3"/>
  <c r="J204" i="3" s="1"/>
  <c r="S217" i="3"/>
  <c r="J217" i="3" s="1"/>
  <c r="S447" i="3"/>
  <c r="J447" i="3" s="1"/>
  <c r="T336" i="3"/>
  <c r="K336" i="3" s="1"/>
  <c r="T296" i="3"/>
  <c r="K296" i="3" s="1"/>
  <c r="S238" i="3"/>
  <c r="J238" i="3" s="1"/>
  <c r="S273" i="3"/>
  <c r="J273" i="3" s="1"/>
  <c r="S369" i="3"/>
  <c r="J369" i="3" s="1"/>
  <c r="S175" i="3"/>
  <c r="J175" i="3" s="1"/>
  <c r="S33" i="3"/>
  <c r="J33" i="3" s="1"/>
  <c r="T488" i="3"/>
  <c r="K488" i="3" s="1"/>
  <c r="T455" i="3"/>
  <c r="K455" i="3" s="1"/>
  <c r="T158" i="3"/>
  <c r="K158" i="3" s="1"/>
  <c r="T359" i="3"/>
  <c r="K359" i="3" s="1"/>
  <c r="T80" i="3"/>
  <c r="K80" i="3" s="1"/>
  <c r="T317" i="3"/>
  <c r="K317" i="3" s="1"/>
  <c r="S368" i="3"/>
  <c r="J368" i="3" s="1"/>
  <c r="S118" i="3"/>
  <c r="J118" i="3" s="1"/>
  <c r="S69" i="3"/>
  <c r="J69" i="3" s="1"/>
  <c r="S65" i="3"/>
  <c r="J65" i="3" s="1"/>
  <c r="S222" i="3"/>
  <c r="J222" i="3" s="1"/>
  <c r="S155" i="3"/>
  <c r="J155" i="3" s="1"/>
  <c r="T393" i="3"/>
  <c r="K393" i="3" s="1"/>
  <c r="T233" i="3"/>
  <c r="K233" i="3" s="1"/>
  <c r="T14" i="3"/>
  <c r="K14" i="3" s="1"/>
  <c r="T33" i="3"/>
  <c r="K33" i="3" s="1"/>
  <c r="T429" i="3"/>
  <c r="K429" i="3" s="1"/>
  <c r="T39" i="3"/>
  <c r="K39" i="3" s="1"/>
  <c r="S234" i="3"/>
  <c r="J234" i="3" s="1"/>
  <c r="S296" i="3"/>
  <c r="J296" i="3" s="1"/>
  <c r="S392" i="3"/>
  <c r="J392" i="3" s="1"/>
  <c r="S119" i="3"/>
  <c r="J119" i="3" s="1"/>
  <c r="S90" i="3"/>
  <c r="J90" i="3" s="1"/>
  <c r="S483" i="3"/>
  <c r="J483" i="3" s="1"/>
  <c r="S62" i="3"/>
  <c r="J62" i="3" s="1"/>
  <c r="S132" i="3"/>
  <c r="J132" i="3" s="1"/>
  <c r="S384" i="3"/>
  <c r="J384" i="3" s="1"/>
  <c r="S12" i="3"/>
  <c r="J12" i="3" s="1"/>
  <c r="S475" i="3"/>
  <c r="J475" i="3" s="1"/>
  <c r="S166" i="3"/>
  <c r="J166" i="3" s="1"/>
  <c r="S194" i="3"/>
  <c r="J194" i="3" s="1"/>
  <c r="S130" i="3"/>
  <c r="J130" i="3" s="1"/>
  <c r="S144" i="3"/>
  <c r="J144" i="3" s="1"/>
  <c r="S489" i="3"/>
  <c r="J489" i="3" s="1"/>
  <c r="S400" i="3"/>
  <c r="J400" i="3" s="1"/>
  <c r="S315" i="3"/>
  <c r="J315" i="3" s="1"/>
  <c r="S133" i="3"/>
  <c r="J133" i="3" s="1"/>
  <c r="T347" i="3"/>
  <c r="K347" i="3" s="1"/>
  <c r="S64" i="3"/>
  <c r="J64" i="3" s="1"/>
  <c r="T97" i="3"/>
  <c r="K97" i="3" s="1"/>
  <c r="T106" i="3"/>
  <c r="K106" i="3" s="1"/>
  <c r="T330" i="3"/>
  <c r="K330" i="3" s="1"/>
  <c r="T47" i="3"/>
  <c r="K47" i="3" s="1"/>
  <c r="T168" i="3"/>
  <c r="K168" i="3" s="1"/>
  <c r="T443" i="3"/>
  <c r="K443" i="3" s="1"/>
  <c r="T211" i="3"/>
  <c r="K211" i="3" s="1"/>
  <c r="S230" i="3"/>
  <c r="J230" i="3" s="1"/>
  <c r="T305" i="3"/>
  <c r="K305" i="3" s="1"/>
  <c r="T85" i="3"/>
  <c r="K85" i="3" s="1"/>
  <c r="S13" i="3"/>
  <c r="J13" i="3" s="1"/>
  <c r="S10" i="3"/>
  <c r="J10" i="3" s="1"/>
  <c r="S474" i="3"/>
  <c r="J474" i="3" s="1"/>
  <c r="S235" i="3"/>
  <c r="J235" i="3" s="1"/>
  <c r="S420" i="3"/>
  <c r="J420" i="3" s="1"/>
  <c r="S15" i="3"/>
  <c r="J15" i="3" s="1"/>
  <c r="S199" i="3"/>
  <c r="J199" i="3" s="1"/>
  <c r="S458" i="3"/>
  <c r="J458" i="3" s="1"/>
  <c r="S16" i="3"/>
  <c r="J16" i="3" s="1"/>
  <c r="T499" i="3"/>
  <c r="K499" i="3" s="1"/>
  <c r="T300" i="3"/>
  <c r="K300" i="3" s="1"/>
  <c r="T365" i="3"/>
  <c r="K365" i="3" s="1"/>
  <c r="T350" i="3"/>
  <c r="K350" i="3" s="1"/>
  <c r="T369" i="3"/>
  <c r="K369" i="3" s="1"/>
  <c r="T135" i="3"/>
  <c r="K135" i="3" s="1"/>
  <c r="T417" i="3"/>
  <c r="K417" i="3" s="1"/>
  <c r="S257" i="3"/>
  <c r="J257" i="3" s="1"/>
  <c r="S187" i="3"/>
  <c r="J187" i="3" s="1"/>
  <c r="S115" i="3"/>
  <c r="J115" i="3" s="1"/>
  <c r="S249" i="3"/>
  <c r="J249" i="3" s="1"/>
  <c r="S174" i="3"/>
  <c r="J174" i="3" s="1"/>
  <c r="S306" i="3"/>
  <c r="J306" i="3" s="1"/>
  <c r="S351" i="3"/>
  <c r="J351" i="3" s="1"/>
  <c r="S402" i="3"/>
  <c r="J402" i="3" s="1"/>
  <c r="S255" i="3"/>
  <c r="J255" i="3" s="1"/>
  <c r="S159" i="3"/>
  <c r="J159" i="3" s="1"/>
  <c r="S193" i="3"/>
  <c r="J193" i="3" s="1"/>
  <c r="S330" i="3"/>
  <c r="J330" i="3" s="1"/>
  <c r="S432" i="3"/>
  <c r="J432" i="3" s="1"/>
  <c r="S266" i="3"/>
  <c r="J266" i="3" s="1"/>
  <c r="S106" i="3"/>
  <c r="J106" i="3" s="1"/>
  <c r="S490" i="3"/>
  <c r="J490" i="3" s="1"/>
  <c r="S198" i="3"/>
  <c r="J198" i="3" s="1"/>
  <c r="S180" i="3"/>
  <c r="J180" i="3" s="1"/>
  <c r="S206" i="3"/>
  <c r="J206" i="3" s="1"/>
  <c r="S444" i="3"/>
  <c r="J444" i="3" s="1"/>
  <c r="S108" i="3"/>
  <c r="J108" i="3" s="1"/>
  <c r="T478" i="3"/>
  <c r="K478" i="3" s="1"/>
  <c r="S7" i="3"/>
  <c r="J7" i="3" s="1"/>
  <c r="S209" i="3"/>
  <c r="J209" i="3" s="1"/>
  <c r="S207" i="3"/>
  <c r="J207" i="3" s="1"/>
  <c r="S151" i="3"/>
  <c r="J151" i="3" s="1"/>
  <c r="S486" i="3"/>
  <c r="J486" i="3" s="1"/>
  <c r="S138" i="3"/>
  <c r="J138" i="3" s="1"/>
  <c r="S409" i="3"/>
  <c r="J409" i="3" s="1"/>
  <c r="S380" i="3"/>
  <c r="J380" i="3" s="1"/>
  <c r="S121" i="3"/>
  <c r="J121" i="3" s="1"/>
  <c r="S228" i="3"/>
  <c r="J228" i="3" s="1"/>
  <c r="S295" i="3"/>
  <c r="J295" i="3" s="1"/>
  <c r="S258" i="3"/>
  <c r="J258" i="3" s="1"/>
  <c r="S449" i="3"/>
  <c r="J449" i="3" s="1"/>
  <c r="S450" i="3"/>
  <c r="J450" i="3" s="1"/>
  <c r="T315" i="3"/>
  <c r="K315" i="3" s="1"/>
  <c r="S386" i="3"/>
  <c r="J386" i="3" s="1"/>
  <c r="S335" i="3"/>
  <c r="J335" i="3" s="1"/>
  <c r="T60" i="3"/>
  <c r="K60" i="3" s="1"/>
  <c r="T82" i="3"/>
  <c r="K82" i="3" s="1"/>
  <c r="T381" i="3"/>
  <c r="K381" i="3" s="1"/>
  <c r="T437" i="3"/>
  <c r="K437" i="3" s="1"/>
  <c r="T392" i="3"/>
  <c r="K392" i="3" s="1"/>
  <c r="T154" i="3"/>
  <c r="K154" i="3" s="1"/>
  <c r="T214" i="3"/>
  <c r="K214" i="3" s="1"/>
  <c r="T193" i="3"/>
  <c r="K193" i="3" s="1"/>
  <c r="T262" i="3"/>
  <c r="K262" i="3" s="1"/>
  <c r="T397" i="3"/>
  <c r="K397" i="3" s="1"/>
  <c r="T4" i="3"/>
  <c r="K4" i="3" s="1"/>
  <c r="T401" i="3"/>
  <c r="K401" i="3" s="1"/>
  <c r="S98" i="3"/>
  <c r="J98" i="3" s="1"/>
  <c r="S6" i="3"/>
  <c r="J6" i="3" s="1"/>
  <c r="T104" i="3"/>
  <c r="K104" i="3" s="1"/>
  <c r="T25" i="3"/>
  <c r="K25" i="3" s="1"/>
  <c r="T20" i="3"/>
  <c r="K20" i="3" s="1"/>
  <c r="T219" i="3"/>
  <c r="K219" i="3" s="1"/>
  <c r="T51" i="3"/>
  <c r="K51" i="3" s="1"/>
  <c r="T299" i="3"/>
  <c r="K299" i="3" s="1"/>
  <c r="S9" i="3"/>
  <c r="J9" i="3" s="1"/>
  <c r="T93" i="3"/>
  <c r="K93" i="3" s="1"/>
  <c r="T231" i="3"/>
  <c r="K231" i="3" s="1"/>
  <c r="T421" i="3"/>
  <c r="K421" i="3" s="1"/>
  <c r="T294" i="3"/>
  <c r="K294" i="3" s="1"/>
  <c r="T273" i="3"/>
  <c r="K273" i="3" s="1"/>
  <c r="T419" i="3"/>
  <c r="K419" i="3" s="1"/>
  <c r="S495" i="3"/>
  <c r="J495" i="3" s="1"/>
  <c r="S403" i="3"/>
  <c r="J403" i="3" s="1"/>
  <c r="S488" i="3"/>
  <c r="J488" i="3" s="1"/>
  <c r="S270" i="3"/>
  <c r="J270" i="3" s="1"/>
  <c r="S184" i="3"/>
  <c r="J184" i="3" s="1"/>
  <c r="S469" i="3"/>
  <c r="J469" i="3" s="1"/>
  <c r="S170" i="3"/>
  <c r="J170" i="3" s="1"/>
  <c r="S329" i="3"/>
  <c r="J329" i="3" s="1"/>
  <c r="S225" i="3"/>
  <c r="J225" i="3" s="1"/>
  <c r="S25" i="3"/>
  <c r="J25" i="3" s="1"/>
  <c r="S8" i="3"/>
  <c r="J8" i="3" s="1"/>
  <c r="T125" i="3"/>
  <c r="K125" i="3" s="1"/>
  <c r="T322" i="3"/>
  <c r="K322" i="3" s="1"/>
  <c r="T358" i="3"/>
  <c r="K358" i="3" s="1"/>
  <c r="T41" i="3"/>
  <c r="K41" i="3" s="1"/>
  <c r="S439" i="3"/>
  <c r="J439" i="3" s="1"/>
  <c r="S114" i="3"/>
  <c r="J114" i="3" s="1"/>
  <c r="S328" i="3"/>
  <c r="J328" i="3" s="1"/>
  <c r="S480" i="3"/>
  <c r="J480" i="3" s="1"/>
  <c r="S433" i="3"/>
  <c r="J433" i="3" s="1"/>
  <c r="S216" i="3"/>
  <c r="J216" i="3" s="1"/>
  <c r="T123" i="3"/>
  <c r="K123" i="3" s="1"/>
  <c r="S122" i="3"/>
  <c r="J122" i="3" s="1"/>
  <c r="S79" i="3"/>
  <c r="J79" i="3" s="1"/>
  <c r="S22" i="3"/>
  <c r="J22" i="3" s="1"/>
  <c r="T325" i="3"/>
  <c r="K325" i="3" s="1"/>
  <c r="T77" i="3"/>
  <c r="K77" i="3" s="1"/>
  <c r="T251" i="3"/>
  <c r="K251" i="3" s="1"/>
  <c r="S407" i="3"/>
  <c r="J407" i="3" s="1"/>
  <c r="S126" i="3"/>
  <c r="J126" i="3" s="1"/>
  <c r="S405" i="3"/>
  <c r="J405" i="3" s="1"/>
  <c r="S68" i="3"/>
  <c r="J68" i="3" s="1"/>
  <c r="S149" i="3"/>
  <c r="J149" i="3" s="1"/>
  <c r="S168" i="3"/>
  <c r="J168" i="3" s="1"/>
  <c r="S373" i="3"/>
  <c r="J373" i="3" s="1"/>
  <c r="S372" i="3"/>
  <c r="J372" i="3" s="1"/>
  <c r="S344" i="3"/>
  <c r="J344" i="3" s="1"/>
  <c r="S189" i="3"/>
  <c r="J189" i="3" s="1"/>
  <c r="S36" i="3"/>
  <c r="J36" i="3" s="1"/>
  <c r="S162" i="3"/>
  <c r="J162" i="3" s="1"/>
  <c r="S34" i="3"/>
  <c r="J34" i="3" s="1"/>
  <c r="S3" i="3"/>
  <c r="J3" i="3" s="1"/>
  <c r="S185" i="3"/>
  <c r="J185" i="3" s="1"/>
  <c r="T15" i="3"/>
  <c r="K15" i="3" s="1"/>
  <c r="T402" i="3"/>
  <c r="K402" i="3" s="1"/>
  <c r="T481" i="3"/>
  <c r="K481" i="3" s="1"/>
  <c r="T143" i="3"/>
  <c r="K143" i="3" s="1"/>
  <c r="T228" i="3"/>
  <c r="K228" i="3" s="1"/>
  <c r="T414" i="3"/>
  <c r="K414" i="3" s="1"/>
  <c r="T130" i="3"/>
  <c r="K130" i="3" s="1"/>
  <c r="T67" i="3"/>
  <c r="K67" i="3" s="1"/>
  <c r="T166" i="3"/>
  <c r="K166" i="3" s="1"/>
  <c r="T170" i="3"/>
  <c r="K170" i="3" s="1"/>
  <c r="T326" i="3"/>
  <c r="K326" i="3" s="1"/>
  <c r="T215" i="3"/>
  <c r="K215" i="3" s="1"/>
  <c r="T293" i="3"/>
  <c r="K293" i="3" s="1"/>
  <c r="T425" i="3"/>
  <c r="K425" i="3" s="1"/>
  <c r="S66" i="3"/>
  <c r="J66" i="3" s="1"/>
  <c r="S493" i="3"/>
  <c r="J493" i="3" s="1"/>
  <c r="S337" i="3"/>
  <c r="J337" i="3" s="1"/>
  <c r="S111" i="3"/>
  <c r="J111" i="3" s="1"/>
  <c r="S336" i="3"/>
  <c r="J336" i="3" s="1"/>
  <c r="S264" i="3"/>
  <c r="J264" i="3" s="1"/>
  <c r="S145" i="3"/>
  <c r="J145" i="3" s="1"/>
  <c r="S161" i="3"/>
  <c r="J161" i="3" s="1"/>
  <c r="S324" i="3"/>
  <c r="J324" i="3" s="1"/>
  <c r="T259" i="3"/>
  <c r="K259" i="3" s="1"/>
  <c r="S158" i="3"/>
  <c r="J158" i="3" s="1"/>
  <c r="S413" i="3"/>
  <c r="J413" i="3" s="1"/>
  <c r="S375" i="3"/>
  <c r="J375" i="3" s="1"/>
  <c r="S428" i="3"/>
  <c r="J428" i="3" s="1"/>
  <c r="S390" i="3"/>
  <c r="J390" i="3" s="1"/>
  <c r="S259" i="3"/>
  <c r="J259" i="3" s="1"/>
  <c r="T56" i="3"/>
  <c r="K56" i="3" s="1"/>
  <c r="T495" i="3"/>
  <c r="K495" i="3" s="1"/>
  <c r="T112" i="3"/>
  <c r="K112" i="3" s="1"/>
  <c r="T36" i="3"/>
  <c r="K36" i="3" s="1"/>
  <c r="T155" i="3"/>
  <c r="K155" i="3" s="1"/>
  <c r="T19" i="3"/>
  <c r="K19" i="3" s="1"/>
  <c r="T178" i="3"/>
  <c r="K178" i="3" s="1"/>
  <c r="T132" i="3"/>
  <c r="K132" i="3" s="1"/>
  <c r="T278" i="3"/>
  <c r="K278" i="3" s="1"/>
  <c r="T3" i="3"/>
  <c r="K3" i="3" s="1"/>
  <c r="T145" i="3"/>
  <c r="K145" i="3" s="1"/>
  <c r="T199" i="3"/>
  <c r="K199" i="3" s="1"/>
  <c r="T205" i="3"/>
  <c r="K205" i="3" s="1"/>
  <c r="T63" i="3"/>
  <c r="K63" i="3" s="1"/>
  <c r="T138" i="3"/>
  <c r="K138" i="3" s="1"/>
  <c r="T131" i="3"/>
  <c r="K131" i="3" s="1"/>
  <c r="T302" i="3"/>
  <c r="K302" i="3" s="1"/>
  <c r="T363" i="3"/>
  <c r="K363" i="3" s="1"/>
  <c r="T399" i="3"/>
  <c r="K399" i="3" s="1"/>
  <c r="T171" i="3"/>
  <c r="K171" i="3" s="1"/>
  <c r="T31" i="3"/>
  <c r="K31" i="3" s="1"/>
  <c r="T383" i="3"/>
  <c r="K383" i="3" s="1"/>
  <c r="T313" i="3"/>
  <c r="K313" i="3" s="1"/>
  <c r="T83" i="3"/>
  <c r="K83" i="3" s="1"/>
  <c r="T42" i="3"/>
  <c r="K42" i="3" s="1"/>
  <c r="T345" i="3"/>
  <c r="K345" i="3" s="1"/>
  <c r="T249" i="3"/>
  <c r="K249" i="3" s="1"/>
  <c r="T413" i="3"/>
  <c r="K413" i="3" s="1"/>
  <c r="T73" i="3"/>
  <c r="K73" i="3" s="1"/>
  <c r="T366" i="3"/>
  <c r="K366" i="3" s="1"/>
  <c r="T450" i="3"/>
  <c r="K450" i="3" s="1"/>
  <c r="T356" i="3"/>
  <c r="K356" i="3" s="1"/>
  <c r="T146" i="3"/>
  <c r="K146" i="3" s="1"/>
  <c r="T378" i="3"/>
  <c r="K378" i="3" s="1"/>
  <c r="T284" i="3"/>
  <c r="K284" i="3" s="1"/>
  <c r="T405" i="3"/>
  <c r="K405" i="3" s="1"/>
  <c r="T157" i="3"/>
  <c r="K157" i="3" s="1"/>
  <c r="T474" i="3"/>
  <c r="K474" i="3" s="1"/>
  <c r="T460" i="3"/>
  <c r="K460" i="3" s="1"/>
  <c r="T451" i="3"/>
  <c r="K451" i="3" s="1"/>
  <c r="T275" i="3"/>
  <c r="K275" i="3" s="1"/>
  <c r="T333" i="3"/>
  <c r="K333" i="3" s="1"/>
  <c r="T196" i="3"/>
  <c r="K196" i="3" s="1"/>
  <c r="T352" i="3"/>
  <c r="K352" i="3" s="1"/>
  <c r="T470" i="3"/>
  <c r="K470" i="3" s="1"/>
  <c r="T257" i="3"/>
  <c r="K257" i="3" s="1"/>
  <c r="T364" i="3"/>
  <c r="K364" i="3" s="1"/>
  <c r="T357" i="3"/>
  <c r="K357" i="3" s="1"/>
  <c r="T12" i="3"/>
  <c r="K12" i="3" s="1"/>
  <c r="T438" i="3"/>
  <c r="K438" i="3" s="1"/>
  <c r="T263" i="3"/>
  <c r="K263" i="3" s="1"/>
  <c r="T95" i="3"/>
  <c r="K95" i="3" s="1"/>
  <c r="T191" i="3"/>
  <c r="K191" i="3" s="1"/>
  <c r="T487" i="3"/>
  <c r="K487" i="3" s="1"/>
  <c r="T349" i="3"/>
  <c r="K349" i="3" s="1"/>
  <c r="T18" i="3"/>
  <c r="K18" i="3" s="1"/>
  <c r="T268" i="3"/>
  <c r="K268" i="3" s="1"/>
  <c r="T328" i="3"/>
  <c r="K328" i="3" s="1"/>
  <c r="T245" i="3"/>
  <c r="K245" i="3" s="1"/>
  <c r="T457" i="3"/>
  <c r="K457" i="3" s="1"/>
  <c r="T465" i="3"/>
  <c r="K465" i="3" s="1"/>
  <c r="T110" i="3"/>
  <c r="K110" i="3" s="1"/>
  <c r="T307" i="3"/>
  <c r="K307" i="3" s="1"/>
  <c r="T385" i="3"/>
  <c r="K385" i="3" s="1"/>
  <c r="T151" i="3"/>
  <c r="K151" i="3" s="1"/>
  <c r="T57" i="3"/>
  <c r="K57" i="3" s="1"/>
  <c r="T133" i="3"/>
  <c r="K133" i="3" s="1"/>
  <c r="T316" i="3"/>
  <c r="K316" i="3" s="1"/>
  <c r="T297" i="3"/>
  <c r="K297" i="3" s="1"/>
  <c r="T227" i="3"/>
  <c r="K227" i="3" s="1"/>
  <c r="T353" i="3"/>
  <c r="K353" i="3" s="1"/>
  <c r="T17" i="3"/>
  <c r="K17" i="3" s="1"/>
  <c r="T11" i="3"/>
  <c r="K11" i="3" s="1"/>
  <c r="T234" i="3"/>
  <c r="K234" i="3" s="1"/>
  <c r="T285" i="3"/>
  <c r="K285" i="3" s="1"/>
  <c r="T463" i="3"/>
  <c r="K463" i="3" s="1"/>
  <c r="T412" i="3"/>
  <c r="K412" i="3" s="1"/>
  <c r="T292" i="3"/>
  <c r="K292" i="3" s="1"/>
  <c r="T477" i="3"/>
  <c r="K477" i="3" s="1"/>
  <c r="T371" i="3"/>
  <c r="K371" i="3" s="1"/>
  <c r="T496" i="3"/>
  <c r="K496" i="3" s="1"/>
  <c r="T203" i="3"/>
  <c r="K203" i="3" s="1"/>
  <c r="T270" i="3"/>
  <c r="K270" i="3" s="1"/>
  <c r="T394" i="3"/>
  <c r="K394" i="3" s="1"/>
  <c r="T281" i="3"/>
  <c r="K281" i="3" s="1"/>
  <c r="T497" i="3"/>
  <c r="K497" i="3" s="1"/>
  <c r="T384" i="3"/>
  <c r="K384" i="3" s="1"/>
  <c r="T295" i="3"/>
  <c r="K295" i="3" s="1"/>
  <c r="T361" i="3"/>
  <c r="K361" i="3" s="1"/>
  <c r="T395" i="3"/>
  <c r="K395" i="3" s="1"/>
  <c r="T37" i="3"/>
  <c r="K37" i="3" s="1"/>
  <c r="T152" i="3"/>
  <c r="K152" i="3" s="1"/>
  <c r="T466" i="3"/>
  <c r="K466" i="3" s="1"/>
  <c r="T442" i="3"/>
  <c r="K442" i="3" s="1"/>
  <c r="T493" i="3"/>
  <c r="K493" i="3" s="1"/>
  <c r="T62" i="3"/>
  <c r="K62" i="3" s="1"/>
  <c r="T439" i="3"/>
  <c r="K439" i="3" s="1"/>
  <c r="T351" i="3"/>
  <c r="K351" i="3" s="1"/>
  <c r="T187" i="3"/>
  <c r="K187" i="3" s="1"/>
  <c r="T230" i="3"/>
  <c r="K230" i="3" s="1"/>
  <c r="T10" i="3"/>
  <c r="K10" i="3" s="1"/>
  <c r="T50" i="3"/>
  <c r="K50" i="3" s="1"/>
  <c r="T406" i="3"/>
  <c r="K406" i="3" s="1"/>
  <c r="T276" i="3"/>
  <c r="K276" i="3" s="1"/>
  <c r="T258" i="3"/>
  <c r="K258" i="3" s="1"/>
  <c r="T136" i="3"/>
  <c r="K136" i="3" s="1"/>
  <c r="T237" i="3"/>
  <c r="K237" i="3" s="1"/>
  <c r="T240" i="3"/>
  <c r="K240" i="3" s="1"/>
  <c r="T66" i="3"/>
  <c r="K66" i="3" s="1"/>
  <c r="T445" i="3"/>
  <c r="K445" i="3" s="1"/>
  <c r="T423" i="3"/>
  <c r="K423" i="3" s="1"/>
  <c r="T142" i="3"/>
  <c r="K142" i="3" s="1"/>
  <c r="T339" i="3"/>
  <c r="K339" i="3" s="1"/>
  <c r="T64" i="3"/>
  <c r="K64" i="3" s="1"/>
  <c r="T298" i="3"/>
  <c r="K298" i="3" s="1"/>
  <c r="T210" i="3"/>
  <c r="K210" i="3" s="1"/>
  <c r="T98" i="3"/>
  <c r="K98" i="3" s="1"/>
  <c r="T213" i="3"/>
  <c r="K213" i="3" s="1"/>
  <c r="T491" i="3"/>
  <c r="K491" i="3" s="1"/>
  <c r="T217" i="3"/>
  <c r="K217" i="3" s="1"/>
  <c r="T309" i="3"/>
  <c r="K309" i="3" s="1"/>
  <c r="T153" i="3"/>
  <c r="K153" i="3" s="1"/>
  <c r="T43" i="3"/>
  <c r="K43" i="3" s="1"/>
  <c r="T94" i="3"/>
  <c r="K94" i="3" s="1"/>
  <c r="T469" i="3"/>
  <c r="K469" i="3" s="1"/>
  <c r="T403" i="3"/>
  <c r="K403" i="3" s="1"/>
  <c r="T175" i="3"/>
  <c r="K175" i="3" s="1"/>
  <c r="T124" i="3"/>
  <c r="K124" i="3" s="1"/>
  <c r="T415" i="3"/>
  <c r="K415" i="3" s="1"/>
  <c r="T229" i="3"/>
  <c r="K229" i="3" s="1"/>
  <c r="T26" i="3"/>
  <c r="K26" i="3" s="1"/>
  <c r="T242" i="3"/>
  <c r="K242" i="3" s="1"/>
  <c r="T434" i="3"/>
  <c r="K434" i="3" s="1"/>
  <c r="T99" i="3"/>
  <c r="K99" i="3" s="1"/>
  <c r="T139" i="3"/>
  <c r="K139" i="3" s="1"/>
  <c r="T274" i="3"/>
  <c r="K274" i="3" s="1"/>
  <c r="T115" i="3"/>
  <c r="K115" i="3" s="1"/>
  <c r="T105" i="3"/>
  <c r="K105" i="3" s="1"/>
  <c r="T27" i="3"/>
  <c r="K27" i="3" s="1"/>
  <c r="T78" i="3"/>
  <c r="K78" i="3" s="1"/>
  <c r="T306" i="3"/>
  <c r="K306" i="3" s="1"/>
  <c r="T226" i="3"/>
  <c r="K226" i="3" s="1"/>
  <c r="T342" i="3"/>
  <c r="K342" i="3" s="1"/>
  <c r="T29" i="3"/>
  <c r="K29" i="3" s="1"/>
  <c r="T485" i="3"/>
  <c r="K485" i="3" s="1"/>
  <c r="T398" i="3"/>
  <c r="K398" i="3" s="1"/>
  <c r="T53" i="3"/>
  <c r="K53" i="3" s="1"/>
  <c r="T38" i="3"/>
  <c r="K38" i="3" s="1"/>
  <c r="T428" i="3"/>
  <c r="K428" i="3" s="1"/>
  <c r="T440" i="3"/>
  <c r="K440" i="3" s="1"/>
  <c r="T362" i="3"/>
  <c r="K362" i="3" s="1"/>
  <c r="T92" i="3"/>
  <c r="K92" i="3" s="1"/>
  <c r="T253" i="3"/>
  <c r="K253" i="3" s="1"/>
  <c r="T8" i="3"/>
  <c r="K8" i="3" s="1"/>
  <c r="T89" i="3"/>
  <c r="K89" i="3" s="1"/>
  <c r="T49" i="3"/>
  <c r="K49" i="3" s="1"/>
  <c r="T282" i="3"/>
  <c r="K282" i="3" s="1"/>
  <c r="T272" i="3"/>
  <c r="K272" i="3" s="1"/>
  <c r="T454" i="3"/>
  <c r="K454" i="3" s="1"/>
  <c r="T449" i="3"/>
  <c r="K449" i="3" s="1"/>
  <c r="T71" i="3"/>
  <c r="K71" i="3" s="1"/>
  <c r="T107" i="3"/>
  <c r="K107" i="3" s="1"/>
  <c r="T197" i="3"/>
  <c r="K197" i="3" s="1"/>
  <c r="T236" i="3"/>
  <c r="K236" i="3" s="1"/>
  <c r="T375" i="3"/>
  <c r="K375" i="3" s="1"/>
  <c r="T159" i="3"/>
  <c r="K159" i="3" s="1"/>
  <c r="T321" i="3"/>
  <c r="K321" i="3" s="1"/>
  <c r="T458" i="3"/>
  <c r="K458" i="3" s="1"/>
  <c r="T108" i="3"/>
  <c r="K108" i="3" s="1"/>
  <c r="T69" i="3"/>
  <c r="K69" i="3" s="1"/>
  <c r="T311" i="3"/>
  <c r="K311" i="3" s="1"/>
  <c r="T246" i="3"/>
  <c r="K246" i="3" s="1"/>
  <c r="T422" i="3"/>
  <c r="K422" i="3" s="1"/>
  <c r="T424" i="3"/>
  <c r="K424" i="3" s="1"/>
  <c r="T409" i="3"/>
  <c r="K409" i="3" s="1"/>
  <c r="T103" i="3"/>
  <c r="K103" i="3" s="1"/>
  <c r="T368" i="3"/>
  <c r="K368" i="3" s="1"/>
  <c r="T241" i="3"/>
  <c r="K241" i="3" s="1"/>
  <c r="T35" i="3"/>
  <c r="K35" i="3" s="1"/>
  <c r="T156" i="3"/>
  <c r="K156" i="3" s="1"/>
  <c r="T117" i="3"/>
  <c r="K117" i="3" s="1"/>
  <c r="T277" i="3"/>
  <c r="K277" i="3" s="1"/>
  <c r="T254" i="3"/>
  <c r="K254" i="3" s="1"/>
  <c r="T109" i="3"/>
  <c r="K109" i="3" s="1"/>
  <c r="T410" i="3"/>
  <c r="K410" i="3" s="1"/>
  <c r="T72" i="3"/>
  <c r="K72" i="3" s="1"/>
  <c r="T122" i="3"/>
  <c r="K122" i="3" s="1"/>
  <c r="T323" i="3"/>
  <c r="K323" i="3" s="1"/>
  <c r="T290" i="3"/>
  <c r="K290" i="3" s="1"/>
  <c r="T58" i="3"/>
  <c r="K58" i="3" s="1"/>
  <c r="T408" i="3"/>
  <c r="K408" i="3" s="1"/>
  <c r="T265" i="3"/>
  <c r="K265" i="3" s="1"/>
  <c r="T13" i="3"/>
  <c r="K13" i="3" s="1"/>
  <c r="T45" i="3"/>
  <c r="K45" i="3" s="1"/>
  <c r="T420" i="3"/>
  <c r="K420" i="3" s="1"/>
  <c r="T255" i="3"/>
  <c r="K255" i="3" s="1"/>
  <c r="T346" i="3"/>
  <c r="K346" i="3" s="1"/>
  <c r="T355" i="3"/>
  <c r="K355" i="3" s="1"/>
  <c r="T127" i="3"/>
  <c r="K127" i="3" s="1"/>
  <c r="T76" i="3"/>
  <c r="K76" i="3" s="1"/>
  <c r="T382" i="3"/>
  <c r="K382" i="3" s="1"/>
  <c r="T167" i="3"/>
  <c r="K167" i="3" s="1"/>
  <c r="T116" i="3"/>
  <c r="K116" i="3" s="1"/>
  <c r="T113" i="3"/>
  <c r="K113" i="3" s="1"/>
  <c r="T380" i="3"/>
  <c r="K380" i="3" s="1"/>
  <c r="T68" i="3"/>
  <c r="K68" i="3" s="1"/>
  <c r="T332" i="3"/>
  <c r="K332" i="3" s="1"/>
  <c r="T194" i="3"/>
  <c r="K194" i="3" s="1"/>
  <c r="T61" i="3"/>
  <c r="K61" i="3" s="1"/>
  <c r="T46" i="3"/>
  <c r="K46" i="3" s="1"/>
  <c r="T176" i="3"/>
  <c r="K176" i="3" s="1"/>
  <c r="T301" i="3"/>
  <c r="K301" i="3" s="1"/>
  <c r="T348" i="3"/>
  <c r="K348" i="3" s="1"/>
  <c r="T79" i="3"/>
  <c r="K79" i="3" s="1"/>
  <c r="T431" i="3"/>
  <c r="K431" i="3" s="1"/>
  <c r="T386" i="3"/>
  <c r="K386" i="3" s="1"/>
  <c r="T334" i="3"/>
  <c r="K334" i="3" s="1"/>
  <c r="T34" i="3"/>
  <c r="K34" i="3" s="1"/>
  <c r="T164" i="3"/>
  <c r="K164" i="3" s="1"/>
  <c r="T418" i="3"/>
  <c r="K418" i="3" s="1"/>
  <c r="T161" i="3"/>
  <c r="K161" i="3" s="1"/>
  <c r="T280" i="3"/>
  <c r="K280" i="3" s="1"/>
  <c r="T324" i="3"/>
  <c r="K324" i="3" s="1"/>
  <c r="T267" i="3"/>
  <c r="K267" i="3" s="1"/>
  <c r="T283" i="3"/>
  <c r="K283" i="3" s="1"/>
  <c r="T400" i="3"/>
  <c r="K400" i="3" s="1"/>
  <c r="T244" i="3"/>
  <c r="K244" i="3" s="1"/>
  <c r="T453" i="3"/>
  <c r="K453" i="3" s="1"/>
  <c r="T9" i="3"/>
  <c r="K9" i="3" s="1"/>
  <c r="T86" i="3"/>
  <c r="K86" i="3" s="1"/>
  <c r="T452" i="3"/>
  <c r="K452" i="3" s="1"/>
  <c r="T202" i="3"/>
  <c r="K202" i="3" s="1"/>
  <c r="T494" i="3"/>
  <c r="K494" i="3" s="1"/>
  <c r="T183" i="3"/>
  <c r="K183" i="3" s="1"/>
  <c r="T192" i="3"/>
  <c r="K192" i="3" s="1"/>
  <c r="T126" i="3"/>
  <c r="K126" i="3" s="1"/>
  <c r="T318" i="3"/>
  <c r="K318" i="3" s="1"/>
  <c r="T337" i="3"/>
  <c r="K337" i="3" s="1"/>
  <c r="T331" i="3"/>
  <c r="K331" i="3" s="1"/>
  <c r="T446" i="3"/>
  <c r="K446" i="3" s="1"/>
  <c r="T367" i="3"/>
  <c r="K367" i="3" s="1"/>
  <c r="T88" i="3"/>
  <c r="K88" i="3" s="1"/>
  <c r="T220" i="3"/>
  <c r="K220" i="3" s="1"/>
  <c r="T216" i="3"/>
  <c r="K216" i="3" s="1"/>
  <c r="T432" i="3"/>
  <c r="K432" i="3" s="1"/>
  <c r="T209" i="3"/>
  <c r="K209" i="3" s="1"/>
  <c r="T148" i="3"/>
  <c r="K148" i="3" s="1"/>
  <c r="T54" i="3"/>
  <c r="K54" i="3" s="1"/>
  <c r="T319" i="3"/>
  <c r="K319" i="3" s="1"/>
  <c r="T238" i="3"/>
  <c r="K238" i="3" s="1"/>
  <c r="T430" i="3"/>
  <c r="K430" i="3" s="1"/>
  <c r="T338" i="3"/>
  <c r="K338" i="3" s="1"/>
  <c r="T119" i="3"/>
  <c r="K119" i="3" s="1"/>
  <c r="T389" i="3"/>
  <c r="K389" i="3" s="1"/>
  <c r="T65" i="3"/>
  <c r="K65" i="3" s="1"/>
  <c r="T340" i="3"/>
  <c r="K340" i="3" s="1"/>
  <c r="T140" i="3"/>
  <c r="K140" i="3" s="1"/>
  <c r="T248" i="3"/>
  <c r="K248" i="3" s="1"/>
  <c r="T404" i="3"/>
  <c r="K404" i="3" s="1"/>
  <c r="T252" i="3"/>
  <c r="K252" i="3" s="1"/>
  <c r="T303" i="3"/>
  <c r="K303" i="3" s="1"/>
  <c r="T471" i="3"/>
  <c r="K471" i="3" s="1"/>
  <c r="T435" i="3"/>
  <c r="K435" i="3" s="1"/>
  <c r="T232" i="3"/>
  <c r="K232" i="3" s="1"/>
  <c r="T360" i="3"/>
  <c r="K360" i="3" s="1"/>
  <c r="T147" i="3"/>
  <c r="K147" i="3" s="1"/>
  <c r="T179" i="3"/>
  <c r="K179" i="3" s="1"/>
  <c r="T224" i="3"/>
  <c r="K224" i="3" s="1"/>
  <c r="T310" i="3"/>
  <c r="K310" i="3" s="1"/>
  <c r="T30" i="3"/>
  <c r="K30" i="3" s="1"/>
  <c r="T370" i="3"/>
  <c r="K370" i="3" s="1"/>
  <c r="T379" i="3"/>
  <c r="K379" i="3" s="1"/>
  <c r="T308" i="3"/>
  <c r="K308" i="3" s="1"/>
  <c r="T21" i="3"/>
  <c r="K21" i="3" s="1"/>
  <c r="T190" i="3"/>
  <c r="K190" i="3" s="1"/>
  <c r="T444" i="3"/>
  <c r="K444" i="3" s="1"/>
  <c r="T492" i="3"/>
  <c r="K492" i="3" s="1"/>
  <c r="T169" i="3"/>
  <c r="K169" i="3" s="1"/>
  <c r="T102" i="3"/>
  <c r="K102" i="3" s="1"/>
  <c r="T461" i="3"/>
  <c r="K461" i="3" s="1"/>
  <c r="T433" i="3"/>
  <c r="K433" i="3" s="1"/>
  <c r="T467" i="3"/>
  <c r="K467" i="3" s="1"/>
  <c r="T490" i="3"/>
  <c r="K490" i="3" s="1"/>
  <c r="T235" i="3"/>
  <c r="K235" i="3" s="1"/>
  <c r="T222" i="3"/>
  <c r="K222" i="3" s="1"/>
  <c r="T111" i="3"/>
  <c r="K111" i="3" s="1"/>
  <c r="T250" i="3"/>
  <c r="K250" i="3" s="1"/>
  <c r="T462" i="3"/>
  <c r="K462" i="3" s="1"/>
  <c r="T128" i="3"/>
  <c r="K128" i="3" s="1"/>
  <c r="T195" i="3"/>
  <c r="K195" i="3" s="1"/>
  <c r="T184" i="3"/>
  <c r="K184" i="3" s="1"/>
  <c r="T396" i="3"/>
  <c r="K396" i="3" s="1"/>
  <c r="T22" i="3"/>
  <c r="K22" i="3" s="1"/>
  <c r="T129" i="3"/>
  <c r="K129" i="3" s="1"/>
  <c r="T48" i="3"/>
  <c r="K48" i="3" s="1"/>
  <c r="T165" i="3"/>
  <c r="K165" i="3" s="1"/>
  <c r="T479" i="3"/>
  <c r="K479" i="3" s="1"/>
  <c r="T286" i="3"/>
  <c r="K286" i="3" s="1"/>
  <c r="T207" i="3"/>
  <c r="K207" i="3" s="1"/>
  <c r="T134" i="3"/>
  <c r="K134" i="3" s="1"/>
  <c r="T482" i="3"/>
  <c r="K482" i="3" s="1"/>
  <c r="T75" i="3"/>
  <c r="K75" i="3" s="1"/>
  <c r="T174" i="3"/>
  <c r="K174" i="3" s="1"/>
  <c r="T376" i="3"/>
  <c r="K376" i="3" s="1"/>
  <c r="T483" i="3"/>
  <c r="K483" i="3" s="1"/>
  <c r="T52" i="3"/>
  <c r="K52" i="3" s="1"/>
  <c r="T121" i="3"/>
  <c r="K121" i="3" s="1"/>
  <c r="B12" i="4"/>
  <c r="B96" i="1"/>
  <c r="B41" i="4"/>
  <c r="B13" i="4" s="1"/>
  <c r="E18" i="3" l="1"/>
  <c r="F45" i="3" s="1"/>
  <c r="E44" i="3"/>
  <c r="E45" i="3"/>
  <c r="E46" i="3"/>
  <c r="E43" i="3"/>
  <c r="E16" i="3"/>
  <c r="B88" i="1" s="1"/>
  <c r="E17" i="3"/>
  <c r="D45" i="3" s="1"/>
  <c r="B22" i="4"/>
  <c r="B23" i="4" s="1"/>
  <c r="B100" i="1" s="1"/>
  <c r="B99" i="1"/>
  <c r="B102" i="1" s="1"/>
  <c r="B90" i="1" l="1"/>
  <c r="F46" i="3"/>
  <c r="F47" i="3"/>
  <c r="C44" i="3"/>
  <c r="C45" i="3"/>
  <c r="C46" i="3"/>
  <c r="C43" i="3"/>
  <c r="B92" i="1"/>
  <c r="D47" i="3"/>
  <c r="B89" i="1"/>
  <c r="D4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Zhong, Lei</author>
    <author>Author</author>
  </authors>
  <commentList>
    <comment ref="G2" authorId="0" shapeId="0" xr:uid="{CE609DE8-DED7-4BDE-B049-6FD9B102934E}">
      <text>
        <r>
          <rPr>
            <b/>
            <sz val="9"/>
            <color indexed="81"/>
            <rFont val="Tahoma"/>
            <family val="2"/>
          </rPr>
          <t xml:space="preserve">Welcome to the TPS61377 Quickstart Design Tool
</t>
        </r>
        <r>
          <rPr>
            <sz val="9"/>
            <color indexed="81"/>
            <rFont val="Tahoma"/>
            <family val="2"/>
          </rPr>
          <t>This stand-alone tool facilitates and assists the power supply engineer with the design of a DC/DC converter based on TPS61377.
Rev 1.0, Texas Instruments, Inc.</t>
        </r>
      </text>
    </comment>
    <comment ref="K2" authorId="0" shapeId="0" xr:uid="{EC320539-601C-4033-AE8F-9767BD0C82BB}">
      <text>
        <r>
          <rPr>
            <b/>
            <sz val="9"/>
            <color indexed="81"/>
            <rFont val="Tahoma"/>
            <family val="2"/>
          </rPr>
          <t xml:space="preserve">Texas Instruments:
</t>
        </r>
        <r>
          <rPr>
            <sz val="9"/>
            <color indexed="81"/>
            <rFont val="Tahoma"/>
            <family val="2"/>
          </rPr>
          <t xml:space="preserve">Limited Use Policy
You must treat this software and documentation like any other copyrighted material.
You may not:
- Copy documentation of the softeware
- Copy this software except to make archival or backup copies
- Reverse engineer, disassemble, decompile or make any attempt to discover the source code od the softeware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TPS61377 product datasheet and EVM user guides for more details.
</t>
        </r>
      </text>
    </comment>
    <comment ref="C5" authorId="1" shapeId="0" xr:uid="{2304CD22-175D-4D2A-9867-204359FC74EF}">
      <text>
        <r>
          <rPr>
            <b/>
            <sz val="9"/>
            <color indexed="81"/>
            <rFont val="Tahoma"/>
            <family val="2"/>
          </rPr>
          <t xml:space="preserve">Minimum Input Voltage:
</t>
        </r>
        <r>
          <rPr>
            <sz val="9"/>
            <color indexed="81"/>
            <rFont val="Tahoma"/>
            <family val="2"/>
          </rPr>
          <t>Enter the minimum operating input voltage
The TPS61377 input voltage operating range is 2.9V to 23V.</t>
        </r>
        <r>
          <rPr>
            <b/>
            <sz val="9"/>
            <color indexed="81"/>
            <rFont val="Tahoma"/>
            <family val="2"/>
          </rPr>
          <t xml:space="preserve">
The text in the cell is flagged red if:
</t>
        </r>
        <r>
          <rPr>
            <sz val="9"/>
            <color indexed="10"/>
            <rFont val="Tahoma"/>
            <family val="2"/>
          </rPr>
          <t>-The input voltage is below 2.9V
-The input voltage is above 23V</t>
        </r>
      </text>
    </comment>
    <comment ref="C6" authorId="1" shapeId="0" xr:uid="{9BBC9F01-7064-4767-9055-A0F3210B1360}">
      <text>
        <r>
          <rPr>
            <b/>
            <sz val="9"/>
            <color indexed="81"/>
            <rFont val="Tahoma"/>
            <family val="2"/>
          </rPr>
          <t xml:space="preserve">Nominal Input Voltage:
</t>
        </r>
        <r>
          <rPr>
            <sz val="9"/>
            <color indexed="81"/>
            <rFont val="Tahoma"/>
            <family val="2"/>
          </rPr>
          <t>Enter the nominal operating input voltage
The TPS61377 input voltage operating range is 2.9V to 23V.</t>
        </r>
        <r>
          <rPr>
            <b/>
            <sz val="9"/>
            <color indexed="81"/>
            <rFont val="Tahoma"/>
            <family val="2"/>
          </rPr>
          <t xml:space="preserve">
The text in the cell is flagged red if:
</t>
        </r>
        <r>
          <rPr>
            <sz val="9"/>
            <color indexed="10"/>
            <rFont val="Tahoma"/>
            <family val="2"/>
          </rPr>
          <t>-The input voltage is above V</t>
        </r>
        <r>
          <rPr>
            <vertAlign val="subscript"/>
            <sz val="9"/>
            <color indexed="10"/>
            <rFont val="Tahoma"/>
            <family val="2"/>
          </rPr>
          <t>IN_max</t>
        </r>
        <r>
          <rPr>
            <sz val="9"/>
            <color indexed="10"/>
            <rFont val="Tahoma"/>
            <family val="2"/>
          </rPr>
          <t xml:space="preserve">
-The input voltage is below V</t>
        </r>
        <r>
          <rPr>
            <vertAlign val="subscript"/>
            <sz val="9"/>
            <color indexed="10"/>
            <rFont val="Tahoma"/>
            <family val="2"/>
          </rPr>
          <t>IN_min</t>
        </r>
      </text>
    </comment>
    <comment ref="C7" authorId="1" shapeId="0" xr:uid="{01BFBD8B-B4A7-422D-AEDB-BC231AF7CC6E}">
      <text>
        <r>
          <rPr>
            <b/>
            <sz val="9"/>
            <color indexed="81"/>
            <rFont val="Tahoma"/>
            <family val="2"/>
          </rPr>
          <t>Maximum Input Voltage:</t>
        </r>
        <r>
          <rPr>
            <sz val="9"/>
            <color indexed="81"/>
            <rFont val="Tahoma"/>
            <family val="2"/>
          </rPr>
          <t xml:space="preserve">
Enter the minimum operating input voltage
The TPS61377 input voltage operating range is 2.9V to 23V.
</t>
        </r>
        <r>
          <rPr>
            <b/>
            <sz val="9"/>
            <color indexed="81"/>
            <rFont val="Tahoma"/>
            <family val="2"/>
          </rPr>
          <t>The text in the cell is flagged red if:</t>
        </r>
        <r>
          <rPr>
            <sz val="9"/>
            <color indexed="81"/>
            <rFont val="Tahoma"/>
            <family val="2"/>
          </rPr>
          <t xml:space="preserve">
</t>
        </r>
        <r>
          <rPr>
            <sz val="9"/>
            <color indexed="10"/>
            <rFont val="Tahoma"/>
            <family val="2"/>
          </rPr>
          <t>-The input voltage is below 2.9V
-The input voltage is above 23V</t>
        </r>
      </text>
    </comment>
    <comment ref="C8" authorId="1" shapeId="0" xr:uid="{9BFD723C-909E-4D0A-BD4F-865AEA307826}">
      <text>
        <r>
          <rPr>
            <b/>
            <sz val="9"/>
            <color indexed="81"/>
            <rFont val="Tahoma"/>
            <family val="2"/>
          </rPr>
          <t xml:space="preserve">Output Voltage:
</t>
        </r>
        <r>
          <rPr>
            <sz val="9"/>
            <color indexed="81"/>
            <rFont val="Tahoma"/>
            <family val="2"/>
          </rPr>
          <t>Enter the designed operating output voltage
The TPS61377 maximum output voltage is 25V.</t>
        </r>
        <r>
          <rPr>
            <b/>
            <sz val="9"/>
            <color indexed="81"/>
            <rFont val="Tahoma"/>
            <family val="2"/>
          </rPr>
          <t xml:space="preserve">
The text in the cell is flagged red if:
</t>
        </r>
        <r>
          <rPr>
            <sz val="9"/>
            <color indexed="10"/>
            <rFont val="Tahoma"/>
            <family val="2"/>
          </rPr>
          <t>-The output voltage is above 25V or below 4.5V</t>
        </r>
      </text>
    </comment>
    <comment ref="C9" authorId="1" shapeId="0" xr:uid="{93FA8A4D-3068-46E2-AEC9-84305EF4EF76}">
      <text>
        <r>
          <rPr>
            <b/>
            <sz val="9"/>
            <color indexed="81"/>
            <rFont val="Tahoma"/>
            <family val="2"/>
          </rPr>
          <t xml:space="preserve">Customer wanted maximum output current.
</t>
        </r>
        <r>
          <rPr>
            <sz val="9"/>
            <color indexed="81"/>
            <rFont val="Tahoma"/>
            <family val="2"/>
          </rPr>
          <t xml:space="preserve">
</t>
        </r>
        <r>
          <rPr>
            <b/>
            <sz val="9"/>
            <color indexed="81"/>
            <rFont val="Tahoma"/>
            <family val="2"/>
          </rPr>
          <t>The text in the cell is flagged red if:</t>
        </r>
        <r>
          <rPr>
            <sz val="9"/>
            <color indexed="81"/>
            <rFont val="Tahoma"/>
            <family val="2"/>
          </rPr>
          <t xml:space="preserve">
</t>
        </r>
        <r>
          <rPr>
            <sz val="9"/>
            <color indexed="10"/>
            <rFont val="Tahoma"/>
            <family val="2"/>
          </rPr>
          <t>-It is bigger than the minimum guaranteed maximum calculated output current, I</t>
        </r>
        <r>
          <rPr>
            <vertAlign val="subscript"/>
            <sz val="9"/>
            <color indexed="10"/>
            <rFont val="Tahoma"/>
            <family val="2"/>
          </rPr>
          <t>OUT_max_cal</t>
        </r>
      </text>
    </comment>
    <comment ref="C10" authorId="1" shapeId="0" xr:uid="{99750C4B-89C0-4099-B2B1-EF7E7EE0B3FE}">
      <text>
        <r>
          <rPr>
            <sz val="9"/>
            <color indexed="81"/>
            <rFont val="Tahoma"/>
            <family val="2"/>
          </rPr>
          <t xml:space="preserve">Enter estimated efficiency based on practical input and output condition. Use 90% for a starting point. </t>
        </r>
      </text>
    </comment>
    <comment ref="C11" authorId="1" shapeId="0" xr:uid="{105656DE-D12E-4D80-8B11-9C10438D5EB7}">
      <text>
        <r>
          <rPr>
            <b/>
            <sz val="9"/>
            <color indexed="81"/>
            <rFont val="Tahoma"/>
            <family val="2"/>
          </rPr>
          <t xml:space="preserve">Typical switching frequency
</t>
        </r>
        <r>
          <rPr>
            <sz val="9"/>
            <color indexed="81"/>
            <rFont val="Tahoma"/>
            <family val="2"/>
          </rPr>
          <t>650kHz for TPS61377
1.2MHz for TPS613771</t>
        </r>
      </text>
    </comment>
    <comment ref="F11" authorId="0" shapeId="0" xr:uid="{9F618CFF-9756-43F1-A441-874BDC0078A3}">
      <text>
        <r>
          <rPr>
            <b/>
            <sz val="9"/>
            <color indexed="81"/>
            <rFont val="Tahoma"/>
            <family val="2"/>
          </rPr>
          <t>D = 0.5</t>
        </r>
        <r>
          <rPr>
            <sz val="9"/>
            <color indexed="81"/>
            <rFont val="Tahoma"/>
            <family val="2"/>
          </rPr>
          <t xml:space="preserve">
</t>
        </r>
      </text>
    </comment>
    <comment ref="F12" authorId="0" shapeId="0" xr:uid="{0220E1D3-3F91-4ECD-9596-BCED22307556}">
      <text>
        <r>
          <rPr>
            <b/>
            <sz val="9"/>
            <color indexed="81"/>
            <rFont val="Tahoma"/>
            <family val="2"/>
          </rPr>
          <t>D = 1/3</t>
        </r>
      </text>
    </comment>
    <comment ref="C14" authorId="1" shapeId="0" xr:uid="{4B220353-4FF7-4871-8376-0D13873BD295}">
      <text>
        <r>
          <rPr>
            <b/>
            <sz val="9"/>
            <color indexed="81"/>
            <rFont val="Tahoma"/>
            <family val="2"/>
          </rPr>
          <t>Min Duty Cycle at max input voltage</t>
        </r>
        <r>
          <rPr>
            <sz val="9"/>
            <color indexed="81"/>
            <rFont val="Tahoma"/>
            <family val="2"/>
          </rPr>
          <t xml:space="preserve">
</t>
        </r>
      </text>
    </comment>
    <comment ref="C15" authorId="1" shapeId="0" xr:uid="{273A4AC3-B0E5-427E-83D4-18EFBE3EA922}">
      <text>
        <r>
          <rPr>
            <b/>
            <sz val="9"/>
            <color indexed="81"/>
            <rFont val="Tahoma"/>
            <family val="2"/>
          </rPr>
          <t>Duty Cycle at normal input voltage</t>
        </r>
        <r>
          <rPr>
            <sz val="9"/>
            <color indexed="81"/>
            <rFont val="Tahoma"/>
            <family val="2"/>
          </rPr>
          <t xml:space="preserve">
</t>
        </r>
      </text>
    </comment>
    <comment ref="C16" authorId="1" shapeId="0" xr:uid="{C6CC738C-639B-4B14-9DC5-1461DB8656D7}">
      <text>
        <r>
          <rPr>
            <b/>
            <sz val="9"/>
            <color indexed="81"/>
            <rFont val="Tahoma"/>
            <family val="2"/>
          </rPr>
          <t>Max Duty Cycle at min input voltage</t>
        </r>
        <r>
          <rPr>
            <sz val="9"/>
            <color indexed="81"/>
            <rFont val="Tahoma"/>
            <family val="2"/>
          </rPr>
          <t xml:space="preserve">
</t>
        </r>
      </text>
    </comment>
    <comment ref="C17" authorId="0" shapeId="0" xr:uid="{15271FD2-7EBB-4DF3-AD49-40459B396391}">
      <text>
        <r>
          <rPr>
            <b/>
            <sz val="9"/>
            <color indexed="81"/>
            <rFont val="Tahoma"/>
            <family val="2"/>
          </rPr>
          <t>Minimum I</t>
        </r>
        <r>
          <rPr>
            <b/>
            <vertAlign val="subscript"/>
            <sz val="9"/>
            <color indexed="81"/>
            <rFont val="Tahoma"/>
            <family val="2"/>
          </rPr>
          <t>OUT_max</t>
        </r>
        <r>
          <rPr>
            <b/>
            <sz val="9"/>
            <color indexed="81"/>
            <rFont val="Tahoma"/>
            <family val="2"/>
          </rPr>
          <t xml:space="preserve">
</t>
        </r>
        <r>
          <rPr>
            <sz val="9"/>
            <color indexed="81"/>
            <rFont val="Tahoma"/>
            <family val="2"/>
          </rPr>
          <t>Please make sure that when calculate the guaranteed maximum I</t>
        </r>
        <r>
          <rPr>
            <vertAlign val="subscript"/>
            <sz val="9"/>
            <color indexed="81"/>
            <rFont val="Tahoma"/>
            <family val="2"/>
          </rPr>
          <t>OUT</t>
        </r>
        <r>
          <rPr>
            <sz val="9"/>
            <color indexed="81"/>
            <rFont val="Tahoma"/>
            <family val="2"/>
          </rPr>
          <t xml:space="preserve"> the minimum peak current limit should be used</t>
        </r>
      </text>
    </comment>
    <comment ref="K20" authorId="0" shapeId="0" xr:uid="{827998EA-F0DA-43E3-8B5A-FE775EEA9542}">
      <text>
        <r>
          <rPr>
            <sz val="9"/>
            <color indexed="81"/>
            <rFont val="Tahoma"/>
            <family val="2"/>
          </rPr>
          <t>Used for efficiency calculation when V</t>
        </r>
        <r>
          <rPr>
            <vertAlign val="subscript"/>
            <sz val="9"/>
            <color indexed="81"/>
            <rFont val="Tahoma"/>
            <family val="2"/>
          </rPr>
          <t xml:space="preserve">IN </t>
        </r>
        <r>
          <rPr>
            <sz val="9"/>
            <color indexed="81"/>
            <rFont val="Tahoma"/>
            <family val="2"/>
          </rPr>
          <t>= V</t>
        </r>
        <r>
          <rPr>
            <vertAlign val="subscript"/>
            <sz val="9"/>
            <color indexed="81"/>
            <rFont val="Tahoma"/>
            <family val="2"/>
          </rPr>
          <t>IN_nom</t>
        </r>
      </text>
    </comment>
    <comment ref="B21" authorId="0" shapeId="0" xr:uid="{1917F95A-F813-4AA8-8C35-B4037DC8860F}">
      <text>
        <r>
          <rPr>
            <sz val="9"/>
            <color indexed="81"/>
            <rFont val="Tahoma"/>
            <family val="2"/>
          </rPr>
          <t>The max ratio of inductor peak to peak current to average input current limit is achieved when duty = 1/3 if V</t>
        </r>
        <r>
          <rPr>
            <vertAlign val="subscript"/>
            <sz val="9"/>
            <color indexed="81"/>
            <rFont val="Tahoma"/>
            <family val="2"/>
          </rPr>
          <t>OUT</t>
        </r>
        <r>
          <rPr>
            <sz val="9"/>
            <color indexed="81"/>
            <rFont val="Tahoma"/>
            <family val="2"/>
          </rPr>
          <t>*2/3/Efficiency is in the V</t>
        </r>
        <r>
          <rPr>
            <vertAlign val="subscript"/>
            <sz val="9"/>
            <color indexed="81"/>
            <rFont val="Tahoma"/>
            <family val="2"/>
          </rPr>
          <t>IN</t>
        </r>
        <r>
          <rPr>
            <sz val="9"/>
            <color indexed="81"/>
            <rFont val="Tahoma"/>
            <family val="2"/>
          </rPr>
          <t xml:space="preserve"> range; 
Or at the V</t>
        </r>
        <r>
          <rPr>
            <vertAlign val="subscript"/>
            <sz val="9"/>
            <color indexed="81"/>
            <rFont val="Tahoma"/>
            <family val="2"/>
          </rPr>
          <t>IN</t>
        </r>
        <r>
          <rPr>
            <sz val="9"/>
            <color indexed="81"/>
            <rFont val="Tahoma"/>
            <family val="2"/>
          </rPr>
          <t xml:space="preserve"> which makes the duty closest to 1/3.</t>
        </r>
      </text>
    </comment>
    <comment ref="C21" authorId="1" shapeId="0" xr:uid="{FB9CE017-1F47-4574-B4BC-F32993C8CDE9}">
      <text>
        <r>
          <rPr>
            <b/>
            <sz val="9"/>
            <color indexed="81"/>
            <rFont val="Tahoma"/>
            <family val="2"/>
          </rPr>
          <t xml:space="preserve">Selected the Inductor Peak-to-Peak Current Ratio:
</t>
        </r>
        <r>
          <rPr>
            <sz val="9"/>
            <color indexed="81"/>
            <rFont val="Tahoma"/>
            <family val="2"/>
          </rPr>
          <t xml:space="preserve">The usually used max ratio of the inductor current ripple to the average inductor current is 40%. It's not a mandatory rule. When the Iout is small, the ratio can be bigger than 40% if the other requirements can be met. 
</t>
        </r>
      </text>
    </comment>
    <comment ref="B24" authorId="0" shapeId="0" xr:uid="{823EC4B6-6D30-47B8-BE7D-D97021D407F3}">
      <text>
        <r>
          <rPr>
            <sz val="9"/>
            <color indexed="81"/>
            <rFont val="Tahoma"/>
            <family val="2"/>
          </rPr>
          <t>The max inductor peak to peak current is achieved when duty = 0.5 if V</t>
        </r>
        <r>
          <rPr>
            <vertAlign val="subscript"/>
            <sz val="9"/>
            <color indexed="81"/>
            <rFont val="Tahoma"/>
            <family val="2"/>
          </rPr>
          <t>OUT</t>
        </r>
        <r>
          <rPr>
            <sz val="9"/>
            <color indexed="81"/>
            <rFont val="Tahoma"/>
            <family val="2"/>
          </rPr>
          <t>*0.5/Efficiency is in the V</t>
        </r>
        <r>
          <rPr>
            <vertAlign val="subscript"/>
            <sz val="9"/>
            <color indexed="81"/>
            <rFont val="Tahoma"/>
            <family val="2"/>
          </rPr>
          <t>IN</t>
        </r>
        <r>
          <rPr>
            <sz val="9"/>
            <color indexed="81"/>
            <rFont val="Tahoma"/>
            <family val="2"/>
          </rPr>
          <t xml:space="preserve"> range; 
Or at the V</t>
        </r>
        <r>
          <rPr>
            <vertAlign val="subscript"/>
            <sz val="9"/>
            <color indexed="81"/>
            <rFont val="Tahoma"/>
            <family val="2"/>
          </rPr>
          <t>IN</t>
        </r>
        <r>
          <rPr>
            <sz val="9"/>
            <color indexed="81"/>
            <rFont val="Tahoma"/>
            <family val="2"/>
          </rPr>
          <t xml:space="preserve"> which makes the duty closest to 0.5.</t>
        </r>
      </text>
    </comment>
    <comment ref="C25" authorId="1" shapeId="0" xr:uid="{B5F5CB60-6513-4DDD-9C5C-F2C6D747C423}">
      <text>
        <r>
          <rPr>
            <b/>
            <sz val="9"/>
            <color indexed="81"/>
            <rFont val="Tahoma"/>
            <family val="2"/>
          </rPr>
          <t xml:space="preserve">Selected Inductance Value:
</t>
        </r>
        <r>
          <rPr>
            <sz val="9"/>
            <color indexed="81"/>
            <rFont val="Tahoma"/>
            <family val="2"/>
          </rPr>
          <t>This is the selected inductance value. The calculated inductance value should be used as a guide line to select the inductance value.</t>
        </r>
      </text>
    </comment>
    <comment ref="C27" authorId="1" shapeId="0" xr:uid="{193D0846-C5B5-415F-A656-564D89CAC285}">
      <text>
        <r>
          <rPr>
            <b/>
            <sz val="9"/>
            <color indexed="81"/>
            <rFont val="Tahoma"/>
            <family val="2"/>
          </rPr>
          <t xml:space="preserve">Inductor Peak-to-Peak Current Ripple at minimum Vin:
</t>
        </r>
        <r>
          <rPr>
            <sz val="9"/>
            <color indexed="81"/>
            <rFont val="Tahoma"/>
            <family val="2"/>
          </rPr>
          <t>The text in this cell is flagged red if:</t>
        </r>
        <r>
          <rPr>
            <sz val="9"/>
            <color indexed="10"/>
            <rFont val="Tahoma"/>
            <family val="2"/>
          </rPr>
          <t xml:space="preserve">
- inductor current ripple is above the calculated maximum inductor peak-to-peak current ripple, IL</t>
        </r>
        <r>
          <rPr>
            <vertAlign val="subscript"/>
            <sz val="9"/>
            <color indexed="10"/>
            <rFont val="Tahoma"/>
            <family val="2"/>
          </rPr>
          <t xml:space="preserve">p2p_cal_max </t>
        </r>
      </text>
    </comment>
    <comment ref="C28" authorId="1" shapeId="0" xr:uid="{58CA8902-32BF-41B1-A1EC-8E30E55CA931}">
      <text>
        <r>
          <rPr>
            <b/>
            <sz val="9"/>
            <color indexed="81"/>
            <rFont val="Tahoma"/>
            <family val="2"/>
          </rPr>
          <t xml:space="preserve">Inductor Peak-to-Peak Current Ripple at nominal Vin:
</t>
        </r>
        <r>
          <rPr>
            <sz val="9"/>
            <color indexed="81"/>
            <rFont val="Tahoma"/>
            <family val="2"/>
          </rPr>
          <t xml:space="preserve">The text in this cell is flagged red if:
</t>
        </r>
        <r>
          <rPr>
            <sz val="9"/>
            <color indexed="10"/>
            <rFont val="Tahoma"/>
            <family val="2"/>
          </rPr>
          <t>- inductor current ripple is above the calculated maximum inductor peak-to-peak current ripple, IL</t>
        </r>
        <r>
          <rPr>
            <vertAlign val="subscript"/>
            <sz val="9"/>
            <color indexed="10"/>
            <rFont val="Tahoma"/>
            <family val="2"/>
          </rPr>
          <t xml:space="preserve">p2p_cal_max </t>
        </r>
      </text>
    </comment>
    <comment ref="C29" authorId="1" shapeId="0" xr:uid="{E1A5B09E-E45E-4979-9F16-289BB0529605}">
      <text>
        <r>
          <rPr>
            <b/>
            <sz val="9"/>
            <color indexed="81"/>
            <rFont val="Tahoma"/>
            <family val="2"/>
          </rPr>
          <t xml:space="preserve">Inductor Peak-to-Peak Current Ripple at maximum Vin:
</t>
        </r>
        <r>
          <rPr>
            <sz val="9"/>
            <color indexed="81"/>
            <rFont val="Tahoma"/>
            <family val="2"/>
          </rPr>
          <t xml:space="preserve">The text in this cell is flagged red if:
</t>
        </r>
        <r>
          <rPr>
            <sz val="9"/>
            <color indexed="10"/>
            <rFont val="Tahoma"/>
            <family val="2"/>
          </rPr>
          <t>- inductor current ripple is above the calculated maximum inductor peak-to-peak current ripple, IL</t>
        </r>
        <r>
          <rPr>
            <vertAlign val="subscript"/>
            <sz val="9"/>
            <color indexed="10"/>
            <rFont val="Tahoma"/>
            <family val="2"/>
          </rPr>
          <t xml:space="preserve">p2p_cal_max </t>
        </r>
      </text>
    </comment>
    <comment ref="C30" authorId="1" shapeId="0" xr:uid="{EFD9E56A-0F0F-4467-A40D-2F4D755C20D8}">
      <text>
        <r>
          <rPr>
            <b/>
            <sz val="9"/>
            <color indexed="81"/>
            <rFont val="Tahoma"/>
            <family val="2"/>
          </rPr>
          <t xml:space="preserve">Inductor Peak Current at minimum Vin:
</t>
        </r>
        <r>
          <rPr>
            <sz val="9"/>
            <color indexed="81"/>
            <rFont val="Tahoma"/>
            <family val="2"/>
          </rPr>
          <t>The chosen inductor Isat spec should be larger than calculated inductor peak current and leave 30% margin at least.</t>
        </r>
        <r>
          <rPr>
            <b/>
            <sz val="9"/>
            <color indexed="81"/>
            <rFont val="Tahoma"/>
            <family val="2"/>
          </rPr>
          <t xml:space="preserve">
</t>
        </r>
        <r>
          <rPr>
            <sz val="9"/>
            <color indexed="81"/>
            <rFont val="Tahoma"/>
            <family val="2"/>
          </rPr>
          <t xml:space="preserve">
The text in this cell is flagged red if:
</t>
        </r>
        <r>
          <rPr>
            <sz val="9"/>
            <color indexed="10"/>
            <rFont val="Tahoma"/>
            <family val="2"/>
          </rPr>
          <t>- calculated inductor peak current is larger than set maximum peak current limit</t>
        </r>
      </text>
    </comment>
    <comment ref="C31" authorId="1" shapeId="0" xr:uid="{2B17BDDC-8B85-4C08-8BB1-568BAA6D27F5}">
      <text>
        <r>
          <rPr>
            <b/>
            <sz val="9"/>
            <color indexed="81"/>
            <rFont val="Tahoma"/>
            <family val="2"/>
          </rPr>
          <t xml:space="preserve">Inductor RMS current at minimum Vin:
</t>
        </r>
        <r>
          <rPr>
            <sz val="9"/>
            <color indexed="81"/>
            <rFont val="Tahoma"/>
            <family val="2"/>
          </rPr>
          <t>The chosen inductor I</t>
        </r>
        <r>
          <rPr>
            <vertAlign val="subscript"/>
            <sz val="9"/>
            <color indexed="81"/>
            <rFont val="Tahoma"/>
            <family val="2"/>
          </rPr>
          <t>rms</t>
        </r>
        <r>
          <rPr>
            <sz val="9"/>
            <color indexed="81"/>
            <rFont val="Tahoma"/>
            <family val="2"/>
          </rPr>
          <t xml:space="preserve"> spec should be larger than calculated inductor RMS current.</t>
        </r>
      </text>
    </comment>
    <comment ref="C32" authorId="0" shapeId="0" xr:uid="{EE2220B0-70D4-44E5-AF84-009D51A7D5BA}">
      <text>
        <r>
          <rPr>
            <b/>
            <sz val="9"/>
            <color indexed="81"/>
            <rFont val="Tahoma"/>
            <family val="2"/>
          </rPr>
          <t xml:space="preserve">Inductor RMS current at nominal Vin:
</t>
        </r>
        <r>
          <rPr>
            <sz val="9"/>
            <color indexed="81"/>
            <rFont val="Tahoma"/>
            <family val="2"/>
          </rPr>
          <t>The nominal I</t>
        </r>
        <r>
          <rPr>
            <vertAlign val="subscript"/>
            <sz val="9"/>
            <color indexed="81"/>
            <rFont val="Tahoma"/>
            <family val="2"/>
          </rPr>
          <t>rms</t>
        </r>
        <r>
          <rPr>
            <sz val="9"/>
            <color indexed="81"/>
            <rFont val="Tahoma"/>
            <family val="2"/>
          </rPr>
          <t xml:space="preserve"> is used for efficiency calculation when V</t>
        </r>
        <r>
          <rPr>
            <vertAlign val="subscript"/>
            <sz val="9"/>
            <color indexed="81"/>
            <rFont val="Tahoma"/>
            <family val="2"/>
          </rPr>
          <t>IN</t>
        </r>
        <r>
          <rPr>
            <sz val="9"/>
            <color indexed="81"/>
            <rFont val="Tahoma"/>
            <family val="2"/>
          </rPr>
          <t xml:space="preserve"> = V</t>
        </r>
        <r>
          <rPr>
            <vertAlign val="subscript"/>
            <sz val="9"/>
            <color indexed="81"/>
            <rFont val="Tahoma"/>
            <family val="2"/>
          </rPr>
          <t>IN_nom</t>
        </r>
        <r>
          <rPr>
            <sz val="9"/>
            <color indexed="81"/>
            <rFont val="Tahoma"/>
            <family val="2"/>
          </rPr>
          <t xml:space="preserve">
</t>
        </r>
      </text>
    </comment>
    <comment ref="C37" authorId="1" shapeId="0" xr:uid="{BD7CA99D-0321-45CF-B788-891E0C25FFA9}">
      <text>
        <r>
          <rPr>
            <b/>
            <sz val="9"/>
            <color indexed="81"/>
            <rFont val="Tahoma"/>
            <family val="2"/>
          </rPr>
          <t xml:space="preserve">Output Capacitance:
</t>
        </r>
        <r>
          <rPr>
            <sz val="9"/>
            <color indexed="81"/>
            <rFont val="Tahoma"/>
            <family val="2"/>
          </rPr>
          <t>Enter the output capacitance here based on the minimum calculated result. Make sure that the nominal capacitance is appropriately degrated for applied voltage particularly with ceramics.</t>
        </r>
      </text>
    </comment>
    <comment ref="B39" authorId="0" shapeId="0" xr:uid="{1C1ABCCF-685A-4D01-9448-DFDE34143416}">
      <text>
        <r>
          <rPr>
            <sz val="9"/>
            <color indexed="81"/>
            <rFont val="Tahoma"/>
            <family val="2"/>
          </rPr>
          <t>If no electrolytic capacitor in output, please keep the cells B37 and B38 blank.</t>
        </r>
      </text>
    </comment>
    <comment ref="B40" authorId="0" shapeId="0" xr:uid="{B5933E3D-F70B-49FC-B4C1-1B5C96BBFE63}">
      <text>
        <r>
          <rPr>
            <sz val="9"/>
            <color indexed="81"/>
            <rFont val="Tahoma"/>
            <family val="2"/>
          </rPr>
          <t>If no electrolytic capacitor in output, please keep the cells B37 and B38 blank.</t>
        </r>
      </text>
    </comment>
    <comment ref="A50" authorId="0" shapeId="0" xr:uid="{93E801B0-7E52-4F47-B4D6-6AC9010A56A7}">
      <text>
        <r>
          <rPr>
            <b/>
            <sz val="9"/>
            <color indexed="81"/>
            <rFont val="Tahoma"/>
            <family val="2"/>
          </rPr>
          <t>Transfer function of power stage</t>
        </r>
        <r>
          <rPr>
            <sz val="9"/>
            <color indexed="81"/>
            <rFont val="Tahoma"/>
            <family val="2"/>
          </rPr>
          <t xml:space="preserve">
No input is needed here. All the necessary parameters have been filled in step 1 to 3</t>
        </r>
      </text>
    </comment>
    <comment ref="B52" authorId="0" shapeId="0" xr:uid="{4D57EA0D-9292-4C5F-B43F-7C9CF63BB3F0}">
      <text>
        <r>
          <rPr>
            <b/>
            <sz val="9"/>
            <color indexed="81"/>
            <rFont val="Tahoma"/>
            <family val="2"/>
          </rPr>
          <t xml:space="preserve">Output Capacitance:
</t>
        </r>
        <r>
          <rPr>
            <sz val="9"/>
            <color indexed="81"/>
            <rFont val="Tahoma"/>
            <family val="2"/>
          </rPr>
          <t>R</t>
        </r>
        <r>
          <rPr>
            <vertAlign val="subscript"/>
            <sz val="9"/>
            <color indexed="81"/>
            <rFont val="Tahoma"/>
            <family val="2"/>
          </rPr>
          <t>OUT</t>
        </r>
        <r>
          <rPr>
            <sz val="9"/>
            <color indexed="81"/>
            <rFont val="Tahoma"/>
            <family val="2"/>
          </rPr>
          <t xml:space="preserve"> = V</t>
        </r>
        <r>
          <rPr>
            <vertAlign val="subscript"/>
            <sz val="9"/>
            <color indexed="81"/>
            <rFont val="Tahoma"/>
            <family val="2"/>
          </rPr>
          <t>OUT</t>
        </r>
        <r>
          <rPr>
            <sz val="9"/>
            <color indexed="81"/>
            <rFont val="Tahoma"/>
            <family val="2"/>
          </rPr>
          <t>/I</t>
        </r>
        <r>
          <rPr>
            <vertAlign val="subscript"/>
            <sz val="9"/>
            <color indexed="81"/>
            <rFont val="Tahoma"/>
            <family val="2"/>
          </rPr>
          <t>OUT_max</t>
        </r>
      </text>
    </comment>
    <comment ref="B62" authorId="0" shapeId="0" xr:uid="{89D8C304-4B20-42E6-8605-57B79B71601E}">
      <text>
        <r>
          <rPr>
            <b/>
            <sz val="9"/>
            <color indexed="81"/>
            <rFont val="Tahoma"/>
            <family val="2"/>
          </rPr>
          <t>Please refer to the datasheet for this parameter</t>
        </r>
      </text>
    </comment>
    <comment ref="B63" authorId="0" shapeId="0" xr:uid="{D89B0DFA-C8A1-4F4F-B92C-565DB5E38190}">
      <text>
        <r>
          <rPr>
            <b/>
            <sz val="9"/>
            <color indexed="81"/>
            <rFont val="Tahoma"/>
            <family val="2"/>
          </rPr>
          <t>Please refer to the datasheet for this parameter</t>
        </r>
      </text>
    </comment>
    <comment ref="B64" authorId="0" shapeId="0" xr:uid="{D3580ED0-67F0-4AB5-BA56-494DE0B451F0}">
      <text>
        <r>
          <rPr>
            <b/>
            <sz val="9"/>
            <color indexed="81"/>
            <rFont val="Tahoma"/>
            <family val="2"/>
          </rPr>
          <t>Please refer to the datasheet for this parameter</t>
        </r>
      </text>
    </comment>
    <comment ref="B65" authorId="0" shapeId="0" xr:uid="{8136CAA0-A950-4F6B-8548-CA7B379982CC}">
      <text>
        <r>
          <rPr>
            <b/>
            <sz val="9"/>
            <color indexed="81"/>
            <rFont val="Tahoma"/>
            <family val="2"/>
          </rPr>
          <t xml:space="preserve">Please refer to the datasheet for this parameter
</t>
        </r>
        <r>
          <rPr>
            <sz val="9"/>
            <color indexed="81"/>
            <rFont val="Tahoma"/>
            <family val="2"/>
          </rPr>
          <t>R</t>
        </r>
        <r>
          <rPr>
            <vertAlign val="subscript"/>
            <sz val="9"/>
            <color indexed="81"/>
            <rFont val="Tahoma"/>
            <family val="2"/>
          </rPr>
          <t>sense</t>
        </r>
        <r>
          <rPr>
            <sz val="9"/>
            <color indexed="81"/>
            <rFont val="Tahoma"/>
            <family val="2"/>
          </rPr>
          <t>=1/K</t>
        </r>
        <r>
          <rPr>
            <vertAlign val="subscript"/>
            <sz val="9"/>
            <color indexed="81"/>
            <rFont val="Tahoma"/>
            <family val="2"/>
          </rPr>
          <t>comp</t>
        </r>
        <r>
          <rPr>
            <sz val="9"/>
            <color indexed="81"/>
            <rFont val="Tahoma"/>
            <family val="2"/>
          </rPr>
          <t xml:space="preserve">
K</t>
        </r>
        <r>
          <rPr>
            <vertAlign val="subscript"/>
            <sz val="9"/>
            <color indexed="81"/>
            <rFont val="Tahoma"/>
            <family val="2"/>
          </rPr>
          <t xml:space="preserve">comp </t>
        </r>
        <r>
          <rPr>
            <sz val="9"/>
            <color indexed="81"/>
            <rFont val="Tahoma"/>
            <family val="2"/>
          </rPr>
          <t>is specified in datasheet</t>
        </r>
      </text>
    </comment>
    <comment ref="B66" authorId="0" shapeId="0" xr:uid="{B8A821F1-55E7-4D84-9F5D-C7A07BFFE60D}">
      <text>
        <r>
          <rPr>
            <b/>
            <sz val="9"/>
            <color indexed="81"/>
            <rFont val="Tahoma"/>
            <family val="2"/>
          </rPr>
          <t xml:space="preserve">User defined compensation parameter
</t>
        </r>
        <r>
          <rPr>
            <sz val="9"/>
            <color indexed="81"/>
            <rFont val="Tahoma"/>
            <family val="2"/>
          </rPr>
          <t>In normal work conditions, the value in official EVM is recommended.</t>
        </r>
      </text>
    </comment>
    <comment ref="B67" authorId="0" shapeId="0" xr:uid="{2BEEB066-6D0B-47A5-86C1-20723BC05D4A}">
      <text>
        <r>
          <rPr>
            <b/>
            <sz val="9"/>
            <color indexed="81"/>
            <rFont val="Tahoma"/>
            <family val="2"/>
          </rPr>
          <t xml:space="preserve">User defined compensation parameter
</t>
        </r>
        <r>
          <rPr>
            <sz val="9"/>
            <color indexed="81"/>
            <rFont val="Tahoma"/>
            <family val="2"/>
          </rPr>
          <t>In normal work conditions, the value in official EVM is recommended.</t>
        </r>
      </text>
    </comment>
    <comment ref="B68" authorId="0" shapeId="0" xr:uid="{2526876B-3BAB-4577-9354-FA6552782F29}">
      <text>
        <r>
          <rPr>
            <b/>
            <sz val="9"/>
            <color indexed="81"/>
            <rFont val="Tahoma"/>
            <family val="2"/>
          </rPr>
          <t xml:space="preserve">User defined compensation parameter
</t>
        </r>
        <r>
          <rPr>
            <sz val="9"/>
            <color indexed="81"/>
            <rFont val="Tahoma"/>
            <family val="2"/>
          </rPr>
          <t>In normal work conditions, the value in official EVM is recommended.
If no C</t>
        </r>
        <r>
          <rPr>
            <vertAlign val="subscript"/>
            <sz val="9"/>
            <color indexed="81"/>
            <rFont val="Tahoma"/>
            <family val="2"/>
          </rPr>
          <t>p</t>
        </r>
        <r>
          <rPr>
            <sz val="9"/>
            <color indexed="81"/>
            <rFont val="Tahoma"/>
            <family val="2"/>
          </rPr>
          <t>, just leave this cell blank</t>
        </r>
      </text>
    </comment>
    <comment ref="A73" authorId="0" shapeId="0" xr:uid="{EBA17686-BAEB-4A8E-B09A-1E2B35ED103A}">
      <text>
        <r>
          <rPr>
            <b/>
            <sz val="9"/>
            <color indexed="81"/>
            <rFont val="Tahoma"/>
            <family val="2"/>
          </rPr>
          <t xml:space="preserve">Transfer function of power stage
</t>
        </r>
        <r>
          <rPr>
            <sz val="9"/>
            <color indexed="81"/>
            <rFont val="Tahoma"/>
            <family val="2"/>
          </rPr>
          <t>No input is needed here. All the necessary parameters have been filled in step 1 to 3</t>
        </r>
      </text>
    </comment>
    <comment ref="B84" authorId="0" shapeId="0" xr:uid="{D9B6E746-E246-4CDD-B38F-273068B3CD90}">
      <text>
        <r>
          <rPr>
            <b/>
            <sz val="9"/>
            <color indexed="81"/>
            <rFont val="Tahoma"/>
            <family val="2"/>
          </rPr>
          <t>Feedforward capacitor C</t>
        </r>
        <r>
          <rPr>
            <b/>
            <vertAlign val="subscript"/>
            <sz val="9"/>
            <color indexed="81"/>
            <rFont val="Tahoma"/>
            <family val="2"/>
          </rPr>
          <t>ff</t>
        </r>
        <r>
          <rPr>
            <b/>
            <sz val="9"/>
            <color indexed="81"/>
            <rFont val="Tahoma"/>
            <family val="2"/>
          </rPr>
          <t xml:space="preserve">
</t>
        </r>
        <r>
          <rPr>
            <sz val="9"/>
            <color indexed="81"/>
            <rFont val="Tahoma"/>
            <family val="2"/>
          </rPr>
          <t>If no C</t>
        </r>
        <r>
          <rPr>
            <vertAlign val="subscript"/>
            <sz val="9"/>
            <color indexed="81"/>
            <rFont val="Tahoma"/>
            <family val="2"/>
          </rPr>
          <t>ff</t>
        </r>
        <r>
          <rPr>
            <sz val="9"/>
            <color indexed="81"/>
            <rFont val="Tahoma"/>
            <family val="2"/>
          </rPr>
          <t>, just leave this cell blank</t>
        </r>
      </text>
    </comment>
    <comment ref="B97" authorId="0" shapeId="0" xr:uid="{E15F43CE-1268-477F-A6B8-6EE9FFF25129}">
      <text>
        <r>
          <rPr>
            <sz val="9"/>
            <color indexed="81"/>
            <rFont val="Tahoma"/>
            <family val="2"/>
          </rPr>
          <t>If the efficiency estimation is based on the inductor used on the official EVM, leave the cell B95 and B96 blank.</t>
        </r>
      </text>
    </comment>
    <comment ref="B98" authorId="0" shapeId="0" xr:uid="{A0D45ED8-B863-4846-A5C9-CE1E904454A6}">
      <text>
        <r>
          <rPr>
            <sz val="9"/>
            <color indexed="81"/>
            <rFont val="Tahoma"/>
            <family val="2"/>
          </rPr>
          <t>If the efficiency estimation is based on the inductor used on the official EVM, leave the cell B95 and B96 blank.</t>
        </r>
      </text>
    </comment>
    <comment ref="C100" authorId="1" shapeId="0" xr:uid="{6FF99BCA-6EB7-4C3A-B189-04121DB653C3}">
      <text>
        <r>
          <rPr>
            <sz val="9"/>
            <color indexed="81"/>
            <rFont val="Tahoma"/>
            <family val="2"/>
          </rPr>
          <t>Efficiency at Iout_max, Vin_nom condition, 25°C, ambient temperature.</t>
        </r>
        <r>
          <rPr>
            <sz val="9"/>
            <color indexed="81"/>
            <rFont val="Calibri"/>
            <family val="2"/>
          </rPr>
          <t xml:space="preserve"> </t>
        </r>
      </text>
    </comment>
    <comment ref="C101" authorId="1" shapeId="0" xr:uid="{FDE0D444-CCD4-4BAE-9AB4-1AFE09CA7928}">
      <text>
        <r>
          <rPr>
            <sz val="9"/>
            <color indexed="81"/>
            <rFont val="Tahoma"/>
            <family val="2"/>
          </rPr>
          <t>TPS61377 junction to ambient thermal resistance on EVM. The actual ƟJA depends on the PCB design.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Zhong, Lei</author>
  </authors>
  <commentList>
    <comment ref="B28" authorId="0" shapeId="0" xr:uid="{833F6957-62BC-4F92-A60F-16C53970D17D}">
      <text>
        <r>
          <rPr>
            <b/>
            <sz val="9"/>
            <color indexed="81"/>
            <rFont val="Tahoma"/>
            <family val="2"/>
          </rPr>
          <t xml:space="preserve">Inductor DCR:
</t>
        </r>
        <r>
          <rPr>
            <sz val="9"/>
            <color indexed="81"/>
            <rFont val="Tahoma"/>
            <family val="2"/>
          </rPr>
          <t>Data from inductor website</t>
        </r>
      </text>
    </comment>
    <comment ref="B30" authorId="0" shapeId="0" xr:uid="{638C1570-047A-4251-B174-2734638DD2A6}">
      <text>
        <r>
          <rPr>
            <b/>
            <sz val="9"/>
            <color indexed="81"/>
            <rFont val="Tahoma"/>
            <family val="2"/>
          </rPr>
          <t>Inductor AC loss, P</t>
        </r>
        <r>
          <rPr>
            <b/>
            <vertAlign val="subscript"/>
            <sz val="9"/>
            <color indexed="81"/>
            <rFont val="Tahoma"/>
            <family val="2"/>
          </rPr>
          <t>loss_inductor_AC</t>
        </r>
        <r>
          <rPr>
            <b/>
            <sz val="9"/>
            <color indexed="81"/>
            <rFont val="Tahoma"/>
            <family val="2"/>
          </rPr>
          <t xml:space="preserve">
</t>
        </r>
        <r>
          <rPr>
            <sz val="9"/>
            <color indexed="81"/>
            <rFont val="Tahoma"/>
            <family val="2"/>
          </rPr>
          <t>Find the data of inductor AC loss from official website or ask from vendor</t>
        </r>
      </text>
    </comment>
    <comment ref="B36" authorId="0" shapeId="0" xr:uid="{B9C4F98C-4939-46AC-9755-BAD3004F8DF2}">
      <text>
        <r>
          <rPr>
            <sz val="9"/>
            <color indexed="81"/>
            <rFont val="Tahoma"/>
            <family val="2"/>
          </rPr>
          <t>FET-on resistance, temperature coefficient is 0.4%/°C. The supposed temperature rise is 40°C.</t>
        </r>
        <r>
          <rPr>
            <sz val="9"/>
            <color indexed="81"/>
            <rFont val="Tahoma"/>
            <family val="2"/>
          </rPr>
          <t xml:space="preserve">
</t>
        </r>
      </text>
    </comment>
    <comment ref="B58" authorId="0" shapeId="0" xr:uid="{02478C77-545B-44F7-ACE4-0A08ED875457}">
      <text>
        <r>
          <rPr>
            <b/>
            <sz val="9"/>
            <color indexed="81"/>
            <rFont val="Tahoma"/>
            <family val="2"/>
          </rPr>
          <t>=VCC</t>
        </r>
        <r>
          <rPr>
            <sz val="9"/>
            <color indexed="81"/>
            <rFont val="Tahoma"/>
            <family val="2"/>
          </rPr>
          <t xml:space="preserve">
</t>
        </r>
      </text>
    </comment>
    <comment ref="B59" authorId="0" shapeId="0" xr:uid="{484B9E66-C340-4034-BFDD-45F07866CA8D}">
      <text>
        <r>
          <rPr>
            <b/>
            <sz val="9"/>
            <color indexed="81"/>
            <rFont val="Tahoma"/>
            <family val="2"/>
          </rPr>
          <t>=VCC</t>
        </r>
        <r>
          <rPr>
            <sz val="9"/>
            <color indexed="81"/>
            <rFont val="Tahoma"/>
            <family val="2"/>
          </rPr>
          <t xml:space="preserve">
</t>
        </r>
      </text>
    </comment>
    <comment ref="B70" authorId="0" shapeId="0" xr:uid="{38E8D020-0CBC-4F35-AEBF-8435FA815E79}">
      <text>
        <r>
          <rPr>
            <sz val="9"/>
            <color indexed="81"/>
            <rFont val="Tahoma"/>
            <family val="2"/>
          </rPr>
          <t>Leave an action here to further check whether there should be the coefficient 1/2</t>
        </r>
      </text>
    </comment>
    <comment ref="B71" authorId="0" shapeId="0" xr:uid="{F63D7290-2CDE-40A7-8604-34291BEF1EE4}">
      <text>
        <r>
          <rPr>
            <sz val="9"/>
            <color indexed="81"/>
            <rFont val="Tahoma"/>
            <family val="2"/>
          </rPr>
          <t xml:space="preserve">Leave an action here to further check whether there should be the coefficient 1/2
</t>
        </r>
      </text>
    </comment>
    <comment ref="B92" authorId="0" shapeId="0" xr:uid="{D3B28473-4F4E-4E45-A07B-F211A7AC7F86}">
      <text>
        <r>
          <rPr>
            <sz val="9"/>
            <color indexed="81"/>
            <rFont val="Tahoma"/>
            <family val="2"/>
          </rPr>
          <t xml:space="preserve">Suppose the dead time losses for high side FET are the same for turn on and turn off 
</t>
        </r>
      </text>
    </comment>
  </commentList>
</comments>
</file>

<file path=xl/sharedStrings.xml><?xml version="1.0" encoding="utf-8"?>
<sst xmlns="http://schemas.openxmlformats.org/spreadsheetml/2006/main" count="584" uniqueCount="367">
  <si>
    <t>TPS61377 Boost Converter Design Tool</t>
  </si>
  <si>
    <t>User's Input</t>
  </si>
  <si>
    <t>ABOUT</t>
  </si>
  <si>
    <t>Terms of Use</t>
  </si>
  <si>
    <t>Step 1: Operating Specifications</t>
  </si>
  <si>
    <t>Description</t>
  </si>
  <si>
    <t>Value</t>
  </si>
  <si>
    <t>Units</t>
  </si>
  <si>
    <r>
      <t xml:space="preserve">Efficiency, </t>
    </r>
    <r>
      <rPr>
        <sz val="11"/>
        <color theme="1"/>
        <rFont val="Calibri"/>
        <family val="2"/>
      </rPr>
      <t>η</t>
    </r>
  </si>
  <si>
    <t>V</t>
  </si>
  <si>
    <t>A</t>
  </si>
  <si>
    <t>%</t>
  </si>
  <si>
    <t>MHz</t>
  </si>
  <si>
    <t>kΩ</t>
  </si>
  <si>
    <t>-</t>
  </si>
  <si>
    <t>Step 2: Inductor Selection</t>
  </si>
  <si>
    <r>
      <rPr>
        <sz val="11"/>
        <color theme="1"/>
        <rFont val="Calibri"/>
        <family val="2"/>
      </rPr>
      <t>μ</t>
    </r>
    <r>
      <rPr>
        <sz val="11"/>
        <color theme="1"/>
        <rFont val="Calibri"/>
        <family val="2"/>
        <scheme val="minor"/>
      </rPr>
      <t>H</t>
    </r>
  </si>
  <si>
    <t>μH</t>
  </si>
  <si>
    <t>mΩ</t>
  </si>
  <si>
    <t>Step 3: Output Capacitor Selection</t>
  </si>
  <si>
    <t>μF</t>
  </si>
  <si>
    <t>Step 4: Input Capacitor Selection</t>
  </si>
  <si>
    <t>mV</t>
  </si>
  <si>
    <t>µF</t>
  </si>
  <si>
    <t>Step 5: Feedback and Compensation Design</t>
  </si>
  <si>
    <t>kHz</t>
  </si>
  <si>
    <t>nF</t>
  </si>
  <si>
    <t>pF</t>
  </si>
  <si>
    <t>dB</t>
  </si>
  <si>
    <t>Step 6: Efficiency and Temp Rise Calculation</t>
  </si>
  <si>
    <t>mW</t>
  </si>
  <si>
    <t>°C/W</t>
  </si>
  <si>
    <t>°C</t>
  </si>
  <si>
    <r>
      <t>Input minimum voltage, V</t>
    </r>
    <r>
      <rPr>
        <vertAlign val="subscript"/>
        <sz val="11"/>
        <color theme="1"/>
        <rFont val="Calibri"/>
        <family val="2"/>
        <scheme val="minor"/>
      </rPr>
      <t>IN_min</t>
    </r>
  </si>
  <si>
    <r>
      <t>Input nominal voltage, V</t>
    </r>
    <r>
      <rPr>
        <vertAlign val="subscript"/>
        <sz val="11"/>
        <color theme="1"/>
        <rFont val="Calibri"/>
        <family val="2"/>
        <scheme val="minor"/>
      </rPr>
      <t>IN_nom</t>
    </r>
  </si>
  <si>
    <r>
      <t>Input maximum voltage, V</t>
    </r>
    <r>
      <rPr>
        <vertAlign val="subscript"/>
        <sz val="11"/>
        <color theme="1"/>
        <rFont val="Calibri"/>
        <family val="2"/>
        <scheme val="minor"/>
      </rPr>
      <t>IN_max</t>
    </r>
  </si>
  <si>
    <r>
      <t>Output voltage, V</t>
    </r>
    <r>
      <rPr>
        <vertAlign val="subscript"/>
        <sz val="11"/>
        <color theme="1"/>
        <rFont val="Calibri"/>
        <family val="2"/>
        <scheme val="minor"/>
      </rPr>
      <t>OUT</t>
    </r>
  </si>
  <si>
    <t>vin_min</t>
  </si>
  <si>
    <t>vin_nom</t>
  </si>
  <si>
    <t>vin_max</t>
  </si>
  <si>
    <t>vout</t>
  </si>
  <si>
    <t>Variable list</t>
  </si>
  <si>
    <t>efficiency</t>
  </si>
  <si>
    <t>ilimit_nom</t>
  </si>
  <si>
    <r>
      <t>Programmable peak current limit resistor, R</t>
    </r>
    <r>
      <rPr>
        <b/>
        <vertAlign val="subscript"/>
        <sz val="11"/>
        <color theme="5"/>
        <rFont val="Calibri"/>
        <family val="2"/>
        <scheme val="minor"/>
      </rPr>
      <t>ILIM</t>
    </r>
    <r>
      <rPr>
        <b/>
        <sz val="11"/>
        <color theme="5"/>
        <rFont val="Calibri"/>
        <family val="2"/>
        <scheme val="minor"/>
      </rPr>
      <t xml:space="preserve"> </t>
    </r>
  </si>
  <si>
    <t>Switching frequency, f</t>
  </si>
  <si>
    <r>
      <t>Minimum duty cycle, D</t>
    </r>
    <r>
      <rPr>
        <vertAlign val="subscript"/>
        <sz val="11"/>
        <color theme="1"/>
        <rFont val="Calibri"/>
        <family val="2"/>
        <scheme val="minor"/>
      </rPr>
      <t>min</t>
    </r>
    <r>
      <rPr>
        <sz val="11"/>
        <color theme="1"/>
        <rFont val="Calibri"/>
        <family val="2"/>
        <scheme val="minor"/>
      </rPr>
      <t xml:space="preserve">   </t>
    </r>
  </si>
  <si>
    <r>
      <t>Maximum duty cycle, D</t>
    </r>
    <r>
      <rPr>
        <vertAlign val="subscript"/>
        <sz val="11"/>
        <color theme="1"/>
        <rFont val="Calibri"/>
        <family val="2"/>
        <scheme val="minor"/>
      </rPr>
      <t>max</t>
    </r>
    <r>
      <rPr>
        <sz val="11"/>
        <color theme="1"/>
        <rFont val="Calibri"/>
        <family val="2"/>
        <scheme val="minor"/>
      </rPr>
      <t xml:space="preserve">   </t>
    </r>
  </si>
  <si>
    <t>rilim</t>
  </si>
  <si>
    <t>duty_min</t>
  </si>
  <si>
    <t>duty_nom</t>
  </si>
  <si>
    <t>duty_max</t>
  </si>
  <si>
    <t>f</t>
  </si>
  <si>
    <t>L</t>
  </si>
  <si>
    <r>
      <t>Maximum actual output current, I</t>
    </r>
    <r>
      <rPr>
        <vertAlign val="subscript"/>
        <sz val="11"/>
        <color theme="1"/>
        <rFont val="Calibri"/>
        <family val="2"/>
        <scheme val="minor"/>
      </rPr>
      <t>OUT_act_max</t>
    </r>
  </si>
  <si>
    <r>
      <t>Maximum calculated output current, I</t>
    </r>
    <r>
      <rPr>
        <b/>
        <vertAlign val="subscript"/>
        <sz val="11"/>
        <color theme="5"/>
        <rFont val="Calibri"/>
        <family val="2"/>
        <scheme val="minor"/>
      </rPr>
      <t>OUT_cal_max</t>
    </r>
  </si>
  <si>
    <t>iout_actual_max</t>
  </si>
  <si>
    <t>iout_cal_max</t>
  </si>
  <si>
    <t>iL_p2p_ratio_max</t>
  </si>
  <si>
    <r>
      <t>Calculate the maximum input average current, I</t>
    </r>
    <r>
      <rPr>
        <vertAlign val="subscript"/>
        <sz val="11"/>
        <color theme="1"/>
        <rFont val="Calibri"/>
        <family val="2"/>
        <scheme val="minor"/>
      </rPr>
      <t>IN_max</t>
    </r>
  </si>
  <si>
    <t>iin_max</t>
  </si>
  <si>
    <t>iL_p2p_cal_max</t>
  </si>
  <si>
    <t>L_cal_min</t>
  </si>
  <si>
    <t>R_L_DCR</t>
  </si>
  <si>
    <t>Selected inductance, L</t>
  </si>
  <si>
    <r>
      <t>Actual inductor DCR, R</t>
    </r>
    <r>
      <rPr>
        <vertAlign val="subscript"/>
        <sz val="11"/>
        <color theme="1"/>
        <rFont val="Calibri"/>
        <family val="2"/>
        <scheme val="minor"/>
      </rPr>
      <t>L_DCR</t>
    </r>
  </si>
  <si>
    <t>iL_p2p_act_min</t>
  </si>
  <si>
    <t>iL_p2p_act_nom</t>
  </si>
  <si>
    <t>iL_p2p_act_max</t>
  </si>
  <si>
    <t>iL_act_max</t>
  </si>
  <si>
    <t>iL_rms_act_max</t>
  </si>
  <si>
    <r>
      <t>Inductor peak-to-peak current at V</t>
    </r>
    <r>
      <rPr>
        <vertAlign val="subscript"/>
        <sz val="11"/>
        <color theme="1"/>
        <rFont val="Calibri"/>
        <family val="2"/>
        <scheme val="minor"/>
      </rPr>
      <t>IN_min</t>
    </r>
    <r>
      <rPr>
        <sz val="11"/>
        <color theme="1"/>
        <rFont val="Calibri"/>
        <family val="2"/>
        <scheme val="minor"/>
      </rPr>
      <t>, IL</t>
    </r>
    <r>
      <rPr>
        <vertAlign val="subscript"/>
        <sz val="11"/>
        <color theme="1"/>
        <rFont val="Calibri"/>
        <family val="2"/>
        <scheme val="minor"/>
      </rPr>
      <t>p2p_act_min</t>
    </r>
  </si>
  <si>
    <r>
      <t>Inductor peak-to-peak current at V</t>
    </r>
    <r>
      <rPr>
        <vertAlign val="subscript"/>
        <sz val="11"/>
        <color theme="1"/>
        <rFont val="Calibri"/>
        <family val="2"/>
        <scheme val="minor"/>
      </rPr>
      <t>IN_nom</t>
    </r>
    <r>
      <rPr>
        <sz val="11"/>
        <color theme="1"/>
        <rFont val="Calibri"/>
        <family val="2"/>
        <scheme val="minor"/>
      </rPr>
      <t>, IL</t>
    </r>
    <r>
      <rPr>
        <vertAlign val="subscript"/>
        <sz val="11"/>
        <color theme="1"/>
        <rFont val="Calibri"/>
        <family val="2"/>
        <scheme val="minor"/>
      </rPr>
      <t>p2p_act_nom</t>
    </r>
  </si>
  <si>
    <r>
      <t>Inductor peak-to-peak current at V</t>
    </r>
    <r>
      <rPr>
        <vertAlign val="subscript"/>
        <sz val="11"/>
        <color theme="1"/>
        <rFont val="Calibri"/>
        <family val="2"/>
        <scheme val="minor"/>
      </rPr>
      <t>IN_max</t>
    </r>
    <r>
      <rPr>
        <sz val="11"/>
        <color theme="1"/>
        <rFont val="Calibri"/>
        <family val="2"/>
        <scheme val="minor"/>
      </rPr>
      <t>, IL</t>
    </r>
    <r>
      <rPr>
        <vertAlign val="subscript"/>
        <sz val="11"/>
        <color theme="1"/>
        <rFont val="Calibri"/>
        <family val="2"/>
        <scheme val="minor"/>
      </rPr>
      <t>p2p_act_max</t>
    </r>
  </si>
  <si>
    <r>
      <t>Maximum inductor peak current, IL</t>
    </r>
    <r>
      <rPr>
        <vertAlign val="subscript"/>
        <sz val="11"/>
        <color theme="1"/>
        <rFont val="Calibri"/>
        <family val="2"/>
        <scheme val="minor"/>
      </rPr>
      <t>act_max</t>
    </r>
  </si>
  <si>
    <r>
      <t>Maximum inductor RMS current, IL</t>
    </r>
    <r>
      <rPr>
        <vertAlign val="subscript"/>
        <sz val="11"/>
        <color theme="1"/>
        <rFont val="Calibri"/>
        <family val="2"/>
        <scheme val="minor"/>
      </rPr>
      <t>rms_act_max</t>
    </r>
  </si>
  <si>
    <t>vout_p2p_max</t>
  </si>
  <si>
    <r>
      <t>Maximum acceptable output voltage ripple, V</t>
    </r>
    <r>
      <rPr>
        <vertAlign val="subscript"/>
        <sz val="11"/>
        <color theme="1"/>
        <rFont val="Calibri"/>
        <family val="2"/>
        <scheme val="minor"/>
      </rPr>
      <t>OUT_p2p_max</t>
    </r>
  </si>
  <si>
    <r>
      <t>Recommended minimum effective output capacitance, C</t>
    </r>
    <r>
      <rPr>
        <b/>
        <vertAlign val="subscript"/>
        <sz val="11"/>
        <color theme="5"/>
        <rFont val="Calibri"/>
        <family val="2"/>
        <scheme val="minor"/>
      </rPr>
      <t>OUT_cal_min</t>
    </r>
  </si>
  <si>
    <r>
      <t>Total ESR of output MLCC capacitors, R</t>
    </r>
    <r>
      <rPr>
        <vertAlign val="subscript"/>
        <sz val="11"/>
        <color theme="1"/>
        <rFont val="Calibri"/>
        <family val="2"/>
        <scheme val="minor"/>
      </rPr>
      <t>ESR_MLCC</t>
    </r>
    <r>
      <rPr>
        <sz val="11"/>
        <color theme="1"/>
        <rFont val="Calibri"/>
        <family val="2"/>
        <scheme val="minor"/>
      </rPr>
      <t xml:space="preserve"> </t>
    </r>
  </si>
  <si>
    <r>
      <t>Selected effective output capacitance of MLCC capacitors, C</t>
    </r>
    <r>
      <rPr>
        <vertAlign val="subscript"/>
        <sz val="11"/>
        <color theme="1"/>
        <rFont val="Calibri"/>
        <family val="2"/>
        <scheme val="minor"/>
      </rPr>
      <t>OUT_MLCC</t>
    </r>
  </si>
  <si>
    <t>Cout_cal_min</t>
  </si>
  <si>
    <t>Cout_MLCC</t>
  </si>
  <si>
    <t>Resr_MLCC</t>
  </si>
  <si>
    <t>Cout_elec</t>
  </si>
  <si>
    <t>Resr_elec</t>
  </si>
  <si>
    <r>
      <t>Selected effective output capacitance of electrolytic capacitor, C</t>
    </r>
    <r>
      <rPr>
        <vertAlign val="subscript"/>
        <sz val="11"/>
        <color theme="1"/>
        <rFont val="Calibri"/>
        <family val="2"/>
        <scheme val="minor"/>
      </rPr>
      <t>OUT_MLCC</t>
    </r>
  </si>
  <si>
    <r>
      <t>ESR of output electrolytic capacitors, C</t>
    </r>
    <r>
      <rPr>
        <vertAlign val="subscript"/>
        <sz val="11"/>
        <color theme="1"/>
        <rFont val="Calibri"/>
        <family val="2"/>
        <scheme val="minor"/>
      </rPr>
      <t>OUT_elec</t>
    </r>
    <r>
      <rPr>
        <sz val="11"/>
        <color theme="1"/>
        <rFont val="Calibri"/>
        <family val="2"/>
        <scheme val="minor"/>
      </rPr>
      <t xml:space="preserve"> </t>
    </r>
  </si>
  <si>
    <t>icout_rms</t>
  </si>
  <si>
    <r>
      <t>Maximum acceptable input voltage ripple, V</t>
    </r>
    <r>
      <rPr>
        <vertAlign val="subscript"/>
        <sz val="11"/>
        <color theme="1"/>
        <rFont val="Calibri"/>
        <family val="2"/>
        <scheme val="minor"/>
      </rPr>
      <t>IN_p2p_max</t>
    </r>
  </si>
  <si>
    <t>vin_p2p_max</t>
  </si>
  <si>
    <r>
      <t xml:space="preserve"> Recommended minimum input capacitance, C</t>
    </r>
    <r>
      <rPr>
        <b/>
        <vertAlign val="subscript"/>
        <sz val="11"/>
        <color theme="5"/>
        <rFont val="Calibri"/>
        <family val="2"/>
        <scheme val="minor"/>
      </rPr>
      <t>IN_cal_min</t>
    </r>
  </si>
  <si>
    <t>Cin_cal_min</t>
  </si>
  <si>
    <r>
      <t>Input capacitance, C</t>
    </r>
    <r>
      <rPr>
        <vertAlign val="subscript"/>
        <sz val="11"/>
        <color theme="1"/>
        <rFont val="Calibri"/>
        <family val="2"/>
        <scheme val="minor"/>
      </rPr>
      <t>IN_act</t>
    </r>
  </si>
  <si>
    <t>Cin_act</t>
  </si>
  <si>
    <r>
      <t>RMS current of the input capacitor, I</t>
    </r>
    <r>
      <rPr>
        <vertAlign val="subscript"/>
        <sz val="11"/>
        <color theme="1"/>
        <rFont val="Calibri"/>
        <family val="2"/>
        <scheme val="minor"/>
      </rPr>
      <t>CIN_rms</t>
    </r>
  </si>
  <si>
    <t>Power Stage</t>
  </si>
  <si>
    <t>Feedback, EA and Comp</t>
  </si>
  <si>
    <r>
      <t>Load resistance, R</t>
    </r>
    <r>
      <rPr>
        <vertAlign val="subscript"/>
        <sz val="11"/>
        <color theme="1"/>
        <rFont val="Calibri"/>
        <family val="2"/>
        <scheme val="minor"/>
      </rPr>
      <t>OUT</t>
    </r>
  </si>
  <si>
    <t>Ω</t>
  </si>
  <si>
    <t>Rout</t>
  </si>
  <si>
    <r>
      <t>Total effective output capacitance, C</t>
    </r>
    <r>
      <rPr>
        <vertAlign val="subscript"/>
        <sz val="11"/>
        <color theme="1"/>
        <rFont val="Calibri"/>
        <family val="2"/>
        <scheme val="minor"/>
      </rPr>
      <t>OUT</t>
    </r>
  </si>
  <si>
    <t>Cout</t>
  </si>
  <si>
    <t xml:space="preserve">Switching frequency in steady-state, f </t>
  </si>
  <si>
    <t>Duty cycle in steady-state, D</t>
  </si>
  <si>
    <t>D</t>
  </si>
  <si>
    <r>
      <t>DC gain of power stage, A</t>
    </r>
    <r>
      <rPr>
        <b/>
        <vertAlign val="subscript"/>
        <sz val="11"/>
        <color theme="5"/>
        <rFont val="Calibri"/>
        <family val="2"/>
        <scheme val="minor"/>
      </rPr>
      <t>PS</t>
    </r>
  </si>
  <si>
    <r>
      <t>Right-half-plane zero of power stage, z</t>
    </r>
    <r>
      <rPr>
        <b/>
        <vertAlign val="subscript"/>
        <sz val="11"/>
        <color theme="5"/>
        <rFont val="Calibri"/>
        <family val="2"/>
        <scheme val="minor"/>
      </rPr>
      <t>RHP</t>
    </r>
  </si>
  <si>
    <r>
      <t>Small pole of power stage, p</t>
    </r>
    <r>
      <rPr>
        <b/>
        <vertAlign val="subscript"/>
        <sz val="11"/>
        <color theme="5"/>
        <rFont val="Calibri"/>
        <family val="2"/>
        <scheme val="minor"/>
      </rPr>
      <t>small</t>
    </r>
  </si>
  <si>
    <r>
      <t>Large pole of power stage, p</t>
    </r>
    <r>
      <rPr>
        <b/>
        <vertAlign val="subscript"/>
        <sz val="11"/>
        <color theme="5"/>
        <rFont val="Calibri"/>
        <family val="2"/>
        <scheme val="minor"/>
      </rPr>
      <t>large</t>
    </r>
  </si>
  <si>
    <t>Hz</t>
  </si>
  <si>
    <t>Feedback, EA and Compensation</t>
  </si>
  <si>
    <r>
      <rPr>
        <b/>
        <sz val="14"/>
        <color theme="1"/>
        <rFont val="Calibri"/>
        <family val="2"/>
        <scheme val="minor"/>
      </rPr>
      <t>Pay attention</t>
    </r>
    <r>
      <rPr>
        <sz val="11"/>
        <color theme="1"/>
        <rFont val="Calibri"/>
        <family val="2"/>
        <scheme val="minor"/>
      </rPr>
      <t xml:space="preserve"> that the effective capacitance decreases significantly as the DC voltage increases.</t>
    </r>
  </si>
  <si>
    <r>
      <t xml:space="preserve">Following is an example of the Cout capacitor </t>
    </r>
    <r>
      <rPr>
        <sz val="11"/>
        <color rgb="FFFF0000"/>
        <rFont val="Calibri"/>
        <family val="2"/>
        <scheme val="minor"/>
      </rPr>
      <t>CGA5L1X7R1H106K160AC</t>
    </r>
  </si>
  <si>
    <r>
      <t>Reference voltage, V</t>
    </r>
    <r>
      <rPr>
        <vertAlign val="subscript"/>
        <sz val="11"/>
        <color theme="1"/>
        <rFont val="Calibri"/>
        <family val="2"/>
        <scheme val="minor"/>
      </rPr>
      <t>REF</t>
    </r>
  </si>
  <si>
    <r>
      <t>Transconductance of the amplifier, G</t>
    </r>
    <r>
      <rPr>
        <vertAlign val="subscript"/>
        <sz val="11"/>
        <color theme="1"/>
        <rFont val="Calibri"/>
        <family val="2"/>
        <scheme val="minor"/>
      </rPr>
      <t>EA</t>
    </r>
  </si>
  <si>
    <r>
      <t>Output resistance of the amplifier, R</t>
    </r>
    <r>
      <rPr>
        <vertAlign val="subscript"/>
        <sz val="11"/>
        <color theme="1"/>
        <rFont val="Calibri"/>
        <family val="2"/>
        <scheme val="minor"/>
      </rPr>
      <t>EA</t>
    </r>
  </si>
  <si>
    <r>
      <t>DC gain of EA, A</t>
    </r>
    <r>
      <rPr>
        <b/>
        <vertAlign val="subscript"/>
        <sz val="11"/>
        <color theme="5"/>
        <rFont val="Calibri"/>
        <family val="2"/>
        <scheme val="minor"/>
      </rPr>
      <t>EA</t>
    </r>
  </si>
  <si>
    <r>
      <t>Main pole of EA, p</t>
    </r>
    <r>
      <rPr>
        <b/>
        <vertAlign val="subscript"/>
        <sz val="11"/>
        <color theme="5"/>
        <rFont val="Calibri"/>
        <family val="2"/>
        <scheme val="minor"/>
      </rPr>
      <t>EA</t>
    </r>
  </si>
  <si>
    <r>
      <t>Zero of compensation, z</t>
    </r>
    <r>
      <rPr>
        <b/>
        <vertAlign val="subscript"/>
        <sz val="11"/>
        <color theme="5"/>
        <rFont val="Calibri"/>
        <family val="2"/>
        <scheme val="minor"/>
      </rPr>
      <t>comp</t>
    </r>
  </si>
  <si>
    <r>
      <t>Pole of compensation, p</t>
    </r>
    <r>
      <rPr>
        <b/>
        <vertAlign val="subscript"/>
        <sz val="11"/>
        <color theme="5"/>
        <rFont val="Calibri"/>
        <family val="2"/>
        <scheme val="minor"/>
      </rPr>
      <t>comp</t>
    </r>
  </si>
  <si>
    <t>vref</t>
  </si>
  <si>
    <t>Rsense</t>
  </si>
  <si>
    <t>A_EA</t>
  </si>
  <si>
    <t>A_PS</t>
  </si>
  <si>
    <t>z_RHP</t>
  </si>
  <si>
    <t>p_small</t>
  </si>
  <si>
    <t>p_large</t>
  </si>
  <si>
    <t>p_EA</t>
  </si>
  <si>
    <t>z_comp</t>
  </si>
  <si>
    <t>p_comp</t>
  </si>
  <si>
    <t>MΩ</t>
  </si>
  <si>
    <t>μS</t>
  </si>
  <si>
    <t>G_EA</t>
  </si>
  <si>
    <t>R_EA</t>
  </si>
  <si>
    <t>1/Ω</t>
  </si>
  <si>
    <t>Zeros and pole from Cout ESR</t>
  </si>
  <si>
    <r>
      <t>Zero 1 of C</t>
    </r>
    <r>
      <rPr>
        <b/>
        <vertAlign val="subscript"/>
        <sz val="11"/>
        <color theme="5"/>
        <rFont val="Calibri"/>
        <family val="2"/>
        <scheme val="minor"/>
      </rPr>
      <t>OUT</t>
    </r>
    <r>
      <rPr>
        <b/>
        <sz val="11"/>
        <color theme="5"/>
        <rFont val="Calibri"/>
        <family val="2"/>
        <scheme val="minor"/>
      </rPr>
      <t xml:space="preserve"> ESR, z</t>
    </r>
    <r>
      <rPr>
        <b/>
        <vertAlign val="subscript"/>
        <sz val="11"/>
        <color theme="5"/>
        <rFont val="Calibri"/>
        <family val="2"/>
        <scheme val="minor"/>
      </rPr>
      <t>ESR_1</t>
    </r>
  </si>
  <si>
    <r>
      <t>Pole of C</t>
    </r>
    <r>
      <rPr>
        <b/>
        <vertAlign val="subscript"/>
        <sz val="11"/>
        <color theme="5"/>
        <rFont val="Calibri"/>
        <family val="2"/>
        <scheme val="minor"/>
      </rPr>
      <t>OUT</t>
    </r>
    <r>
      <rPr>
        <b/>
        <sz val="11"/>
        <color theme="5"/>
        <rFont val="Calibri"/>
        <family val="2"/>
        <scheme val="minor"/>
      </rPr>
      <t xml:space="preserve"> ESR, p</t>
    </r>
    <r>
      <rPr>
        <b/>
        <vertAlign val="subscript"/>
        <sz val="11"/>
        <color theme="5"/>
        <rFont val="Calibri"/>
        <family val="2"/>
        <scheme val="minor"/>
      </rPr>
      <t>ESR</t>
    </r>
  </si>
  <si>
    <r>
      <t xml:space="preserve">Zeros and pole from feedforward </t>
    </r>
    <r>
      <rPr>
        <b/>
        <u/>
        <sz val="11"/>
        <color rgb="FF0000FF"/>
        <rFont val="Calibri"/>
        <family val="2"/>
        <scheme val="minor"/>
      </rPr>
      <t>(optional)</t>
    </r>
  </si>
  <si>
    <r>
      <t>Selected effective output capacitance of electrolytic capacitor, C</t>
    </r>
    <r>
      <rPr>
        <vertAlign val="subscript"/>
        <sz val="11"/>
        <color theme="1"/>
        <rFont val="Calibri"/>
        <family val="2"/>
        <scheme val="minor"/>
      </rPr>
      <t>OUT_elec</t>
    </r>
  </si>
  <si>
    <r>
      <t>Zero of feedforward, z</t>
    </r>
    <r>
      <rPr>
        <b/>
        <vertAlign val="subscript"/>
        <sz val="11"/>
        <color theme="5"/>
        <rFont val="Calibri"/>
        <family val="2"/>
        <scheme val="minor"/>
      </rPr>
      <t>ff</t>
    </r>
  </si>
  <si>
    <r>
      <t>Pole of feedforward, p</t>
    </r>
    <r>
      <rPr>
        <b/>
        <vertAlign val="subscript"/>
        <sz val="11"/>
        <color theme="5"/>
        <rFont val="Calibri"/>
        <family val="2"/>
        <scheme val="minor"/>
      </rPr>
      <t>ff</t>
    </r>
  </si>
  <si>
    <t xml:space="preserve">Overall loop gain and load transient performance </t>
  </si>
  <si>
    <r>
      <t>Calculated crossover frequency, f</t>
    </r>
    <r>
      <rPr>
        <b/>
        <vertAlign val="subscript"/>
        <sz val="11"/>
        <color theme="5"/>
        <rFont val="Calibri"/>
        <family val="2"/>
        <scheme val="minor"/>
      </rPr>
      <t>c</t>
    </r>
  </si>
  <si>
    <t>Phase Margin, PM</t>
  </si>
  <si>
    <t>Gain Margin, GM</t>
  </si>
  <si>
    <t>Load transient range, Δio</t>
  </si>
  <si>
    <r>
      <t>Calculated voltage undershoot for the load current step, V</t>
    </r>
    <r>
      <rPr>
        <b/>
        <vertAlign val="subscript"/>
        <sz val="11"/>
        <color theme="5"/>
        <rFont val="Calibri"/>
        <family val="2"/>
        <scheme val="minor"/>
      </rPr>
      <t>OUT_us</t>
    </r>
  </si>
  <si>
    <t>z_esr_1</t>
  </si>
  <si>
    <t>z_esr_2</t>
  </si>
  <si>
    <t>p_esr</t>
  </si>
  <si>
    <r>
      <t>Feedback top resistor, R</t>
    </r>
    <r>
      <rPr>
        <vertAlign val="subscript"/>
        <sz val="11"/>
        <color theme="1"/>
        <rFont val="Calibri"/>
        <family val="2"/>
        <scheme val="minor"/>
      </rPr>
      <t>FT</t>
    </r>
  </si>
  <si>
    <r>
      <t>Feedback bottom resistor, R</t>
    </r>
    <r>
      <rPr>
        <vertAlign val="subscript"/>
        <sz val="11"/>
        <color theme="1"/>
        <rFont val="Calibri"/>
        <family val="2"/>
        <scheme val="minor"/>
      </rPr>
      <t>FB</t>
    </r>
  </si>
  <si>
    <r>
      <t>Feedforward capacitor, C</t>
    </r>
    <r>
      <rPr>
        <vertAlign val="subscript"/>
        <sz val="11"/>
        <color theme="1"/>
        <rFont val="Calibri"/>
        <family val="2"/>
        <scheme val="minor"/>
      </rPr>
      <t>ff</t>
    </r>
  </si>
  <si>
    <t>R_FT</t>
  </si>
  <si>
    <t>R_FB</t>
  </si>
  <si>
    <t>C_ff</t>
  </si>
  <si>
    <t>z_ff</t>
  </si>
  <si>
    <t>p_ff</t>
  </si>
  <si>
    <t>Category</t>
  </si>
  <si>
    <t>Variable</t>
  </si>
  <si>
    <t>Unit</t>
  </si>
  <si>
    <t>ESR</t>
  </si>
  <si>
    <t>Feedforward</t>
  </si>
  <si>
    <t>Log(f)-1</t>
  </si>
  <si>
    <t>Phase Margin (PM)</t>
  </si>
  <si>
    <t>Overall</t>
  </si>
  <si>
    <t>Cout ESR</t>
  </si>
  <si>
    <t>z_RHP phase</t>
  </si>
  <si>
    <t>z_RHP gain</t>
  </si>
  <si>
    <t>Total phase</t>
  </si>
  <si>
    <t>Total Gain</t>
  </si>
  <si>
    <t>p_EA phase</t>
  </si>
  <si>
    <t>p_EA gain</t>
  </si>
  <si>
    <t>z_comp phase</t>
  </si>
  <si>
    <t>z_comp gain</t>
  </si>
  <si>
    <t>p_comp phase</t>
  </si>
  <si>
    <t>p_comp gain</t>
  </si>
  <si>
    <t>z_esr_1 phase</t>
  </si>
  <si>
    <t>z_esr_1 gain</t>
  </si>
  <si>
    <t>z_esr_2 phase</t>
  </si>
  <si>
    <t>z_esr_2 gain</t>
  </si>
  <si>
    <t>p_esr phase</t>
  </si>
  <si>
    <t>p_esr gain</t>
  </si>
  <si>
    <t>z_ff phase</t>
  </si>
  <si>
    <t>z_ff gain</t>
  </si>
  <si>
    <t>p_ff phase</t>
  </si>
  <si>
    <t>p_ff gain</t>
  </si>
  <si>
    <t>p_small phase</t>
  </si>
  <si>
    <t>p_small gain</t>
  </si>
  <si>
    <t>p_large phase</t>
  </si>
  <si>
    <t>p_large gain</t>
  </si>
  <si>
    <t>Gain</t>
  </si>
  <si>
    <t>Results</t>
  </si>
  <si>
    <t>fc</t>
  </si>
  <si>
    <t>PM</t>
  </si>
  <si>
    <t>GM</t>
  </si>
  <si>
    <t>˚</t>
  </si>
  <si>
    <t>delta_iout</t>
  </si>
  <si>
    <t>vout_under_shoot</t>
  </si>
  <si>
    <r>
      <t xml:space="preserve">Loop Calculation for Boost Converter with Peak Current COT Control </t>
    </r>
    <r>
      <rPr>
        <sz val="10"/>
        <color theme="0"/>
        <rFont val="Calibri"/>
        <family val="2"/>
        <scheme val="minor"/>
      </rPr>
      <t>- 20231225</t>
    </r>
  </si>
  <si>
    <t>Y</t>
  </si>
  <si>
    <t>X</t>
  </si>
  <si>
    <t>Data for GM curve</t>
  </si>
  <si>
    <t>Data for PM curve</t>
  </si>
  <si>
    <t>nC</t>
  </si>
  <si>
    <r>
      <t xml:space="preserve">Efficiency Calculation </t>
    </r>
    <r>
      <rPr>
        <sz val="10"/>
        <color theme="0"/>
        <rFont val="Calibri"/>
        <family val="2"/>
        <scheme val="minor"/>
      </rPr>
      <t>- 20231225</t>
    </r>
  </si>
  <si>
    <t>Total loss</t>
  </si>
  <si>
    <t>Overall Power Loss and Efficiency</t>
  </si>
  <si>
    <t>Efficiency</t>
  </si>
  <si>
    <t>Work conditions</t>
  </si>
  <si>
    <r>
      <t>Output current, I</t>
    </r>
    <r>
      <rPr>
        <vertAlign val="subscript"/>
        <sz val="11"/>
        <color theme="1"/>
        <rFont val="Calibri"/>
        <family val="2"/>
        <scheme val="minor"/>
      </rPr>
      <t xml:space="preserve">OUT_act_max </t>
    </r>
  </si>
  <si>
    <t>Used inductor part number</t>
  </si>
  <si>
    <t>XGL6060-103MEC</t>
  </si>
  <si>
    <t>Part 1: Loss from Inductor</t>
  </si>
  <si>
    <r>
      <t>Inductor peak-to-peak current, I</t>
    </r>
    <r>
      <rPr>
        <vertAlign val="subscript"/>
        <sz val="11"/>
        <color theme="1"/>
        <rFont val="Calibri"/>
        <family val="2"/>
        <scheme val="minor"/>
      </rPr>
      <t>Lp2p_act_nom</t>
    </r>
  </si>
  <si>
    <r>
      <t>Inductor DC resistance, R</t>
    </r>
    <r>
      <rPr>
        <vertAlign val="subscript"/>
        <sz val="11"/>
        <color theme="1"/>
        <rFont val="Calibri"/>
        <family val="2"/>
        <scheme val="minor"/>
      </rPr>
      <t>L_DC</t>
    </r>
  </si>
  <si>
    <t>RL_dc</t>
  </si>
  <si>
    <r>
      <t>Inductor total loss, P</t>
    </r>
    <r>
      <rPr>
        <vertAlign val="subscript"/>
        <sz val="11"/>
        <color theme="5"/>
        <rFont val="Calibri"/>
        <family val="2"/>
        <scheme val="minor"/>
      </rPr>
      <t>loss_inductor_total</t>
    </r>
  </si>
  <si>
    <t>P_loss_inductor_AC</t>
  </si>
  <si>
    <t>P_loss_inductor_DC</t>
  </si>
  <si>
    <t>P_loss_inductor_total</t>
  </si>
  <si>
    <t>Part 2: Conduction loss</t>
  </si>
  <si>
    <r>
      <t>Low side FET Rdson, R</t>
    </r>
    <r>
      <rPr>
        <vertAlign val="subscript"/>
        <sz val="11"/>
        <color theme="1"/>
        <rFont val="Calibri"/>
        <family val="2"/>
        <scheme val="minor"/>
      </rPr>
      <t>LS_dson</t>
    </r>
  </si>
  <si>
    <r>
      <t>High side FET Rdson, R</t>
    </r>
    <r>
      <rPr>
        <vertAlign val="subscript"/>
        <sz val="11"/>
        <color theme="1"/>
        <rFont val="Calibri"/>
        <family val="2"/>
        <scheme val="minor"/>
      </rPr>
      <t>HS_dson</t>
    </r>
  </si>
  <si>
    <t>R_LS_dson</t>
  </si>
  <si>
    <t>R_HS_dson</t>
  </si>
  <si>
    <r>
      <t>Temperature coefficient of IC internal FET on-resistance, K</t>
    </r>
    <r>
      <rPr>
        <vertAlign val="subscript"/>
        <sz val="11"/>
        <color theme="1"/>
        <rFont val="Calibri"/>
        <family val="2"/>
        <scheme val="minor"/>
      </rPr>
      <t>R</t>
    </r>
  </si>
  <si>
    <t>K_R</t>
  </si>
  <si>
    <t>P_loss_LS_Rdson</t>
  </si>
  <si>
    <t>P_loss_HS_Rdson</t>
  </si>
  <si>
    <r>
      <t>Duty cycle, D</t>
    </r>
    <r>
      <rPr>
        <vertAlign val="subscript"/>
        <sz val="11"/>
        <color theme="1"/>
        <rFont val="Calibri"/>
        <family val="2"/>
        <scheme val="minor"/>
      </rPr>
      <t>nom</t>
    </r>
    <r>
      <rPr>
        <sz val="11"/>
        <color theme="1"/>
        <rFont val="Calibri"/>
        <family val="2"/>
        <scheme val="minor"/>
      </rPr>
      <t xml:space="preserve">   </t>
    </r>
  </si>
  <si>
    <r>
      <t>Inductor RMS current, IL</t>
    </r>
    <r>
      <rPr>
        <vertAlign val="subscript"/>
        <sz val="11"/>
        <color theme="1"/>
        <rFont val="Calibri"/>
        <family val="2"/>
        <scheme val="minor"/>
      </rPr>
      <t>rms_act_max</t>
    </r>
  </si>
  <si>
    <t>Part 3: Switching loss</t>
  </si>
  <si>
    <r>
      <t xml:space="preserve">Low side turn on time, </t>
    </r>
    <r>
      <rPr>
        <sz val="11"/>
        <color theme="1"/>
        <rFont val="Calibri"/>
        <family val="2"/>
      </rPr>
      <t>τ</t>
    </r>
    <r>
      <rPr>
        <vertAlign val="subscript"/>
        <sz val="11"/>
        <color theme="1"/>
        <rFont val="Calibri"/>
        <family val="2"/>
      </rPr>
      <t>on</t>
    </r>
    <r>
      <rPr>
        <sz val="11"/>
        <color theme="1"/>
        <rFont val="Calibri"/>
        <family val="2"/>
        <scheme val="minor"/>
      </rPr>
      <t xml:space="preserve">  </t>
    </r>
  </si>
  <si>
    <r>
      <t xml:space="preserve">Low side turn off time, </t>
    </r>
    <r>
      <rPr>
        <sz val="11"/>
        <color theme="1"/>
        <rFont val="Calibri"/>
        <family val="2"/>
      </rPr>
      <t>τ</t>
    </r>
    <r>
      <rPr>
        <vertAlign val="subscript"/>
        <sz val="11"/>
        <color theme="1"/>
        <rFont val="Calibri"/>
        <family val="2"/>
      </rPr>
      <t>off</t>
    </r>
    <r>
      <rPr>
        <sz val="11"/>
        <color theme="1"/>
        <rFont val="Calibri"/>
        <family val="2"/>
        <scheme val="minor"/>
      </rPr>
      <t xml:space="preserve">  </t>
    </r>
  </si>
  <si>
    <r>
      <t>Inductor average current, IL</t>
    </r>
    <r>
      <rPr>
        <vertAlign val="subscript"/>
        <sz val="11"/>
        <color theme="1"/>
        <rFont val="Calibri"/>
        <family val="2"/>
        <scheme val="minor"/>
      </rPr>
      <t>avg</t>
    </r>
  </si>
  <si>
    <r>
      <t>Inductor peak-to-peak current, IL</t>
    </r>
    <r>
      <rPr>
        <vertAlign val="subscript"/>
        <sz val="11"/>
        <color theme="1"/>
        <rFont val="Calibri"/>
        <family val="2"/>
        <scheme val="minor"/>
      </rPr>
      <t>p2p_act_nom</t>
    </r>
  </si>
  <si>
    <t>ns</t>
  </si>
  <si>
    <t>tau_on</t>
  </si>
  <si>
    <t>tau_off</t>
  </si>
  <si>
    <r>
      <t>Low side turn on loss, P</t>
    </r>
    <r>
      <rPr>
        <vertAlign val="subscript"/>
        <sz val="11"/>
        <color theme="5"/>
        <rFont val="Calibri"/>
        <family val="2"/>
        <scheme val="minor"/>
      </rPr>
      <t>loss_LS_on</t>
    </r>
  </si>
  <si>
    <r>
      <t>Low side turn off loss, P</t>
    </r>
    <r>
      <rPr>
        <vertAlign val="subscript"/>
        <sz val="11"/>
        <color theme="5"/>
        <rFont val="Calibri"/>
        <family val="2"/>
        <scheme val="minor"/>
      </rPr>
      <t>loss_LS_off</t>
    </r>
  </si>
  <si>
    <r>
      <t>Total low side switching loss, P</t>
    </r>
    <r>
      <rPr>
        <vertAlign val="subscript"/>
        <sz val="11"/>
        <color theme="5"/>
        <rFont val="Calibri"/>
        <family val="2"/>
        <scheme val="minor"/>
      </rPr>
      <t>loss_LS_switching</t>
    </r>
  </si>
  <si>
    <t>P_loss_LS_off</t>
  </si>
  <si>
    <t>P_loss_LS_on</t>
  </si>
  <si>
    <t>Part 4: Driving (Qg) loss</t>
  </si>
  <si>
    <r>
      <t>Gate charge of low side FET, Q</t>
    </r>
    <r>
      <rPr>
        <vertAlign val="subscript"/>
        <sz val="11"/>
        <color theme="1"/>
        <rFont val="Calibri"/>
        <family val="2"/>
        <scheme val="minor"/>
      </rPr>
      <t>LS_gate</t>
    </r>
  </si>
  <si>
    <r>
      <t>Gate charge of high side FET, Q</t>
    </r>
    <r>
      <rPr>
        <vertAlign val="subscript"/>
        <sz val="11"/>
        <color theme="1"/>
        <rFont val="Calibri"/>
        <family val="2"/>
        <scheme val="minor"/>
      </rPr>
      <t>HS_gate</t>
    </r>
  </si>
  <si>
    <r>
      <t>Maximum driving voltage of low side FET gate, V</t>
    </r>
    <r>
      <rPr>
        <vertAlign val="subscript"/>
        <sz val="11"/>
        <color theme="1"/>
        <rFont val="Calibri"/>
        <family val="2"/>
        <scheme val="minor"/>
      </rPr>
      <t>LS_gate</t>
    </r>
  </si>
  <si>
    <r>
      <t>Maximum driving voltage of high side FET gate, V</t>
    </r>
    <r>
      <rPr>
        <vertAlign val="subscript"/>
        <sz val="11"/>
        <color theme="1"/>
        <rFont val="Calibri"/>
        <family val="2"/>
        <scheme val="minor"/>
      </rPr>
      <t>HS_gate</t>
    </r>
  </si>
  <si>
    <r>
      <t>Driving loss of low side FET, P</t>
    </r>
    <r>
      <rPr>
        <vertAlign val="subscript"/>
        <sz val="11"/>
        <color theme="5"/>
        <rFont val="Calibri"/>
        <family val="2"/>
        <scheme val="minor"/>
      </rPr>
      <t>loss_LS_driving</t>
    </r>
  </si>
  <si>
    <r>
      <t>Driving loss of high side FET, P</t>
    </r>
    <r>
      <rPr>
        <vertAlign val="subscript"/>
        <sz val="11"/>
        <color theme="5"/>
        <rFont val="Calibri"/>
        <family val="2"/>
        <scheme val="minor"/>
      </rPr>
      <t>loss_HS_driving</t>
    </r>
  </si>
  <si>
    <r>
      <t>Total Driving loss, P</t>
    </r>
    <r>
      <rPr>
        <vertAlign val="subscript"/>
        <sz val="11"/>
        <color theme="5"/>
        <rFont val="Calibri"/>
        <family val="2"/>
        <scheme val="minor"/>
      </rPr>
      <t>loss_FET_switching</t>
    </r>
  </si>
  <si>
    <t>Q_LS_gate</t>
  </si>
  <si>
    <t>Q_HS_gate</t>
  </si>
  <si>
    <t>V_LS_gate</t>
  </si>
  <si>
    <t>V_HS_gate</t>
  </si>
  <si>
    <t>P_loss_LS_driving</t>
  </si>
  <si>
    <t>P_loss_HS_driving</t>
  </si>
  <si>
    <t>P_loss_FET_driving</t>
  </si>
  <si>
    <t>Part 5: Switching FET output loss</t>
  </si>
  <si>
    <r>
      <t>Total drain capacitance of low side FET (C</t>
    </r>
    <r>
      <rPr>
        <vertAlign val="subscript"/>
        <sz val="11"/>
        <color theme="1"/>
        <rFont val="Calibri"/>
        <family val="2"/>
        <scheme val="minor"/>
      </rPr>
      <t>gd</t>
    </r>
    <r>
      <rPr>
        <sz val="11"/>
        <color theme="1"/>
        <rFont val="Calibri"/>
        <family val="2"/>
        <scheme val="minor"/>
      </rPr>
      <t>+C</t>
    </r>
    <r>
      <rPr>
        <vertAlign val="subscript"/>
        <sz val="11"/>
        <color theme="1"/>
        <rFont val="Calibri"/>
        <family val="2"/>
        <scheme val="minor"/>
      </rPr>
      <t>ds</t>
    </r>
    <r>
      <rPr>
        <sz val="11"/>
        <color theme="1"/>
        <rFont val="Calibri"/>
        <family val="2"/>
        <scheme val="minor"/>
      </rPr>
      <t>), C</t>
    </r>
    <r>
      <rPr>
        <vertAlign val="subscript"/>
        <sz val="11"/>
        <color theme="1"/>
        <rFont val="Calibri"/>
        <family val="2"/>
        <scheme val="minor"/>
      </rPr>
      <t>LS_oss</t>
    </r>
  </si>
  <si>
    <r>
      <t>Total drain capacitance of high side FET (C</t>
    </r>
    <r>
      <rPr>
        <vertAlign val="subscript"/>
        <sz val="11"/>
        <color theme="1"/>
        <rFont val="Calibri"/>
        <family val="2"/>
        <scheme val="minor"/>
      </rPr>
      <t>gd</t>
    </r>
    <r>
      <rPr>
        <sz val="11"/>
        <color theme="1"/>
        <rFont val="Calibri"/>
        <family val="2"/>
        <scheme val="minor"/>
      </rPr>
      <t>+C</t>
    </r>
    <r>
      <rPr>
        <vertAlign val="subscript"/>
        <sz val="11"/>
        <color theme="1"/>
        <rFont val="Calibri"/>
        <family val="2"/>
        <scheme val="minor"/>
      </rPr>
      <t>ds</t>
    </r>
    <r>
      <rPr>
        <sz val="11"/>
        <color theme="1"/>
        <rFont val="Calibri"/>
        <family val="2"/>
        <scheme val="minor"/>
      </rPr>
      <t>), C</t>
    </r>
    <r>
      <rPr>
        <vertAlign val="subscript"/>
        <sz val="11"/>
        <color theme="1"/>
        <rFont val="Calibri"/>
        <family val="2"/>
        <scheme val="minor"/>
      </rPr>
      <t>HS_oss</t>
    </r>
  </si>
  <si>
    <r>
      <t>Low side FET output loss, P</t>
    </r>
    <r>
      <rPr>
        <vertAlign val="subscript"/>
        <sz val="11"/>
        <color theme="5"/>
        <rFont val="Calibri"/>
        <family val="2"/>
        <scheme val="minor"/>
      </rPr>
      <t>loss_LS_out</t>
    </r>
  </si>
  <si>
    <r>
      <t>High side FET output loss, P</t>
    </r>
    <r>
      <rPr>
        <vertAlign val="subscript"/>
        <sz val="11"/>
        <color theme="5"/>
        <rFont val="Calibri"/>
        <family val="2"/>
        <scheme val="minor"/>
      </rPr>
      <t>loss_HS_out</t>
    </r>
  </si>
  <si>
    <r>
      <t>Total FET output loss, P</t>
    </r>
    <r>
      <rPr>
        <vertAlign val="subscript"/>
        <sz val="11"/>
        <color theme="5"/>
        <rFont val="Calibri"/>
        <family val="2"/>
        <scheme val="minor"/>
      </rPr>
      <t>loss_FET_out</t>
    </r>
  </si>
  <si>
    <t>C_LS_oss</t>
  </si>
  <si>
    <t>C_HS_oss</t>
  </si>
  <si>
    <t>P_loss_LS_out</t>
  </si>
  <si>
    <t>P_loss_HS_out</t>
  </si>
  <si>
    <t>P_loss_FET_out</t>
  </si>
  <si>
    <r>
      <t xml:space="preserve">Low side turn on delay (dead) time, </t>
    </r>
    <r>
      <rPr>
        <sz val="11"/>
        <color theme="1"/>
        <rFont val="Calibri"/>
        <family val="2"/>
      </rPr>
      <t>τ</t>
    </r>
    <r>
      <rPr>
        <vertAlign val="subscript"/>
        <sz val="11"/>
        <color theme="1"/>
        <rFont val="Calibri"/>
        <family val="2"/>
      </rPr>
      <t>LS_on_dead</t>
    </r>
    <r>
      <rPr>
        <sz val="11"/>
        <color theme="1"/>
        <rFont val="Calibri"/>
        <family val="2"/>
        <scheme val="minor"/>
      </rPr>
      <t xml:space="preserve">  </t>
    </r>
  </si>
  <si>
    <r>
      <t xml:space="preserve">High side turn on delay (dead) time, </t>
    </r>
    <r>
      <rPr>
        <sz val="11"/>
        <color theme="1"/>
        <rFont val="Calibri"/>
        <family val="2"/>
      </rPr>
      <t>τ</t>
    </r>
    <r>
      <rPr>
        <vertAlign val="subscript"/>
        <sz val="11"/>
        <color theme="1"/>
        <rFont val="Calibri"/>
        <family val="2"/>
      </rPr>
      <t>HS_on_dead</t>
    </r>
    <r>
      <rPr>
        <sz val="11"/>
        <color theme="1"/>
        <rFont val="Calibri"/>
        <family val="2"/>
        <scheme val="minor"/>
      </rPr>
      <t xml:space="preserve">  </t>
    </r>
  </si>
  <si>
    <t>Part 9: IC static loss</t>
  </si>
  <si>
    <t>Part 10: Feedback resistors loss</t>
  </si>
  <si>
    <r>
      <t>V</t>
    </r>
    <r>
      <rPr>
        <b/>
        <vertAlign val="subscript"/>
        <sz val="11"/>
        <color theme="5"/>
        <rFont val="Calibri"/>
        <family val="2"/>
        <scheme val="minor"/>
      </rPr>
      <t>CC</t>
    </r>
    <r>
      <rPr>
        <b/>
        <sz val="11"/>
        <color theme="5"/>
        <rFont val="Calibri"/>
        <family val="2"/>
        <scheme val="minor"/>
      </rPr>
      <t xml:space="preserve"> (LDO) loss, P</t>
    </r>
    <r>
      <rPr>
        <vertAlign val="subscript"/>
        <sz val="11"/>
        <color theme="5"/>
        <rFont val="Calibri"/>
        <family val="2"/>
        <scheme val="minor"/>
      </rPr>
      <t>loss_VCC</t>
    </r>
  </si>
  <si>
    <r>
      <t>V</t>
    </r>
    <r>
      <rPr>
        <vertAlign val="subscript"/>
        <sz val="11"/>
        <color theme="1"/>
        <rFont val="Calibri"/>
        <family val="2"/>
        <scheme val="minor"/>
      </rPr>
      <t>CC</t>
    </r>
    <r>
      <rPr>
        <sz val="11"/>
        <color theme="1"/>
        <rFont val="Calibri"/>
        <family val="2"/>
        <scheme val="minor"/>
      </rPr>
      <t xml:space="preserve"> power supply, V</t>
    </r>
    <r>
      <rPr>
        <vertAlign val="subscript"/>
        <sz val="11"/>
        <color theme="1"/>
        <rFont val="Calibri"/>
        <family val="2"/>
        <scheme val="minor"/>
      </rPr>
      <t>DD</t>
    </r>
  </si>
  <si>
    <t>V_DD</t>
  </si>
  <si>
    <r>
      <t>VCC output, V</t>
    </r>
    <r>
      <rPr>
        <vertAlign val="subscript"/>
        <sz val="11"/>
        <color theme="1"/>
        <rFont val="Calibri"/>
        <family val="2"/>
        <scheme val="minor"/>
      </rPr>
      <t>CC</t>
    </r>
  </si>
  <si>
    <t>V_CC</t>
  </si>
  <si>
    <t>P_loss_VCC</t>
  </si>
  <si>
    <t>Part 6: VCC (LDO) loss</t>
  </si>
  <si>
    <t>Part 7: Dead time (body diode forward on) loss</t>
  </si>
  <si>
    <t>Part 8: Body diode recovery loss</t>
  </si>
  <si>
    <t>tau_LS_on_dead</t>
  </si>
  <si>
    <t>tau_HS_on_dead</t>
  </si>
  <si>
    <r>
      <t>Low side FET body diode forward voltage, V</t>
    </r>
    <r>
      <rPr>
        <vertAlign val="subscript"/>
        <sz val="11"/>
        <color theme="1"/>
        <rFont val="Calibri"/>
        <family val="2"/>
        <scheme val="minor"/>
      </rPr>
      <t>D_LS</t>
    </r>
  </si>
  <si>
    <r>
      <t>High side FET body diode forward voltage, V</t>
    </r>
    <r>
      <rPr>
        <vertAlign val="subscript"/>
        <sz val="11"/>
        <color theme="1"/>
        <rFont val="Calibri"/>
        <family val="2"/>
        <scheme val="minor"/>
      </rPr>
      <t>D_HS</t>
    </r>
  </si>
  <si>
    <r>
      <t>High side dead time (body-diode on) loss, P</t>
    </r>
    <r>
      <rPr>
        <vertAlign val="subscript"/>
        <sz val="11"/>
        <color theme="5"/>
        <rFont val="Calibri"/>
        <family val="2"/>
        <scheme val="minor"/>
      </rPr>
      <t>loss_HS_dead</t>
    </r>
  </si>
  <si>
    <r>
      <t>Total dead time (body-diode on) loss, P</t>
    </r>
    <r>
      <rPr>
        <vertAlign val="subscript"/>
        <sz val="11"/>
        <color theme="5"/>
        <rFont val="Calibri"/>
        <family val="2"/>
        <scheme val="minor"/>
      </rPr>
      <t>loss_FET_dead</t>
    </r>
  </si>
  <si>
    <t>V_D_LS</t>
  </si>
  <si>
    <t>V_D_HS</t>
  </si>
  <si>
    <t>P_loss_LS_dead</t>
  </si>
  <si>
    <t>P_loss_HS_dead</t>
  </si>
  <si>
    <t>P_loss_FET_dead</t>
  </si>
  <si>
    <r>
      <t>Body diode reverse recovery charge of high side FET, Q</t>
    </r>
    <r>
      <rPr>
        <vertAlign val="subscript"/>
        <sz val="11"/>
        <color theme="1"/>
        <rFont val="Calibri"/>
        <family val="2"/>
      </rPr>
      <t>rr</t>
    </r>
    <r>
      <rPr>
        <sz val="11"/>
        <color theme="1"/>
        <rFont val="Calibri"/>
        <family val="2"/>
        <scheme val="minor"/>
      </rPr>
      <t xml:space="preserve">  </t>
    </r>
  </si>
  <si>
    <t>Qrr</t>
  </si>
  <si>
    <r>
      <t>Body diode reverse recovery loss, P</t>
    </r>
    <r>
      <rPr>
        <vertAlign val="subscript"/>
        <sz val="11"/>
        <color theme="5"/>
        <rFont val="Calibri"/>
        <family val="2"/>
        <scheme val="minor"/>
      </rPr>
      <t>loss_diode_rr</t>
    </r>
  </si>
  <si>
    <t>IQ_in</t>
  </si>
  <si>
    <t>IQ_out</t>
  </si>
  <si>
    <t>µA</t>
  </si>
  <si>
    <r>
      <t>Quiescent current into V</t>
    </r>
    <r>
      <rPr>
        <vertAlign val="subscript"/>
        <sz val="11"/>
        <color theme="1"/>
        <rFont val="Calibri"/>
        <family val="2"/>
        <scheme val="minor"/>
      </rPr>
      <t>IN</t>
    </r>
    <r>
      <rPr>
        <sz val="11"/>
        <color theme="1"/>
        <rFont val="Calibri"/>
        <family val="2"/>
        <scheme val="minor"/>
      </rPr>
      <t xml:space="preserve"> pin, I</t>
    </r>
    <r>
      <rPr>
        <vertAlign val="subscript"/>
        <sz val="11"/>
        <color theme="1"/>
        <rFont val="Calibri"/>
        <family val="2"/>
        <scheme val="minor"/>
      </rPr>
      <t>Q_IN</t>
    </r>
  </si>
  <si>
    <r>
      <t>Quiescent current into V</t>
    </r>
    <r>
      <rPr>
        <vertAlign val="subscript"/>
        <sz val="11"/>
        <color theme="1"/>
        <rFont val="Calibri"/>
        <family val="2"/>
        <scheme val="minor"/>
      </rPr>
      <t>OUT</t>
    </r>
    <r>
      <rPr>
        <sz val="11"/>
        <color theme="1"/>
        <rFont val="Calibri"/>
        <family val="2"/>
        <scheme val="minor"/>
      </rPr>
      <t xml:space="preserve"> pin, I</t>
    </r>
    <r>
      <rPr>
        <vertAlign val="subscript"/>
        <sz val="11"/>
        <color theme="1"/>
        <rFont val="Calibri"/>
        <family val="2"/>
        <scheme val="minor"/>
      </rPr>
      <t>Q_OUT</t>
    </r>
  </si>
  <si>
    <r>
      <t>IC static loss, P</t>
    </r>
    <r>
      <rPr>
        <vertAlign val="subscript"/>
        <sz val="11"/>
        <color theme="5"/>
        <rFont val="Calibri"/>
        <family val="2"/>
        <scheme val="minor"/>
      </rPr>
      <t>loss_quiescent</t>
    </r>
  </si>
  <si>
    <r>
      <t>Feedback resistors, P</t>
    </r>
    <r>
      <rPr>
        <vertAlign val="subscript"/>
        <sz val="11"/>
        <color theme="5"/>
        <rFont val="Calibri"/>
        <family val="2"/>
        <scheme val="minor"/>
      </rPr>
      <t>loss_fb_res</t>
    </r>
  </si>
  <si>
    <t>New Input</t>
  </si>
  <si>
    <r>
      <t xml:space="preserve">Inductor loss </t>
    </r>
    <r>
      <rPr>
        <sz val="11"/>
        <color theme="1"/>
        <rFont val="Calibri"/>
        <family val="2"/>
      </rPr>
      <t>①</t>
    </r>
    <r>
      <rPr>
        <sz val="11"/>
        <color theme="1"/>
        <rFont val="Calibri"/>
        <family val="2"/>
        <scheme val="minor"/>
      </rPr>
      <t xml:space="preserve"> </t>
    </r>
  </si>
  <si>
    <r>
      <t xml:space="preserve">Conduction loss </t>
    </r>
    <r>
      <rPr>
        <sz val="11"/>
        <color theme="1"/>
        <rFont val="Calibri"/>
        <family val="2"/>
      </rPr>
      <t>②</t>
    </r>
    <r>
      <rPr>
        <sz val="11"/>
        <color theme="1"/>
        <rFont val="Calibri"/>
        <family val="2"/>
        <scheme val="minor"/>
      </rPr>
      <t xml:space="preserve"> </t>
    </r>
  </si>
  <si>
    <r>
      <t xml:space="preserve">Switching loss </t>
    </r>
    <r>
      <rPr>
        <sz val="11"/>
        <color theme="1"/>
        <rFont val="Calibri"/>
        <family val="2"/>
      </rPr>
      <t>③</t>
    </r>
    <r>
      <rPr>
        <sz val="11"/>
        <color theme="1"/>
        <rFont val="Calibri"/>
        <family val="2"/>
        <scheme val="minor"/>
      </rPr>
      <t xml:space="preserve"> </t>
    </r>
  </si>
  <si>
    <r>
      <t xml:space="preserve">Drive (Qg) loss </t>
    </r>
    <r>
      <rPr>
        <sz val="11"/>
        <color theme="1"/>
        <rFont val="Calibri"/>
        <family val="2"/>
      </rPr>
      <t>④</t>
    </r>
    <r>
      <rPr>
        <sz val="11"/>
        <color theme="1"/>
        <rFont val="Calibri"/>
        <family val="2"/>
        <scheme val="minor"/>
      </rPr>
      <t xml:space="preserve"> </t>
    </r>
  </si>
  <si>
    <r>
      <t xml:space="preserve">Switching FET output loss </t>
    </r>
    <r>
      <rPr>
        <sz val="11"/>
        <color theme="1"/>
        <rFont val="Calibri"/>
        <family val="2"/>
      </rPr>
      <t>⑤</t>
    </r>
    <r>
      <rPr>
        <sz val="11"/>
        <color theme="1"/>
        <rFont val="Calibri"/>
        <family val="2"/>
        <scheme val="minor"/>
      </rPr>
      <t xml:space="preserve"> </t>
    </r>
  </si>
  <si>
    <r>
      <t xml:space="preserve">VCC (LDO) loss </t>
    </r>
    <r>
      <rPr>
        <sz val="11"/>
        <color theme="1"/>
        <rFont val="Calibri"/>
        <family val="2"/>
      </rPr>
      <t>⑥</t>
    </r>
    <r>
      <rPr>
        <sz val="11"/>
        <color theme="1"/>
        <rFont val="Calibri"/>
        <family val="2"/>
        <scheme val="minor"/>
      </rPr>
      <t xml:space="preserve"> </t>
    </r>
  </si>
  <si>
    <r>
      <t xml:space="preserve">Dead time (body diode forward on) loss </t>
    </r>
    <r>
      <rPr>
        <sz val="11"/>
        <color theme="1"/>
        <rFont val="Calibri"/>
        <family val="2"/>
      </rPr>
      <t>⑦</t>
    </r>
    <r>
      <rPr>
        <sz val="11"/>
        <color theme="1"/>
        <rFont val="Calibri"/>
        <family val="2"/>
        <scheme val="minor"/>
      </rPr>
      <t xml:space="preserve"> </t>
    </r>
  </si>
  <si>
    <r>
      <t xml:space="preserve">Body diode recovery loss </t>
    </r>
    <r>
      <rPr>
        <sz val="11"/>
        <color theme="1"/>
        <rFont val="Calibri"/>
        <family val="2"/>
      </rPr>
      <t>⑧</t>
    </r>
    <r>
      <rPr>
        <sz val="11"/>
        <color theme="1"/>
        <rFont val="Calibri"/>
        <family val="2"/>
        <scheme val="minor"/>
      </rPr>
      <t xml:space="preserve"> </t>
    </r>
  </si>
  <si>
    <r>
      <t xml:space="preserve">IC static loss </t>
    </r>
    <r>
      <rPr>
        <sz val="11"/>
        <color theme="1"/>
        <rFont val="Calibri"/>
        <family val="2"/>
      </rPr>
      <t>⑨</t>
    </r>
    <r>
      <rPr>
        <sz val="11"/>
        <color theme="1"/>
        <rFont val="Calibri"/>
        <family val="2"/>
        <scheme val="minor"/>
      </rPr>
      <t xml:space="preserve"> </t>
    </r>
  </si>
  <si>
    <r>
      <t xml:space="preserve">Feedback resistors loss </t>
    </r>
    <r>
      <rPr>
        <sz val="11"/>
        <color theme="1"/>
        <rFont val="Calibri"/>
        <family val="2"/>
      </rPr>
      <t>⑩</t>
    </r>
    <r>
      <rPr>
        <sz val="11"/>
        <color theme="1"/>
        <rFont val="Calibri"/>
        <family val="2"/>
        <scheme val="minor"/>
      </rPr>
      <t xml:space="preserve"> </t>
    </r>
  </si>
  <si>
    <t>P_loss_quiescent</t>
  </si>
  <si>
    <t>P_loss_fb_res</t>
  </si>
  <si>
    <r>
      <t>Total ESR of output electrolytic capacitors, R</t>
    </r>
    <r>
      <rPr>
        <vertAlign val="subscript"/>
        <sz val="11"/>
        <color theme="1"/>
        <rFont val="Calibri"/>
        <family val="2"/>
        <scheme val="minor"/>
      </rPr>
      <t>ESR_MLCC</t>
    </r>
    <r>
      <rPr>
        <sz val="11"/>
        <color theme="1"/>
        <rFont val="Calibri"/>
        <family val="2"/>
        <scheme val="minor"/>
      </rPr>
      <t xml:space="preserve"> </t>
    </r>
  </si>
  <si>
    <r>
      <t>Output Capacitor RMS Current, I</t>
    </r>
    <r>
      <rPr>
        <vertAlign val="subscript"/>
        <sz val="11"/>
        <color theme="1"/>
        <rFont val="Calibri"/>
        <family val="2"/>
        <scheme val="minor"/>
      </rPr>
      <t>COUT_rms</t>
    </r>
  </si>
  <si>
    <t>P_loss_total</t>
  </si>
  <si>
    <t>efficiency_cal</t>
  </si>
  <si>
    <r>
      <t>Calculated efficiency, η</t>
    </r>
    <r>
      <rPr>
        <vertAlign val="subscript"/>
        <sz val="11"/>
        <rFont val="Calibri"/>
        <family val="2"/>
      </rPr>
      <t>cal</t>
    </r>
  </si>
  <si>
    <r>
      <t>Junction-to-ambient thermal resistance, R</t>
    </r>
    <r>
      <rPr>
        <vertAlign val="subscript"/>
        <sz val="11"/>
        <rFont val="Calibri"/>
        <family val="2"/>
      </rPr>
      <t>Ɵ</t>
    </r>
    <r>
      <rPr>
        <vertAlign val="subscript"/>
        <sz val="11"/>
        <rFont val="Calibri"/>
        <family val="2"/>
        <scheme val="minor"/>
      </rPr>
      <t>JA</t>
    </r>
  </si>
  <si>
    <t>TPS61377 temperature rise</t>
  </si>
  <si>
    <r>
      <t>IC Loss, P</t>
    </r>
    <r>
      <rPr>
        <vertAlign val="subscript"/>
        <sz val="11"/>
        <color theme="1"/>
        <rFont val="Calibri"/>
        <family val="2"/>
        <scheme val="minor"/>
      </rPr>
      <t>loss_IC_total</t>
    </r>
  </si>
  <si>
    <t>P_loss_IC_total</t>
  </si>
  <si>
    <t>R_theta_JA</t>
  </si>
  <si>
    <t>temp_rise</t>
  </si>
  <si>
    <t>Input from previous celles</t>
  </si>
  <si>
    <t>fc_set</t>
  </si>
  <si>
    <r>
      <t>Actually used compensation zero resistor, R</t>
    </r>
    <r>
      <rPr>
        <vertAlign val="subscript"/>
        <sz val="11"/>
        <color theme="1"/>
        <rFont val="Calibri"/>
        <family val="2"/>
        <scheme val="minor"/>
      </rPr>
      <t>C</t>
    </r>
  </si>
  <si>
    <r>
      <t>Actually used  compensation zero capacitor, C</t>
    </r>
    <r>
      <rPr>
        <vertAlign val="subscript"/>
        <sz val="11"/>
        <color theme="1"/>
        <rFont val="Calibri"/>
        <family val="2"/>
        <scheme val="minor"/>
      </rPr>
      <t>C</t>
    </r>
  </si>
  <si>
    <r>
      <t xml:space="preserve"> (Optional) Actually used compensation capacitor, C</t>
    </r>
    <r>
      <rPr>
        <vertAlign val="subscript"/>
        <sz val="11"/>
        <color theme="1"/>
        <rFont val="Calibri"/>
        <family val="2"/>
        <scheme val="minor"/>
      </rPr>
      <t>P</t>
    </r>
  </si>
  <si>
    <r>
      <t>Default EVM inductor DC loss, P</t>
    </r>
    <r>
      <rPr>
        <vertAlign val="subscript"/>
        <sz val="11"/>
        <rFont val="Calibri"/>
        <family val="2"/>
        <scheme val="minor"/>
      </rPr>
      <t>loss_inductor_DC</t>
    </r>
  </si>
  <si>
    <r>
      <t>Default EVM Inductor AC loss, P</t>
    </r>
    <r>
      <rPr>
        <vertAlign val="subscript"/>
        <sz val="11"/>
        <rFont val="Calibri"/>
        <family val="2"/>
        <scheme val="minor"/>
      </rPr>
      <t>loss_inductor_AC</t>
    </r>
  </si>
  <si>
    <t>P_loss_act_inductor_AC</t>
  </si>
  <si>
    <t>P_loss_act_inductor_DC</t>
  </si>
  <si>
    <r>
      <t>Zero 2 of C</t>
    </r>
    <r>
      <rPr>
        <b/>
        <vertAlign val="subscript"/>
        <sz val="11"/>
        <color theme="5"/>
        <rFont val="Calibri"/>
        <family val="2"/>
        <scheme val="minor"/>
      </rPr>
      <t>OUT</t>
    </r>
    <r>
      <rPr>
        <b/>
        <sz val="11"/>
        <color theme="5"/>
        <rFont val="Calibri"/>
        <family val="2"/>
        <scheme val="minor"/>
      </rPr>
      <t xml:space="preserve"> ESR, z</t>
    </r>
    <r>
      <rPr>
        <b/>
        <vertAlign val="subscript"/>
        <sz val="11"/>
        <color theme="5"/>
        <rFont val="Calibri"/>
        <family val="2"/>
        <scheme val="minor"/>
      </rPr>
      <t>ESR_2</t>
    </r>
  </si>
  <si>
    <r>
      <t xml:space="preserve"> Selected recommended inductor peak-to-peak current ratio, IL</t>
    </r>
    <r>
      <rPr>
        <vertAlign val="subscript"/>
        <sz val="11"/>
        <color theme="1"/>
        <rFont val="Calibri"/>
        <family val="2"/>
        <scheme val="minor"/>
      </rPr>
      <t>p2p_ratio_max</t>
    </r>
  </si>
  <si>
    <r>
      <t>Set nominal peak switching current limit, I</t>
    </r>
    <r>
      <rPr>
        <vertAlign val="subscript"/>
        <sz val="11"/>
        <color theme="1"/>
        <rFont val="Calibri"/>
        <family val="2"/>
        <scheme val="minor"/>
      </rPr>
      <t>limit_nom</t>
    </r>
  </si>
  <si>
    <r>
      <t>Nominal duty cycle, D</t>
    </r>
    <r>
      <rPr>
        <vertAlign val="subscript"/>
        <sz val="11"/>
        <color theme="1"/>
        <rFont val="Calibri"/>
        <family val="2"/>
        <scheme val="minor"/>
      </rPr>
      <t>nom</t>
    </r>
    <r>
      <rPr>
        <sz val="11"/>
        <color theme="1"/>
        <rFont val="Calibri"/>
        <family val="2"/>
        <scheme val="minor"/>
      </rPr>
      <t xml:space="preserve">   </t>
    </r>
  </si>
  <si>
    <r>
      <t>Actually used inductor DC loss, P</t>
    </r>
    <r>
      <rPr>
        <vertAlign val="subscript"/>
        <sz val="11"/>
        <rFont val="Calibri"/>
        <family val="2"/>
        <scheme val="minor"/>
      </rPr>
      <t>loss_act_inductor_DC</t>
    </r>
  </si>
  <si>
    <r>
      <t>Actually used inductor AC loss, P</t>
    </r>
    <r>
      <rPr>
        <vertAlign val="subscript"/>
        <sz val="11"/>
        <rFont val="Calibri"/>
        <family val="2"/>
        <scheme val="minor"/>
      </rPr>
      <t>loss_act_inductor_AC</t>
    </r>
  </si>
  <si>
    <r>
      <t>Equivalent sense resistor, R</t>
    </r>
    <r>
      <rPr>
        <vertAlign val="subscript"/>
        <sz val="11"/>
        <color theme="1"/>
        <rFont val="Calibri"/>
        <family val="2"/>
        <scheme val="minor"/>
      </rPr>
      <t>sense</t>
    </r>
  </si>
  <si>
    <r>
      <t>Inductor DC loss, P</t>
    </r>
    <r>
      <rPr>
        <vertAlign val="subscript"/>
        <sz val="11"/>
        <color theme="5"/>
        <rFont val="Calibri"/>
        <family val="2"/>
        <scheme val="minor"/>
      </rPr>
      <t>loss_inductor_AC</t>
    </r>
  </si>
  <si>
    <r>
      <t>Inductor AC loss, P</t>
    </r>
    <r>
      <rPr>
        <vertAlign val="subscript"/>
        <sz val="11"/>
        <color theme="5"/>
        <rFont val="Calibri"/>
        <family val="2"/>
        <scheme val="minor"/>
      </rPr>
      <t>loss_inductor_DC</t>
    </r>
  </si>
  <si>
    <r>
      <t>Vin that makes the ILp2p max, V</t>
    </r>
    <r>
      <rPr>
        <vertAlign val="subscript"/>
        <sz val="11"/>
        <color theme="1"/>
        <rFont val="Calibri"/>
        <family val="2"/>
        <scheme val="minor"/>
      </rPr>
      <t>1</t>
    </r>
  </si>
  <si>
    <r>
      <t>Vin that makes the ILp2p ratio max, V</t>
    </r>
    <r>
      <rPr>
        <vertAlign val="subscript"/>
        <sz val="11"/>
        <color theme="1"/>
        <rFont val="Calibri"/>
        <family val="2"/>
        <scheme val="minor"/>
      </rPr>
      <t>2</t>
    </r>
  </si>
  <si>
    <r>
      <t>Duty when V</t>
    </r>
    <r>
      <rPr>
        <vertAlign val="subscript"/>
        <sz val="11"/>
        <color theme="1"/>
        <rFont val="Calibri"/>
        <family val="2"/>
        <scheme val="minor"/>
      </rPr>
      <t>IN</t>
    </r>
    <r>
      <rPr>
        <sz val="11"/>
        <color theme="1"/>
        <rFont val="Calibri"/>
        <family val="2"/>
        <scheme val="minor"/>
      </rPr>
      <t xml:space="preserve"> = V</t>
    </r>
    <r>
      <rPr>
        <vertAlign val="subscript"/>
        <sz val="11"/>
        <color theme="1"/>
        <rFont val="Calibri"/>
        <family val="2"/>
        <scheme val="minor"/>
      </rPr>
      <t>1</t>
    </r>
  </si>
  <si>
    <r>
      <t>Duty when V</t>
    </r>
    <r>
      <rPr>
        <vertAlign val="subscript"/>
        <sz val="11"/>
        <color theme="1"/>
        <rFont val="Calibri"/>
        <family val="2"/>
        <scheme val="minor"/>
      </rPr>
      <t>IN</t>
    </r>
    <r>
      <rPr>
        <sz val="11"/>
        <color theme="1"/>
        <rFont val="Calibri"/>
        <family val="2"/>
        <scheme val="minor"/>
      </rPr>
      <t xml:space="preserve"> = V</t>
    </r>
    <r>
      <rPr>
        <vertAlign val="subscript"/>
        <sz val="11"/>
        <color theme="1"/>
        <rFont val="Calibri"/>
        <family val="2"/>
        <scheme val="minor"/>
      </rPr>
      <t>2</t>
    </r>
  </si>
  <si>
    <r>
      <t>Input current when V</t>
    </r>
    <r>
      <rPr>
        <vertAlign val="subscript"/>
        <sz val="11"/>
        <color theme="1"/>
        <rFont val="Calibri"/>
        <family val="2"/>
        <scheme val="minor"/>
      </rPr>
      <t>IN</t>
    </r>
    <r>
      <rPr>
        <sz val="11"/>
        <color theme="1"/>
        <rFont val="Calibri"/>
        <family val="2"/>
        <scheme val="minor"/>
      </rPr>
      <t xml:space="preserve"> = V</t>
    </r>
    <r>
      <rPr>
        <vertAlign val="subscript"/>
        <sz val="11"/>
        <color theme="1"/>
        <rFont val="Calibri"/>
        <family val="2"/>
        <scheme val="minor"/>
      </rPr>
      <t>2</t>
    </r>
  </si>
  <si>
    <r>
      <t>Input current when V</t>
    </r>
    <r>
      <rPr>
        <vertAlign val="subscript"/>
        <sz val="11"/>
        <color theme="1"/>
        <rFont val="Calibri"/>
        <family val="2"/>
        <scheme val="minor"/>
      </rPr>
      <t>IN</t>
    </r>
    <r>
      <rPr>
        <sz val="11"/>
        <color theme="1"/>
        <rFont val="Calibri"/>
        <family val="2"/>
        <scheme val="minor"/>
      </rPr>
      <t xml:space="preserve"> = V</t>
    </r>
    <r>
      <rPr>
        <vertAlign val="subscript"/>
        <sz val="11"/>
        <color theme="1"/>
        <rFont val="Calibri"/>
        <family val="2"/>
        <scheme val="minor"/>
      </rPr>
      <t>IN_max</t>
    </r>
  </si>
  <si>
    <r>
      <t>Inductor peak-to-peak current at V</t>
    </r>
    <r>
      <rPr>
        <vertAlign val="subscript"/>
        <sz val="11"/>
        <color theme="1"/>
        <rFont val="Calibri"/>
        <family val="2"/>
        <scheme val="minor"/>
      </rPr>
      <t>1</t>
    </r>
    <r>
      <rPr>
        <sz val="11"/>
        <color theme="1"/>
        <rFont val="Calibri"/>
        <family val="2"/>
        <scheme val="minor"/>
      </rPr>
      <t>, IL</t>
    </r>
    <r>
      <rPr>
        <vertAlign val="subscript"/>
        <sz val="11"/>
        <color theme="1"/>
        <rFont val="Calibri"/>
        <family val="2"/>
        <scheme val="minor"/>
      </rPr>
      <t>p2p_1</t>
    </r>
  </si>
  <si>
    <r>
      <t>Inductor peak-to-peak current at V</t>
    </r>
    <r>
      <rPr>
        <vertAlign val="subscript"/>
        <sz val="11"/>
        <color theme="1"/>
        <rFont val="Calibri"/>
        <family val="2"/>
        <scheme val="minor"/>
      </rPr>
      <t>2</t>
    </r>
    <r>
      <rPr>
        <sz val="11"/>
        <color theme="1"/>
        <rFont val="Calibri"/>
        <family val="2"/>
        <scheme val="minor"/>
      </rPr>
      <t>, IL</t>
    </r>
    <r>
      <rPr>
        <vertAlign val="subscript"/>
        <sz val="11"/>
        <color theme="1"/>
        <rFont val="Calibri"/>
        <family val="2"/>
        <scheme val="minor"/>
      </rPr>
      <t>p2p_2</t>
    </r>
  </si>
  <si>
    <r>
      <t>Maximum actual inductor peak-to-peak current ripple, IL</t>
    </r>
    <r>
      <rPr>
        <vertAlign val="subscript"/>
        <sz val="11"/>
        <color theme="1"/>
        <rFont val="Calibri"/>
        <family val="2"/>
        <scheme val="minor"/>
      </rPr>
      <t>p2p_max_act</t>
    </r>
    <r>
      <rPr>
        <sz val="11"/>
        <color theme="1"/>
        <rFont val="Calibri"/>
        <family val="2"/>
        <scheme val="minor"/>
      </rPr>
      <t xml:space="preserve"> </t>
    </r>
  </si>
  <si>
    <r>
      <t>Low side FET conduction loss, P</t>
    </r>
    <r>
      <rPr>
        <vertAlign val="subscript"/>
        <sz val="11"/>
        <color theme="5"/>
        <rFont val="Calibri"/>
        <family val="2"/>
        <scheme val="minor"/>
      </rPr>
      <t>loss_LS_Rdson</t>
    </r>
  </si>
  <si>
    <r>
      <t>High side FET conduction loss, P</t>
    </r>
    <r>
      <rPr>
        <vertAlign val="subscript"/>
        <sz val="11"/>
        <color theme="5"/>
        <rFont val="Calibri"/>
        <family val="2"/>
        <scheme val="minor"/>
      </rPr>
      <t>loss_HS_Rdson</t>
    </r>
  </si>
  <si>
    <r>
      <t>Total FET conduction loss, P</t>
    </r>
    <r>
      <rPr>
        <vertAlign val="subscript"/>
        <sz val="11"/>
        <color theme="5"/>
        <rFont val="Calibri"/>
        <family val="2"/>
        <scheme val="minor"/>
      </rPr>
      <t>loss_FET_Rdson</t>
    </r>
  </si>
  <si>
    <r>
      <t xml:space="preserve">Calculated maximum inductor peak-to-peak current ripple </t>
    </r>
    <r>
      <rPr>
        <b/>
        <u/>
        <sz val="11"/>
        <color theme="1"/>
        <rFont val="Calibri"/>
        <family val="2"/>
        <scheme val="minor"/>
      </rPr>
      <t>based on the max ratio</t>
    </r>
    <r>
      <rPr>
        <sz val="11"/>
        <color theme="1"/>
        <rFont val="Calibri"/>
        <family val="2"/>
        <scheme val="minor"/>
      </rPr>
      <t>, IL</t>
    </r>
    <r>
      <rPr>
        <vertAlign val="subscript"/>
        <sz val="11"/>
        <color theme="1"/>
        <rFont val="Calibri"/>
        <family val="2"/>
        <scheme val="minor"/>
      </rPr>
      <t>p2p_cal_max</t>
    </r>
    <r>
      <rPr>
        <sz val="11"/>
        <color theme="1"/>
        <rFont val="Calibri"/>
        <family val="2"/>
        <scheme val="minor"/>
      </rPr>
      <t xml:space="preserve"> </t>
    </r>
  </si>
  <si>
    <r>
      <t xml:space="preserve">Recommended minimum inductance </t>
    </r>
    <r>
      <rPr>
        <b/>
        <u/>
        <sz val="11"/>
        <color theme="5"/>
        <rFont val="Calibri"/>
        <family val="2"/>
        <scheme val="minor"/>
      </rPr>
      <t>based on the max ratio</t>
    </r>
    <r>
      <rPr>
        <b/>
        <sz val="11"/>
        <color theme="5"/>
        <rFont val="Calibri"/>
        <family val="2"/>
        <scheme val="minor"/>
      </rPr>
      <t>, L</t>
    </r>
    <r>
      <rPr>
        <b/>
        <vertAlign val="subscript"/>
        <sz val="11"/>
        <color theme="5"/>
        <rFont val="Calibri"/>
        <family val="2"/>
        <scheme val="minor"/>
      </rPr>
      <t>cal_min</t>
    </r>
    <r>
      <rPr>
        <b/>
        <sz val="11"/>
        <color theme="5"/>
        <rFont val="Calibri"/>
        <family val="2"/>
        <scheme val="minor"/>
      </rPr>
      <t xml:space="preserve">   </t>
    </r>
  </si>
  <si>
    <r>
      <t>Nominal inductor RMS current, IL</t>
    </r>
    <r>
      <rPr>
        <vertAlign val="subscript"/>
        <sz val="11"/>
        <color theme="1"/>
        <rFont val="Calibri"/>
        <family val="2"/>
        <scheme val="minor"/>
      </rPr>
      <t>rms_act_nom</t>
    </r>
  </si>
  <si>
    <t>iL_rms_act_nom</t>
  </si>
  <si>
    <r>
      <t>Calculate the maximum input average current, I</t>
    </r>
    <r>
      <rPr>
        <vertAlign val="subscript"/>
        <sz val="11"/>
        <color theme="1"/>
        <rFont val="Calibri"/>
        <family val="2"/>
        <scheme val="minor"/>
      </rPr>
      <t>IN_nom</t>
    </r>
  </si>
  <si>
    <t>iin_nom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</si>
</sst>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
  </numFmts>
  <fonts count="40"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26"/>
      <color theme="0"/>
      <name val="Calibri"/>
      <family val="2"/>
      <scheme val="minor"/>
    </font>
    <font>
      <sz val="18"/>
      <color theme="3" tint="0.39997558519241921"/>
      <name val="Calibri"/>
      <family val="2"/>
      <scheme val="minor"/>
    </font>
    <font>
      <b/>
      <sz val="12"/>
      <color theme="0"/>
      <name val="Calibri"/>
      <family val="2"/>
      <scheme val="minor"/>
    </font>
    <font>
      <sz val="9"/>
      <color indexed="81"/>
      <name val="Tahoma"/>
      <family val="2"/>
    </font>
    <font>
      <b/>
      <sz val="9"/>
      <color indexed="81"/>
      <name val="Tahoma"/>
      <family val="2"/>
    </font>
    <font>
      <b/>
      <sz val="12"/>
      <color rgb="FF0025C0"/>
      <name val="Arial"/>
      <family val="2"/>
    </font>
    <font>
      <vertAlign val="subscript"/>
      <sz val="11"/>
      <color theme="1"/>
      <name val="Calibri"/>
      <family val="2"/>
      <scheme val="minor"/>
    </font>
    <font>
      <sz val="11"/>
      <color theme="1"/>
      <name val="Calibri"/>
      <family val="2"/>
    </font>
    <font>
      <b/>
      <sz val="11"/>
      <color theme="5"/>
      <name val="Calibri"/>
      <family val="2"/>
      <scheme val="minor"/>
    </font>
    <font>
      <sz val="9"/>
      <color indexed="10"/>
      <name val="Tahoma"/>
      <family val="2"/>
    </font>
    <font>
      <b/>
      <sz val="11"/>
      <color rgb="FF0000FF"/>
      <name val="Calibri"/>
      <family val="2"/>
      <scheme val="minor"/>
    </font>
    <font>
      <sz val="9"/>
      <color indexed="81"/>
      <name val="Calibri"/>
      <family val="2"/>
    </font>
    <font>
      <sz val="11"/>
      <name val="Calibri"/>
      <family val="2"/>
      <scheme val="minor"/>
    </font>
    <font>
      <sz val="11"/>
      <name val="Calibri"/>
      <family val="2"/>
    </font>
    <font>
      <b/>
      <sz val="11"/>
      <color theme="1"/>
      <name val="Arial"/>
      <family val="2"/>
    </font>
    <font>
      <b/>
      <sz val="14"/>
      <color theme="0"/>
      <name val="Calibri"/>
      <family val="2"/>
      <scheme val="minor"/>
    </font>
    <font>
      <b/>
      <vertAlign val="subscript"/>
      <sz val="11"/>
      <color theme="5"/>
      <name val="Calibri"/>
      <family val="2"/>
      <scheme val="minor"/>
    </font>
    <font>
      <vertAlign val="subscript"/>
      <sz val="9"/>
      <color indexed="10"/>
      <name val="Tahoma"/>
      <family val="2"/>
    </font>
    <font>
      <b/>
      <sz val="14"/>
      <color rgb="FFFFFF00"/>
      <name val="Calibri"/>
      <family val="2"/>
      <scheme val="minor"/>
    </font>
    <font>
      <b/>
      <vertAlign val="subscript"/>
      <sz val="9"/>
      <color indexed="81"/>
      <name val="Tahoma"/>
      <family val="2"/>
    </font>
    <font>
      <vertAlign val="subscript"/>
      <sz val="9"/>
      <color indexed="81"/>
      <name val="Tahoma"/>
      <family val="2"/>
    </font>
    <font>
      <b/>
      <sz val="14"/>
      <color theme="1"/>
      <name val="Calibri"/>
      <family val="2"/>
      <scheme val="minor"/>
    </font>
    <font>
      <b/>
      <u/>
      <sz val="11"/>
      <color rgb="FF0000FF"/>
      <name val="Calibri"/>
      <family val="2"/>
      <scheme val="minor"/>
    </font>
    <font>
      <b/>
      <sz val="16"/>
      <color theme="0"/>
      <name val="Calibri"/>
      <family val="2"/>
      <scheme val="minor"/>
    </font>
    <font>
      <sz val="16"/>
      <color theme="0"/>
      <name val="Calibri"/>
      <family val="2"/>
      <scheme val="minor"/>
    </font>
    <font>
      <sz val="10"/>
      <color theme="0"/>
      <name val="Calibri"/>
      <family val="2"/>
      <scheme val="minor"/>
    </font>
    <font>
      <b/>
      <sz val="14"/>
      <color theme="5"/>
      <name val="Calibri"/>
      <family val="2"/>
      <scheme val="minor"/>
    </font>
    <font>
      <sz val="10"/>
      <name val="Arial"/>
      <family val="2"/>
    </font>
    <font>
      <sz val="11"/>
      <color theme="0"/>
      <name val="Calibri"/>
      <family val="2"/>
      <scheme val="minor"/>
    </font>
    <font>
      <vertAlign val="subscript"/>
      <sz val="11"/>
      <color theme="5"/>
      <name val="Calibri"/>
      <family val="2"/>
      <scheme val="minor"/>
    </font>
    <font>
      <vertAlign val="subscript"/>
      <sz val="11"/>
      <color theme="1"/>
      <name val="Calibri"/>
      <family val="2"/>
    </font>
    <font>
      <b/>
      <sz val="14"/>
      <color theme="9" tint="0.39997558519241921"/>
      <name val="Calibri"/>
      <family val="2"/>
      <scheme val="minor"/>
    </font>
    <font>
      <vertAlign val="subscript"/>
      <sz val="11"/>
      <name val="Calibri"/>
      <family val="2"/>
      <scheme val="minor"/>
    </font>
    <font>
      <vertAlign val="subscript"/>
      <sz val="11"/>
      <name val="Calibri"/>
      <family val="2"/>
    </font>
    <font>
      <b/>
      <u/>
      <sz val="11"/>
      <color theme="1"/>
      <name val="Calibri"/>
      <family val="2"/>
      <scheme val="minor"/>
    </font>
    <font>
      <b/>
      <u/>
      <sz val="11"/>
      <color theme="5"/>
      <name val="Calibri"/>
      <family val="2"/>
      <scheme val="minor"/>
    </font>
  </fonts>
  <fills count="14">
    <fill>
      <patternFill patternType="none"/>
    </fill>
    <fill>
      <patternFill patternType="gray125"/>
    </fill>
    <fill>
      <patternFill patternType="solid">
        <fgColor rgb="FFFF0000"/>
        <bgColor indexed="64"/>
      </patternFill>
    </fill>
    <fill>
      <patternFill patternType="solid">
        <fgColor theme="0" tint="-0.34998626667073579"/>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indexed="64"/>
      </patternFill>
    </fill>
    <fill>
      <patternFill patternType="solid">
        <fgColor rgb="FF00B050"/>
        <bgColor indexed="64"/>
      </patternFill>
    </fill>
    <fill>
      <patternFill patternType="solid">
        <fgColor theme="8" tint="0.79998168889431442"/>
        <bgColor indexed="64"/>
      </patternFill>
    </fill>
    <fill>
      <patternFill patternType="solid">
        <fgColor rgb="FF0070C0"/>
        <bgColor indexed="64"/>
      </patternFill>
    </fill>
    <fill>
      <patternFill patternType="solid">
        <fgColor theme="9" tint="0.39997558519241921"/>
        <bgColor indexed="64"/>
      </patternFill>
    </fill>
    <fill>
      <patternFill patternType="solid">
        <fgColor theme="5" tint="0.79998168889431442"/>
        <bgColor indexed="64"/>
      </patternFill>
    </fill>
  </fills>
  <borders count="31">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31" fillId="0" borderId="0"/>
  </cellStyleXfs>
  <cellXfs count="123">
    <xf numFmtId="0" fontId="0" fillId="0" borderId="0" xfId="0"/>
    <xf numFmtId="0" fontId="0" fillId="3" borderId="0" xfId="0" applyFill="1"/>
    <xf numFmtId="0" fontId="5" fillId="4" borderId="1" xfId="0" applyFont="1" applyFill="1" applyBorder="1" applyAlignment="1">
      <alignment vertical="center"/>
    </xf>
    <xf numFmtId="0" fontId="1" fillId="3" borderId="0" xfId="0" applyFont="1" applyFill="1" applyAlignment="1">
      <alignment horizontal="right" vertical="center"/>
    </xf>
    <xf numFmtId="0" fontId="6" fillId="3" borderId="0" xfId="0" applyFont="1" applyFill="1" applyAlignment="1">
      <alignment horizontal="right" vertical="center"/>
    </xf>
    <xf numFmtId="0" fontId="0" fillId="5" borderId="0" xfId="0" applyFill="1"/>
    <xf numFmtId="0" fontId="0" fillId="6" borderId="0" xfId="0" applyFill="1"/>
    <xf numFmtId="0" fontId="0" fillId="0" borderId="5" xfId="0" applyBorder="1"/>
    <xf numFmtId="0" fontId="0" fillId="0" borderId="5" xfId="0" applyBorder="1" applyAlignment="1">
      <alignment horizontal="right" vertical="center"/>
    </xf>
    <xf numFmtId="0" fontId="12" fillId="6" borderId="5" xfId="0" applyFont="1" applyFill="1" applyBorder="1" applyAlignment="1">
      <alignment horizontal="right" vertical="center"/>
    </xf>
    <xf numFmtId="0" fontId="0" fillId="4" borderId="5" xfId="0" applyFill="1" applyBorder="1" applyAlignment="1" applyProtection="1">
      <alignment vertical="center"/>
      <protection locked="0"/>
    </xf>
    <xf numFmtId="0" fontId="0" fillId="0" borderId="5" xfId="0" applyBorder="1" applyAlignment="1">
      <alignment vertical="center"/>
    </xf>
    <xf numFmtId="0" fontId="0" fillId="0" borderId="5" xfId="0" quotePrefix="1" applyBorder="1" applyAlignment="1">
      <alignment vertical="center"/>
    </xf>
    <xf numFmtId="0" fontId="0" fillId="0" borderId="6" xfId="0" applyBorder="1" applyAlignment="1">
      <alignment horizontal="right" vertical="center"/>
    </xf>
    <xf numFmtId="0" fontId="0" fillId="0" borderId="6" xfId="0" applyBorder="1" applyAlignment="1">
      <alignment vertical="center"/>
    </xf>
    <xf numFmtId="0" fontId="0" fillId="0" borderId="5" xfId="0" applyBorder="1" applyAlignment="1">
      <alignment horizontal="left" vertical="center"/>
    </xf>
    <xf numFmtId="164" fontId="0" fillId="4" borderId="5" xfId="0" applyNumberFormat="1" applyFill="1" applyBorder="1" applyAlignment="1" applyProtection="1">
      <alignment vertical="center"/>
      <protection locked="0"/>
    </xf>
    <xf numFmtId="0" fontId="0" fillId="6" borderId="5" xfId="0" applyFill="1" applyBorder="1" applyAlignment="1">
      <alignment horizontal="right" vertical="center"/>
    </xf>
    <xf numFmtId="0" fontId="0" fillId="0" borderId="5" xfId="0" applyBorder="1" applyAlignment="1">
      <alignment horizontal="right" vertical="center" wrapText="1"/>
    </xf>
    <xf numFmtId="49" fontId="17" fillId="0" borderId="5" xfId="0" applyNumberFormat="1" applyFont="1" applyBorder="1" applyAlignment="1">
      <alignment horizontal="right" vertical="center" wrapText="1"/>
    </xf>
    <xf numFmtId="0" fontId="11" fillId="0" borderId="5" xfId="0" applyFont="1" applyBorder="1" applyAlignment="1">
      <alignment vertical="center"/>
    </xf>
    <xf numFmtId="0" fontId="18" fillId="6" borderId="5" xfId="0" applyFont="1" applyFill="1" applyBorder="1" applyAlignment="1">
      <alignment horizontal="right" vertical="center"/>
    </xf>
    <xf numFmtId="0" fontId="18" fillId="6" borderId="5" xfId="0" applyFont="1" applyFill="1" applyBorder="1" applyAlignment="1">
      <alignment horizontal="left" vertical="center"/>
    </xf>
    <xf numFmtId="4" fontId="0" fillId="4" borderId="5" xfId="0" applyNumberFormat="1" applyFill="1" applyBorder="1" applyAlignment="1" applyProtection="1">
      <alignment vertical="center"/>
      <protection locked="0"/>
    </xf>
    <xf numFmtId="3" fontId="0" fillId="4" borderId="5" xfId="0" applyNumberFormat="1" applyFill="1" applyBorder="1" applyAlignment="1" applyProtection="1">
      <alignment vertical="center"/>
      <protection locked="0"/>
    </xf>
    <xf numFmtId="0" fontId="3" fillId="8" borderId="5" xfId="0" applyFont="1" applyFill="1" applyBorder="1" applyAlignment="1">
      <alignment vertical="center"/>
    </xf>
    <xf numFmtId="0" fontId="0" fillId="6" borderId="0" xfId="0" applyFill="1" applyAlignment="1">
      <alignment vertical="center"/>
    </xf>
    <xf numFmtId="0" fontId="12" fillId="6" borderId="0" xfId="0" applyFont="1" applyFill="1" applyAlignment="1">
      <alignment horizontal="right" vertical="center"/>
    </xf>
    <xf numFmtId="2" fontId="0" fillId="6" borderId="0" xfId="0" applyNumberFormat="1" applyFill="1" applyAlignment="1">
      <alignment vertical="center"/>
    </xf>
    <xf numFmtId="0" fontId="0" fillId="0" borderId="0" xfId="0" applyAlignment="1">
      <alignment horizontal="left" vertical="center"/>
    </xf>
    <xf numFmtId="0" fontId="0" fillId="0" borderId="5" xfId="0" applyBorder="1" applyAlignment="1">
      <alignment horizontal="center" vertical="center"/>
    </xf>
    <xf numFmtId="0" fontId="0" fillId="8" borderId="5" xfId="0" applyFill="1" applyBorder="1" applyAlignment="1">
      <alignment horizontal="left" vertical="center"/>
    </xf>
    <xf numFmtId="0" fontId="0" fillId="10" borderId="5" xfId="0" applyFill="1" applyBorder="1" applyAlignment="1">
      <alignment horizontal="left" vertical="center"/>
    </xf>
    <xf numFmtId="0" fontId="0" fillId="0" borderId="13" xfId="0" applyBorder="1" applyAlignment="1">
      <alignment horizontal="center" vertical="center"/>
    </xf>
    <xf numFmtId="0" fontId="0" fillId="0" borderId="13" xfId="0" applyBorder="1" applyAlignment="1">
      <alignment horizontal="right" vertical="center"/>
    </xf>
    <xf numFmtId="0" fontId="0" fillId="0" borderId="16" xfId="0" applyBorder="1" applyAlignment="1">
      <alignment vertical="center"/>
    </xf>
    <xf numFmtId="0" fontId="0" fillId="0" borderId="18" xfId="0" applyBorder="1" applyAlignment="1">
      <alignment horizontal="center" vertical="center"/>
    </xf>
    <xf numFmtId="0" fontId="0" fillId="0" borderId="18" xfId="0" applyBorder="1" applyAlignment="1">
      <alignment horizontal="right" vertical="center"/>
    </xf>
    <xf numFmtId="0" fontId="0" fillId="0" borderId="19" xfId="0" applyBorder="1" applyAlignment="1">
      <alignment vertical="center"/>
    </xf>
    <xf numFmtId="0" fontId="0" fillId="0" borderId="14" xfId="0" applyBorder="1" applyAlignment="1">
      <alignment vertical="center"/>
    </xf>
    <xf numFmtId="0" fontId="0" fillId="0" borderId="23" xfId="0" applyBorder="1" applyAlignment="1">
      <alignment vertical="center"/>
    </xf>
    <xf numFmtId="0" fontId="0" fillId="0" borderId="13" xfId="0" applyBorder="1"/>
    <xf numFmtId="0" fontId="0" fillId="0" borderId="18" xfId="0" applyBorder="1"/>
    <xf numFmtId="0" fontId="0" fillId="0" borderId="19" xfId="0" applyBorder="1"/>
    <xf numFmtId="0" fontId="11" fillId="0" borderId="16" xfId="0" applyFont="1" applyBorder="1"/>
    <xf numFmtId="166" fontId="0" fillId="0" borderId="5" xfId="0" applyNumberFormat="1" applyBorder="1" applyAlignment="1">
      <alignment horizontal="left" vertical="center"/>
    </xf>
    <xf numFmtId="0" fontId="27" fillId="0" borderId="0" xfId="0" applyFont="1" applyAlignment="1">
      <alignment horizontal="center" vertical="center"/>
    </xf>
    <xf numFmtId="0" fontId="28" fillId="0" borderId="0" xfId="0" applyFont="1" applyAlignment="1">
      <alignment horizontal="center" vertical="center"/>
    </xf>
    <xf numFmtId="0" fontId="12" fillId="6" borderId="5" xfId="0" applyFont="1" applyFill="1" applyBorder="1" applyAlignment="1">
      <alignment horizontal="center" vertical="center"/>
    </xf>
    <xf numFmtId="0" fontId="12" fillId="6" borderId="13" xfId="0" applyFont="1" applyFill="1" applyBorder="1" applyAlignment="1">
      <alignment horizontal="center" vertical="center"/>
    </xf>
    <xf numFmtId="0" fontId="0" fillId="0" borderId="22" xfId="0" applyBorder="1" applyAlignment="1">
      <alignment vertical="center"/>
    </xf>
    <xf numFmtId="0" fontId="12" fillId="6" borderId="18" xfId="0" applyFont="1" applyFill="1" applyBorder="1" applyAlignment="1">
      <alignment horizontal="center" vertical="center"/>
    </xf>
    <xf numFmtId="0" fontId="3" fillId="7" borderId="8" xfId="0" applyFont="1" applyFill="1" applyBorder="1"/>
    <xf numFmtId="0" fontId="27" fillId="0" borderId="0" xfId="0" applyFont="1" applyAlignment="1">
      <alignment vertical="center"/>
    </xf>
    <xf numFmtId="0" fontId="0" fillId="6" borderId="0" xfId="0" applyFill="1" applyAlignment="1">
      <alignment horizontal="left"/>
    </xf>
    <xf numFmtId="0" fontId="0" fillId="0" borderId="0" xfId="0" applyAlignment="1">
      <alignment horizontal="left"/>
    </xf>
    <xf numFmtId="0" fontId="0" fillId="0" borderId="5" xfId="0" quotePrefix="1" applyBorder="1" applyAlignment="1">
      <alignment horizontal="left" vertical="center"/>
    </xf>
    <xf numFmtId="0" fontId="0" fillId="4" borderId="5" xfId="0" applyFill="1" applyBorder="1" applyAlignment="1">
      <alignment horizontal="right" vertical="center"/>
    </xf>
    <xf numFmtId="0" fontId="3" fillId="5" borderId="20" xfId="0" applyFont="1" applyFill="1" applyBorder="1" applyAlignment="1">
      <alignment horizontal="center" vertical="center"/>
    </xf>
    <xf numFmtId="0" fontId="3" fillId="5" borderId="21" xfId="0" applyFont="1" applyFill="1" applyBorder="1" applyAlignment="1">
      <alignment horizontal="center" vertical="center"/>
    </xf>
    <xf numFmtId="0" fontId="3" fillId="5" borderId="21" xfId="0" applyFont="1" applyFill="1" applyBorder="1" applyAlignment="1">
      <alignment horizontal="right" vertical="center"/>
    </xf>
    <xf numFmtId="0" fontId="3" fillId="5" borderId="22" xfId="0" applyFont="1" applyFill="1" applyBorder="1" applyAlignment="1">
      <alignment horizontal="left" vertical="center"/>
    </xf>
    <xf numFmtId="0" fontId="32" fillId="0" borderId="0" xfId="0" applyFont="1" applyAlignment="1">
      <alignment horizontal="center" vertical="center"/>
    </xf>
    <xf numFmtId="0" fontId="11" fillId="0" borderId="5" xfId="0" applyFont="1" applyBorder="1" applyAlignment="1">
      <alignment horizontal="left" vertical="center"/>
    </xf>
    <xf numFmtId="0" fontId="27" fillId="12" borderId="26" xfId="0" applyFont="1" applyFill="1" applyBorder="1" applyAlignment="1">
      <alignment vertical="center"/>
    </xf>
    <xf numFmtId="0" fontId="0" fillId="4" borderId="26" xfId="0" applyFill="1" applyBorder="1"/>
    <xf numFmtId="0" fontId="27" fillId="3" borderId="0" xfId="0" applyFont="1" applyFill="1" applyAlignment="1">
      <alignment horizontal="center" vertical="center"/>
    </xf>
    <xf numFmtId="0" fontId="22" fillId="3" borderId="27" xfId="0" applyFont="1" applyFill="1" applyBorder="1" applyAlignment="1">
      <alignment horizontal="left" vertical="center"/>
    </xf>
    <xf numFmtId="0" fontId="0" fillId="3" borderId="0" xfId="0" applyFill="1" applyAlignment="1">
      <alignment horizontal="left"/>
    </xf>
    <xf numFmtId="0" fontId="35" fillId="3" borderId="27" xfId="0" applyFont="1" applyFill="1" applyBorder="1" applyAlignment="1">
      <alignment horizontal="left" vertical="center"/>
    </xf>
    <xf numFmtId="0" fontId="0" fillId="0" borderId="28" xfId="0" applyBorder="1"/>
    <xf numFmtId="0" fontId="0" fillId="0" borderId="29" xfId="0" applyBorder="1"/>
    <xf numFmtId="0" fontId="0" fillId="0" borderId="30" xfId="0" applyBorder="1"/>
    <xf numFmtId="0" fontId="16" fillId="6" borderId="5" xfId="0" applyFont="1" applyFill="1" applyBorder="1" applyAlignment="1">
      <alignment horizontal="right" vertical="center"/>
    </xf>
    <xf numFmtId="0" fontId="0" fillId="12" borderId="5" xfId="0" applyFill="1" applyBorder="1" applyAlignment="1">
      <alignment horizontal="right" vertical="center"/>
    </xf>
    <xf numFmtId="0" fontId="0" fillId="12" borderId="5" xfId="0" applyFill="1" applyBorder="1" applyAlignment="1" applyProtection="1">
      <alignment vertical="center"/>
      <protection locked="0"/>
    </xf>
    <xf numFmtId="0" fontId="0" fillId="12" borderId="5" xfId="0" applyFill="1" applyBorder="1" applyAlignment="1">
      <alignment vertical="center"/>
    </xf>
    <xf numFmtId="0" fontId="0" fillId="4" borderId="5" xfId="0" applyFill="1" applyBorder="1"/>
    <xf numFmtId="0" fontId="0" fillId="12" borderId="5" xfId="0" applyFill="1" applyBorder="1"/>
    <xf numFmtId="164" fontId="0" fillId="12" borderId="5" xfId="0" applyNumberFormat="1" applyFill="1" applyBorder="1" applyAlignment="1">
      <alignment vertical="center"/>
    </xf>
    <xf numFmtId="0" fontId="0" fillId="13" borderId="5" xfId="0" quotePrefix="1" applyFill="1" applyBorder="1" applyAlignment="1">
      <alignment horizontal="left" vertical="center"/>
    </xf>
    <xf numFmtId="0" fontId="0" fillId="13" borderId="5" xfId="0" applyFill="1" applyBorder="1"/>
    <xf numFmtId="0" fontId="27" fillId="6" borderId="0" xfId="0" applyFont="1" applyFill="1" applyAlignment="1">
      <alignment vertical="center"/>
    </xf>
    <xf numFmtId="165" fontId="0" fillId="4" borderId="5" xfId="0" applyNumberFormat="1" applyFill="1" applyBorder="1" applyAlignment="1" applyProtection="1">
      <alignment vertical="center"/>
      <protection locked="0"/>
    </xf>
    <xf numFmtId="2" fontId="0" fillId="4" borderId="5" xfId="0" applyNumberFormat="1" applyFill="1" applyBorder="1" applyAlignment="1" applyProtection="1">
      <alignment vertical="center"/>
      <protection locked="0"/>
    </xf>
    <xf numFmtId="164" fontId="0" fillId="0" borderId="5" xfId="0" applyNumberFormat="1" applyBorder="1" applyAlignment="1" applyProtection="1">
      <alignment vertical="center"/>
      <protection hidden="1"/>
    </xf>
    <xf numFmtId="2" fontId="0" fillId="0" borderId="5" xfId="0" applyNumberFormat="1" applyBorder="1" applyAlignment="1" applyProtection="1">
      <alignment vertical="center"/>
      <protection hidden="1"/>
    </xf>
    <xf numFmtId="1" fontId="0" fillId="0" borderId="5" xfId="0" applyNumberFormat="1" applyBorder="1" applyAlignment="1" applyProtection="1">
      <alignment vertical="center"/>
      <protection hidden="1"/>
    </xf>
    <xf numFmtId="4" fontId="0" fillId="0" borderId="5" xfId="0" applyNumberFormat="1" applyBorder="1" applyAlignment="1" applyProtection="1">
      <alignment vertical="center"/>
      <protection hidden="1"/>
    </xf>
    <xf numFmtId="0" fontId="0" fillId="0" borderId="5" xfId="0" applyBorder="1" applyAlignment="1" applyProtection="1">
      <alignment vertical="center"/>
      <protection hidden="1"/>
    </xf>
    <xf numFmtId="165" fontId="0" fillId="0" borderId="5" xfId="0" applyNumberFormat="1" applyBorder="1" applyAlignment="1" applyProtection="1">
      <alignment vertical="center"/>
      <protection hidden="1"/>
    </xf>
    <xf numFmtId="164" fontId="0" fillId="0" borderId="5" xfId="0" applyNumberFormat="1" applyBorder="1" applyAlignment="1" applyProtection="1">
      <alignment horizontal="right" vertical="center"/>
      <protection hidden="1"/>
    </xf>
    <xf numFmtId="1" fontId="0" fillId="4" borderId="5" xfId="0" applyNumberFormat="1" applyFill="1" applyBorder="1" applyAlignment="1" applyProtection="1">
      <alignment vertical="center"/>
      <protection locked="0"/>
    </xf>
    <xf numFmtId="0" fontId="4" fillId="2" borderId="0" xfId="0" applyFont="1" applyFill="1" applyAlignment="1">
      <alignment horizontal="center"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5" xfId="0" applyFont="1" applyBorder="1" applyAlignment="1">
      <alignment horizontal="left" vertical="center"/>
    </xf>
    <xf numFmtId="0" fontId="14" fillId="5" borderId="3" xfId="0" applyFont="1" applyFill="1" applyBorder="1" applyAlignment="1">
      <alignment horizontal="center" vertical="center"/>
    </xf>
    <xf numFmtId="0" fontId="14" fillId="5" borderId="4" xfId="0" applyFont="1" applyFill="1" applyBorder="1" applyAlignment="1">
      <alignment horizontal="center" vertical="center"/>
    </xf>
    <xf numFmtId="0" fontId="9" fillId="5" borderId="9" xfId="0" applyFont="1" applyFill="1" applyBorder="1" applyAlignment="1">
      <alignment horizontal="left" vertical="center"/>
    </xf>
    <xf numFmtId="0" fontId="9" fillId="5" borderId="10" xfId="0" applyFont="1" applyFill="1" applyBorder="1" applyAlignment="1">
      <alignment horizontal="left" vertical="center"/>
    </xf>
    <xf numFmtId="0" fontId="9" fillId="5" borderId="11" xfId="0" applyFont="1" applyFill="1" applyBorder="1" applyAlignment="1">
      <alignment horizontal="left" vertical="center"/>
    </xf>
    <xf numFmtId="0" fontId="22" fillId="3" borderId="7" xfId="0" applyFont="1" applyFill="1" applyBorder="1" applyAlignment="1">
      <alignment horizontal="center" vertical="center"/>
    </xf>
    <xf numFmtId="0" fontId="22" fillId="3" borderId="0" xfId="0" applyFont="1" applyFill="1" applyAlignment="1">
      <alignment horizontal="center" vertical="center"/>
    </xf>
    <xf numFmtId="0" fontId="19" fillId="9" borderId="3" xfId="0" applyFont="1" applyFill="1" applyBorder="1" applyAlignment="1">
      <alignment horizontal="center" vertical="center"/>
    </xf>
    <xf numFmtId="0" fontId="19" fillId="9" borderId="4" xfId="0" applyFont="1" applyFill="1" applyBorder="1" applyAlignment="1">
      <alignment horizontal="center" vertical="center"/>
    </xf>
    <xf numFmtId="0" fontId="32" fillId="0" borderId="0" xfId="0" applyFont="1" applyAlignment="1">
      <alignment horizontal="center" vertical="center"/>
    </xf>
    <xf numFmtId="0" fontId="0" fillId="0" borderId="5" xfId="0" applyBorder="1" applyAlignment="1">
      <alignment horizontal="center" vertical="center"/>
    </xf>
    <xf numFmtId="0" fontId="0" fillId="10" borderId="5" xfId="0" applyFill="1" applyBorder="1" applyAlignment="1">
      <alignment horizontal="center" vertical="center"/>
    </xf>
    <xf numFmtId="0" fontId="0" fillId="0" borderId="8" xfId="0" applyBorder="1" applyAlignment="1">
      <alignment horizontal="center" vertical="center"/>
    </xf>
    <xf numFmtId="0" fontId="0" fillId="0" borderId="6" xfId="0" applyBorder="1" applyAlignment="1">
      <alignment horizontal="center" vertical="center"/>
    </xf>
    <xf numFmtId="0" fontId="30" fillId="6" borderId="20" xfId="0" applyFont="1" applyFill="1" applyBorder="1" applyAlignment="1">
      <alignment horizontal="center" vertical="center"/>
    </xf>
    <xf numFmtId="0" fontId="30" fillId="6" borderId="24" xfId="0" applyFont="1" applyFill="1" applyBorder="1" applyAlignment="1">
      <alignment horizontal="center" vertical="center"/>
    </xf>
    <xf numFmtId="0" fontId="30" fillId="6" borderId="25" xfId="0" applyFont="1" applyFill="1" applyBorder="1" applyAlignment="1">
      <alignment horizontal="center" vertical="center"/>
    </xf>
    <xf numFmtId="0" fontId="3" fillId="0" borderId="12" xfId="0" applyFont="1" applyBorder="1" applyAlignment="1">
      <alignment horizontal="center" vertical="center"/>
    </xf>
    <xf numFmtId="0" fontId="3" fillId="0" borderId="15" xfId="0" applyFont="1" applyBorder="1" applyAlignment="1">
      <alignment horizontal="center" vertical="center"/>
    </xf>
    <xf numFmtId="0" fontId="3" fillId="0" borderId="17" xfId="0" applyFont="1" applyBorder="1" applyAlignment="1">
      <alignment horizontal="center" vertical="center"/>
    </xf>
    <xf numFmtId="0" fontId="3" fillId="0" borderId="12" xfId="0" applyFont="1" applyBorder="1" applyAlignment="1">
      <alignment horizontal="center" vertical="center" wrapText="1"/>
    </xf>
    <xf numFmtId="0" fontId="27" fillId="11" borderId="0" xfId="0" applyFont="1" applyFill="1" applyAlignment="1">
      <alignment horizontal="center" vertical="center"/>
    </xf>
    <xf numFmtId="0" fontId="28" fillId="11" borderId="0" xfId="0" applyFont="1" applyFill="1" applyAlignment="1">
      <alignment horizontal="center" vertical="center"/>
    </xf>
    <xf numFmtId="0" fontId="9" fillId="5" borderId="5" xfId="0" applyFont="1" applyFill="1" applyBorder="1" applyAlignment="1">
      <alignment horizontal="left" vertical="center"/>
    </xf>
    <xf numFmtId="0" fontId="0" fillId="6" borderId="0" xfId="0" applyFill="1" applyAlignment="1">
      <alignment horizontal="center" vertical="center"/>
    </xf>
  </cellXfs>
  <cellStyles count="2">
    <cellStyle name="Normal" xfId="0" builtinId="0"/>
    <cellStyle name="Normal 2" xfId="1" xr:uid="{29449CF3-4FE0-4DA3-8334-BCFB421E2FFF}"/>
  </cellStyles>
  <dxfs count="14">
    <dxf>
      <fill>
        <patternFill>
          <bgColor theme="0" tint="-0.499984740745262"/>
        </patternFill>
      </fill>
    </dxf>
    <dxf>
      <fill>
        <patternFill>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t>Bode Plot of Loop Gain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76148065517035"/>
          <c:y val="0.12346639975238767"/>
          <c:w val="0.78210304220761351"/>
          <c:h val="0.70447321397542961"/>
        </c:manualLayout>
      </c:layout>
      <c:scatterChart>
        <c:scatterStyle val="smoothMarker"/>
        <c:varyColors val="0"/>
        <c:ser>
          <c:idx val="0"/>
          <c:order val="0"/>
          <c:tx>
            <c:v>Gain</c:v>
          </c:tx>
          <c:spPr>
            <a:ln w="28575" cap="rnd">
              <a:solidFill>
                <a:srgbClr val="0070C0"/>
              </a:solidFill>
              <a:round/>
            </a:ln>
            <a:effectLst/>
          </c:spPr>
          <c:marker>
            <c:symbol val="none"/>
          </c:marker>
          <c:xVal>
            <c:numRef>
              <c:f>Loop_Response!$I$3:$I$403</c:f>
              <c:numCache>
                <c:formatCode>###.###.###.###</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31622.776601683803</c:v>
                </c:pt>
                <c:pt idx="251">
                  <c:v>32359.365692962834</c:v>
                </c:pt>
                <c:pt idx="252">
                  <c:v>33113.112148259112</c:v>
                </c:pt>
                <c:pt idx="253">
                  <c:v>33884.415613920253</c:v>
                </c:pt>
                <c:pt idx="254">
                  <c:v>34673.685045253224</c:v>
                </c:pt>
                <c:pt idx="255">
                  <c:v>35481.338923357536</c:v>
                </c:pt>
                <c:pt idx="256">
                  <c:v>36307.805477010188</c:v>
                </c:pt>
                <c:pt idx="257">
                  <c:v>37153.522909717241</c:v>
                </c:pt>
                <c:pt idx="258">
                  <c:v>38018.939632056172</c:v>
                </c:pt>
                <c:pt idx="259">
                  <c:v>38904.514499428107</c:v>
                </c:pt>
                <c:pt idx="260">
                  <c:v>39810.717055349771</c:v>
                </c:pt>
                <c:pt idx="261">
                  <c:v>40738.027780411314</c:v>
                </c:pt>
                <c:pt idx="262">
                  <c:v>41686.938347033582</c:v>
                </c:pt>
                <c:pt idx="263">
                  <c:v>42657.9518801593</c:v>
                </c:pt>
                <c:pt idx="264">
                  <c:v>43651.583224016635</c:v>
                </c:pt>
                <c:pt idx="265">
                  <c:v>44668.359215096345</c:v>
                </c:pt>
                <c:pt idx="266">
                  <c:v>45708.81896148753</c:v>
                </c:pt>
                <c:pt idx="267">
                  <c:v>46773.514128719842</c:v>
                </c:pt>
                <c:pt idx="268">
                  <c:v>47863.009232263852</c:v>
                </c:pt>
                <c:pt idx="269">
                  <c:v>48977.881936844635</c:v>
                </c:pt>
                <c:pt idx="270">
                  <c:v>50118.723362727324</c:v>
                </c:pt>
                <c:pt idx="271">
                  <c:v>51286.138399136486</c:v>
                </c:pt>
                <c:pt idx="272">
                  <c:v>52480.74602497735</c:v>
                </c:pt>
                <c:pt idx="273">
                  <c:v>53703.17963702527</c:v>
                </c:pt>
                <c:pt idx="274">
                  <c:v>54954.087385762541</c:v>
                </c:pt>
                <c:pt idx="275">
                  <c:v>56234.132519034989</c:v>
                </c:pt>
                <c:pt idx="276">
                  <c:v>57543.993733715673</c:v>
                </c:pt>
                <c:pt idx="277">
                  <c:v>58884.365535558973</c:v>
                </c:pt>
                <c:pt idx="278">
                  <c:v>60255.958607435852</c:v>
                </c:pt>
                <c:pt idx="279">
                  <c:v>61659.500186148289</c:v>
                </c:pt>
                <c:pt idx="280">
                  <c:v>63095.734448019386</c:v>
                </c:pt>
                <c:pt idx="281">
                  <c:v>64565.422903465616</c:v>
                </c:pt>
                <c:pt idx="282">
                  <c:v>66069.34480075966</c:v>
                </c:pt>
                <c:pt idx="283">
                  <c:v>67608.297539198233</c:v>
                </c:pt>
                <c:pt idx="284">
                  <c:v>69183.097091893695</c:v>
                </c:pt>
                <c:pt idx="285">
                  <c:v>70794.578438413824</c:v>
                </c:pt>
                <c:pt idx="286">
                  <c:v>72443.596007499029</c:v>
                </c:pt>
                <c:pt idx="287">
                  <c:v>74131.02413009177</c:v>
                </c:pt>
                <c:pt idx="288">
                  <c:v>75857.757502918394</c:v>
                </c:pt>
                <c:pt idx="289">
                  <c:v>77624.711662869318</c:v>
                </c:pt>
                <c:pt idx="290">
                  <c:v>79432.82347242815</c:v>
                </c:pt>
                <c:pt idx="291">
                  <c:v>81283.05161641007</c:v>
                </c:pt>
                <c:pt idx="292">
                  <c:v>83176.377110267087</c:v>
                </c:pt>
                <c:pt idx="293">
                  <c:v>85113.803820237779</c:v>
                </c:pt>
                <c:pt idx="294">
                  <c:v>87096.358995608185</c:v>
                </c:pt>
                <c:pt idx="295">
                  <c:v>89125.093813374682</c:v>
                </c:pt>
                <c:pt idx="296">
                  <c:v>91201.083935591087</c:v>
                </c:pt>
                <c:pt idx="297">
                  <c:v>93325.430079699217</c:v>
                </c:pt>
                <c:pt idx="298">
                  <c:v>95499.258602143687</c:v>
                </c:pt>
                <c:pt idx="299">
                  <c:v>97723.722095581164</c:v>
                </c:pt>
                <c:pt idx="300">
                  <c:v>100000</c:v>
                </c:pt>
                <c:pt idx="301">
                  <c:v>102329.29922807548</c:v>
                </c:pt>
                <c:pt idx="302">
                  <c:v>104712.85480509003</c:v>
                </c:pt>
                <c:pt idx="303">
                  <c:v>107151.9305237607</c:v>
                </c:pt>
                <c:pt idx="304">
                  <c:v>109647.81961431856</c:v>
                </c:pt>
                <c:pt idx="305">
                  <c:v>112201.84543019639</c:v>
                </c:pt>
                <c:pt idx="306">
                  <c:v>114815.36214968831</c:v>
                </c:pt>
                <c:pt idx="307">
                  <c:v>117489.75549395318</c:v>
                </c:pt>
                <c:pt idx="308">
                  <c:v>120226.44346174151</c:v>
                </c:pt>
                <c:pt idx="309">
                  <c:v>123026.87708123817</c:v>
                </c:pt>
                <c:pt idx="310">
                  <c:v>125892.54117941672</c:v>
                </c:pt>
                <c:pt idx="311">
                  <c:v>128824.9551693136</c:v>
                </c:pt>
                <c:pt idx="312">
                  <c:v>131825.6738556409</c:v>
                </c:pt>
                <c:pt idx="313">
                  <c:v>134896.28825916557</c:v>
                </c:pt>
                <c:pt idx="314">
                  <c:v>138038.42646028841</c:v>
                </c:pt>
                <c:pt idx="315">
                  <c:v>141253.7544622756</c:v>
                </c:pt>
                <c:pt idx="316">
                  <c:v>144543.9770745929</c:v>
                </c:pt>
                <c:pt idx="317">
                  <c:v>147910.83881682088</c:v>
                </c:pt>
                <c:pt idx="318">
                  <c:v>151356.12484362445</c:v>
                </c:pt>
                <c:pt idx="319">
                  <c:v>154881.66189124854</c:v>
                </c:pt>
                <c:pt idx="320">
                  <c:v>158489.31924611147</c:v>
                </c:pt>
                <c:pt idx="321">
                  <c:v>162181.00973589683</c:v>
                </c:pt>
                <c:pt idx="322">
                  <c:v>165958.69074376026</c:v>
                </c:pt>
                <c:pt idx="323">
                  <c:v>169824.36524617841</c:v>
                </c:pt>
                <c:pt idx="324">
                  <c:v>173780.08287494161</c:v>
                </c:pt>
                <c:pt idx="325">
                  <c:v>177827.94100389644</c:v>
                </c:pt>
                <c:pt idx="326">
                  <c:v>181970.08586100259</c:v>
                </c:pt>
                <c:pt idx="327">
                  <c:v>186208.71366629141</c:v>
                </c:pt>
                <c:pt idx="328">
                  <c:v>190546.07179632946</c:v>
                </c:pt>
                <c:pt idx="329">
                  <c:v>194984.459975809</c:v>
                </c:pt>
                <c:pt idx="330">
                  <c:v>199526.23149689252</c:v>
                </c:pt>
                <c:pt idx="331">
                  <c:v>204173.79446695794</c:v>
                </c:pt>
                <c:pt idx="332">
                  <c:v>208929.61308540907</c:v>
                </c:pt>
                <c:pt idx="333">
                  <c:v>213796.20895022844</c:v>
                </c:pt>
                <c:pt idx="334">
                  <c:v>218776.16239496018</c:v>
                </c:pt>
                <c:pt idx="335">
                  <c:v>223872.11385683939</c:v>
                </c:pt>
                <c:pt idx="336">
                  <c:v>229086.76527678283</c:v>
                </c:pt>
                <c:pt idx="337">
                  <c:v>234422.88153199785</c:v>
                </c:pt>
                <c:pt idx="338">
                  <c:v>239883.29190195477</c:v>
                </c:pt>
                <c:pt idx="339">
                  <c:v>245470.89156850934</c:v>
                </c:pt>
                <c:pt idx="340">
                  <c:v>251188.643150964</c:v>
                </c:pt>
                <c:pt idx="341">
                  <c:v>257039.57827689245</c:v>
                </c:pt>
                <c:pt idx="342">
                  <c:v>263026.79918954434</c:v>
                </c:pt>
                <c:pt idx="343">
                  <c:v>269153.48039269837</c:v>
                </c:pt>
                <c:pt idx="344">
                  <c:v>275422.87033382355</c:v>
                </c:pt>
                <c:pt idx="345">
                  <c:v>281838.29312645196</c:v>
                </c:pt>
                <c:pt idx="346">
                  <c:v>288403.15031266725</c:v>
                </c:pt>
                <c:pt idx="347">
                  <c:v>295120.9226666459</c:v>
                </c:pt>
                <c:pt idx="348">
                  <c:v>301995.17204020906</c:v>
                </c:pt>
                <c:pt idx="349">
                  <c:v>309029.54325136665</c:v>
                </c:pt>
                <c:pt idx="350">
                  <c:v>316227.76601684513</c:v>
                </c:pt>
                <c:pt idx="351">
                  <c:v>323593.65692963556</c:v>
                </c:pt>
                <c:pt idx="352">
                  <c:v>331131.12148259912</c:v>
                </c:pt>
                <c:pt idx="353">
                  <c:v>338844.15613921074</c:v>
                </c:pt>
                <c:pt idx="354">
                  <c:v>346736.85045254003</c:v>
                </c:pt>
                <c:pt idx="355">
                  <c:v>354813.38923358335</c:v>
                </c:pt>
                <c:pt idx="356">
                  <c:v>363078.05477011006</c:v>
                </c:pt>
                <c:pt idx="357">
                  <c:v>371535.22909718135</c:v>
                </c:pt>
                <c:pt idx="358">
                  <c:v>380189.39632057026</c:v>
                </c:pt>
                <c:pt idx="359">
                  <c:v>389045.14499428979</c:v>
                </c:pt>
                <c:pt idx="360">
                  <c:v>398107.17055350728</c:v>
                </c:pt>
                <c:pt idx="361">
                  <c:v>407380.27780413168</c:v>
                </c:pt>
                <c:pt idx="362">
                  <c:v>416869.38347035483</c:v>
                </c:pt>
                <c:pt idx="363">
                  <c:v>426579.51880160259</c:v>
                </c:pt>
                <c:pt idx="364">
                  <c:v>436515.83224017685</c:v>
                </c:pt>
                <c:pt idx="365">
                  <c:v>446683.5921509742</c:v>
                </c:pt>
                <c:pt idx="366">
                  <c:v>457088.18961489608</c:v>
                </c:pt>
                <c:pt idx="367">
                  <c:v>467735.14128722053</c:v>
                </c:pt>
                <c:pt idx="368">
                  <c:v>478630.09232266113</c:v>
                </c:pt>
                <c:pt idx="369">
                  <c:v>489778.81936846947</c:v>
                </c:pt>
                <c:pt idx="370">
                  <c:v>501187.23362729524</c:v>
                </c:pt>
                <c:pt idx="371">
                  <c:v>512861.38399138919</c:v>
                </c:pt>
                <c:pt idx="372">
                  <c:v>524807.46024979744</c:v>
                </c:pt>
                <c:pt idx="373">
                  <c:v>537031.79637027811</c:v>
                </c:pt>
                <c:pt idx="374">
                  <c:v>549540.87385765044</c:v>
                </c:pt>
                <c:pt idx="375">
                  <c:v>562341.32519037649</c:v>
                </c:pt>
                <c:pt idx="376">
                  <c:v>575439.93733718398</c:v>
                </c:pt>
                <c:pt idx="377">
                  <c:v>588843.65535561647</c:v>
                </c:pt>
                <c:pt idx="378">
                  <c:v>602559.58607438591</c:v>
                </c:pt>
                <c:pt idx="379">
                  <c:v>616595.00186151091</c:v>
                </c:pt>
                <c:pt idx="380">
                  <c:v>630957.34448022372</c:v>
                </c:pt>
                <c:pt idx="381">
                  <c:v>645654.22903468553</c:v>
                </c:pt>
                <c:pt idx="382">
                  <c:v>660693.44800762658</c:v>
                </c:pt>
                <c:pt idx="383">
                  <c:v>676082.97539201309</c:v>
                </c:pt>
                <c:pt idx="384">
                  <c:v>691830.97091896972</c:v>
                </c:pt>
                <c:pt idx="385">
                  <c:v>707945.78438417171</c:v>
                </c:pt>
                <c:pt idx="386">
                  <c:v>724435.96007502335</c:v>
                </c:pt>
                <c:pt idx="387">
                  <c:v>741310.24130095146</c:v>
                </c:pt>
                <c:pt idx="388">
                  <c:v>758577.57502921985</c:v>
                </c:pt>
                <c:pt idx="389">
                  <c:v>776247.11662872857</c:v>
                </c:pt>
                <c:pt idx="390">
                  <c:v>794328.23472431907</c:v>
                </c:pt>
                <c:pt idx="391">
                  <c:v>812830.51616413763</c:v>
                </c:pt>
                <c:pt idx="392">
                  <c:v>831763.77110271016</c:v>
                </c:pt>
                <c:pt idx="393">
                  <c:v>851138.0382024165</c:v>
                </c:pt>
                <c:pt idx="394">
                  <c:v>870963.58995612152</c:v>
                </c:pt>
                <c:pt idx="395">
                  <c:v>891250.93813378725</c:v>
                </c:pt>
                <c:pt idx="396">
                  <c:v>912010.83935595397</c:v>
                </c:pt>
                <c:pt idx="397">
                  <c:v>933254.30079703464</c:v>
                </c:pt>
                <c:pt idx="398">
                  <c:v>954992.58602148038</c:v>
                </c:pt>
                <c:pt idx="399">
                  <c:v>977237.22095585614</c:v>
                </c:pt>
                <c:pt idx="400">
                  <c:v>1000000.0000000482</c:v>
                </c:pt>
              </c:numCache>
            </c:numRef>
          </c:xVal>
          <c:yVal>
            <c:numRef>
              <c:f>Loop_Response!$K$3:$K$403</c:f>
              <c:numCache>
                <c:formatCode>General</c:formatCode>
                <c:ptCount val="401"/>
                <c:pt idx="0">
                  <c:v>41.664993849941823</c:v>
                </c:pt>
                <c:pt idx="1">
                  <c:v>41.464079465627862</c:v>
                </c:pt>
                <c:pt idx="2">
                  <c:v>41.26312447703846</c:v>
                </c:pt>
                <c:pt idx="3">
                  <c:v>41.062127256046381</c:v>
                </c:pt>
                <c:pt idx="4">
                  <c:v>40.861086120700136</c:v>
                </c:pt>
                <c:pt idx="5">
                  <c:v>40.659999334744143</c:v>
                </c:pt>
                <c:pt idx="6">
                  <c:v>40.458865107272203</c:v>
                </c:pt>
                <c:pt idx="7">
                  <c:v>40.257681592531185</c:v>
                </c:pt>
                <c:pt idx="8">
                  <c:v>40.056446889892797</c:v>
                </c:pt>
                <c:pt idx="9">
                  <c:v>39.855159044012865</c:v>
                </c:pt>
                <c:pt idx="10">
                  <c:v>39.653816045198184</c:v>
                </c:pt>
                <c:pt idx="11">
                  <c:v>39.452415830002963</c:v>
                </c:pt>
                <c:pt idx="12">
                  <c:v>39.250956282077574</c:v>
                </c:pt>
                <c:pt idx="13">
                  <c:v>39.049435233294005</c:v>
                </c:pt>
                <c:pt idx="14">
                  <c:v>38.847850465173345</c:v>
                </c:pt>
                <c:pt idx="15">
                  <c:v>38.646199710641802</c:v>
                </c:pt>
                <c:pt idx="16">
                  <c:v>38.444480656143249</c:v>
                </c:pt>
                <c:pt idx="17">
                  <c:v>38.242690944136825</c:v>
                </c:pt>
                <c:pt idx="18">
                  <c:v>38.040828176009384</c:v>
                </c:pt>
                <c:pt idx="19">
                  <c:v>37.838889915433185</c:v>
                </c:pt>
                <c:pt idx="20">
                  <c:v>37.636873692200112</c:v>
                </c:pt>
                <c:pt idx="21">
                  <c:v>37.434777006563706</c:v>
                </c:pt>
                <c:pt idx="22">
                  <c:v>37.232597334120904</c:v>
                </c:pt>
                <c:pt idx="23">
                  <c:v>37.030332131265006</c:v>
                </c:pt>
                <c:pt idx="24">
                  <c:v>36.827978841241226</c:v>
                </c:pt>
                <c:pt idx="25">
                  <c:v>36.625534900835078</c:v>
                </c:pt>
                <c:pt idx="26">
                  <c:v>36.422997747723265</c:v>
                </c:pt>
                <c:pt idx="27">
                  <c:v>36.220364828514398</c:v>
                </c:pt>
                <c:pt idx="28">
                  <c:v>36.017633607505381</c:v>
                </c:pt>
                <c:pt idx="29">
                  <c:v>35.8148015761764</c:v>
                </c:pt>
                <c:pt idx="30">
                  <c:v>35.611866263444249</c:v>
                </c:pt>
                <c:pt idx="31">
                  <c:v>35.408825246689787</c:v>
                </c:pt>
                <c:pt idx="32">
                  <c:v>35.205676163571027</c:v>
                </c:pt>
                <c:pt idx="33">
                  <c:v>35.002416724627743</c:v>
                </c:pt>
                <c:pt idx="34">
                  <c:v>34.799044726677991</c:v>
                </c:pt>
                <c:pt idx="35">
                  <c:v>34.595558066999743</c:v>
                </c:pt>
                <c:pt idx="36">
                  <c:v>34.391954758283639</c:v>
                </c:pt>
                <c:pt idx="37">
                  <c:v>34.188232944334537</c:v>
                </c:pt>
                <c:pt idx="38">
                  <c:v>33.98439091649044</c:v>
                </c:pt>
                <c:pt idx="39">
                  <c:v>33.780427130717875</c:v>
                </c:pt>
                <c:pt idx="40">
                  <c:v>33.576340225332011</c:v>
                </c:pt>
                <c:pt idx="41">
                  <c:v>33.3721290392794</c:v>
                </c:pt>
                <c:pt idx="42">
                  <c:v>33.167792630909204</c:v>
                </c:pt>
                <c:pt idx="43">
                  <c:v>32.963330297147074</c:v>
                </c:pt>
                <c:pt idx="44">
                  <c:v>32.758741592973863</c:v>
                </c:pt>
                <c:pt idx="45">
                  <c:v>32.554026351098948</c:v>
                </c:pt>
                <c:pt idx="46">
                  <c:v>32.349184701705816</c:v>
                </c:pt>
                <c:pt idx="47">
                  <c:v>32.144217092135904</c:v>
                </c:pt>
                <c:pt idx="48">
                  <c:v>31.939124306365244</c:v>
                </c:pt>
                <c:pt idx="49">
                  <c:v>31.733907484118184</c:v>
                </c:pt>
                <c:pt idx="50">
                  <c:v>31.52856813945289</c:v>
                </c:pt>
                <c:pt idx="51">
                  <c:v>31.323108178645377</c:v>
                </c:pt>
                <c:pt idx="52">
                  <c:v>31.117529917192538</c:v>
                </c:pt>
                <c:pt idx="53">
                  <c:v>30.911836095749965</c:v>
                </c:pt>
                <c:pt idx="54">
                  <c:v>30.706029894818229</c:v>
                </c:pt>
                <c:pt idx="55">
                  <c:v>30.50011494799152</c:v>
                </c:pt>
                <c:pt idx="56">
                  <c:v>30.294095353585575</c:v>
                </c:pt>
                <c:pt idx="57">
                  <c:v>30.087975684467491</c:v>
                </c:pt>
                <c:pt idx="58">
                  <c:v>29.881760995919187</c:v>
                </c:pt>
                <c:pt idx="59">
                  <c:v>29.675456831378401</c:v>
                </c:pt>
                <c:pt idx="60">
                  <c:v>29.469069225916517</c:v>
                </c:pt>
                <c:pt idx="61">
                  <c:v>29.26260470733121</c:v>
                </c:pt>
                <c:pt idx="62">
                  <c:v>29.056070294753695</c:v>
                </c:pt>
                <c:pt idx="63">
                  <c:v>28.849473494695239</c:v>
                </c:pt>
                <c:pt idx="64">
                  <c:v>28.642822294484809</c:v>
                </c:pt>
                <c:pt idx="65">
                  <c:v>28.436125153080301</c:v>
                </c:pt>
                <c:pt idx="66">
                  <c:v>28.22939098926658</c:v>
                </c:pt>
                <c:pt idx="67">
                  <c:v>28.022629167288159</c:v>
                </c:pt>
                <c:pt idx="68">
                  <c:v>27.815849479997684</c:v>
                </c:pt>
                <c:pt idx="69">
                  <c:v>27.609062129636463</c:v>
                </c:pt>
                <c:pt idx="70">
                  <c:v>27.402277706397442</c:v>
                </c:pt>
                <c:pt idx="71">
                  <c:v>27.195507164954581</c:v>
                </c:pt>
                <c:pt idx="72">
                  <c:v>26.988761799173879</c:v>
                </c:pt>
                <c:pt idx="73">
                  <c:v>26.782053215251008</c:v>
                </c:pt>
                <c:pt idx="74">
                  <c:v>26.575393303546743</c:v>
                </c:pt>
                <c:pt idx="75">
                  <c:v>26.368794209414141</c:v>
                </c:pt>
                <c:pt idx="76">
                  <c:v>26.162268303330695</c:v>
                </c:pt>
                <c:pt idx="77">
                  <c:v>25.955828150662107</c:v>
                </c:pt>
                <c:pt idx="78">
                  <c:v>25.74948648139517</c:v>
                </c:pt>
                <c:pt idx="79">
                  <c:v>25.543256160180167</c:v>
                </c:pt>
                <c:pt idx="80">
                  <c:v>25.337150157023903</c:v>
                </c:pt>
                <c:pt idx="81">
                  <c:v>25.131181518967807</c:v>
                </c:pt>
                <c:pt idx="82">
                  <c:v>24.925363343075098</c:v>
                </c:pt>
                <c:pt idx="83">
                  <c:v>24.719708751035125</c:v>
                </c:pt>
                <c:pt idx="84">
                  <c:v>24.514230865673323</c:v>
                </c:pt>
                <c:pt idx="85">
                  <c:v>24.308942789630908</c:v>
                </c:pt>
                <c:pt idx="86">
                  <c:v>24.103857586451181</c:v>
                </c:pt>
                <c:pt idx="87">
                  <c:v>23.898988264278771</c:v>
                </c:pt>
                <c:pt idx="88">
                  <c:v>23.694347762345917</c:v>
                </c:pt>
                <c:pt idx="89">
                  <c:v>23.489948940385222</c:v>
                </c:pt>
                <c:pt idx="90">
                  <c:v>23.285804571073982</c:v>
                </c:pt>
                <c:pt idx="91">
                  <c:v>23.0819273355789</c:v>
                </c:pt>
                <c:pt idx="92">
                  <c:v>22.878329822236129</c:v>
                </c:pt>
                <c:pt idx="93">
                  <c:v>22.675024528366549</c:v>
                </c:pt>
                <c:pt idx="94">
                  <c:v>22.472023865194497</c:v>
                </c:pt>
                <c:pt idx="95">
                  <c:v>22.269340165806909</c:v>
                </c:pt>
                <c:pt idx="96">
                  <c:v>22.066985696061892</c:v>
                </c:pt>
                <c:pt idx="97">
                  <c:v>21.864972668330001</c:v>
                </c:pt>
                <c:pt idx="98">
                  <c:v>21.663313257928724</c:v>
                </c:pt>
                <c:pt idx="99">
                  <c:v>21.462019622090189</c:v>
                </c:pt>
                <c:pt idx="100">
                  <c:v>21.261103921286612</c:v>
                </c:pt>
                <c:pt idx="101">
                  <c:v>21.060578342722469</c:v>
                </c:pt>
                <c:pt idx="102">
                  <c:v>20.860455125793145</c:v>
                </c:pt>
                <c:pt idx="103">
                  <c:v>20.660746589300228</c:v>
                </c:pt>
                <c:pt idx="104">
                  <c:v>20.461465160209634</c:v>
                </c:pt>
                <c:pt idx="105">
                  <c:v>20.26262340373431</c:v>
                </c:pt>
                <c:pt idx="106">
                  <c:v>20.064234054523254</c:v>
                </c:pt>
                <c:pt idx="107">
                  <c:v>19.866310048739265</c:v>
                </c:pt>
                <c:pt idx="108">
                  <c:v>19.668864556809574</c:v>
                </c:pt>
                <c:pt idx="109">
                  <c:v>19.471911016638739</c:v>
                </c:pt>
                <c:pt idx="110">
                  <c:v>19.27546316707576</c:v>
                </c:pt>
                <c:pt idx="111">
                  <c:v>19.079535081434486</c:v>
                </c:pt>
                <c:pt idx="112">
                  <c:v>18.884141200871273</c:v>
                </c:pt>
                <c:pt idx="113">
                  <c:v>18.689296367429215</c:v>
                </c:pt>
                <c:pt idx="114">
                  <c:v>18.495015856565281</c:v>
                </c:pt>
                <c:pt idx="115">
                  <c:v>18.301315408980678</c:v>
                </c:pt>
                <c:pt idx="116">
                  <c:v>18.108211261580987</c:v>
                </c:pt>
                <c:pt idx="117">
                  <c:v>17.91572017739643</c:v>
                </c:pt>
                <c:pt idx="118">
                  <c:v>17.723859474296038</c:v>
                </c:pt>
                <c:pt idx="119">
                  <c:v>17.532647052333271</c:v>
                </c:pt>
                <c:pt idx="120">
                  <c:v>17.342101419561875</c:v>
                </c:pt>
                <c:pt idx="121">
                  <c:v>17.15224171616229</c:v>
                </c:pt>
                <c:pt idx="122">
                  <c:v>16.963087736719551</c:v>
                </c:pt>
                <c:pt idx="123">
                  <c:v>16.774659950492612</c:v>
                </c:pt>
                <c:pt idx="124">
                  <c:v>16.586979519514262</c:v>
                </c:pt>
                <c:pt idx="125">
                  <c:v>16.400068314358847</c:v>
                </c:pt>
                <c:pt idx="126">
                  <c:v>16.213948927412385</c:v>
                </c:pt>
                <c:pt idx="127">
                  <c:v>16.0286446834773</c:v>
                </c:pt>
                <c:pt idx="128">
                  <c:v>15.844179647540246</c:v>
                </c:pt>
                <c:pt idx="129">
                  <c:v>15.660578629529031</c:v>
                </c:pt>
                <c:pt idx="130">
                  <c:v>15.477867185880843</c:v>
                </c:pt>
                <c:pt idx="131">
                  <c:v>15.296071617741982</c:v>
                </c:pt>
                <c:pt idx="132">
                  <c:v>15.115218965616199</c:v>
                </c:pt>
                <c:pt idx="133">
                  <c:v>14.935337000277972</c:v>
                </c:pt>
                <c:pt idx="134">
                  <c:v>14.756454209766192</c:v>
                </c:pt>
                <c:pt idx="135">
                  <c:v>14.578599782274472</c:v>
                </c:pt>
                <c:pt idx="136">
                  <c:v>14.401803584756712</c:v>
                </c:pt>
                <c:pt idx="137">
                  <c:v>14.226096137070479</c:v>
                </c:pt>
                <c:pt idx="138">
                  <c:v>14.051508581486859</c:v>
                </c:pt>
                <c:pt idx="139">
                  <c:v>13.878072647403714</c:v>
                </c:pt>
                <c:pt idx="140">
                  <c:v>13.705820611110047</c:v>
                </c:pt>
                <c:pt idx="141">
                  <c:v>13.53478525046294</c:v>
                </c:pt>
                <c:pt idx="142">
                  <c:v>13.36499979435483</c:v>
                </c:pt>
                <c:pt idx="143">
                  <c:v>13.196497866868238</c:v>
                </c:pt>
                <c:pt idx="144">
                  <c:v>13.029313426038803</c:v>
                </c:pt>
                <c:pt idx="145">
                  <c:v>12.863480697172321</c:v>
                </c:pt>
                <c:pt idx="146">
                  <c:v>12.699034100692309</c:v>
                </c:pt>
                <c:pt idx="147">
                  <c:v>12.536008174526978</c:v>
                </c:pt>
                <c:pt idx="148">
                  <c:v>12.374437491080775</c:v>
                </c:pt>
                <c:pt idx="149">
                  <c:v>12.214356568875704</c:v>
                </c:pt>
                <c:pt idx="150">
                  <c:v>12.055799778989808</c:v>
                </c:pt>
                <c:pt idx="151">
                  <c:v>11.898801246465464</c:v>
                </c:pt>
                <c:pt idx="152">
                  <c:v>11.743394746908471</c:v>
                </c:pt>
                <c:pt idx="153">
                  <c:v>11.589613598547945</c:v>
                </c:pt>
                <c:pt idx="154">
                  <c:v>11.437490550078437</c:v>
                </c:pt>
                <c:pt idx="155">
                  <c:v>11.287057664657949</c:v>
                </c:pt>
                <c:pt idx="156">
                  <c:v>11.13834620048724</c:v>
                </c:pt>
                <c:pt idx="157">
                  <c:v>10.991386488447874</c:v>
                </c:pt>
                <c:pt idx="158">
                  <c:v>10.846207807326339</c:v>
                </c:pt>
                <c:pt idx="159">
                  <c:v>10.702838257200083</c:v>
                </c:pt>
                <c:pt idx="160">
                  <c:v>10.561304631605667</c:v>
                </c:pt>
                <c:pt idx="161">
                  <c:v>10.421632289150878</c:v>
                </c:pt>
                <c:pt idx="162">
                  <c:v>10.283845025268381</c:v>
                </c:pt>
                <c:pt idx="163">
                  <c:v>10.14796494483863</c:v>
                </c:pt>
                <c:pt idx="164">
                  <c:v>10.014012336434078</c:v>
                </c:pt>
                <c:pt idx="165">
                  <c:v>9.8820055489524403</c:v>
                </c:pt>
                <c:pt idx="166">
                  <c:v>9.7519608714159265</c:v>
                </c:pt>
                <c:pt idx="167">
                  <c:v>9.6238924167121489</c:v>
                </c:pt>
                <c:pt idx="168">
                  <c:v>9.4978120100442478</c:v>
                </c:pt>
                <c:pt idx="169">
                  <c:v>9.3737290828385564</c:v>
                </c:pt>
                <c:pt idx="170">
                  <c:v>9.2516505728304974</c:v>
                </c:pt>
                <c:pt idx="171">
                  <c:v>9.131580831012327</c:v>
                </c:pt>
                <c:pt idx="172">
                  <c:v>9.0135215360799243</c:v>
                </c:pt>
                <c:pt idx="173">
                  <c:v>8.8974716169610772</c:v>
                </c:pt>
                <c:pt idx="174">
                  <c:v>8.7834271839450757</c:v>
                </c:pt>
                <c:pt idx="175">
                  <c:v>8.6713814688631849</c:v>
                </c:pt>
                <c:pt idx="176">
                  <c:v>8.5613247746935368</c:v>
                </c:pt>
                <c:pt idx="177">
                  <c:v>8.4532444348833859</c:v>
                </c:pt>
                <c:pt idx="178">
                  <c:v>8.3471247825954649</c:v>
                </c:pt>
                <c:pt idx="179">
                  <c:v>8.2429471299991519</c:v>
                </c:pt>
                <c:pt idx="180">
                  <c:v>8.1406897576376309</c:v>
                </c:pt>
                <c:pt idx="181">
                  <c:v>8.0403279138145383</c:v>
                </c:pt>
                <c:pt idx="182">
                  <c:v>7.941833823857289</c:v>
                </c:pt>
                <c:pt idx="183">
                  <c:v>7.8451767090306799</c:v>
                </c:pt>
                <c:pt idx="184">
                  <c:v>7.7503228147966841</c:v>
                </c:pt>
                <c:pt idx="185">
                  <c:v>7.6572354480423233</c:v>
                </c:pt>
                <c:pt idx="186">
                  <c:v>7.565875022832536</c:v>
                </c:pt>
                <c:pt idx="187">
                  <c:v>7.4761991141860928</c:v>
                </c:pt>
                <c:pt idx="188">
                  <c:v>7.388162519323382</c:v>
                </c:pt>
                <c:pt idx="189">
                  <c:v>7.3017173257943835</c:v>
                </c:pt>
                <c:pt idx="190">
                  <c:v>7.2168129858642516</c:v>
                </c:pt>
                <c:pt idx="191">
                  <c:v>7.13339639651283</c:v>
                </c:pt>
                <c:pt idx="192">
                  <c:v>7.0514119843937246</c:v>
                </c:pt>
                <c:pt idx="193">
                  <c:v>6.9708017950964027</c:v>
                </c:pt>
                <c:pt idx="194">
                  <c:v>6.8915055860628884</c:v>
                </c:pt>
                <c:pt idx="195">
                  <c:v>6.8134609225273834</c:v>
                </c:pt>
                <c:pt idx="196">
                  <c:v>6.7366032758714098</c:v>
                </c:pt>
                <c:pt idx="197">
                  <c:v>6.660866123819698</c:v>
                </c:pt>
                <c:pt idx="198">
                  <c:v>6.5861810519406285</c:v>
                </c:pt>
                <c:pt idx="199">
                  <c:v>6.5124778559587924</c:v>
                </c:pt>
                <c:pt idx="200">
                  <c:v>6.4396846444370306</c:v>
                </c:pt>
                <c:pt idx="201">
                  <c:v>6.3677279414364643</c:v>
                </c:pt>
                <c:pt idx="202">
                  <c:v>6.2965327888190092</c:v>
                </c:pt>
                <c:pt idx="203">
                  <c:v>6.2260228479120947</c:v>
                </c:pt>
                <c:pt idx="204">
                  <c:v>6.1561205003129125</c:v>
                </c:pt>
                <c:pt idx="205">
                  <c:v>6.0867469476648068</c:v>
                </c:pt>
                <c:pt idx="206">
                  <c:v>6.0178223102933375</c:v>
                </c:pt>
                <c:pt idx="207">
                  <c:v>5.9492657246420739</c:v>
                </c:pt>
                <c:pt idx="208">
                  <c:v>5.8809954394961901</c:v>
                </c:pt>
                <c:pt idx="209">
                  <c:v>5.8129289110280338</c:v>
                </c:pt>
                <c:pt idx="210">
                  <c:v>5.7449828967385841</c:v>
                </c:pt>
                <c:pt idx="211">
                  <c:v>5.6770735484044792</c:v>
                </c:pt>
                <c:pt idx="212">
                  <c:v>5.6091165041697302</c:v>
                </c:pt>
                <c:pt idx="213">
                  <c:v>5.5410269799453626</c:v>
                </c:pt>
                <c:pt idx="214">
                  <c:v>5.4727198602971425</c:v>
                </c:pt>
                <c:pt idx="215">
                  <c:v>5.4041097890133232</c:v>
                </c:pt>
                <c:pt idx="216">
                  <c:v>5.3351112595480741</c:v>
                </c:pt>
                <c:pt idx="217">
                  <c:v>5.2656387055341822</c:v>
                </c:pt>
                <c:pt idx="218">
                  <c:v>5.1956065915503071</c:v>
                </c:pt>
                <c:pt idx="219">
                  <c:v>5.1249295043122256</c:v>
                </c:pt>
                <c:pt idx="220">
                  <c:v>5.0535222444369179</c:v>
                </c:pt>
                <c:pt idx="221">
                  <c:v>4.9812999189008327</c:v>
                </c:pt>
                <c:pt idx="222">
                  <c:v>4.9081780342812067</c:v>
                </c:pt>
                <c:pt idx="223">
                  <c:v>4.8340725908324735</c:v>
                </c:pt>
                <c:pt idx="224">
                  <c:v>4.7589001774075985</c:v>
                </c:pt>
                <c:pt idx="225">
                  <c:v>4.6825780671900006</c:v>
                </c:pt>
                <c:pt idx="226">
                  <c:v>4.6050243141527272</c:v>
                </c:pt>
                <c:pt idx="227">
                  <c:v>4.526157850112666</c:v>
                </c:pt>
                <c:pt idx="228">
                  <c:v>4.4458985821962926</c:v>
                </c:pt>
                <c:pt idx="229">
                  <c:v>4.3641674904825187</c:v>
                </c:pt>
                <c:pt idx="230">
                  <c:v>4.2808867255382665</c:v>
                </c:pt>
                <c:pt idx="231">
                  <c:v>4.1959797055143593</c:v>
                </c:pt>
                <c:pt idx="232">
                  <c:v>4.1093712124241453</c:v>
                </c:pt>
                <c:pt idx="233">
                  <c:v>4.0209874871867424</c:v>
                </c:pt>
                <c:pt idx="234">
                  <c:v>3.9307563229802707</c:v>
                </c:pt>
                <c:pt idx="235">
                  <c:v>3.838607156421233</c:v>
                </c:pt>
                <c:pt idx="236">
                  <c:v>3.7444711560635184</c:v>
                </c:pt>
                <c:pt idx="237">
                  <c:v>3.6482813076949423</c:v>
                </c:pt>
                <c:pt idx="238">
                  <c:v>3.5499724959033365</c:v>
                </c:pt>
                <c:pt idx="239">
                  <c:v>3.4494815813869462</c:v>
                </c:pt>
                <c:pt idx="240">
                  <c:v>3.3467474734958689</c:v>
                </c:pt>
                <c:pt idx="241">
                  <c:v>3.2417111975131192</c:v>
                </c:pt>
                <c:pt idx="242">
                  <c:v>3.1343159562164153</c:v>
                </c:pt>
                <c:pt idx="243">
                  <c:v>3.0245071853022889</c:v>
                </c:pt>
                <c:pt idx="244">
                  <c:v>2.912232602305787</c:v>
                </c:pt>
                <c:pt idx="245">
                  <c:v>2.797442248708073</c:v>
                </c:pt>
                <c:pt idx="246">
                  <c:v>2.6800885249919055</c:v>
                </c:pt>
                <c:pt idx="247">
                  <c:v>2.560126218479855</c:v>
                </c:pt>
                <c:pt idx="248">
                  <c:v>2.4375125238701312</c:v>
                </c:pt>
                <c:pt idx="249">
                  <c:v>2.3122070564703137</c:v>
                </c:pt>
                <c:pt idx="250">
                  <c:v>2.1841718582176881</c:v>
                </c:pt>
                <c:pt idx="251">
                  <c:v>2.0533713966645415</c:v>
                </c:pt>
                <c:pt idx="252">
                  <c:v>1.9197725571967794</c:v>
                </c:pt>
                <c:pt idx="253">
                  <c:v>1.7833446288429933</c:v>
                </c:pt>
                <c:pt idx="254">
                  <c:v>1.6440592841157304</c:v>
                </c:pt>
                <c:pt idx="255">
                  <c:v>1.5018905534074563</c:v>
                </c:pt>
                <c:pt idx="256">
                  <c:v>1.3568147945374562</c:v>
                </c:pt>
                <c:pt idx="257">
                  <c:v>1.2088106581116129</c:v>
                </c:pt>
                <c:pt idx="258">
                  <c:v>1.0578590494146844</c:v>
                </c:pt>
                <c:pt idx="259">
                  <c:v>0.90394308760073017</c:v>
                </c:pt>
                <c:pt idx="260">
                  <c:v>0.74704806298261772</c:v>
                </c:pt>
                <c:pt idx="261">
                  <c:v>0.587161393245486</c:v>
                </c:pt>
                <c:pt idx="262">
                  <c:v>0.42427257941896457</c:v>
                </c:pt>
                <c:pt idx="263">
                  <c:v>0.25837316244155062</c:v>
                </c:pt>
                <c:pt idx="264">
                  <c:v>8.9456681134377547E-2</c:v>
                </c:pt>
                <c:pt idx="265">
                  <c:v>-8.2481367625669932E-2</c:v>
                </c:pt>
                <c:pt idx="266">
                  <c:v>-0.25744356578504046</c:v>
                </c:pt>
                <c:pt idx="267">
                  <c:v>-0.43543060734880612</c:v>
                </c:pt>
                <c:pt idx="268">
                  <c:v>-0.61644132734068968</c:v>
                </c:pt>
                <c:pt idx="269">
                  <c:v>-0.80047272593083107</c:v>
                </c:pt>
                <c:pt idx="270">
                  <c:v>-0.98751998725849255</c:v>
                </c:pt>
                <c:pt idx="271">
                  <c:v>-1.1775764925691519</c:v>
                </c:pt>
                <c:pt idx="272">
                  <c:v>-1.3706338273844469</c:v>
                </c:pt>
                <c:pt idx="273">
                  <c:v>-1.5666817825279118</c:v>
                </c:pt>
                <c:pt idx="274">
                  <c:v>-1.765708348938114</c:v>
                </c:pt>
                <c:pt idx="275">
                  <c:v>-1.9676997063107962</c:v>
                </c:pt>
                <c:pt idx="276">
                  <c:v>-2.1726402057242904</c:v>
                </c:pt>
                <c:pt idx="277">
                  <c:v>-2.3805123465119316</c:v>
                </c:pt>
                <c:pt idx="278">
                  <c:v>-2.5912967477537983</c:v>
                </c:pt>
                <c:pt idx="279">
                  <c:v>-2.8049721148643201</c:v>
                </c:pt>
                <c:pt idx="280">
                  <c:v>-3.021515201850633</c:v>
                </c:pt>
                <c:pt idx="281">
                  <c:v>-3.2409007699081691</c:v>
                </c:pt>
                <c:pt idx="282">
                  <c:v>-3.4631015431030399</c:v>
                </c:pt>
                <c:pt idx="283">
                  <c:v>-3.6880881619652115</c:v>
                </c:pt>
                <c:pt idx="284">
                  <c:v>-3.9158291358785036</c:v>
                </c:pt>
                <c:pt idx="285">
                  <c:v>-4.1462907952064221</c:v>
                </c:pt>
                <c:pt idx="286">
                  <c:v>-4.3794372441306919</c:v>
                </c:pt>
                <c:pt idx="287">
                  <c:v>-4.6152303152079437</c:v>
                </c:pt>
                <c:pt idx="288">
                  <c:v>-4.8536295266615088</c:v>
                </c:pt>
                <c:pt idx="289">
                  <c:v>-5.0945920434269567</c:v>
                </c:pt>
                <c:pt idx="290">
                  <c:v>-5.3380726429562895</c:v>
                </c:pt>
                <c:pt idx="291">
                  <c:v>-5.5840236867599398</c:v>
                </c:pt>
                <c:pt idx="292">
                  <c:v>-5.8323950986272663</c:v>
                </c:pt>
                <c:pt idx="293">
                  <c:v>-6.0831343504163371</c:v>
                </c:pt>
                <c:pt idx="294">
                  <c:v>-6.3361864562416628</c:v>
                </c:pt>
                <c:pt idx="295">
                  <c:v>-6.5914939758192599</c:v>
                </c:pt>
                <c:pt idx="296">
                  <c:v>-6.8489970276463268</c:v>
                </c:pt>
                <c:pt idx="297">
                  <c:v>-7.1086333126075427</c:v>
                </c:pt>
                <c:pt idx="298">
                  <c:v>-7.3703381485050503</c:v>
                </c:pt>
                <c:pt idx="299">
                  <c:v>-7.6340445159113912</c:v>
                </c:pt>
                <c:pt idx="300">
                  <c:v>-7.8996831156435245</c:v>
                </c:pt>
                <c:pt idx="301">
                  <c:v>-8.167182438051336</c:v>
                </c:pt>
                <c:pt idx="302">
                  <c:v>-8.4364688442111806</c:v>
                </c:pt>
                <c:pt idx="303">
                  <c:v>-8.7074666590103611</c:v>
                </c:pt>
                <c:pt idx="304">
                  <c:v>-8.9800982760078725</c:v>
                </c:pt>
                <c:pt idx="305">
                  <c:v>-9.2542842738575324</c:v>
                </c:pt>
                <c:pt idx="306">
                  <c:v>-9.5299435439847855</c:v>
                </c:pt>
                <c:pt idx="307">
                  <c:v>-9.8069934291196237</c:v>
                </c:pt>
                <c:pt idx="308">
                  <c:v>-10.085349872201723</c:v>
                </c:pt>
                <c:pt idx="309">
                  <c:v>-10.364927575096466</c:v>
                </c:pt>
                <c:pt idx="310">
                  <c:v>-10.645640166487553</c:v>
                </c:pt>
                <c:pt idx="311">
                  <c:v>-10.927400378245506</c:v>
                </c:pt>
                <c:pt idx="312">
                  <c:v>-11.210120229511643</c:v>
                </c:pt>
                <c:pt idx="313">
                  <c:v>-11.49371121768495</c:v>
                </c:pt>
                <c:pt idx="314">
                  <c:v>-11.778084515451241</c:v>
                </c:pt>
                <c:pt idx="315">
                  <c:v>-12.063151172954377</c:v>
                </c:pt>
                <c:pt idx="316">
                  <c:v>-12.348822324175401</c:v>
                </c:pt>
                <c:pt idx="317">
                  <c:v>-12.635009396556459</c:v>
                </c:pt>
                <c:pt idx="318">
                  <c:v>-12.921624322884487</c:v>
                </c:pt>
                <c:pt idx="319">
                  <c:v>-13.208579754431112</c:v>
                </c:pt>
                <c:pt idx="320">
                  <c:v>-13.495789274340506</c:v>
                </c:pt>
                <c:pt idx="321">
                  <c:v>-13.783167610237596</c:v>
                </c:pt>
                <c:pt idx="322">
                  <c:v>-14.070630845043839</c:v>
                </c:pt>
                <c:pt idx="323">
                  <c:v>-14.358096624985865</c:v>
                </c:pt>
                <c:pt idx="324">
                  <c:v>-14.645484363788938</c:v>
                </c:pt>
                <c:pt idx="325">
                  <c:v>-14.932715442072336</c:v>
                </c:pt>
                <c:pt idx="326">
                  <c:v>-15.219713400980424</c:v>
                </c:pt>
                <c:pt idx="327">
                  <c:v>-15.506404129113708</c:v>
                </c:pt>
                <c:pt idx="328">
                  <c:v>-15.79271604185843</c:v>
                </c:pt>
                <c:pt idx="329">
                  <c:v>-16.078580252255403</c:v>
                </c:pt>
                <c:pt idx="330">
                  <c:v>-16.363930732595268</c:v>
                </c:pt>
                <c:pt idx="331">
                  <c:v>-16.648704465983037</c:v>
                </c:pt>
                <c:pt idx="332">
                  <c:v>-16.932841587174643</c:v>
                </c:pt>
                <c:pt idx="333">
                  <c:v>-17.21628551205638</c:v>
                </c:pt>
                <c:pt idx="334">
                  <c:v>-17.498983055210147</c:v>
                </c:pt>
                <c:pt idx="335">
                  <c:v>-17.780884535087331</c:v>
                </c:pt>
                <c:pt idx="336">
                  <c:v>-18.061943866397097</c:v>
                </c:pt>
                <c:pt idx="337">
                  <c:v>-18.342118639404298</c:v>
                </c:pt>
                <c:pt idx="338">
                  <c:v>-18.621370185922359</c:v>
                </c:pt>
                <c:pt idx="339">
                  <c:v>-18.899663631881985</c:v>
                </c:pt>
                <c:pt idx="340">
                  <c:v>-19.176967936451891</c:v>
                </c:pt>
                <c:pt idx="341">
                  <c:v>-19.453255917784244</c:v>
                </c:pt>
                <c:pt idx="342">
                  <c:v>-19.728504265552026</c:v>
                </c:pt>
                <c:pt idx="343">
                  <c:v>-20.002693540539884</c:v>
                </c:pt>
                <c:pt idx="344">
                  <c:v>-20.275808161639233</c:v>
                </c:pt>
                <c:pt idx="345">
                  <c:v>-20.54783638068416</c:v>
                </c:pt>
                <c:pt idx="346">
                  <c:v>-20.818770245644565</c:v>
                </c:pt>
                <c:pt idx="347">
                  <c:v>-21.088605552765333</c:v>
                </c:pt>
                <c:pt idx="348">
                  <c:v>-21.357341788306847</c:v>
                </c:pt>
                <c:pt idx="349">
                  <c:v>-21.624982060598185</c:v>
                </c:pt>
                <c:pt idx="350">
                  <c:v>-21.891533023161916</c:v>
                </c:pt>
                <c:pt idx="351">
                  <c:v>-22.157004789707848</c:v>
                </c:pt>
                <c:pt idx="352">
                  <c:v>-22.421410841820407</c:v>
                </c:pt>
                <c:pt idx="353">
                  <c:v>-22.684767930182204</c:v>
                </c:pt>
                <c:pt idx="354">
                  <c:v>-22.947095970184371</c:v>
                </c:pt>
                <c:pt idx="355">
                  <c:v>-23.208417932769905</c:v>
                </c:pt>
                <c:pt idx="356">
                  <c:v>-23.46875973134642</c:v>
                </c:pt>
                <c:pt idx="357">
                  <c:v>-23.728150105580934</c:v>
                </c:pt>
                <c:pt idx="358">
                  <c:v>-23.986620502861491</c:v>
                </c:pt>
                <c:pt idx="359">
                  <c:v>-24.244204958170691</c:v>
                </c:pt>
                <c:pt idx="360">
                  <c:v>-24.500939973073095</c:v>
                </c:pt>
                <c:pt idx="361">
                  <c:v>-24.756864394466319</c:v>
                </c:pt>
                <c:pt idx="362">
                  <c:v>-25.012019293689733</c:v>
                </c:pt>
                <c:pt idx="363">
                  <c:v>-25.266447846527477</c:v>
                </c:pt>
                <c:pt idx="364">
                  <c:v>-25.520195214573945</c:v>
                </c:pt>
                <c:pt idx="365">
                  <c:v>-25.773308428366562</c:v>
                </c:pt>
                <c:pt idx="366">
                  <c:v>-26.025836272628879</c:v>
                </c:pt>
                <c:pt idx="367">
                  <c:v>-26.277829173889366</c:v>
                </c:pt>
                <c:pt idx="368">
                  <c:v>-26.529339090686875</c:v>
                </c:pt>
                <c:pt idx="369">
                  <c:v>-26.780419406496275</c:v>
                </c:pt>
                <c:pt idx="370">
                  <c:v>-27.031124825454491</c:v>
                </c:pt>
                <c:pt idx="371">
                  <c:v>-27.281511270900836</c:v>
                </c:pt>
                <c:pt idx="372">
                  <c:v>-27.531635786689677</c:v>
                </c:pt>
                <c:pt idx="373">
                  <c:v>-27.781556441181458</c:v>
                </c:pt>
                <c:pt idx="374">
                  <c:v>-28.031332233766161</c:v>
                </c:pt>
                <c:pt idx="375">
                  <c:v>-28.28102300373186</c:v>
                </c:pt>
                <c:pt idx="376">
                  <c:v>-28.530689341249463</c:v>
                </c:pt>
                <c:pt idx="377">
                  <c:v>-28.780392500212116</c:v>
                </c:pt>
                <c:pt idx="378">
                  <c:v>-29.030194312637896</c:v>
                </c:pt>
                <c:pt idx="379">
                  <c:v>-29.28015710432318</c:v>
                </c:pt>
                <c:pt idx="380">
                  <c:v>-29.530343611415688</c:v>
                </c:pt>
                <c:pt idx="381">
                  <c:v>-29.7808168975664</c:v>
                </c:pt>
                <c:pt idx="382">
                  <c:v>-30.031640271313705</c:v>
                </c:pt>
                <c:pt idx="383">
                  <c:v>-30.282877203354268</c:v>
                </c:pt>
                <c:pt idx="384">
                  <c:v>-30.534591243362669</c:v>
                </c:pt>
                <c:pt idx="385">
                  <c:v>-30.786845936033679</c:v>
                </c:pt>
                <c:pt idx="386">
                  <c:v>-31.039704736040907</c:v>
                </c:pt>
                <c:pt idx="387">
                  <c:v>-31.2932309216284</c:v>
                </c:pt>
                <c:pt idx="388">
                  <c:v>-31.547487506582652</c:v>
                </c:pt>
                <c:pt idx="389">
                  <c:v>-31.80253715036676</c:v>
                </c:pt>
                <c:pt idx="390">
                  <c:v>-32.058442066238946</c:v>
                </c:pt>
                <c:pt idx="391">
                  <c:v>-32.31526392722062</c:v>
                </c:pt>
                <c:pt idx="392">
                  <c:v>-32.573063769829545</c:v>
                </c:pt>
                <c:pt idx="393">
                  <c:v>-32.831901895544327</c:v>
                </c:pt>
                <c:pt idx="394">
                  <c:v>-33.091837770022451</c:v>
                </c:pt>
                <c:pt idx="395">
                  <c:v>-33.35292992015183</c:v>
                </c:pt>
                <c:pt idx="396">
                  <c:v>-33.615235829075559</c:v>
                </c:pt>
                <c:pt idx="397">
                  <c:v>-33.878811829389548</c:v>
                </c:pt>
                <c:pt idx="398">
                  <c:v>-34.143712994775242</c:v>
                </c:pt>
                <c:pt idx="399">
                  <c:v>-34.409993030388904</c:v>
                </c:pt>
                <c:pt idx="400">
                  <c:v>-34.677704162387975</c:v>
                </c:pt>
              </c:numCache>
            </c:numRef>
          </c:yVal>
          <c:smooth val="1"/>
          <c:extLst>
            <c:ext xmlns:c16="http://schemas.microsoft.com/office/drawing/2014/chart" uri="{C3380CC4-5D6E-409C-BE32-E72D297353CC}">
              <c16:uniqueId val="{00000000-37BA-4D75-B431-21FD57867CC7}"/>
            </c:ext>
          </c:extLst>
        </c:ser>
        <c:dLbls>
          <c:showLegendKey val="0"/>
          <c:showVal val="0"/>
          <c:showCatName val="0"/>
          <c:showSerName val="0"/>
          <c:showPercent val="0"/>
          <c:showBubbleSize val="0"/>
        </c:dLbls>
        <c:axId val="1106689647"/>
        <c:axId val="1925061759"/>
      </c:scatterChart>
      <c:scatterChart>
        <c:scatterStyle val="lineMarker"/>
        <c:varyColors val="0"/>
        <c:ser>
          <c:idx val="3"/>
          <c:order val="3"/>
          <c:tx>
            <c:v>PM1</c:v>
          </c:tx>
          <c:spPr>
            <a:ln w="9525" cap="rnd">
              <a:solidFill>
                <a:schemeClr val="bg1">
                  <a:lumMod val="65000"/>
                </a:schemeClr>
              </a:solidFill>
              <a:prstDash val="sysDash"/>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2-37BA-4D75-B431-21FD57867CC7}"/>
              </c:ext>
            </c:extLst>
          </c:dPt>
          <c:xVal>
            <c:numRef>
              <c:f>Loop_Response!$C$42:$C$43</c:f>
              <c:numCache>
                <c:formatCode>General</c:formatCode>
                <c:ptCount val="2"/>
                <c:pt idx="0">
                  <c:v>100</c:v>
                </c:pt>
                <c:pt idx="1">
                  <c:v>44159.971219556486</c:v>
                </c:pt>
              </c:numCache>
            </c:numRef>
          </c:xVal>
          <c:yVal>
            <c:numRef>
              <c:f>Loop_Response!$D$42:$D$43</c:f>
              <c:numCache>
                <c:formatCode>General</c:formatCode>
                <c:ptCount val="2"/>
                <c:pt idx="0">
                  <c:v>0</c:v>
                </c:pt>
                <c:pt idx="1">
                  <c:v>0</c:v>
                </c:pt>
              </c:numCache>
            </c:numRef>
          </c:yVal>
          <c:smooth val="0"/>
          <c:extLst>
            <c:ext xmlns:c16="http://schemas.microsoft.com/office/drawing/2014/chart" uri="{C3380CC4-5D6E-409C-BE32-E72D297353CC}">
              <c16:uniqueId val="{00000003-37BA-4D75-B431-21FD57867CC7}"/>
            </c:ext>
          </c:extLst>
        </c:ser>
        <c:ser>
          <c:idx val="7"/>
          <c:order val="6"/>
          <c:tx>
            <c:v>GM3</c:v>
          </c:tx>
          <c:spPr>
            <a:ln w="28575" cap="rnd">
              <a:solidFill>
                <a:schemeClr val="accent2">
                  <a:lumMod val="60000"/>
                </a:schemeClr>
              </a:solidFill>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5-37BA-4D75-B431-21FD57867CC7}"/>
              </c:ext>
            </c:extLst>
          </c:dPt>
          <c:xVal>
            <c:numRef>
              <c:f>Loop_Response!$E$46:$E$47</c:f>
              <c:numCache>
                <c:formatCode>General</c:formatCode>
                <c:ptCount val="2"/>
                <c:pt idx="0">
                  <c:v>156685.49056867999</c:v>
                </c:pt>
                <c:pt idx="1">
                  <c:v>100</c:v>
                </c:pt>
              </c:numCache>
            </c:numRef>
          </c:xVal>
          <c:yVal>
            <c:numRef>
              <c:f>Loop_Response!$F$46:$F$47</c:f>
              <c:numCache>
                <c:formatCode>General</c:formatCode>
                <c:ptCount val="2"/>
                <c:pt idx="0">
                  <c:v>-13.495789274340506</c:v>
                </c:pt>
                <c:pt idx="1">
                  <c:v>-13.495789274340506</c:v>
                </c:pt>
              </c:numCache>
            </c:numRef>
          </c:yVal>
          <c:smooth val="0"/>
          <c:extLst>
            <c:ext xmlns:c16="http://schemas.microsoft.com/office/drawing/2014/chart" uri="{C3380CC4-5D6E-409C-BE32-E72D297353CC}">
              <c16:uniqueId val="{00000006-37BA-4D75-B431-21FD57867CC7}"/>
            </c:ext>
          </c:extLst>
        </c:ser>
        <c:ser>
          <c:idx val="6"/>
          <c:order val="7"/>
          <c:tx>
            <c:v>Gain Margin</c:v>
          </c:tx>
          <c:spPr>
            <a:ln w="19050" cap="rnd">
              <a:solidFill>
                <a:srgbClr val="0070C0"/>
              </a:solidFill>
              <a:prstDash val="sysDash"/>
              <a:round/>
            </a:ln>
            <a:effectLst/>
          </c:spPr>
          <c:marker>
            <c:symbol val="none"/>
          </c:marker>
          <c:xVal>
            <c:numRef>
              <c:f>Loop_Response!$E$44:$E$45</c:f>
              <c:numCache>
                <c:formatCode>General</c:formatCode>
                <c:ptCount val="2"/>
                <c:pt idx="0">
                  <c:v>156685.49056867999</c:v>
                </c:pt>
                <c:pt idx="1">
                  <c:v>156685.49056867999</c:v>
                </c:pt>
              </c:numCache>
            </c:numRef>
          </c:xVal>
          <c:yVal>
            <c:numRef>
              <c:f>Loop_Response!$F$44:$F$45</c:f>
              <c:numCache>
                <c:formatCode>General</c:formatCode>
                <c:ptCount val="2"/>
                <c:pt idx="0">
                  <c:v>0</c:v>
                </c:pt>
                <c:pt idx="1">
                  <c:v>-13.495789274340506</c:v>
                </c:pt>
              </c:numCache>
            </c:numRef>
          </c:yVal>
          <c:smooth val="0"/>
          <c:extLst>
            <c:ext xmlns:c16="http://schemas.microsoft.com/office/drawing/2014/chart" uri="{C3380CC4-5D6E-409C-BE32-E72D297353CC}">
              <c16:uniqueId val="{00000007-37BA-4D75-B431-21FD57867CC7}"/>
            </c:ext>
          </c:extLst>
        </c:ser>
        <c:dLbls>
          <c:showLegendKey val="0"/>
          <c:showVal val="0"/>
          <c:showCatName val="0"/>
          <c:showSerName val="0"/>
          <c:showPercent val="0"/>
          <c:showBubbleSize val="0"/>
        </c:dLbls>
        <c:axId val="1106689647"/>
        <c:axId val="1925061759"/>
      </c:scatterChart>
      <c:scatterChart>
        <c:scatterStyle val="smoothMarker"/>
        <c:varyColors val="0"/>
        <c:ser>
          <c:idx val="1"/>
          <c:order val="1"/>
          <c:tx>
            <c:v>Phase - (-180)</c:v>
          </c:tx>
          <c:spPr>
            <a:ln w="28575" cap="rnd">
              <a:solidFill>
                <a:schemeClr val="accent2"/>
              </a:solidFill>
              <a:round/>
            </a:ln>
            <a:effectLst/>
          </c:spPr>
          <c:marker>
            <c:symbol val="none"/>
          </c:marker>
          <c:xVal>
            <c:numRef>
              <c:f>Loop_Response!$I$3:$I$403</c:f>
              <c:numCache>
                <c:formatCode>###.###.###.###</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31622.776601683803</c:v>
                </c:pt>
                <c:pt idx="251">
                  <c:v>32359.365692962834</c:v>
                </c:pt>
                <c:pt idx="252">
                  <c:v>33113.112148259112</c:v>
                </c:pt>
                <c:pt idx="253">
                  <c:v>33884.415613920253</c:v>
                </c:pt>
                <c:pt idx="254">
                  <c:v>34673.685045253224</c:v>
                </c:pt>
                <c:pt idx="255">
                  <c:v>35481.338923357536</c:v>
                </c:pt>
                <c:pt idx="256">
                  <c:v>36307.805477010188</c:v>
                </c:pt>
                <c:pt idx="257">
                  <c:v>37153.522909717241</c:v>
                </c:pt>
                <c:pt idx="258">
                  <c:v>38018.939632056172</c:v>
                </c:pt>
                <c:pt idx="259">
                  <c:v>38904.514499428107</c:v>
                </c:pt>
                <c:pt idx="260">
                  <c:v>39810.717055349771</c:v>
                </c:pt>
                <c:pt idx="261">
                  <c:v>40738.027780411314</c:v>
                </c:pt>
                <c:pt idx="262">
                  <c:v>41686.938347033582</c:v>
                </c:pt>
                <c:pt idx="263">
                  <c:v>42657.9518801593</c:v>
                </c:pt>
                <c:pt idx="264">
                  <c:v>43651.583224016635</c:v>
                </c:pt>
                <c:pt idx="265">
                  <c:v>44668.359215096345</c:v>
                </c:pt>
                <c:pt idx="266">
                  <c:v>45708.81896148753</c:v>
                </c:pt>
                <c:pt idx="267">
                  <c:v>46773.514128719842</c:v>
                </c:pt>
                <c:pt idx="268">
                  <c:v>47863.009232263852</c:v>
                </c:pt>
                <c:pt idx="269">
                  <c:v>48977.881936844635</c:v>
                </c:pt>
                <c:pt idx="270">
                  <c:v>50118.723362727324</c:v>
                </c:pt>
                <c:pt idx="271">
                  <c:v>51286.138399136486</c:v>
                </c:pt>
                <c:pt idx="272">
                  <c:v>52480.74602497735</c:v>
                </c:pt>
                <c:pt idx="273">
                  <c:v>53703.17963702527</c:v>
                </c:pt>
                <c:pt idx="274">
                  <c:v>54954.087385762541</c:v>
                </c:pt>
                <c:pt idx="275">
                  <c:v>56234.132519034989</c:v>
                </c:pt>
                <c:pt idx="276">
                  <c:v>57543.993733715673</c:v>
                </c:pt>
                <c:pt idx="277">
                  <c:v>58884.365535558973</c:v>
                </c:pt>
                <c:pt idx="278">
                  <c:v>60255.958607435852</c:v>
                </c:pt>
                <c:pt idx="279">
                  <c:v>61659.500186148289</c:v>
                </c:pt>
                <c:pt idx="280">
                  <c:v>63095.734448019386</c:v>
                </c:pt>
                <c:pt idx="281">
                  <c:v>64565.422903465616</c:v>
                </c:pt>
                <c:pt idx="282">
                  <c:v>66069.34480075966</c:v>
                </c:pt>
                <c:pt idx="283">
                  <c:v>67608.297539198233</c:v>
                </c:pt>
                <c:pt idx="284">
                  <c:v>69183.097091893695</c:v>
                </c:pt>
                <c:pt idx="285">
                  <c:v>70794.578438413824</c:v>
                </c:pt>
                <c:pt idx="286">
                  <c:v>72443.596007499029</c:v>
                </c:pt>
                <c:pt idx="287">
                  <c:v>74131.02413009177</c:v>
                </c:pt>
                <c:pt idx="288">
                  <c:v>75857.757502918394</c:v>
                </c:pt>
                <c:pt idx="289">
                  <c:v>77624.711662869318</c:v>
                </c:pt>
                <c:pt idx="290">
                  <c:v>79432.82347242815</c:v>
                </c:pt>
                <c:pt idx="291">
                  <c:v>81283.05161641007</c:v>
                </c:pt>
                <c:pt idx="292">
                  <c:v>83176.377110267087</c:v>
                </c:pt>
                <c:pt idx="293">
                  <c:v>85113.803820237779</c:v>
                </c:pt>
                <c:pt idx="294">
                  <c:v>87096.358995608185</c:v>
                </c:pt>
                <c:pt idx="295">
                  <c:v>89125.093813374682</c:v>
                </c:pt>
                <c:pt idx="296">
                  <c:v>91201.083935591087</c:v>
                </c:pt>
                <c:pt idx="297">
                  <c:v>93325.430079699217</c:v>
                </c:pt>
                <c:pt idx="298">
                  <c:v>95499.258602143687</c:v>
                </c:pt>
                <c:pt idx="299">
                  <c:v>97723.722095581164</c:v>
                </c:pt>
                <c:pt idx="300">
                  <c:v>100000</c:v>
                </c:pt>
                <c:pt idx="301">
                  <c:v>102329.29922807548</c:v>
                </c:pt>
                <c:pt idx="302">
                  <c:v>104712.85480509003</c:v>
                </c:pt>
                <c:pt idx="303">
                  <c:v>107151.9305237607</c:v>
                </c:pt>
                <c:pt idx="304">
                  <c:v>109647.81961431856</c:v>
                </c:pt>
                <c:pt idx="305">
                  <c:v>112201.84543019639</c:v>
                </c:pt>
                <c:pt idx="306">
                  <c:v>114815.36214968831</c:v>
                </c:pt>
                <c:pt idx="307">
                  <c:v>117489.75549395318</c:v>
                </c:pt>
                <c:pt idx="308">
                  <c:v>120226.44346174151</c:v>
                </c:pt>
                <c:pt idx="309">
                  <c:v>123026.87708123817</c:v>
                </c:pt>
                <c:pt idx="310">
                  <c:v>125892.54117941672</c:v>
                </c:pt>
                <c:pt idx="311">
                  <c:v>128824.9551693136</c:v>
                </c:pt>
                <c:pt idx="312">
                  <c:v>131825.6738556409</c:v>
                </c:pt>
                <c:pt idx="313">
                  <c:v>134896.28825916557</c:v>
                </c:pt>
                <c:pt idx="314">
                  <c:v>138038.42646028841</c:v>
                </c:pt>
                <c:pt idx="315">
                  <c:v>141253.7544622756</c:v>
                </c:pt>
                <c:pt idx="316">
                  <c:v>144543.9770745929</c:v>
                </c:pt>
                <c:pt idx="317">
                  <c:v>147910.83881682088</c:v>
                </c:pt>
                <c:pt idx="318">
                  <c:v>151356.12484362445</c:v>
                </c:pt>
                <c:pt idx="319">
                  <c:v>154881.66189124854</c:v>
                </c:pt>
                <c:pt idx="320">
                  <c:v>158489.31924611147</c:v>
                </c:pt>
                <c:pt idx="321">
                  <c:v>162181.00973589683</c:v>
                </c:pt>
                <c:pt idx="322">
                  <c:v>165958.69074376026</c:v>
                </c:pt>
                <c:pt idx="323">
                  <c:v>169824.36524617841</c:v>
                </c:pt>
                <c:pt idx="324">
                  <c:v>173780.08287494161</c:v>
                </c:pt>
                <c:pt idx="325">
                  <c:v>177827.94100389644</c:v>
                </c:pt>
                <c:pt idx="326">
                  <c:v>181970.08586100259</c:v>
                </c:pt>
                <c:pt idx="327">
                  <c:v>186208.71366629141</c:v>
                </c:pt>
                <c:pt idx="328">
                  <c:v>190546.07179632946</c:v>
                </c:pt>
                <c:pt idx="329">
                  <c:v>194984.459975809</c:v>
                </c:pt>
                <c:pt idx="330">
                  <c:v>199526.23149689252</c:v>
                </c:pt>
                <c:pt idx="331">
                  <c:v>204173.79446695794</c:v>
                </c:pt>
                <c:pt idx="332">
                  <c:v>208929.61308540907</c:v>
                </c:pt>
                <c:pt idx="333">
                  <c:v>213796.20895022844</c:v>
                </c:pt>
                <c:pt idx="334">
                  <c:v>218776.16239496018</c:v>
                </c:pt>
                <c:pt idx="335">
                  <c:v>223872.11385683939</c:v>
                </c:pt>
                <c:pt idx="336">
                  <c:v>229086.76527678283</c:v>
                </c:pt>
                <c:pt idx="337">
                  <c:v>234422.88153199785</c:v>
                </c:pt>
                <c:pt idx="338">
                  <c:v>239883.29190195477</c:v>
                </c:pt>
                <c:pt idx="339">
                  <c:v>245470.89156850934</c:v>
                </c:pt>
                <c:pt idx="340">
                  <c:v>251188.643150964</c:v>
                </c:pt>
                <c:pt idx="341">
                  <c:v>257039.57827689245</c:v>
                </c:pt>
                <c:pt idx="342">
                  <c:v>263026.79918954434</c:v>
                </c:pt>
                <c:pt idx="343">
                  <c:v>269153.48039269837</c:v>
                </c:pt>
                <c:pt idx="344">
                  <c:v>275422.87033382355</c:v>
                </c:pt>
                <c:pt idx="345">
                  <c:v>281838.29312645196</c:v>
                </c:pt>
                <c:pt idx="346">
                  <c:v>288403.15031266725</c:v>
                </c:pt>
                <c:pt idx="347">
                  <c:v>295120.9226666459</c:v>
                </c:pt>
                <c:pt idx="348">
                  <c:v>301995.17204020906</c:v>
                </c:pt>
                <c:pt idx="349">
                  <c:v>309029.54325136665</c:v>
                </c:pt>
                <c:pt idx="350">
                  <c:v>316227.76601684513</c:v>
                </c:pt>
                <c:pt idx="351">
                  <c:v>323593.65692963556</c:v>
                </c:pt>
                <c:pt idx="352">
                  <c:v>331131.12148259912</c:v>
                </c:pt>
                <c:pt idx="353">
                  <c:v>338844.15613921074</c:v>
                </c:pt>
                <c:pt idx="354">
                  <c:v>346736.85045254003</c:v>
                </c:pt>
                <c:pt idx="355">
                  <c:v>354813.38923358335</c:v>
                </c:pt>
                <c:pt idx="356">
                  <c:v>363078.05477011006</c:v>
                </c:pt>
                <c:pt idx="357">
                  <c:v>371535.22909718135</c:v>
                </c:pt>
                <c:pt idx="358">
                  <c:v>380189.39632057026</c:v>
                </c:pt>
                <c:pt idx="359">
                  <c:v>389045.14499428979</c:v>
                </c:pt>
                <c:pt idx="360">
                  <c:v>398107.17055350728</c:v>
                </c:pt>
                <c:pt idx="361">
                  <c:v>407380.27780413168</c:v>
                </c:pt>
                <c:pt idx="362">
                  <c:v>416869.38347035483</c:v>
                </c:pt>
                <c:pt idx="363">
                  <c:v>426579.51880160259</c:v>
                </c:pt>
                <c:pt idx="364">
                  <c:v>436515.83224017685</c:v>
                </c:pt>
                <c:pt idx="365">
                  <c:v>446683.5921509742</c:v>
                </c:pt>
                <c:pt idx="366">
                  <c:v>457088.18961489608</c:v>
                </c:pt>
                <c:pt idx="367">
                  <c:v>467735.14128722053</c:v>
                </c:pt>
                <c:pt idx="368">
                  <c:v>478630.09232266113</c:v>
                </c:pt>
                <c:pt idx="369">
                  <c:v>489778.81936846947</c:v>
                </c:pt>
                <c:pt idx="370">
                  <c:v>501187.23362729524</c:v>
                </c:pt>
                <c:pt idx="371">
                  <c:v>512861.38399138919</c:v>
                </c:pt>
                <c:pt idx="372">
                  <c:v>524807.46024979744</c:v>
                </c:pt>
                <c:pt idx="373">
                  <c:v>537031.79637027811</c:v>
                </c:pt>
                <c:pt idx="374">
                  <c:v>549540.87385765044</c:v>
                </c:pt>
                <c:pt idx="375">
                  <c:v>562341.32519037649</c:v>
                </c:pt>
                <c:pt idx="376">
                  <c:v>575439.93733718398</c:v>
                </c:pt>
                <c:pt idx="377">
                  <c:v>588843.65535561647</c:v>
                </c:pt>
                <c:pt idx="378">
                  <c:v>602559.58607438591</c:v>
                </c:pt>
                <c:pt idx="379">
                  <c:v>616595.00186151091</c:v>
                </c:pt>
                <c:pt idx="380">
                  <c:v>630957.34448022372</c:v>
                </c:pt>
                <c:pt idx="381">
                  <c:v>645654.22903468553</c:v>
                </c:pt>
                <c:pt idx="382">
                  <c:v>660693.44800762658</c:v>
                </c:pt>
                <c:pt idx="383">
                  <c:v>676082.97539201309</c:v>
                </c:pt>
                <c:pt idx="384">
                  <c:v>691830.97091896972</c:v>
                </c:pt>
                <c:pt idx="385">
                  <c:v>707945.78438417171</c:v>
                </c:pt>
                <c:pt idx="386">
                  <c:v>724435.96007502335</c:v>
                </c:pt>
                <c:pt idx="387">
                  <c:v>741310.24130095146</c:v>
                </c:pt>
                <c:pt idx="388">
                  <c:v>758577.57502921985</c:v>
                </c:pt>
                <c:pt idx="389">
                  <c:v>776247.11662872857</c:v>
                </c:pt>
                <c:pt idx="390">
                  <c:v>794328.23472431907</c:v>
                </c:pt>
                <c:pt idx="391">
                  <c:v>812830.51616413763</c:v>
                </c:pt>
                <c:pt idx="392">
                  <c:v>831763.77110271016</c:v>
                </c:pt>
                <c:pt idx="393">
                  <c:v>851138.0382024165</c:v>
                </c:pt>
                <c:pt idx="394">
                  <c:v>870963.58995612152</c:v>
                </c:pt>
                <c:pt idx="395">
                  <c:v>891250.93813378725</c:v>
                </c:pt>
                <c:pt idx="396">
                  <c:v>912010.83935595397</c:v>
                </c:pt>
                <c:pt idx="397">
                  <c:v>933254.30079703464</c:v>
                </c:pt>
                <c:pt idx="398">
                  <c:v>954992.58602148038</c:v>
                </c:pt>
                <c:pt idx="399">
                  <c:v>977237.22095585614</c:v>
                </c:pt>
                <c:pt idx="400">
                  <c:v>1000000.0000000482</c:v>
                </c:pt>
              </c:numCache>
            </c:numRef>
          </c:xVal>
          <c:yVal>
            <c:numRef>
              <c:f>Loop_Response!$J$3:$J$403</c:f>
              <c:numCache>
                <c:formatCode>General</c:formatCode>
                <c:ptCount val="401"/>
                <c:pt idx="0">
                  <c:v>90.172620757029208</c:v>
                </c:pt>
                <c:pt idx="1">
                  <c:v>90.16506116851599</c:v>
                </c:pt>
                <c:pt idx="2">
                  <c:v>90.157693624459199</c:v>
                </c:pt>
                <c:pt idx="3">
                  <c:v>90.150521204401443</c:v>
                </c:pt>
                <c:pt idx="4">
                  <c:v>90.143547534271548</c:v>
                </c:pt>
                <c:pt idx="5">
                  <c:v>90.13677681362681</c:v>
                </c:pt>
                <c:pt idx="6">
                  <c:v>90.130213844321688</c:v>
                </c:pt>
                <c:pt idx="7">
                  <c:v>90.123864060629728</c:v>
                </c:pt>
                <c:pt idx="8">
                  <c:v>90.117733560839071</c:v>
                </c:pt>
                <c:pt idx="9">
                  <c:v>90.111829140336908</c:v>
                </c:pt>
                <c:pt idx="10">
                  <c:v>90.106158326192102</c:v>
                </c:pt>
                <c:pt idx="11">
                  <c:v>90.100729413236749</c:v>
                </c:pt>
                <c:pt idx="12">
                  <c:v>90.095551501639079</c:v>
                </c:pt>
                <c:pt idx="13">
                  <c:v>90.090634535951423</c:v>
                </c:pt>
                <c:pt idx="14">
                  <c:v>90.085989345604006</c:v>
                </c:pt>
                <c:pt idx="15">
                  <c:v>90.081627686804865</c:v>
                </c:pt>
                <c:pt idx="16">
                  <c:v>90.077562285791075</c:v>
                </c:pt>
                <c:pt idx="17">
                  <c:v>90.073806883362849</c:v>
                </c:pt>
                <c:pt idx="18">
                  <c:v>90.0703762806139</c:v>
                </c:pt>
                <c:pt idx="19">
                  <c:v>90.067286385754457</c:v>
                </c:pt>
                <c:pt idx="20">
                  <c:v>90.064554261903339</c:v>
                </c:pt>
                <c:pt idx="21">
                  <c:v>90.062198175703983</c:v>
                </c:pt>
                <c:pt idx="22">
                  <c:v>90.060237646596804</c:v>
                </c:pt>
                <c:pt idx="23">
                  <c:v>90.058693496555719</c:v>
                </c:pt>
                <c:pt idx="24">
                  <c:v>90.057587900070772</c:v>
                </c:pt>
                <c:pt idx="25">
                  <c:v>90.05694443413212</c:v>
                </c:pt>
                <c:pt idx="26">
                  <c:v>90.056788127941118</c:v>
                </c:pt>
                <c:pt idx="27">
                  <c:v>90.057145512045722</c:v>
                </c:pt>
                <c:pt idx="28">
                  <c:v>90.058044666566644</c:v>
                </c:pt>
                <c:pt idx="29">
                  <c:v>90.05951526814934</c:v>
                </c:pt>
                <c:pt idx="30">
                  <c:v>90.061588635246224</c:v>
                </c:pt>
                <c:pt idx="31">
                  <c:v>90.064297771302066</c:v>
                </c:pt>
                <c:pt idx="32">
                  <c:v>90.067677405385126</c:v>
                </c:pt>
                <c:pt idx="33">
                  <c:v>90.071764029775906</c:v>
                </c:pt>
                <c:pt idx="34">
                  <c:v>90.076595933999911</c:v>
                </c:pt>
                <c:pt idx="35">
                  <c:v>90.08221323476252</c:v>
                </c:pt>
                <c:pt idx="36">
                  <c:v>90.088657901222717</c:v>
                </c:pt>
                <c:pt idx="37">
                  <c:v>90.095973775023239</c:v>
                </c:pt>
                <c:pt idx="38">
                  <c:v>90.10420658447984</c:v>
                </c:pt>
                <c:pt idx="39">
                  <c:v>90.113403952323594</c:v>
                </c:pt>
                <c:pt idx="40">
                  <c:v>90.123615396386384</c:v>
                </c:pt>
                <c:pt idx="41">
                  <c:v>90.134892322623941</c:v>
                </c:pt>
                <c:pt idx="42">
                  <c:v>90.147288009883837</c:v>
                </c:pt>
                <c:pt idx="43">
                  <c:v>90.160857585844369</c:v>
                </c:pt>
                <c:pt idx="44">
                  <c:v>90.175657993582888</c:v>
                </c:pt>
                <c:pt idx="45">
                  <c:v>90.191747948270873</c:v>
                </c:pt>
                <c:pt idx="46">
                  <c:v>90.209187883546122</c:v>
                </c:pt>
                <c:pt idx="47">
                  <c:v>90.228039887174305</c:v>
                </c:pt>
                <c:pt idx="48">
                  <c:v>90.248367625687877</c:v>
                </c:pt>
                <c:pt idx="49">
                  <c:v>90.270236257776247</c:v>
                </c:pt>
                <c:pt idx="50">
                  <c:v>90.293712336300246</c:v>
                </c:pt>
                <c:pt idx="51">
                  <c:v>90.318863698913788</c:v>
                </c:pt>
                <c:pt idx="52">
                  <c:v>90.345759347395585</c:v>
                </c:pt>
                <c:pt idx="53">
                  <c:v>90.374469315926007</c:v>
                </c:pt>
                <c:pt idx="54">
                  <c:v>90.405064528681748</c:v>
                </c:pt>
                <c:pt idx="55">
                  <c:v>90.437616647268158</c:v>
                </c:pt>
                <c:pt idx="56">
                  <c:v>90.472197908659751</c:v>
                </c:pt>
                <c:pt idx="57">
                  <c:v>90.508880954473796</c:v>
                </c:pt>
                <c:pt idx="58">
                  <c:v>90.547738652556276</c:v>
                </c:pt>
                <c:pt idx="59">
                  <c:v>90.588843912010233</c:v>
                </c:pt>
                <c:pt idx="60">
                  <c:v>90.632269492944133</c:v>
                </c:pt>
                <c:pt idx="61">
                  <c:v>90.678087812353752</c:v>
                </c:pt>
                <c:pt idx="62">
                  <c:v>90.726370747677862</c:v>
                </c:pt>
                <c:pt idx="63">
                  <c:v>90.77718943967696</c:v>
                </c:pt>
                <c:pt idx="64">
                  <c:v>90.830614096376436</c:v>
                </c:pt>
                <c:pt idx="65">
                  <c:v>90.886713799886351</c:v>
                </c:pt>
                <c:pt idx="66">
                  <c:v>90.945556317955564</c:v>
                </c:pt>
                <c:pt idx="67">
                  <c:v>91.007207922137667</c:v>
                </c:pt>
                <c:pt idx="68">
                  <c:v>91.071733214438481</c:v>
                </c:pt>
                <c:pt idx="69">
                  <c:v>91.139194964275646</c:v>
                </c:pt>
                <c:pt idx="70">
                  <c:v>91.209653957513297</c:v>
                </c:pt>
                <c:pt idx="71">
                  <c:v>91.283168859235218</c:v>
                </c:pt>
                <c:pt idx="72">
                  <c:v>91.359796091792347</c:v>
                </c:pt>
                <c:pt idx="73">
                  <c:v>91.439589729502586</c:v>
                </c:pt>
                <c:pt idx="74">
                  <c:v>91.522601411198892</c:v>
                </c:pt>
                <c:pt idx="75">
                  <c:v>91.608880271614851</c:v>
                </c:pt>
                <c:pt idx="76">
                  <c:v>91.698472892370489</c:v>
                </c:pt>
                <c:pt idx="77">
                  <c:v>91.791423273078991</c:v>
                </c:pt>
                <c:pt idx="78">
                  <c:v>91.887772822840603</c:v>
                </c:pt>
                <c:pt idx="79">
                  <c:v>91.987560372128215</c:v>
                </c:pt>
                <c:pt idx="80">
                  <c:v>92.090822204806926</c:v>
                </c:pt>
                <c:pt idx="81">
                  <c:v>92.19759210976774</c:v>
                </c:pt>
                <c:pt idx="82">
                  <c:v>92.307901451402984</c:v>
                </c:pt>
                <c:pt idx="83">
                  <c:v>92.421779257910615</c:v>
                </c:pt>
                <c:pt idx="84">
                  <c:v>92.539252326188077</c:v>
                </c:pt>
                <c:pt idx="85">
                  <c:v>92.660345341874503</c:v>
                </c:pt>
                <c:pt idx="86">
                  <c:v>92.785081012916564</c:v>
                </c:pt>
                <c:pt idx="87">
                  <c:v>92.91348021488092</c:v>
                </c:pt>
                <c:pt idx="88">
                  <c:v>93.045562146107628</c:v>
                </c:pt>
                <c:pt idx="89">
                  <c:v>93.181344490702358</c:v>
                </c:pt>
                <c:pt idx="90">
                  <c:v>93.320843587298128</c:v>
                </c:pt>
                <c:pt idx="91">
                  <c:v>93.464074601478586</c:v>
                </c:pt>
                <c:pt idx="92">
                  <c:v>93.611051699746184</c:v>
                </c:pt>
                <c:pt idx="93">
                  <c:v>93.761788222937724</c:v>
                </c:pt>
                <c:pt idx="94">
                  <c:v>93.916296857032719</c:v>
                </c:pt>
                <c:pt idx="95">
                  <c:v>94.074589799367786</c:v>
                </c:pt>
                <c:pt idx="96">
                  <c:v>94.236678918357413</c:v>
                </c:pt>
                <c:pt idx="97">
                  <c:v>94.402575904926451</c:v>
                </c:pt>
                <c:pt idx="98">
                  <c:v>94.572292413979071</c:v>
                </c:pt>
                <c:pt idx="99">
                  <c:v>94.745840194358138</c:v>
                </c:pt>
                <c:pt idx="100">
                  <c:v>94.923231205888555</c:v>
                </c:pt>
                <c:pt idx="101">
                  <c:v>95.104477722239864</c:v>
                </c:pt>
                <c:pt idx="102">
                  <c:v>95.289592418488965</c:v>
                </c:pt>
                <c:pt idx="103">
                  <c:v>95.478588442408139</c:v>
                </c:pt>
                <c:pt idx="104">
                  <c:v>95.671479468644776</c:v>
                </c:pt>
                <c:pt idx="105">
                  <c:v>95.868279735095769</c:v>
                </c:pt>
                <c:pt idx="106">
                  <c:v>96.069004060909236</c:v>
                </c:pt>
                <c:pt idx="107">
                  <c:v>96.273667845666722</c:v>
                </c:pt>
                <c:pt idx="108">
                  <c:v>96.482287049414197</c:v>
                </c:pt>
                <c:pt idx="109">
                  <c:v>96.69487815330956</c:v>
                </c:pt>
                <c:pt idx="110">
                  <c:v>96.911458100749698</c:v>
                </c:pt>
                <c:pt idx="111">
                  <c:v>97.132044218921607</c:v>
                </c:pt>
                <c:pt idx="112">
                  <c:v>97.356654120795199</c:v>
                </c:pt>
                <c:pt idx="113">
                  <c:v>97.585305587638018</c:v>
                </c:pt>
                <c:pt idx="114">
                  <c:v>97.818016432188585</c:v>
                </c:pt>
                <c:pt idx="115">
                  <c:v>98.05480434266903</c:v>
                </c:pt>
                <c:pt idx="116">
                  <c:v>98.295686707860654</c:v>
                </c:pt>
                <c:pt idx="117">
                  <c:v>98.540680423497889</c:v>
                </c:pt>
                <c:pt idx="118">
                  <c:v>98.789801680267942</c:v>
                </c:pt>
                <c:pt idx="119">
                  <c:v>99.043065733728014</c:v>
                </c:pt>
                <c:pt idx="120">
                  <c:v>99.300486656478782</c:v>
                </c:pt>
                <c:pt idx="121">
                  <c:v>99.56207707295485</c:v>
                </c:pt>
                <c:pt idx="122">
                  <c:v>99.827847877219924</c:v>
                </c:pt>
                <c:pt idx="123">
                  <c:v>100.09780793417917</c:v>
                </c:pt>
                <c:pt idx="124">
                  <c:v>100.37196376465297</c:v>
                </c:pt>
                <c:pt idx="125">
                  <c:v>100.65031921478933</c:v>
                </c:pt>
                <c:pt idx="126">
                  <c:v>100.93287511033367</c:v>
                </c:pt>
                <c:pt idx="127">
                  <c:v>101.21962889631885</c:v>
                </c:pt>
                <c:pt idx="128">
                  <c:v>101.5105742627934</c:v>
                </c:pt>
                <c:pt idx="129">
                  <c:v>101.80570075726726</c:v>
                </c:pt>
                <c:pt idx="130">
                  <c:v>102.10499338462317</c:v>
                </c:pt>
                <c:pt idx="131">
                  <c:v>102.4084321953228</c:v>
                </c:pt>
                <c:pt idx="132">
                  <c:v>102.71599186282369</c:v>
                </c:pt>
                <c:pt idx="133">
                  <c:v>103.02764125122241</c:v>
                </c:pt>
                <c:pt idx="134">
                  <c:v>103.34334297424579</c:v>
                </c:pt>
                <c:pt idx="135">
                  <c:v>103.66305294682945</c:v>
                </c:pt>
                <c:pt idx="136">
                  <c:v>103.98671993064805</c:v>
                </c:pt>
                <c:pt idx="137">
                  <c:v>104.31428507509511</c:v>
                </c:pt>
                <c:pt idx="138">
                  <c:v>104.64568145535077</c:v>
                </c:pt>
                <c:pt idx="139">
                  <c:v>104.98083360932242</c:v>
                </c:pt>
                <c:pt idx="140">
                  <c:v>105.31965707539369</c:v>
                </c:pt>
                <c:pt idx="141">
                  <c:v>105.66205793307179</c:v>
                </c:pt>
                <c:pt idx="142">
                  <c:v>106.00793234877639</c:v>
                </c:pt>
                <c:pt idx="143">
                  <c:v>106.35716612916812</c:v>
                </c:pt>
                <c:pt idx="144">
                  <c:v>106.70963428456213</c:v>
                </c:pt>
                <c:pt idx="145">
                  <c:v>107.06520060511664</c:v>
                </c:pt>
                <c:pt idx="146">
                  <c:v>107.42371725261864</c:v>
                </c:pt>
                <c:pt idx="147">
                  <c:v>107.78502437080934</c:v>
                </c:pt>
                <c:pt idx="148">
                  <c:v>108.14894971729825</c:v>
                </c:pt>
                <c:pt idx="149">
                  <c:v>108.51530832019898</c:v>
                </c:pt>
                <c:pt idx="150">
                  <c:v>108.88390216268361</c:v>
                </c:pt>
                <c:pt idx="151">
                  <c:v>109.25451989868984</c:v>
                </c:pt>
                <c:pt idx="152">
                  <c:v>109.62693660302322</c:v>
                </c:pt>
                <c:pt idx="153">
                  <c:v>110.00091355907117</c:v>
                </c:pt>
                <c:pt idx="154">
                  <c:v>110.37619808728803</c:v>
                </c:pt>
                <c:pt idx="155">
                  <c:v>110.75252341751042</c:v>
                </c:pt>
                <c:pt idx="156">
                  <c:v>111.12960860802752</c:v>
                </c:pt>
                <c:pt idx="157">
                  <c:v>111.50715851415003</c:v>
                </c:pt>
                <c:pt idx="158">
                  <c:v>111.88486380880195</c:v>
                </c:pt>
                <c:pt idx="159">
                  <c:v>112.26240105739481</c:v>
                </c:pt>
                <c:pt idx="160">
                  <c:v>112.63943284893901</c:v>
                </c:pt>
                <c:pt idx="161">
                  <c:v>113.01560798499901</c:v>
                </c:pt>
                <c:pt idx="162">
                  <c:v>113.39056172771589</c:v>
                </c:pt>
                <c:pt idx="163">
                  <c:v>113.76391610769865</c:v>
                </c:pt>
                <c:pt idx="164">
                  <c:v>114.13528029213475</c:v>
                </c:pt>
                <c:pt idx="165">
                  <c:v>114.50425101299204</c:v>
                </c:pt>
                <c:pt idx="166">
                  <c:v>114.87041305468532</c:v>
                </c:pt>
                <c:pt idx="167">
                  <c:v>115.23333980006751</c:v>
                </c:pt>
                <c:pt idx="168">
                  <c:v>115.59259383308689</c:v>
                </c:pt>
                <c:pt idx="169">
                  <c:v>115.94772759593025</c:v>
                </c:pt>
                <c:pt idx="170">
                  <c:v>116.29828409796556</c:v>
                </c:pt>
                <c:pt idx="171">
                  <c:v>116.64379767330054</c:v>
                </c:pt>
                <c:pt idx="172">
                  <c:v>116.98379478331003</c:v>
                </c:pt>
                <c:pt idx="173">
                  <c:v>117.3177948600493</c:v>
                </c:pt>
                <c:pt idx="174">
                  <c:v>117.6453111860789</c:v>
                </c:pt>
                <c:pt idx="175">
                  <c:v>117.96585180588413</c:v>
                </c:pt>
                <c:pt idx="176">
                  <c:v>118.27892046378284</c:v>
                </c:pt>
                <c:pt idx="177">
                  <c:v>118.58401756298858</c:v>
                </c:pt>
                <c:pt idx="178">
                  <c:v>118.88064114033298</c:v>
                </c:pt>
                <c:pt idx="179">
                  <c:v>119.16828785105784</c:v>
                </c:pt>
                <c:pt idx="180">
                  <c:v>119.44645395806128</c:v>
                </c:pt>
                <c:pt idx="181">
                  <c:v>119.71463632002988</c:v>
                </c:pt>
                <c:pt idx="182">
                  <c:v>119.97233337300332</c:v>
                </c:pt>
                <c:pt idx="183">
                  <c:v>120.21904610010144</c:v>
                </c:pt>
                <c:pt idx="184">
                  <c:v>120.45427898438849</c:v>
                </c:pt>
                <c:pt idx="185">
                  <c:v>120.67754094015601</c:v>
                </c:pt>
                <c:pt idx="186">
                  <c:v>120.88834621826157</c:v>
                </c:pt>
                <c:pt idx="187">
                  <c:v>121.08621528156517</c:v>
                </c:pt>
                <c:pt idx="188">
                  <c:v>121.27067564694556</c:v>
                </c:pt>
                <c:pt idx="189">
                  <c:v>121.44126269085112</c:v>
                </c:pt>
                <c:pt idx="190">
                  <c:v>121.59752041583067</c:v>
                </c:pt>
                <c:pt idx="191">
                  <c:v>121.73900217599608</c:v>
                </c:pt>
                <c:pt idx="192">
                  <c:v>121.86527135987555</c:v>
                </c:pt>
                <c:pt idx="193">
                  <c:v>121.97590202962063</c:v>
                </c:pt>
                <c:pt idx="194">
                  <c:v>122.07047951601923</c:v>
                </c:pt>
                <c:pt idx="195">
                  <c:v>122.14860096923738</c:v>
                </c:pt>
                <c:pt idx="196">
                  <c:v>122.20987586565246</c:v>
                </c:pt>
                <c:pt idx="197">
                  <c:v>122.25392647154908</c:v>
                </c:pt>
                <c:pt idx="198">
                  <c:v>122.28038826481675</c:v>
                </c:pt>
                <c:pt idx="199">
                  <c:v>122.28891031611246</c:v>
                </c:pt>
                <c:pt idx="200">
                  <c:v>122.27915563122932</c:v>
                </c:pt>
                <c:pt idx="201">
                  <c:v>122.25080145663907</c:v>
                </c:pt>
                <c:pt idx="202">
                  <c:v>122.20353955035424</c:v>
                </c:pt>
                <c:pt idx="203">
                  <c:v>122.13707642037946</c:v>
                </c:pt>
                <c:pt idx="204">
                  <c:v>122.05113353309586</c:v>
                </c:pt>
                <c:pt idx="205">
                  <c:v>121.94544749394511</c:v>
                </c:pt>
                <c:pt idx="206">
                  <c:v>121.8197702027546</c:v>
                </c:pt>
                <c:pt idx="207">
                  <c:v>121.67386898597434</c:v>
                </c:pt>
                <c:pt idx="208">
                  <c:v>121.50752670798218</c:v>
                </c:pt>
                <c:pt idx="209">
                  <c:v>121.32054186346029</c:v>
                </c:pt>
                <c:pt idx="210">
                  <c:v>121.11272865265846</c:v>
                </c:pt>
                <c:pt idx="211">
                  <c:v>120.88391704114069</c:v>
                </c:pt>
                <c:pt idx="212">
                  <c:v>120.63395280536737</c:v>
                </c:pt>
                <c:pt idx="213">
                  <c:v>120.36269756519989</c:v>
                </c:pt>
                <c:pt idx="214">
                  <c:v>120.07002880413441</c:v>
                </c:pt>
                <c:pt idx="215">
                  <c:v>119.75583987778015</c:v>
                </c:pt>
                <c:pt idx="216">
                  <c:v>119.42004001080353</c:v>
                </c:pt>
                <c:pt idx="217">
                  <c:v>119.06255428226368</c:v>
                </c:pt>
                <c:pt idx="218">
                  <c:v>118.68332359897785</c:v>
                </c:pt>
                <c:pt idx="219">
                  <c:v>118.28230465627847</c:v>
                </c:pt>
                <c:pt idx="220">
                  <c:v>117.85946988526479</c:v>
                </c:pt>
                <c:pt idx="221">
                  <c:v>117.41480738541452</c:v>
                </c:pt>
                <c:pt idx="222">
                  <c:v>116.94832084121163</c:v>
                </c:pt>
                <c:pt idx="223">
                  <c:v>116.46002942126806</c:v>
                </c:pt>
                <c:pt idx="224">
                  <c:v>115.94996765827432</c:v>
                </c:pt>
                <c:pt idx="225">
                  <c:v>115.41818530801352</c:v>
                </c:pt>
                <c:pt idx="226">
                  <c:v>114.86474718561179</c:v>
                </c:pt>
                <c:pt idx="227">
                  <c:v>114.28973297718738</c:v>
                </c:pt>
                <c:pt idx="228">
                  <c:v>113.69323702509473</c:v>
                </c:pt>
                <c:pt idx="229">
                  <c:v>113.07536808504466</c:v>
                </c:pt>
                <c:pt idx="230">
                  <c:v>112.43624905351734</c:v>
                </c:pt>
                <c:pt idx="231">
                  <c:v>111.77601666406963</c:v>
                </c:pt>
                <c:pt idx="232">
                  <c:v>111.09482115137291</c:v>
                </c:pt>
                <c:pt idx="233">
                  <c:v>110.3928258820971</c:v>
                </c:pt>
                <c:pt idx="234">
                  <c:v>109.67020695208467</c:v>
                </c:pt>
                <c:pt idx="235">
                  <c:v>108.9271527496179</c:v>
                </c:pt>
                <c:pt idx="236">
                  <c:v>108.16386348498858</c:v>
                </c:pt>
                <c:pt idx="237">
                  <c:v>107.38055068700109</c:v>
                </c:pt>
                <c:pt idx="238">
                  <c:v>106.57743666749568</c:v>
                </c:pt>
                <c:pt idx="239">
                  <c:v>105.75475395543981</c:v>
                </c:pt>
                <c:pt idx="240">
                  <c:v>104.91274470260848</c:v>
                </c:pt>
                <c:pt idx="241">
                  <c:v>104.05166006334258</c:v>
                </c:pt>
                <c:pt idx="242">
                  <c:v>103.17175955133138</c:v>
                </c:pt>
                <c:pt idx="243">
                  <c:v>102.27331037680054</c:v>
                </c:pt>
                <c:pt idx="244">
                  <c:v>101.35658676789569</c:v>
                </c:pt>
                <c:pt idx="245">
                  <c:v>100.42186928041551</c:v>
                </c:pt>
                <c:pt idx="246">
                  <c:v>99.469444100370467</c:v>
                </c:pt>
                <c:pt idx="247">
                  <c:v>98.499602344107359</c:v>
                </c:pt>
                <c:pt idx="248">
                  <c:v>97.512639360940824</c:v>
                </c:pt>
                <c:pt idx="249">
                  <c:v>96.508854043368274</c:v>
                </c:pt>
                <c:pt idx="250">
                  <c:v>95.488548150006849</c:v>
                </c:pt>
                <c:pt idx="251">
                  <c:v>94.452025646373954</c:v>
                </c:pt>
                <c:pt idx="252">
                  <c:v>93.39959206854337</c:v>
                </c:pt>
                <c:pt idx="253">
                  <c:v>92.331553914536244</c:v>
                </c:pt>
                <c:pt idx="254">
                  <c:v>91.248218068060055</c:v>
                </c:pt>
                <c:pt idx="255">
                  <c:v>90.149891258887308</c:v>
                </c:pt>
                <c:pt idx="256">
                  <c:v>89.036879563771464</c:v>
                </c:pt>
                <c:pt idx="257">
                  <c:v>87.909487951348311</c:v>
                </c:pt>
                <c:pt idx="258">
                  <c:v>86.768019873949299</c:v>
                </c:pt>
                <c:pt idx="259">
                  <c:v>85.612776908701818</c:v>
                </c:pt>
                <c:pt idx="260">
                  <c:v>84.444058449679005</c:v>
                </c:pt>
                <c:pt idx="261">
                  <c:v>83.262161452238701</c:v>
                </c:pt>
                <c:pt idx="262">
                  <c:v>82.067380230032569</c:v>
                </c:pt>
                <c:pt idx="263">
                  <c:v>80.860006304508971</c:v>
                </c:pt>
                <c:pt idx="264">
                  <c:v>79.640328306071751</c:v>
                </c:pt>
                <c:pt idx="265">
                  <c:v>78.408631925411612</c:v>
                </c:pt>
                <c:pt idx="266">
                  <c:v>77.165199912901869</c:v>
                </c:pt>
                <c:pt idx="267">
                  <c:v>75.910312123360882</c:v>
                </c:pt>
                <c:pt idx="268">
                  <c:v>74.644245602935143</c:v>
                </c:pt>
                <c:pt idx="269">
                  <c:v>73.36727471436123</c:v>
                </c:pt>
                <c:pt idx="270">
                  <c:v>72.079671296427989</c:v>
                </c:pt>
                <c:pt idx="271">
                  <c:v>70.781704853089892</c:v>
                </c:pt>
                <c:pt idx="272">
                  <c:v>69.473642767383126</c:v>
                </c:pt>
                <c:pt idx="273">
                  <c:v>68.155750535076763</c:v>
                </c:pt>
                <c:pt idx="274">
                  <c:v>66.828292012844486</c:v>
                </c:pt>
                <c:pt idx="275">
                  <c:v>65.491529675688298</c:v>
                </c:pt>
                <c:pt idx="276">
                  <c:v>64.145724878361335</c:v>
                </c:pt>
                <c:pt idx="277">
                  <c:v>62.791138115647996</c:v>
                </c:pt>
                <c:pt idx="278">
                  <c:v>61.428029276539441</c:v>
                </c:pt>
                <c:pt idx="279">
                  <c:v>60.056657887605098</c:v>
                </c:pt>
                <c:pt idx="280">
                  <c:v>58.677283341196386</c:v>
                </c:pt>
                <c:pt idx="281">
                  <c:v>57.290165104517072</c:v>
                </c:pt>
                <c:pt idx="282">
                  <c:v>55.895562906056313</c:v>
                </c:pt>
                <c:pt idx="283">
                  <c:v>54.493736896391354</c:v>
                </c:pt>
                <c:pt idx="284">
                  <c:v>53.084947780923287</c:v>
                </c:pt>
                <c:pt idx="285">
                  <c:v>51.669456922696945</c:v>
                </c:pt>
                <c:pt idx="286">
                  <c:v>50.247526414066598</c:v>
                </c:pt>
                <c:pt idx="287">
                  <c:v>48.819419116593807</c:v>
                </c:pt>
                <c:pt idx="288">
                  <c:v>47.385398669186912</c:v>
                </c:pt>
                <c:pt idx="289">
                  <c:v>45.945729465104392</c:v>
                </c:pt>
                <c:pt idx="290">
                  <c:v>44.500676599038378</c:v>
                </c:pt>
                <c:pt idx="291">
                  <c:v>43.050505786047992</c:v>
                </c:pt>
                <c:pt idx="292">
                  <c:v>41.595483254635973</c:v>
                </c:pt>
                <c:pt idx="293">
                  <c:v>40.135875616711509</c:v>
                </c:pt>
                <c:pt idx="294">
                  <c:v>38.671949717597265</c:v>
                </c:pt>
                <c:pt idx="295">
                  <c:v>37.203972469553591</c:v>
                </c:pt>
                <c:pt idx="296">
                  <c:v>35.732210672559596</c:v>
                </c:pt>
                <c:pt idx="297">
                  <c:v>34.256930826256287</c:v>
                </c:pt>
                <c:pt idx="298">
                  <c:v>32.778398937050227</c:v>
                </c:pt>
                <c:pt idx="299">
                  <c:v>31.296880324377845</c:v>
                </c:pt>
                <c:pt idx="300">
                  <c:v>29.812639430048776</c:v>
                </c:pt>
                <c:pt idx="301">
                  <c:v>28.325939634421871</c:v>
                </c:pt>
                <c:pt idx="302">
                  <c:v>26.837043082920502</c:v>
                </c:pt>
                <c:pt idx="303">
                  <c:v>25.3462105260732</c:v>
                </c:pt>
                <c:pt idx="304">
                  <c:v>23.853701175878058</c:v>
                </c:pt>
                <c:pt idx="305">
                  <c:v>22.359772580839675</c:v>
                </c:pt>
                <c:pt idx="306">
                  <c:v>20.864680521528797</c:v>
                </c:pt>
                <c:pt idx="307">
                  <c:v>19.368678927976127</c:v>
                </c:pt>
                <c:pt idx="308">
                  <c:v>17.872019819642873</c:v>
                </c:pt>
                <c:pt idx="309">
                  <c:v>16.374953268125026</c:v>
                </c:pt>
                <c:pt idx="310">
                  <c:v>14.877727382159307</c:v>
                </c:pt>
                <c:pt idx="311">
                  <c:v>13.38058831391411</c:v>
                </c:pt>
                <c:pt idx="312">
                  <c:v>11.8837802849825</c:v>
                </c:pt>
                <c:pt idx="313">
                  <c:v>10.387545629960705</c:v>
                </c:pt>
                <c:pt idx="314">
                  <c:v>8.8921248550028338</c:v>
                </c:pt>
                <c:pt idx="315">
                  <c:v>7.397756708295816</c:v>
                </c:pt>
                <c:pt idx="316">
                  <c:v>5.9046782590214377</c:v>
                </c:pt>
                <c:pt idx="317">
                  <c:v>4.4131249810485613</c:v>
                </c:pt>
                <c:pt idx="318">
                  <c:v>2.9233308373648441</c:v>
                </c:pt>
                <c:pt idx="319">
                  <c:v>1.4355283611004097</c:v>
                </c:pt>
                <c:pt idx="320">
                  <c:v>-5.005127112184482E-2</c:v>
                </c:pt>
                <c:pt idx="321">
                  <c:v>-1.533178177692335</c:v>
                </c:pt>
                <c:pt idx="322">
                  <c:v>-3.0136237265568724</c:v>
                </c:pt>
                <c:pt idx="323">
                  <c:v>-4.491160509757897</c:v>
                </c:pt>
                <c:pt idx="324">
                  <c:v>-5.9655623416699299</c:v>
                </c:pt>
                <c:pt idx="325">
                  <c:v>-7.4366042843314943</c:v>
                </c:pt>
                <c:pt idx="326">
                  <c:v>-8.904062702853011</c:v>
                </c:pt>
                <c:pt idx="327">
                  <c:v>-10.367715353421161</c:v>
                </c:pt>
                <c:pt idx="328">
                  <c:v>-11.827341505902098</c:v>
                </c:pt>
                <c:pt idx="329">
                  <c:v>-13.282722102483334</c:v>
                </c:pt>
                <c:pt idx="330">
                  <c:v>-14.733639953192721</c:v>
                </c:pt>
                <c:pt idx="331">
                  <c:v>-16.179879968509653</c:v>
                </c:pt>
                <c:pt idx="332">
                  <c:v>-17.621229428648064</c:v>
                </c:pt>
                <c:pt idx="333">
                  <c:v>-19.057478288451833</c:v>
                </c:pt>
                <c:pt idx="334">
                  <c:v>-20.488419516212744</c:v>
                </c:pt>
                <c:pt idx="335">
                  <c:v>-21.913849464117689</c:v>
                </c:pt>
                <c:pt idx="336">
                  <c:v>-23.333568267451611</c:v>
                </c:pt>
                <c:pt idx="337">
                  <c:v>-24.747380269156281</c:v>
                </c:pt>
                <c:pt idx="338">
                  <c:v>-26.155094465854319</c:v>
                </c:pt>
                <c:pt idx="339">
                  <c:v>-27.556524971032502</c:v>
                </c:pt>
                <c:pt idx="340">
                  <c:v>-28.951491490715043</c:v>
                </c:pt>
                <c:pt idx="341">
                  <c:v>-30.339819806677596</c:v>
                </c:pt>
                <c:pt idx="342">
                  <c:v>-31.721342262033389</c:v>
                </c:pt>
                <c:pt idx="343">
                  <c:v>-33.095898243896329</c:v>
                </c:pt>
                <c:pt idx="344">
                  <c:v>-34.463334657763554</c:v>
                </c:pt>
                <c:pt idx="345">
                  <c:v>-35.823506388284585</c:v>
                </c:pt>
                <c:pt idx="346">
                  <c:v>-37.17627674117368</c:v>
                </c:pt>
                <c:pt idx="347">
                  <c:v>-38.521517861190517</c:v>
                </c:pt>
                <c:pt idx="348">
                  <c:v>-39.859111121344924</c:v>
                </c:pt>
                <c:pt idx="349">
                  <c:v>-41.188947478769478</c:v>
                </c:pt>
                <c:pt idx="350">
                  <c:v>-42.510927793046818</c:v>
                </c:pt>
                <c:pt idx="351">
                  <c:v>-43.824963103166567</c:v>
                </c:pt>
                <c:pt idx="352">
                  <c:v>-45.130974859708857</c:v>
                </c:pt>
                <c:pt idx="353">
                  <c:v>-46.428895109305714</c:v>
                </c:pt>
                <c:pt idx="354">
                  <c:v>-47.718666628901474</c:v>
                </c:pt>
                <c:pt idx="355">
                  <c:v>-49.000243007815882</c:v>
                </c:pt>
                <c:pt idx="356">
                  <c:v>-50.273588676103955</c:v>
                </c:pt>
                <c:pt idx="357">
                  <c:v>-51.538678878183816</c:v>
                </c:pt>
                <c:pt idx="358">
                  <c:v>-52.795499591182804</c:v>
                </c:pt>
                <c:pt idx="359">
                  <c:v>-54.044047387900818</c:v>
                </c:pt>
                <c:pt idx="360">
                  <c:v>-55.28432924472888</c:v>
                </c:pt>
                <c:pt idx="361">
                  <c:v>-56.516362295266077</c:v>
                </c:pt>
                <c:pt idx="362">
                  <c:v>-57.740173530750695</c:v>
                </c:pt>
                <c:pt idx="363">
                  <c:v>-58.955799448788653</c:v>
                </c:pt>
                <c:pt idx="364">
                  <c:v>-60.163285652144296</c:v>
                </c:pt>
                <c:pt idx="365">
                  <c:v>-61.36268639965202</c:v>
                </c:pt>
                <c:pt idx="366">
                  <c:v>-62.554064111573084</c:v>
                </c:pt>
                <c:pt idx="367">
                  <c:v>-63.737488831888513</c:v>
                </c:pt>
                <c:pt idx="368">
                  <c:v>-64.913037650250757</c:v>
                </c:pt>
                <c:pt idx="369">
                  <c:v>-66.080794086419289</c:v>
                </c:pt>
                <c:pt idx="370">
                  <c:v>-67.240847440167386</c:v>
                </c:pt>
                <c:pt idx="371">
                  <c:v>-68.39329210972825</c:v>
                </c:pt>
                <c:pt idx="372">
                  <c:v>-69.538226881929376</c:v>
                </c:pt>
                <c:pt idx="373">
                  <c:v>-70.67575419722921</c:v>
                </c:pt>
                <c:pt idx="374">
                  <c:v>-71.805979392910189</c:v>
                </c:pt>
                <c:pt idx="375">
                  <c:v>-72.929009927718809</c:v>
                </c:pt>
                <c:pt idx="376">
                  <c:v>-74.04495459126484</c:v>
                </c:pt>
                <c:pt idx="377">
                  <c:v>-75.153922701513594</c:v>
                </c:pt>
                <c:pt idx="378">
                  <c:v>-76.256023293710797</c:v>
                </c:pt>
                <c:pt idx="379">
                  <c:v>-77.351364304098951</c:v>
                </c:pt>
                <c:pt idx="380">
                  <c:v>-78.440051751788886</c:v>
                </c:pt>
                <c:pt idx="381">
                  <c:v>-79.522188922162655</c:v>
                </c:pt>
                <c:pt idx="382">
                  <c:v>-80.597875555196893</c:v>
                </c:pt>
                <c:pt idx="383">
                  <c:v>-81.667207042107407</c:v>
                </c:pt>
                <c:pt idx="384">
                  <c:v>-82.730273633731926</c:v>
                </c:pt>
                <c:pt idx="385">
                  <c:v>-83.787159664082836</c:v>
                </c:pt>
                <c:pt idx="386">
                  <c:v>-84.837942792515634</c:v>
                </c:pt>
                <c:pt idx="387">
                  <c:v>-85.88269326797024</c:v>
                </c:pt>
                <c:pt idx="388">
                  <c:v>-86.921473218750791</c:v>
                </c:pt>
                <c:pt idx="389">
                  <c:v>-87.954335971309533</c:v>
                </c:pt>
                <c:pt idx="390">
                  <c:v>-88.981325401491617</c:v>
                </c:pt>
                <c:pt idx="391">
                  <c:v>-90.002475321674069</c:v>
                </c:pt>
                <c:pt idx="392">
                  <c:v>-91.01780890719759</c:v>
                </c:pt>
                <c:pt idx="393">
                  <c:v>-92.027338165429853</c:v>
                </c:pt>
                <c:pt idx="394">
                  <c:v>-93.031063450722669</c:v>
                </c:pt>
                <c:pt idx="395">
                  <c:v>-94.028973028418847</c:v>
                </c:pt>
                <c:pt idx="396">
                  <c:v>-95.021042690931708</c:v>
                </c:pt>
                <c:pt idx="397">
                  <c:v>-96.007235428756871</c:v>
                </c:pt>
                <c:pt idx="398">
                  <c:v>-96.987501159076231</c:v>
                </c:pt>
                <c:pt idx="399">
                  <c:v>-97.961776514380205</c:v>
                </c:pt>
                <c:pt idx="400">
                  <c:v>-98.929984693267073</c:v>
                </c:pt>
              </c:numCache>
            </c:numRef>
          </c:yVal>
          <c:smooth val="1"/>
          <c:extLst>
            <c:ext xmlns:c16="http://schemas.microsoft.com/office/drawing/2014/chart" uri="{C3380CC4-5D6E-409C-BE32-E72D297353CC}">
              <c16:uniqueId val="{00000008-37BA-4D75-B431-21FD57867CC7}"/>
            </c:ext>
          </c:extLst>
        </c:ser>
        <c:dLbls>
          <c:showLegendKey val="0"/>
          <c:showVal val="0"/>
          <c:showCatName val="0"/>
          <c:showSerName val="0"/>
          <c:showPercent val="0"/>
          <c:showBubbleSize val="0"/>
        </c:dLbls>
        <c:axId val="1042822479"/>
        <c:axId val="1042822063"/>
      </c:scatterChart>
      <c:scatterChart>
        <c:scatterStyle val="lineMarker"/>
        <c:varyColors val="0"/>
        <c:ser>
          <c:idx val="2"/>
          <c:order val="2"/>
          <c:tx>
            <c:v>Phase Margin</c:v>
          </c:tx>
          <c:spPr>
            <a:ln w="19050" cap="rnd">
              <a:solidFill>
                <a:schemeClr val="accent2"/>
              </a:solidFill>
              <a:prstDash val="sysDash"/>
              <a:round/>
            </a:ln>
            <a:effectLst/>
          </c:spPr>
          <c:marker>
            <c:symbol val="none"/>
          </c:marker>
          <c:xVal>
            <c:numRef>
              <c:f>Loop_Response!$C$44:$C$45</c:f>
              <c:numCache>
                <c:formatCode>General</c:formatCode>
                <c:ptCount val="2"/>
                <c:pt idx="0">
                  <c:v>44159.971219556486</c:v>
                </c:pt>
                <c:pt idx="1">
                  <c:v>44159.971219556486</c:v>
                </c:pt>
              </c:numCache>
            </c:numRef>
          </c:xVal>
          <c:yVal>
            <c:numRef>
              <c:f>Loop_Response!$D$44:$D$45</c:f>
              <c:numCache>
                <c:formatCode>General</c:formatCode>
                <c:ptCount val="2"/>
                <c:pt idx="0">
                  <c:v>0</c:v>
                </c:pt>
                <c:pt idx="1">
                  <c:v>79.024480115741682</c:v>
                </c:pt>
              </c:numCache>
            </c:numRef>
          </c:yVal>
          <c:smooth val="0"/>
          <c:extLst>
            <c:ext xmlns:c16="http://schemas.microsoft.com/office/drawing/2014/chart" uri="{C3380CC4-5D6E-409C-BE32-E72D297353CC}">
              <c16:uniqueId val="{00000009-37BA-4D75-B431-21FD57867CC7}"/>
            </c:ext>
          </c:extLst>
        </c:ser>
        <c:ser>
          <c:idx val="4"/>
          <c:order val="4"/>
          <c:tx>
            <c:v>PM3</c:v>
          </c:tx>
          <c:spPr>
            <a:ln w="28575" cap="rnd">
              <a:solidFill>
                <a:schemeClr val="accent5"/>
              </a:solidFill>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B-37BA-4D75-B431-21FD57867CC7}"/>
              </c:ext>
            </c:extLst>
          </c:dPt>
          <c:xVal>
            <c:numRef>
              <c:f>Loop_Response!$C$46:$C$47</c:f>
              <c:numCache>
                <c:formatCode>General</c:formatCode>
                <c:ptCount val="2"/>
                <c:pt idx="0">
                  <c:v>44159.971219556486</c:v>
                </c:pt>
                <c:pt idx="1">
                  <c:v>1000000</c:v>
                </c:pt>
              </c:numCache>
            </c:numRef>
          </c:xVal>
          <c:yVal>
            <c:numRef>
              <c:f>Loop_Response!$D$46:$D$47</c:f>
              <c:numCache>
                <c:formatCode>General</c:formatCode>
                <c:ptCount val="2"/>
                <c:pt idx="0">
                  <c:v>79.024480115741682</c:v>
                </c:pt>
                <c:pt idx="1">
                  <c:v>79.024480115741682</c:v>
                </c:pt>
              </c:numCache>
            </c:numRef>
          </c:yVal>
          <c:smooth val="0"/>
          <c:extLst>
            <c:ext xmlns:c16="http://schemas.microsoft.com/office/drawing/2014/chart" uri="{C3380CC4-5D6E-409C-BE32-E72D297353CC}">
              <c16:uniqueId val="{0000000C-37BA-4D75-B431-21FD57867CC7}"/>
            </c:ext>
          </c:extLst>
        </c:ser>
        <c:ser>
          <c:idx val="5"/>
          <c:order val="5"/>
          <c:tx>
            <c:v>GM1</c:v>
          </c:tx>
          <c:spPr>
            <a:ln w="28575" cap="rnd">
              <a:solidFill>
                <a:schemeClr val="accent6"/>
              </a:solidFill>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E-37BA-4D75-B431-21FD57867CC7}"/>
              </c:ext>
            </c:extLst>
          </c:dPt>
          <c:xVal>
            <c:numRef>
              <c:f>Loop_Response!$E$42:$E$43</c:f>
              <c:numCache>
                <c:formatCode>General</c:formatCode>
                <c:ptCount val="2"/>
                <c:pt idx="0">
                  <c:v>1000000</c:v>
                </c:pt>
                <c:pt idx="1">
                  <c:v>156685.49056867999</c:v>
                </c:pt>
              </c:numCache>
            </c:numRef>
          </c:xVal>
          <c:yVal>
            <c:numRef>
              <c:f>Loop_Response!$F$42:$F$43</c:f>
              <c:numCache>
                <c:formatCode>General</c:formatCode>
                <c:ptCount val="2"/>
                <c:pt idx="0">
                  <c:v>0</c:v>
                </c:pt>
                <c:pt idx="1">
                  <c:v>0</c:v>
                </c:pt>
              </c:numCache>
            </c:numRef>
          </c:yVal>
          <c:smooth val="0"/>
          <c:extLst>
            <c:ext xmlns:c16="http://schemas.microsoft.com/office/drawing/2014/chart" uri="{C3380CC4-5D6E-409C-BE32-E72D297353CC}">
              <c16:uniqueId val="{0000000F-37BA-4D75-B431-21FD57867CC7}"/>
            </c:ext>
          </c:extLst>
        </c:ser>
        <c:dLbls>
          <c:showLegendKey val="0"/>
          <c:showVal val="0"/>
          <c:showCatName val="0"/>
          <c:showSerName val="0"/>
          <c:showPercent val="0"/>
          <c:showBubbleSize val="0"/>
        </c:dLbls>
        <c:axId val="1042822479"/>
        <c:axId val="1042822063"/>
      </c:scatterChart>
      <c:valAx>
        <c:axId val="1106689647"/>
        <c:scaling>
          <c:logBase val="10"/>
          <c:orientation val="minMax"/>
          <c:min val="1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t>Frequency (Hz)</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925061759"/>
        <c:crosses val="autoZero"/>
        <c:crossBetween val="midCat"/>
      </c:valAx>
      <c:valAx>
        <c:axId val="1925061759"/>
        <c:scaling>
          <c:orientation val="minMax"/>
          <c:max val="60"/>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solidFill>
                      <a:srgbClr val="0070C0"/>
                    </a:solidFill>
                  </a:rPr>
                  <a:t>Gain</a:t>
                </a:r>
                <a:r>
                  <a:rPr lang="en-US" sz="1200" b="1" baseline="0">
                    <a:solidFill>
                      <a:srgbClr val="0070C0"/>
                    </a:solidFill>
                  </a:rPr>
                  <a:t> (dB)</a:t>
                </a:r>
                <a:endParaRPr lang="en-US" sz="1200" b="1">
                  <a:solidFill>
                    <a:srgbClr val="0070C0"/>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rgbClr val="0070C0"/>
                </a:solidFill>
                <a:latin typeface="+mn-lt"/>
                <a:ea typeface="+mn-ea"/>
                <a:cs typeface="+mn-cs"/>
              </a:defRPr>
            </a:pPr>
            <a:endParaRPr lang="en-US"/>
          </a:p>
        </c:txPr>
        <c:crossAx val="1106689647"/>
        <c:crosses val="autoZero"/>
        <c:crossBetween val="midCat"/>
      </c:valAx>
      <c:valAx>
        <c:axId val="1042822063"/>
        <c:scaling>
          <c:orientation val="minMax"/>
          <c:max val="180"/>
          <c:min val="-180"/>
        </c:scaling>
        <c:delete val="0"/>
        <c:axPos val="r"/>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solidFill>
                      <a:schemeClr val="accent2"/>
                    </a:solidFill>
                  </a:rPr>
                  <a:t>Phase</a:t>
                </a:r>
                <a:r>
                  <a:rPr lang="en-US" sz="1200" b="1" baseline="0">
                    <a:solidFill>
                      <a:schemeClr val="accent2"/>
                    </a:solidFill>
                  </a:rPr>
                  <a:t> - (-180) (</a:t>
                </a:r>
                <a:r>
                  <a:rPr lang="en-US" sz="1200" b="1" baseline="0">
                    <a:solidFill>
                      <a:schemeClr val="accent2"/>
                    </a:solidFill>
                    <a:latin typeface="Calibri" panose="020F0502020204030204" pitchFamily="34" charset="0"/>
                    <a:cs typeface="Calibri" panose="020F0502020204030204" pitchFamily="34" charset="0"/>
                  </a:rPr>
                  <a:t>˚)</a:t>
                </a:r>
                <a:endParaRPr lang="en-US" sz="1200" b="1">
                  <a:solidFill>
                    <a:schemeClr val="accent2"/>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chemeClr val="accent2"/>
                </a:solidFill>
                <a:latin typeface="+mn-lt"/>
                <a:ea typeface="+mn-ea"/>
                <a:cs typeface="+mn-cs"/>
              </a:defRPr>
            </a:pPr>
            <a:endParaRPr lang="en-US"/>
          </a:p>
        </c:txPr>
        <c:crossAx val="1042822479"/>
        <c:crosses val="max"/>
        <c:crossBetween val="midCat"/>
      </c:valAx>
      <c:valAx>
        <c:axId val="1042822479"/>
        <c:scaling>
          <c:logBase val="10"/>
          <c:orientation val="minMax"/>
        </c:scaling>
        <c:delete val="1"/>
        <c:axPos val="b"/>
        <c:numFmt formatCode="###.###.###.###" sourceLinked="1"/>
        <c:majorTickMark val="out"/>
        <c:minorTickMark val="none"/>
        <c:tickLblPos val="nextTo"/>
        <c:crossAx val="1042822063"/>
        <c:crosses val="autoZero"/>
        <c:crossBetween val="midCat"/>
      </c:valAx>
      <c:spPr>
        <a:noFill/>
        <a:ln>
          <a:solidFill>
            <a:schemeClr val="tx1"/>
          </a:solidFill>
        </a:ln>
        <a:effectLst/>
      </c:spPr>
    </c:plotArea>
    <c:legend>
      <c:legendPos val="r"/>
      <c:legendEntry>
        <c:idx val="1"/>
        <c:delete val="1"/>
      </c:legendEntry>
      <c:legendEntry>
        <c:idx val="2"/>
        <c:delete val="1"/>
      </c:legendEntry>
      <c:legendEntry>
        <c:idx val="6"/>
        <c:delete val="1"/>
      </c:legendEntry>
      <c:legendEntry>
        <c:idx val="7"/>
        <c:delete val="1"/>
      </c:legendEntry>
      <c:layout>
        <c:manualLayout>
          <c:xMode val="edge"/>
          <c:yMode val="edge"/>
          <c:x val="0.10750211651023953"/>
          <c:y val="0.59570863727634971"/>
          <c:w val="0.23292596593148349"/>
          <c:h val="0.21601593442763473"/>
        </c:manualLayout>
      </c:layout>
      <c:overlay val="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t>Bode Plot of Loop Gain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76148065517035"/>
          <c:y val="0.12346639975238767"/>
          <c:w val="0.78210304220761351"/>
          <c:h val="0.70447321397542961"/>
        </c:manualLayout>
      </c:layout>
      <c:scatterChart>
        <c:scatterStyle val="smoothMarker"/>
        <c:varyColors val="0"/>
        <c:ser>
          <c:idx val="0"/>
          <c:order val="0"/>
          <c:tx>
            <c:v>Gain</c:v>
          </c:tx>
          <c:spPr>
            <a:ln w="28575" cap="rnd">
              <a:solidFill>
                <a:srgbClr val="0070C0"/>
              </a:solidFill>
              <a:round/>
            </a:ln>
            <a:effectLst/>
          </c:spPr>
          <c:marker>
            <c:symbol val="none"/>
          </c:marker>
          <c:xVal>
            <c:numRef>
              <c:f>Loop_Response!$I$3:$I$403</c:f>
              <c:numCache>
                <c:formatCode>###.###.###.###</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31622.776601683803</c:v>
                </c:pt>
                <c:pt idx="251">
                  <c:v>32359.365692962834</c:v>
                </c:pt>
                <c:pt idx="252">
                  <c:v>33113.112148259112</c:v>
                </c:pt>
                <c:pt idx="253">
                  <c:v>33884.415613920253</c:v>
                </c:pt>
                <c:pt idx="254">
                  <c:v>34673.685045253224</c:v>
                </c:pt>
                <c:pt idx="255">
                  <c:v>35481.338923357536</c:v>
                </c:pt>
                <c:pt idx="256">
                  <c:v>36307.805477010188</c:v>
                </c:pt>
                <c:pt idx="257">
                  <c:v>37153.522909717241</c:v>
                </c:pt>
                <c:pt idx="258">
                  <c:v>38018.939632056172</c:v>
                </c:pt>
                <c:pt idx="259">
                  <c:v>38904.514499428107</c:v>
                </c:pt>
                <c:pt idx="260">
                  <c:v>39810.717055349771</c:v>
                </c:pt>
                <c:pt idx="261">
                  <c:v>40738.027780411314</c:v>
                </c:pt>
                <c:pt idx="262">
                  <c:v>41686.938347033582</c:v>
                </c:pt>
                <c:pt idx="263">
                  <c:v>42657.9518801593</c:v>
                </c:pt>
                <c:pt idx="264">
                  <c:v>43651.583224016635</c:v>
                </c:pt>
                <c:pt idx="265">
                  <c:v>44668.359215096345</c:v>
                </c:pt>
                <c:pt idx="266">
                  <c:v>45708.81896148753</c:v>
                </c:pt>
                <c:pt idx="267">
                  <c:v>46773.514128719842</c:v>
                </c:pt>
                <c:pt idx="268">
                  <c:v>47863.009232263852</c:v>
                </c:pt>
                <c:pt idx="269">
                  <c:v>48977.881936844635</c:v>
                </c:pt>
                <c:pt idx="270">
                  <c:v>50118.723362727324</c:v>
                </c:pt>
                <c:pt idx="271">
                  <c:v>51286.138399136486</c:v>
                </c:pt>
                <c:pt idx="272">
                  <c:v>52480.74602497735</c:v>
                </c:pt>
                <c:pt idx="273">
                  <c:v>53703.17963702527</c:v>
                </c:pt>
                <c:pt idx="274">
                  <c:v>54954.087385762541</c:v>
                </c:pt>
                <c:pt idx="275">
                  <c:v>56234.132519034989</c:v>
                </c:pt>
                <c:pt idx="276">
                  <c:v>57543.993733715673</c:v>
                </c:pt>
                <c:pt idx="277">
                  <c:v>58884.365535558973</c:v>
                </c:pt>
                <c:pt idx="278">
                  <c:v>60255.958607435852</c:v>
                </c:pt>
                <c:pt idx="279">
                  <c:v>61659.500186148289</c:v>
                </c:pt>
                <c:pt idx="280">
                  <c:v>63095.734448019386</c:v>
                </c:pt>
                <c:pt idx="281">
                  <c:v>64565.422903465616</c:v>
                </c:pt>
                <c:pt idx="282">
                  <c:v>66069.34480075966</c:v>
                </c:pt>
                <c:pt idx="283">
                  <c:v>67608.297539198233</c:v>
                </c:pt>
                <c:pt idx="284">
                  <c:v>69183.097091893695</c:v>
                </c:pt>
                <c:pt idx="285">
                  <c:v>70794.578438413824</c:v>
                </c:pt>
                <c:pt idx="286">
                  <c:v>72443.596007499029</c:v>
                </c:pt>
                <c:pt idx="287">
                  <c:v>74131.02413009177</c:v>
                </c:pt>
                <c:pt idx="288">
                  <c:v>75857.757502918394</c:v>
                </c:pt>
                <c:pt idx="289">
                  <c:v>77624.711662869318</c:v>
                </c:pt>
                <c:pt idx="290">
                  <c:v>79432.82347242815</c:v>
                </c:pt>
                <c:pt idx="291">
                  <c:v>81283.05161641007</c:v>
                </c:pt>
                <c:pt idx="292">
                  <c:v>83176.377110267087</c:v>
                </c:pt>
                <c:pt idx="293">
                  <c:v>85113.803820237779</c:v>
                </c:pt>
                <c:pt idx="294">
                  <c:v>87096.358995608185</c:v>
                </c:pt>
                <c:pt idx="295">
                  <c:v>89125.093813374682</c:v>
                </c:pt>
                <c:pt idx="296">
                  <c:v>91201.083935591087</c:v>
                </c:pt>
                <c:pt idx="297">
                  <c:v>93325.430079699217</c:v>
                </c:pt>
                <c:pt idx="298">
                  <c:v>95499.258602143687</c:v>
                </c:pt>
                <c:pt idx="299">
                  <c:v>97723.722095581164</c:v>
                </c:pt>
                <c:pt idx="300">
                  <c:v>100000</c:v>
                </c:pt>
                <c:pt idx="301">
                  <c:v>102329.29922807548</c:v>
                </c:pt>
                <c:pt idx="302">
                  <c:v>104712.85480509003</c:v>
                </c:pt>
                <c:pt idx="303">
                  <c:v>107151.9305237607</c:v>
                </c:pt>
                <c:pt idx="304">
                  <c:v>109647.81961431856</c:v>
                </c:pt>
                <c:pt idx="305">
                  <c:v>112201.84543019639</c:v>
                </c:pt>
                <c:pt idx="306">
                  <c:v>114815.36214968831</c:v>
                </c:pt>
                <c:pt idx="307">
                  <c:v>117489.75549395318</c:v>
                </c:pt>
                <c:pt idx="308">
                  <c:v>120226.44346174151</c:v>
                </c:pt>
                <c:pt idx="309">
                  <c:v>123026.87708123817</c:v>
                </c:pt>
                <c:pt idx="310">
                  <c:v>125892.54117941672</c:v>
                </c:pt>
                <c:pt idx="311">
                  <c:v>128824.9551693136</c:v>
                </c:pt>
                <c:pt idx="312">
                  <c:v>131825.6738556409</c:v>
                </c:pt>
                <c:pt idx="313">
                  <c:v>134896.28825916557</c:v>
                </c:pt>
                <c:pt idx="314">
                  <c:v>138038.42646028841</c:v>
                </c:pt>
                <c:pt idx="315">
                  <c:v>141253.7544622756</c:v>
                </c:pt>
                <c:pt idx="316">
                  <c:v>144543.9770745929</c:v>
                </c:pt>
                <c:pt idx="317">
                  <c:v>147910.83881682088</c:v>
                </c:pt>
                <c:pt idx="318">
                  <c:v>151356.12484362445</c:v>
                </c:pt>
                <c:pt idx="319">
                  <c:v>154881.66189124854</c:v>
                </c:pt>
                <c:pt idx="320">
                  <c:v>158489.31924611147</c:v>
                </c:pt>
                <c:pt idx="321">
                  <c:v>162181.00973589683</c:v>
                </c:pt>
                <c:pt idx="322">
                  <c:v>165958.69074376026</c:v>
                </c:pt>
                <c:pt idx="323">
                  <c:v>169824.36524617841</c:v>
                </c:pt>
                <c:pt idx="324">
                  <c:v>173780.08287494161</c:v>
                </c:pt>
                <c:pt idx="325">
                  <c:v>177827.94100389644</c:v>
                </c:pt>
                <c:pt idx="326">
                  <c:v>181970.08586100259</c:v>
                </c:pt>
                <c:pt idx="327">
                  <c:v>186208.71366629141</c:v>
                </c:pt>
                <c:pt idx="328">
                  <c:v>190546.07179632946</c:v>
                </c:pt>
                <c:pt idx="329">
                  <c:v>194984.459975809</c:v>
                </c:pt>
                <c:pt idx="330">
                  <c:v>199526.23149689252</c:v>
                </c:pt>
                <c:pt idx="331">
                  <c:v>204173.79446695794</c:v>
                </c:pt>
                <c:pt idx="332">
                  <c:v>208929.61308540907</c:v>
                </c:pt>
                <c:pt idx="333">
                  <c:v>213796.20895022844</c:v>
                </c:pt>
                <c:pt idx="334">
                  <c:v>218776.16239496018</c:v>
                </c:pt>
                <c:pt idx="335">
                  <c:v>223872.11385683939</c:v>
                </c:pt>
                <c:pt idx="336">
                  <c:v>229086.76527678283</c:v>
                </c:pt>
                <c:pt idx="337">
                  <c:v>234422.88153199785</c:v>
                </c:pt>
                <c:pt idx="338">
                  <c:v>239883.29190195477</c:v>
                </c:pt>
                <c:pt idx="339">
                  <c:v>245470.89156850934</c:v>
                </c:pt>
                <c:pt idx="340">
                  <c:v>251188.643150964</c:v>
                </c:pt>
                <c:pt idx="341">
                  <c:v>257039.57827689245</c:v>
                </c:pt>
                <c:pt idx="342">
                  <c:v>263026.79918954434</c:v>
                </c:pt>
                <c:pt idx="343">
                  <c:v>269153.48039269837</c:v>
                </c:pt>
                <c:pt idx="344">
                  <c:v>275422.87033382355</c:v>
                </c:pt>
                <c:pt idx="345">
                  <c:v>281838.29312645196</c:v>
                </c:pt>
                <c:pt idx="346">
                  <c:v>288403.15031266725</c:v>
                </c:pt>
                <c:pt idx="347">
                  <c:v>295120.9226666459</c:v>
                </c:pt>
                <c:pt idx="348">
                  <c:v>301995.17204020906</c:v>
                </c:pt>
                <c:pt idx="349">
                  <c:v>309029.54325136665</c:v>
                </c:pt>
                <c:pt idx="350">
                  <c:v>316227.76601684513</c:v>
                </c:pt>
                <c:pt idx="351">
                  <c:v>323593.65692963556</c:v>
                </c:pt>
                <c:pt idx="352">
                  <c:v>331131.12148259912</c:v>
                </c:pt>
                <c:pt idx="353">
                  <c:v>338844.15613921074</c:v>
                </c:pt>
                <c:pt idx="354">
                  <c:v>346736.85045254003</c:v>
                </c:pt>
                <c:pt idx="355">
                  <c:v>354813.38923358335</c:v>
                </c:pt>
                <c:pt idx="356">
                  <c:v>363078.05477011006</c:v>
                </c:pt>
                <c:pt idx="357">
                  <c:v>371535.22909718135</c:v>
                </c:pt>
                <c:pt idx="358">
                  <c:v>380189.39632057026</c:v>
                </c:pt>
                <c:pt idx="359">
                  <c:v>389045.14499428979</c:v>
                </c:pt>
                <c:pt idx="360">
                  <c:v>398107.17055350728</c:v>
                </c:pt>
                <c:pt idx="361">
                  <c:v>407380.27780413168</c:v>
                </c:pt>
                <c:pt idx="362">
                  <c:v>416869.38347035483</c:v>
                </c:pt>
                <c:pt idx="363">
                  <c:v>426579.51880160259</c:v>
                </c:pt>
                <c:pt idx="364">
                  <c:v>436515.83224017685</c:v>
                </c:pt>
                <c:pt idx="365">
                  <c:v>446683.5921509742</c:v>
                </c:pt>
                <c:pt idx="366">
                  <c:v>457088.18961489608</c:v>
                </c:pt>
                <c:pt idx="367">
                  <c:v>467735.14128722053</c:v>
                </c:pt>
                <c:pt idx="368">
                  <c:v>478630.09232266113</c:v>
                </c:pt>
                <c:pt idx="369">
                  <c:v>489778.81936846947</c:v>
                </c:pt>
                <c:pt idx="370">
                  <c:v>501187.23362729524</c:v>
                </c:pt>
                <c:pt idx="371">
                  <c:v>512861.38399138919</c:v>
                </c:pt>
                <c:pt idx="372">
                  <c:v>524807.46024979744</c:v>
                </c:pt>
                <c:pt idx="373">
                  <c:v>537031.79637027811</c:v>
                </c:pt>
                <c:pt idx="374">
                  <c:v>549540.87385765044</c:v>
                </c:pt>
                <c:pt idx="375">
                  <c:v>562341.32519037649</c:v>
                </c:pt>
                <c:pt idx="376">
                  <c:v>575439.93733718398</c:v>
                </c:pt>
                <c:pt idx="377">
                  <c:v>588843.65535561647</c:v>
                </c:pt>
                <c:pt idx="378">
                  <c:v>602559.58607438591</c:v>
                </c:pt>
                <c:pt idx="379">
                  <c:v>616595.00186151091</c:v>
                </c:pt>
                <c:pt idx="380">
                  <c:v>630957.34448022372</c:v>
                </c:pt>
                <c:pt idx="381">
                  <c:v>645654.22903468553</c:v>
                </c:pt>
                <c:pt idx="382">
                  <c:v>660693.44800762658</c:v>
                </c:pt>
                <c:pt idx="383">
                  <c:v>676082.97539201309</c:v>
                </c:pt>
                <c:pt idx="384">
                  <c:v>691830.97091896972</c:v>
                </c:pt>
                <c:pt idx="385">
                  <c:v>707945.78438417171</c:v>
                </c:pt>
                <c:pt idx="386">
                  <c:v>724435.96007502335</c:v>
                </c:pt>
                <c:pt idx="387">
                  <c:v>741310.24130095146</c:v>
                </c:pt>
                <c:pt idx="388">
                  <c:v>758577.57502921985</c:v>
                </c:pt>
                <c:pt idx="389">
                  <c:v>776247.11662872857</c:v>
                </c:pt>
                <c:pt idx="390">
                  <c:v>794328.23472431907</c:v>
                </c:pt>
                <c:pt idx="391">
                  <c:v>812830.51616413763</c:v>
                </c:pt>
                <c:pt idx="392">
                  <c:v>831763.77110271016</c:v>
                </c:pt>
                <c:pt idx="393">
                  <c:v>851138.0382024165</c:v>
                </c:pt>
                <c:pt idx="394">
                  <c:v>870963.58995612152</c:v>
                </c:pt>
                <c:pt idx="395">
                  <c:v>891250.93813378725</c:v>
                </c:pt>
                <c:pt idx="396">
                  <c:v>912010.83935595397</c:v>
                </c:pt>
                <c:pt idx="397">
                  <c:v>933254.30079703464</c:v>
                </c:pt>
                <c:pt idx="398">
                  <c:v>954992.58602148038</c:v>
                </c:pt>
                <c:pt idx="399">
                  <c:v>977237.22095585614</c:v>
                </c:pt>
                <c:pt idx="400">
                  <c:v>1000000.0000000482</c:v>
                </c:pt>
              </c:numCache>
            </c:numRef>
          </c:xVal>
          <c:yVal>
            <c:numRef>
              <c:f>Loop_Response!$K$3:$K$403</c:f>
              <c:numCache>
                <c:formatCode>General</c:formatCode>
                <c:ptCount val="401"/>
                <c:pt idx="0">
                  <c:v>41.664993849941823</c:v>
                </c:pt>
                <c:pt idx="1">
                  <c:v>41.464079465627862</c:v>
                </c:pt>
                <c:pt idx="2">
                  <c:v>41.26312447703846</c:v>
                </c:pt>
                <c:pt idx="3">
                  <c:v>41.062127256046381</c:v>
                </c:pt>
                <c:pt idx="4">
                  <c:v>40.861086120700136</c:v>
                </c:pt>
                <c:pt idx="5">
                  <c:v>40.659999334744143</c:v>
                </c:pt>
                <c:pt idx="6">
                  <c:v>40.458865107272203</c:v>
                </c:pt>
                <c:pt idx="7">
                  <c:v>40.257681592531185</c:v>
                </c:pt>
                <c:pt idx="8">
                  <c:v>40.056446889892797</c:v>
                </c:pt>
                <c:pt idx="9">
                  <c:v>39.855159044012865</c:v>
                </c:pt>
                <c:pt idx="10">
                  <c:v>39.653816045198184</c:v>
                </c:pt>
                <c:pt idx="11">
                  <c:v>39.452415830002963</c:v>
                </c:pt>
                <c:pt idx="12">
                  <c:v>39.250956282077574</c:v>
                </c:pt>
                <c:pt idx="13">
                  <c:v>39.049435233294005</c:v>
                </c:pt>
                <c:pt idx="14">
                  <c:v>38.847850465173345</c:v>
                </c:pt>
                <c:pt idx="15">
                  <c:v>38.646199710641802</c:v>
                </c:pt>
                <c:pt idx="16">
                  <c:v>38.444480656143249</c:v>
                </c:pt>
                <c:pt idx="17">
                  <c:v>38.242690944136825</c:v>
                </c:pt>
                <c:pt idx="18">
                  <c:v>38.040828176009384</c:v>
                </c:pt>
                <c:pt idx="19">
                  <c:v>37.838889915433185</c:v>
                </c:pt>
                <c:pt idx="20">
                  <c:v>37.636873692200112</c:v>
                </c:pt>
                <c:pt idx="21">
                  <c:v>37.434777006563706</c:v>
                </c:pt>
                <c:pt idx="22">
                  <c:v>37.232597334120904</c:v>
                </c:pt>
                <c:pt idx="23">
                  <c:v>37.030332131265006</c:v>
                </c:pt>
                <c:pt idx="24">
                  <c:v>36.827978841241226</c:v>
                </c:pt>
                <c:pt idx="25">
                  <c:v>36.625534900835078</c:v>
                </c:pt>
                <c:pt idx="26">
                  <c:v>36.422997747723265</c:v>
                </c:pt>
                <c:pt idx="27">
                  <c:v>36.220364828514398</c:v>
                </c:pt>
                <c:pt idx="28">
                  <c:v>36.017633607505381</c:v>
                </c:pt>
                <c:pt idx="29">
                  <c:v>35.8148015761764</c:v>
                </c:pt>
                <c:pt idx="30">
                  <c:v>35.611866263444249</c:v>
                </c:pt>
                <c:pt idx="31">
                  <c:v>35.408825246689787</c:v>
                </c:pt>
                <c:pt idx="32">
                  <c:v>35.205676163571027</c:v>
                </c:pt>
                <c:pt idx="33">
                  <c:v>35.002416724627743</c:v>
                </c:pt>
                <c:pt idx="34">
                  <c:v>34.799044726677991</c:v>
                </c:pt>
                <c:pt idx="35">
                  <c:v>34.595558066999743</c:v>
                </c:pt>
                <c:pt idx="36">
                  <c:v>34.391954758283639</c:v>
                </c:pt>
                <c:pt idx="37">
                  <c:v>34.188232944334537</c:v>
                </c:pt>
                <c:pt idx="38">
                  <c:v>33.98439091649044</c:v>
                </c:pt>
                <c:pt idx="39">
                  <c:v>33.780427130717875</c:v>
                </c:pt>
                <c:pt idx="40">
                  <c:v>33.576340225332011</c:v>
                </c:pt>
                <c:pt idx="41">
                  <c:v>33.3721290392794</c:v>
                </c:pt>
                <c:pt idx="42">
                  <c:v>33.167792630909204</c:v>
                </c:pt>
                <c:pt idx="43">
                  <c:v>32.963330297147074</c:v>
                </c:pt>
                <c:pt idx="44">
                  <c:v>32.758741592973863</c:v>
                </c:pt>
                <c:pt idx="45">
                  <c:v>32.554026351098948</c:v>
                </c:pt>
                <c:pt idx="46">
                  <c:v>32.349184701705816</c:v>
                </c:pt>
                <c:pt idx="47">
                  <c:v>32.144217092135904</c:v>
                </c:pt>
                <c:pt idx="48">
                  <c:v>31.939124306365244</c:v>
                </c:pt>
                <c:pt idx="49">
                  <c:v>31.733907484118184</c:v>
                </c:pt>
                <c:pt idx="50">
                  <c:v>31.52856813945289</c:v>
                </c:pt>
                <c:pt idx="51">
                  <c:v>31.323108178645377</c:v>
                </c:pt>
                <c:pt idx="52">
                  <c:v>31.117529917192538</c:v>
                </c:pt>
                <c:pt idx="53">
                  <c:v>30.911836095749965</c:v>
                </c:pt>
                <c:pt idx="54">
                  <c:v>30.706029894818229</c:v>
                </c:pt>
                <c:pt idx="55">
                  <c:v>30.50011494799152</c:v>
                </c:pt>
                <c:pt idx="56">
                  <c:v>30.294095353585575</c:v>
                </c:pt>
                <c:pt idx="57">
                  <c:v>30.087975684467491</c:v>
                </c:pt>
                <c:pt idx="58">
                  <c:v>29.881760995919187</c:v>
                </c:pt>
                <c:pt idx="59">
                  <c:v>29.675456831378401</c:v>
                </c:pt>
                <c:pt idx="60">
                  <c:v>29.469069225916517</c:v>
                </c:pt>
                <c:pt idx="61">
                  <c:v>29.26260470733121</c:v>
                </c:pt>
                <c:pt idx="62">
                  <c:v>29.056070294753695</c:v>
                </c:pt>
                <c:pt idx="63">
                  <c:v>28.849473494695239</c:v>
                </c:pt>
                <c:pt idx="64">
                  <c:v>28.642822294484809</c:v>
                </c:pt>
                <c:pt idx="65">
                  <c:v>28.436125153080301</c:v>
                </c:pt>
                <c:pt idx="66">
                  <c:v>28.22939098926658</c:v>
                </c:pt>
                <c:pt idx="67">
                  <c:v>28.022629167288159</c:v>
                </c:pt>
                <c:pt idx="68">
                  <c:v>27.815849479997684</c:v>
                </c:pt>
                <c:pt idx="69">
                  <c:v>27.609062129636463</c:v>
                </c:pt>
                <c:pt idx="70">
                  <c:v>27.402277706397442</c:v>
                </c:pt>
                <c:pt idx="71">
                  <c:v>27.195507164954581</c:v>
                </c:pt>
                <c:pt idx="72">
                  <c:v>26.988761799173879</c:v>
                </c:pt>
                <c:pt idx="73">
                  <c:v>26.782053215251008</c:v>
                </c:pt>
                <c:pt idx="74">
                  <c:v>26.575393303546743</c:v>
                </c:pt>
                <c:pt idx="75">
                  <c:v>26.368794209414141</c:v>
                </c:pt>
                <c:pt idx="76">
                  <c:v>26.162268303330695</c:v>
                </c:pt>
                <c:pt idx="77">
                  <c:v>25.955828150662107</c:v>
                </c:pt>
                <c:pt idx="78">
                  <c:v>25.74948648139517</c:v>
                </c:pt>
                <c:pt idx="79">
                  <c:v>25.543256160180167</c:v>
                </c:pt>
                <c:pt idx="80">
                  <c:v>25.337150157023903</c:v>
                </c:pt>
                <c:pt idx="81">
                  <c:v>25.131181518967807</c:v>
                </c:pt>
                <c:pt idx="82">
                  <c:v>24.925363343075098</c:v>
                </c:pt>
                <c:pt idx="83">
                  <c:v>24.719708751035125</c:v>
                </c:pt>
                <c:pt idx="84">
                  <c:v>24.514230865673323</c:v>
                </c:pt>
                <c:pt idx="85">
                  <c:v>24.308942789630908</c:v>
                </c:pt>
                <c:pt idx="86">
                  <c:v>24.103857586451181</c:v>
                </c:pt>
                <c:pt idx="87">
                  <c:v>23.898988264278771</c:v>
                </c:pt>
                <c:pt idx="88">
                  <c:v>23.694347762345917</c:v>
                </c:pt>
                <c:pt idx="89">
                  <c:v>23.489948940385222</c:v>
                </c:pt>
                <c:pt idx="90">
                  <c:v>23.285804571073982</c:v>
                </c:pt>
                <c:pt idx="91">
                  <c:v>23.0819273355789</c:v>
                </c:pt>
                <c:pt idx="92">
                  <c:v>22.878329822236129</c:v>
                </c:pt>
                <c:pt idx="93">
                  <c:v>22.675024528366549</c:v>
                </c:pt>
                <c:pt idx="94">
                  <c:v>22.472023865194497</c:v>
                </c:pt>
                <c:pt idx="95">
                  <c:v>22.269340165806909</c:v>
                </c:pt>
                <c:pt idx="96">
                  <c:v>22.066985696061892</c:v>
                </c:pt>
                <c:pt idx="97">
                  <c:v>21.864972668330001</c:v>
                </c:pt>
                <c:pt idx="98">
                  <c:v>21.663313257928724</c:v>
                </c:pt>
                <c:pt idx="99">
                  <c:v>21.462019622090189</c:v>
                </c:pt>
                <c:pt idx="100">
                  <c:v>21.261103921286612</c:v>
                </c:pt>
                <c:pt idx="101">
                  <c:v>21.060578342722469</c:v>
                </c:pt>
                <c:pt idx="102">
                  <c:v>20.860455125793145</c:v>
                </c:pt>
                <c:pt idx="103">
                  <c:v>20.660746589300228</c:v>
                </c:pt>
                <c:pt idx="104">
                  <c:v>20.461465160209634</c:v>
                </c:pt>
                <c:pt idx="105">
                  <c:v>20.26262340373431</c:v>
                </c:pt>
                <c:pt idx="106">
                  <c:v>20.064234054523254</c:v>
                </c:pt>
                <c:pt idx="107">
                  <c:v>19.866310048739265</c:v>
                </c:pt>
                <c:pt idx="108">
                  <c:v>19.668864556809574</c:v>
                </c:pt>
                <c:pt idx="109">
                  <c:v>19.471911016638739</c:v>
                </c:pt>
                <c:pt idx="110">
                  <c:v>19.27546316707576</c:v>
                </c:pt>
                <c:pt idx="111">
                  <c:v>19.079535081434486</c:v>
                </c:pt>
                <c:pt idx="112">
                  <c:v>18.884141200871273</c:v>
                </c:pt>
                <c:pt idx="113">
                  <c:v>18.689296367429215</c:v>
                </c:pt>
                <c:pt idx="114">
                  <c:v>18.495015856565281</c:v>
                </c:pt>
                <c:pt idx="115">
                  <c:v>18.301315408980678</c:v>
                </c:pt>
                <c:pt idx="116">
                  <c:v>18.108211261580987</c:v>
                </c:pt>
                <c:pt idx="117">
                  <c:v>17.91572017739643</c:v>
                </c:pt>
                <c:pt idx="118">
                  <c:v>17.723859474296038</c:v>
                </c:pt>
                <c:pt idx="119">
                  <c:v>17.532647052333271</c:v>
                </c:pt>
                <c:pt idx="120">
                  <c:v>17.342101419561875</c:v>
                </c:pt>
                <c:pt idx="121">
                  <c:v>17.15224171616229</c:v>
                </c:pt>
                <c:pt idx="122">
                  <c:v>16.963087736719551</c:v>
                </c:pt>
                <c:pt idx="123">
                  <c:v>16.774659950492612</c:v>
                </c:pt>
                <c:pt idx="124">
                  <c:v>16.586979519514262</c:v>
                </c:pt>
                <c:pt idx="125">
                  <c:v>16.400068314358847</c:v>
                </c:pt>
                <c:pt idx="126">
                  <c:v>16.213948927412385</c:v>
                </c:pt>
                <c:pt idx="127">
                  <c:v>16.0286446834773</c:v>
                </c:pt>
                <c:pt idx="128">
                  <c:v>15.844179647540246</c:v>
                </c:pt>
                <c:pt idx="129">
                  <c:v>15.660578629529031</c:v>
                </c:pt>
                <c:pt idx="130">
                  <c:v>15.477867185880843</c:v>
                </c:pt>
                <c:pt idx="131">
                  <c:v>15.296071617741982</c:v>
                </c:pt>
                <c:pt idx="132">
                  <c:v>15.115218965616199</c:v>
                </c:pt>
                <c:pt idx="133">
                  <c:v>14.935337000277972</c:v>
                </c:pt>
                <c:pt idx="134">
                  <c:v>14.756454209766192</c:v>
                </c:pt>
                <c:pt idx="135">
                  <c:v>14.578599782274472</c:v>
                </c:pt>
                <c:pt idx="136">
                  <c:v>14.401803584756712</c:v>
                </c:pt>
                <c:pt idx="137">
                  <c:v>14.226096137070479</c:v>
                </c:pt>
                <c:pt idx="138">
                  <c:v>14.051508581486859</c:v>
                </c:pt>
                <c:pt idx="139">
                  <c:v>13.878072647403714</c:v>
                </c:pt>
                <c:pt idx="140">
                  <c:v>13.705820611110047</c:v>
                </c:pt>
                <c:pt idx="141">
                  <c:v>13.53478525046294</c:v>
                </c:pt>
                <c:pt idx="142">
                  <c:v>13.36499979435483</c:v>
                </c:pt>
                <c:pt idx="143">
                  <c:v>13.196497866868238</c:v>
                </c:pt>
                <c:pt idx="144">
                  <c:v>13.029313426038803</c:v>
                </c:pt>
                <c:pt idx="145">
                  <c:v>12.863480697172321</c:v>
                </c:pt>
                <c:pt idx="146">
                  <c:v>12.699034100692309</c:v>
                </c:pt>
                <c:pt idx="147">
                  <c:v>12.536008174526978</c:v>
                </c:pt>
                <c:pt idx="148">
                  <c:v>12.374437491080775</c:v>
                </c:pt>
                <c:pt idx="149">
                  <c:v>12.214356568875704</c:v>
                </c:pt>
                <c:pt idx="150">
                  <c:v>12.055799778989808</c:v>
                </c:pt>
                <c:pt idx="151">
                  <c:v>11.898801246465464</c:v>
                </c:pt>
                <c:pt idx="152">
                  <c:v>11.743394746908471</c:v>
                </c:pt>
                <c:pt idx="153">
                  <c:v>11.589613598547945</c:v>
                </c:pt>
                <c:pt idx="154">
                  <c:v>11.437490550078437</c:v>
                </c:pt>
                <c:pt idx="155">
                  <c:v>11.287057664657949</c:v>
                </c:pt>
                <c:pt idx="156">
                  <c:v>11.13834620048724</c:v>
                </c:pt>
                <c:pt idx="157">
                  <c:v>10.991386488447874</c:v>
                </c:pt>
                <c:pt idx="158">
                  <c:v>10.846207807326339</c:v>
                </c:pt>
                <c:pt idx="159">
                  <c:v>10.702838257200083</c:v>
                </c:pt>
                <c:pt idx="160">
                  <c:v>10.561304631605667</c:v>
                </c:pt>
                <c:pt idx="161">
                  <c:v>10.421632289150878</c:v>
                </c:pt>
                <c:pt idx="162">
                  <c:v>10.283845025268381</c:v>
                </c:pt>
                <c:pt idx="163">
                  <c:v>10.14796494483863</c:v>
                </c:pt>
                <c:pt idx="164">
                  <c:v>10.014012336434078</c:v>
                </c:pt>
                <c:pt idx="165">
                  <c:v>9.8820055489524403</c:v>
                </c:pt>
                <c:pt idx="166">
                  <c:v>9.7519608714159265</c:v>
                </c:pt>
                <c:pt idx="167">
                  <c:v>9.6238924167121489</c:v>
                </c:pt>
                <c:pt idx="168">
                  <c:v>9.4978120100442478</c:v>
                </c:pt>
                <c:pt idx="169">
                  <c:v>9.3737290828385564</c:v>
                </c:pt>
                <c:pt idx="170">
                  <c:v>9.2516505728304974</c:v>
                </c:pt>
                <c:pt idx="171">
                  <c:v>9.131580831012327</c:v>
                </c:pt>
                <c:pt idx="172">
                  <c:v>9.0135215360799243</c:v>
                </c:pt>
                <c:pt idx="173">
                  <c:v>8.8974716169610772</c:v>
                </c:pt>
                <c:pt idx="174">
                  <c:v>8.7834271839450757</c:v>
                </c:pt>
                <c:pt idx="175">
                  <c:v>8.6713814688631849</c:v>
                </c:pt>
                <c:pt idx="176">
                  <c:v>8.5613247746935368</c:v>
                </c:pt>
                <c:pt idx="177">
                  <c:v>8.4532444348833859</c:v>
                </c:pt>
                <c:pt idx="178">
                  <c:v>8.3471247825954649</c:v>
                </c:pt>
                <c:pt idx="179">
                  <c:v>8.2429471299991519</c:v>
                </c:pt>
                <c:pt idx="180">
                  <c:v>8.1406897576376309</c:v>
                </c:pt>
                <c:pt idx="181">
                  <c:v>8.0403279138145383</c:v>
                </c:pt>
                <c:pt idx="182">
                  <c:v>7.941833823857289</c:v>
                </c:pt>
                <c:pt idx="183">
                  <c:v>7.8451767090306799</c:v>
                </c:pt>
                <c:pt idx="184">
                  <c:v>7.7503228147966841</c:v>
                </c:pt>
                <c:pt idx="185">
                  <c:v>7.6572354480423233</c:v>
                </c:pt>
                <c:pt idx="186">
                  <c:v>7.565875022832536</c:v>
                </c:pt>
                <c:pt idx="187">
                  <c:v>7.4761991141860928</c:v>
                </c:pt>
                <c:pt idx="188">
                  <c:v>7.388162519323382</c:v>
                </c:pt>
                <c:pt idx="189">
                  <c:v>7.3017173257943835</c:v>
                </c:pt>
                <c:pt idx="190">
                  <c:v>7.2168129858642516</c:v>
                </c:pt>
                <c:pt idx="191">
                  <c:v>7.13339639651283</c:v>
                </c:pt>
                <c:pt idx="192">
                  <c:v>7.0514119843937246</c:v>
                </c:pt>
                <c:pt idx="193">
                  <c:v>6.9708017950964027</c:v>
                </c:pt>
                <c:pt idx="194">
                  <c:v>6.8915055860628884</c:v>
                </c:pt>
                <c:pt idx="195">
                  <c:v>6.8134609225273834</c:v>
                </c:pt>
                <c:pt idx="196">
                  <c:v>6.7366032758714098</c:v>
                </c:pt>
                <c:pt idx="197">
                  <c:v>6.660866123819698</c:v>
                </c:pt>
                <c:pt idx="198">
                  <c:v>6.5861810519406285</c:v>
                </c:pt>
                <c:pt idx="199">
                  <c:v>6.5124778559587924</c:v>
                </c:pt>
                <c:pt idx="200">
                  <c:v>6.4396846444370306</c:v>
                </c:pt>
                <c:pt idx="201">
                  <c:v>6.3677279414364643</c:v>
                </c:pt>
                <c:pt idx="202">
                  <c:v>6.2965327888190092</c:v>
                </c:pt>
                <c:pt idx="203">
                  <c:v>6.2260228479120947</c:v>
                </c:pt>
                <c:pt idx="204">
                  <c:v>6.1561205003129125</c:v>
                </c:pt>
                <c:pt idx="205">
                  <c:v>6.0867469476648068</c:v>
                </c:pt>
                <c:pt idx="206">
                  <c:v>6.0178223102933375</c:v>
                </c:pt>
                <c:pt idx="207">
                  <c:v>5.9492657246420739</c:v>
                </c:pt>
                <c:pt idx="208">
                  <c:v>5.8809954394961901</c:v>
                </c:pt>
                <c:pt idx="209">
                  <c:v>5.8129289110280338</c:v>
                </c:pt>
                <c:pt idx="210">
                  <c:v>5.7449828967385841</c:v>
                </c:pt>
                <c:pt idx="211">
                  <c:v>5.6770735484044792</c:v>
                </c:pt>
                <c:pt idx="212">
                  <c:v>5.6091165041697302</c:v>
                </c:pt>
                <c:pt idx="213">
                  <c:v>5.5410269799453626</c:v>
                </c:pt>
                <c:pt idx="214">
                  <c:v>5.4727198602971425</c:v>
                </c:pt>
                <c:pt idx="215">
                  <c:v>5.4041097890133232</c:v>
                </c:pt>
                <c:pt idx="216">
                  <c:v>5.3351112595480741</c:v>
                </c:pt>
                <c:pt idx="217">
                  <c:v>5.2656387055341822</c:v>
                </c:pt>
                <c:pt idx="218">
                  <c:v>5.1956065915503071</c:v>
                </c:pt>
                <c:pt idx="219">
                  <c:v>5.1249295043122256</c:v>
                </c:pt>
                <c:pt idx="220">
                  <c:v>5.0535222444369179</c:v>
                </c:pt>
                <c:pt idx="221">
                  <c:v>4.9812999189008327</c:v>
                </c:pt>
                <c:pt idx="222">
                  <c:v>4.9081780342812067</c:v>
                </c:pt>
                <c:pt idx="223">
                  <c:v>4.8340725908324735</c:v>
                </c:pt>
                <c:pt idx="224">
                  <c:v>4.7589001774075985</c:v>
                </c:pt>
                <c:pt idx="225">
                  <c:v>4.6825780671900006</c:v>
                </c:pt>
                <c:pt idx="226">
                  <c:v>4.6050243141527272</c:v>
                </c:pt>
                <c:pt idx="227">
                  <c:v>4.526157850112666</c:v>
                </c:pt>
                <c:pt idx="228">
                  <c:v>4.4458985821962926</c:v>
                </c:pt>
                <c:pt idx="229">
                  <c:v>4.3641674904825187</c:v>
                </c:pt>
                <c:pt idx="230">
                  <c:v>4.2808867255382665</c:v>
                </c:pt>
                <c:pt idx="231">
                  <c:v>4.1959797055143593</c:v>
                </c:pt>
                <c:pt idx="232">
                  <c:v>4.1093712124241453</c:v>
                </c:pt>
                <c:pt idx="233">
                  <c:v>4.0209874871867424</c:v>
                </c:pt>
                <c:pt idx="234">
                  <c:v>3.9307563229802707</c:v>
                </c:pt>
                <c:pt idx="235">
                  <c:v>3.838607156421233</c:v>
                </c:pt>
                <c:pt idx="236">
                  <c:v>3.7444711560635184</c:v>
                </c:pt>
                <c:pt idx="237">
                  <c:v>3.6482813076949423</c:v>
                </c:pt>
                <c:pt idx="238">
                  <c:v>3.5499724959033365</c:v>
                </c:pt>
                <c:pt idx="239">
                  <c:v>3.4494815813869462</c:v>
                </c:pt>
                <c:pt idx="240">
                  <c:v>3.3467474734958689</c:v>
                </c:pt>
                <c:pt idx="241">
                  <c:v>3.2417111975131192</c:v>
                </c:pt>
                <c:pt idx="242">
                  <c:v>3.1343159562164153</c:v>
                </c:pt>
                <c:pt idx="243">
                  <c:v>3.0245071853022889</c:v>
                </c:pt>
                <c:pt idx="244">
                  <c:v>2.912232602305787</c:v>
                </c:pt>
                <c:pt idx="245">
                  <c:v>2.797442248708073</c:v>
                </c:pt>
                <c:pt idx="246">
                  <c:v>2.6800885249919055</c:v>
                </c:pt>
                <c:pt idx="247">
                  <c:v>2.560126218479855</c:v>
                </c:pt>
                <c:pt idx="248">
                  <c:v>2.4375125238701312</c:v>
                </c:pt>
                <c:pt idx="249">
                  <c:v>2.3122070564703137</c:v>
                </c:pt>
                <c:pt idx="250">
                  <c:v>2.1841718582176881</c:v>
                </c:pt>
                <c:pt idx="251">
                  <c:v>2.0533713966645415</c:v>
                </c:pt>
                <c:pt idx="252">
                  <c:v>1.9197725571967794</c:v>
                </c:pt>
                <c:pt idx="253">
                  <c:v>1.7833446288429933</c:v>
                </c:pt>
                <c:pt idx="254">
                  <c:v>1.6440592841157304</c:v>
                </c:pt>
                <c:pt idx="255">
                  <c:v>1.5018905534074563</c:v>
                </c:pt>
                <c:pt idx="256">
                  <c:v>1.3568147945374562</c:v>
                </c:pt>
                <c:pt idx="257">
                  <c:v>1.2088106581116129</c:v>
                </c:pt>
                <c:pt idx="258">
                  <c:v>1.0578590494146844</c:v>
                </c:pt>
                <c:pt idx="259">
                  <c:v>0.90394308760073017</c:v>
                </c:pt>
                <c:pt idx="260">
                  <c:v>0.74704806298261772</c:v>
                </c:pt>
                <c:pt idx="261">
                  <c:v>0.587161393245486</c:v>
                </c:pt>
                <c:pt idx="262">
                  <c:v>0.42427257941896457</c:v>
                </c:pt>
                <c:pt idx="263">
                  <c:v>0.25837316244155062</c:v>
                </c:pt>
                <c:pt idx="264">
                  <c:v>8.9456681134377547E-2</c:v>
                </c:pt>
                <c:pt idx="265">
                  <c:v>-8.2481367625669932E-2</c:v>
                </c:pt>
                <c:pt idx="266">
                  <c:v>-0.25744356578504046</c:v>
                </c:pt>
                <c:pt idx="267">
                  <c:v>-0.43543060734880612</c:v>
                </c:pt>
                <c:pt idx="268">
                  <c:v>-0.61644132734068968</c:v>
                </c:pt>
                <c:pt idx="269">
                  <c:v>-0.80047272593083107</c:v>
                </c:pt>
                <c:pt idx="270">
                  <c:v>-0.98751998725849255</c:v>
                </c:pt>
                <c:pt idx="271">
                  <c:v>-1.1775764925691519</c:v>
                </c:pt>
                <c:pt idx="272">
                  <c:v>-1.3706338273844469</c:v>
                </c:pt>
                <c:pt idx="273">
                  <c:v>-1.5666817825279118</c:v>
                </c:pt>
                <c:pt idx="274">
                  <c:v>-1.765708348938114</c:v>
                </c:pt>
                <c:pt idx="275">
                  <c:v>-1.9676997063107962</c:v>
                </c:pt>
                <c:pt idx="276">
                  <c:v>-2.1726402057242904</c:v>
                </c:pt>
                <c:pt idx="277">
                  <c:v>-2.3805123465119316</c:v>
                </c:pt>
                <c:pt idx="278">
                  <c:v>-2.5912967477537983</c:v>
                </c:pt>
                <c:pt idx="279">
                  <c:v>-2.8049721148643201</c:v>
                </c:pt>
                <c:pt idx="280">
                  <c:v>-3.021515201850633</c:v>
                </c:pt>
                <c:pt idx="281">
                  <c:v>-3.2409007699081691</c:v>
                </c:pt>
                <c:pt idx="282">
                  <c:v>-3.4631015431030399</c:v>
                </c:pt>
                <c:pt idx="283">
                  <c:v>-3.6880881619652115</c:v>
                </c:pt>
                <c:pt idx="284">
                  <c:v>-3.9158291358785036</c:v>
                </c:pt>
                <c:pt idx="285">
                  <c:v>-4.1462907952064221</c:v>
                </c:pt>
                <c:pt idx="286">
                  <c:v>-4.3794372441306919</c:v>
                </c:pt>
                <c:pt idx="287">
                  <c:v>-4.6152303152079437</c:v>
                </c:pt>
                <c:pt idx="288">
                  <c:v>-4.8536295266615088</c:v>
                </c:pt>
                <c:pt idx="289">
                  <c:v>-5.0945920434269567</c:v>
                </c:pt>
                <c:pt idx="290">
                  <c:v>-5.3380726429562895</c:v>
                </c:pt>
                <c:pt idx="291">
                  <c:v>-5.5840236867599398</c:v>
                </c:pt>
                <c:pt idx="292">
                  <c:v>-5.8323950986272663</c:v>
                </c:pt>
                <c:pt idx="293">
                  <c:v>-6.0831343504163371</c:v>
                </c:pt>
                <c:pt idx="294">
                  <c:v>-6.3361864562416628</c:v>
                </c:pt>
                <c:pt idx="295">
                  <c:v>-6.5914939758192599</c:v>
                </c:pt>
                <c:pt idx="296">
                  <c:v>-6.8489970276463268</c:v>
                </c:pt>
                <c:pt idx="297">
                  <c:v>-7.1086333126075427</c:v>
                </c:pt>
                <c:pt idx="298">
                  <c:v>-7.3703381485050503</c:v>
                </c:pt>
                <c:pt idx="299">
                  <c:v>-7.6340445159113912</c:v>
                </c:pt>
                <c:pt idx="300">
                  <c:v>-7.8996831156435245</c:v>
                </c:pt>
                <c:pt idx="301">
                  <c:v>-8.167182438051336</c:v>
                </c:pt>
                <c:pt idx="302">
                  <c:v>-8.4364688442111806</c:v>
                </c:pt>
                <c:pt idx="303">
                  <c:v>-8.7074666590103611</c:v>
                </c:pt>
                <c:pt idx="304">
                  <c:v>-8.9800982760078725</c:v>
                </c:pt>
                <c:pt idx="305">
                  <c:v>-9.2542842738575324</c:v>
                </c:pt>
                <c:pt idx="306">
                  <c:v>-9.5299435439847855</c:v>
                </c:pt>
                <c:pt idx="307">
                  <c:v>-9.8069934291196237</c:v>
                </c:pt>
                <c:pt idx="308">
                  <c:v>-10.085349872201723</c:v>
                </c:pt>
                <c:pt idx="309">
                  <c:v>-10.364927575096466</c:v>
                </c:pt>
                <c:pt idx="310">
                  <c:v>-10.645640166487553</c:v>
                </c:pt>
                <c:pt idx="311">
                  <c:v>-10.927400378245506</c:v>
                </c:pt>
                <c:pt idx="312">
                  <c:v>-11.210120229511643</c:v>
                </c:pt>
                <c:pt idx="313">
                  <c:v>-11.49371121768495</c:v>
                </c:pt>
                <c:pt idx="314">
                  <c:v>-11.778084515451241</c:v>
                </c:pt>
                <c:pt idx="315">
                  <c:v>-12.063151172954377</c:v>
                </c:pt>
                <c:pt idx="316">
                  <c:v>-12.348822324175401</c:v>
                </c:pt>
                <c:pt idx="317">
                  <c:v>-12.635009396556459</c:v>
                </c:pt>
                <c:pt idx="318">
                  <c:v>-12.921624322884487</c:v>
                </c:pt>
                <c:pt idx="319">
                  <c:v>-13.208579754431112</c:v>
                </c:pt>
                <c:pt idx="320">
                  <c:v>-13.495789274340506</c:v>
                </c:pt>
                <c:pt idx="321">
                  <c:v>-13.783167610237596</c:v>
                </c:pt>
                <c:pt idx="322">
                  <c:v>-14.070630845043839</c:v>
                </c:pt>
                <c:pt idx="323">
                  <c:v>-14.358096624985865</c:v>
                </c:pt>
                <c:pt idx="324">
                  <c:v>-14.645484363788938</c:v>
                </c:pt>
                <c:pt idx="325">
                  <c:v>-14.932715442072336</c:v>
                </c:pt>
                <c:pt idx="326">
                  <c:v>-15.219713400980424</c:v>
                </c:pt>
                <c:pt idx="327">
                  <c:v>-15.506404129113708</c:v>
                </c:pt>
                <c:pt idx="328">
                  <c:v>-15.79271604185843</c:v>
                </c:pt>
                <c:pt idx="329">
                  <c:v>-16.078580252255403</c:v>
                </c:pt>
                <c:pt idx="330">
                  <c:v>-16.363930732595268</c:v>
                </c:pt>
                <c:pt idx="331">
                  <c:v>-16.648704465983037</c:v>
                </c:pt>
                <c:pt idx="332">
                  <c:v>-16.932841587174643</c:v>
                </c:pt>
                <c:pt idx="333">
                  <c:v>-17.21628551205638</c:v>
                </c:pt>
                <c:pt idx="334">
                  <c:v>-17.498983055210147</c:v>
                </c:pt>
                <c:pt idx="335">
                  <c:v>-17.780884535087331</c:v>
                </c:pt>
                <c:pt idx="336">
                  <c:v>-18.061943866397097</c:v>
                </c:pt>
                <c:pt idx="337">
                  <c:v>-18.342118639404298</c:v>
                </c:pt>
                <c:pt idx="338">
                  <c:v>-18.621370185922359</c:v>
                </c:pt>
                <c:pt idx="339">
                  <c:v>-18.899663631881985</c:v>
                </c:pt>
                <c:pt idx="340">
                  <c:v>-19.176967936451891</c:v>
                </c:pt>
                <c:pt idx="341">
                  <c:v>-19.453255917784244</c:v>
                </c:pt>
                <c:pt idx="342">
                  <c:v>-19.728504265552026</c:v>
                </c:pt>
                <c:pt idx="343">
                  <c:v>-20.002693540539884</c:v>
                </c:pt>
                <c:pt idx="344">
                  <c:v>-20.275808161639233</c:v>
                </c:pt>
                <c:pt idx="345">
                  <c:v>-20.54783638068416</c:v>
                </c:pt>
                <c:pt idx="346">
                  <c:v>-20.818770245644565</c:v>
                </c:pt>
                <c:pt idx="347">
                  <c:v>-21.088605552765333</c:v>
                </c:pt>
                <c:pt idx="348">
                  <c:v>-21.357341788306847</c:v>
                </c:pt>
                <c:pt idx="349">
                  <c:v>-21.624982060598185</c:v>
                </c:pt>
                <c:pt idx="350">
                  <c:v>-21.891533023161916</c:v>
                </c:pt>
                <c:pt idx="351">
                  <c:v>-22.157004789707848</c:v>
                </c:pt>
                <c:pt idx="352">
                  <c:v>-22.421410841820407</c:v>
                </c:pt>
                <c:pt idx="353">
                  <c:v>-22.684767930182204</c:v>
                </c:pt>
                <c:pt idx="354">
                  <c:v>-22.947095970184371</c:v>
                </c:pt>
                <c:pt idx="355">
                  <c:v>-23.208417932769905</c:v>
                </c:pt>
                <c:pt idx="356">
                  <c:v>-23.46875973134642</c:v>
                </c:pt>
                <c:pt idx="357">
                  <c:v>-23.728150105580934</c:v>
                </c:pt>
                <c:pt idx="358">
                  <c:v>-23.986620502861491</c:v>
                </c:pt>
                <c:pt idx="359">
                  <c:v>-24.244204958170691</c:v>
                </c:pt>
                <c:pt idx="360">
                  <c:v>-24.500939973073095</c:v>
                </c:pt>
                <c:pt idx="361">
                  <c:v>-24.756864394466319</c:v>
                </c:pt>
                <c:pt idx="362">
                  <c:v>-25.012019293689733</c:v>
                </c:pt>
                <c:pt idx="363">
                  <c:v>-25.266447846527477</c:v>
                </c:pt>
                <c:pt idx="364">
                  <c:v>-25.520195214573945</c:v>
                </c:pt>
                <c:pt idx="365">
                  <c:v>-25.773308428366562</c:v>
                </c:pt>
                <c:pt idx="366">
                  <c:v>-26.025836272628879</c:v>
                </c:pt>
                <c:pt idx="367">
                  <c:v>-26.277829173889366</c:v>
                </c:pt>
                <c:pt idx="368">
                  <c:v>-26.529339090686875</c:v>
                </c:pt>
                <c:pt idx="369">
                  <c:v>-26.780419406496275</c:v>
                </c:pt>
                <c:pt idx="370">
                  <c:v>-27.031124825454491</c:v>
                </c:pt>
                <c:pt idx="371">
                  <c:v>-27.281511270900836</c:v>
                </c:pt>
                <c:pt idx="372">
                  <c:v>-27.531635786689677</c:v>
                </c:pt>
                <c:pt idx="373">
                  <c:v>-27.781556441181458</c:v>
                </c:pt>
                <c:pt idx="374">
                  <c:v>-28.031332233766161</c:v>
                </c:pt>
                <c:pt idx="375">
                  <c:v>-28.28102300373186</c:v>
                </c:pt>
                <c:pt idx="376">
                  <c:v>-28.530689341249463</c:v>
                </c:pt>
                <c:pt idx="377">
                  <c:v>-28.780392500212116</c:v>
                </c:pt>
                <c:pt idx="378">
                  <c:v>-29.030194312637896</c:v>
                </c:pt>
                <c:pt idx="379">
                  <c:v>-29.28015710432318</c:v>
                </c:pt>
                <c:pt idx="380">
                  <c:v>-29.530343611415688</c:v>
                </c:pt>
                <c:pt idx="381">
                  <c:v>-29.7808168975664</c:v>
                </c:pt>
                <c:pt idx="382">
                  <c:v>-30.031640271313705</c:v>
                </c:pt>
                <c:pt idx="383">
                  <c:v>-30.282877203354268</c:v>
                </c:pt>
                <c:pt idx="384">
                  <c:v>-30.534591243362669</c:v>
                </c:pt>
                <c:pt idx="385">
                  <c:v>-30.786845936033679</c:v>
                </c:pt>
                <c:pt idx="386">
                  <c:v>-31.039704736040907</c:v>
                </c:pt>
                <c:pt idx="387">
                  <c:v>-31.2932309216284</c:v>
                </c:pt>
                <c:pt idx="388">
                  <c:v>-31.547487506582652</c:v>
                </c:pt>
                <c:pt idx="389">
                  <c:v>-31.80253715036676</c:v>
                </c:pt>
                <c:pt idx="390">
                  <c:v>-32.058442066238946</c:v>
                </c:pt>
                <c:pt idx="391">
                  <c:v>-32.31526392722062</c:v>
                </c:pt>
                <c:pt idx="392">
                  <c:v>-32.573063769829545</c:v>
                </c:pt>
                <c:pt idx="393">
                  <c:v>-32.831901895544327</c:v>
                </c:pt>
                <c:pt idx="394">
                  <c:v>-33.091837770022451</c:v>
                </c:pt>
                <c:pt idx="395">
                  <c:v>-33.35292992015183</c:v>
                </c:pt>
                <c:pt idx="396">
                  <c:v>-33.615235829075559</c:v>
                </c:pt>
                <c:pt idx="397">
                  <c:v>-33.878811829389548</c:v>
                </c:pt>
                <c:pt idx="398">
                  <c:v>-34.143712994775242</c:v>
                </c:pt>
                <c:pt idx="399">
                  <c:v>-34.409993030388904</c:v>
                </c:pt>
                <c:pt idx="400">
                  <c:v>-34.677704162387975</c:v>
                </c:pt>
              </c:numCache>
            </c:numRef>
          </c:yVal>
          <c:smooth val="1"/>
          <c:extLst>
            <c:ext xmlns:c16="http://schemas.microsoft.com/office/drawing/2014/chart" uri="{C3380CC4-5D6E-409C-BE32-E72D297353CC}">
              <c16:uniqueId val="{00000000-F242-439F-BCD3-AB405D699144}"/>
            </c:ext>
          </c:extLst>
        </c:ser>
        <c:dLbls>
          <c:showLegendKey val="0"/>
          <c:showVal val="0"/>
          <c:showCatName val="0"/>
          <c:showSerName val="0"/>
          <c:showPercent val="0"/>
          <c:showBubbleSize val="0"/>
        </c:dLbls>
        <c:axId val="1106689647"/>
        <c:axId val="1925061759"/>
      </c:scatterChart>
      <c:scatterChart>
        <c:scatterStyle val="lineMarker"/>
        <c:varyColors val="0"/>
        <c:ser>
          <c:idx val="3"/>
          <c:order val="3"/>
          <c:tx>
            <c:v>PM1</c:v>
          </c:tx>
          <c:spPr>
            <a:ln w="9525" cap="rnd">
              <a:solidFill>
                <a:schemeClr val="bg1">
                  <a:lumMod val="65000"/>
                </a:schemeClr>
              </a:solidFill>
              <a:prstDash val="sysDash"/>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B-F242-439F-BCD3-AB405D699144}"/>
              </c:ext>
            </c:extLst>
          </c:dPt>
          <c:xVal>
            <c:numRef>
              <c:f>Loop_Response!$C$42:$C$43</c:f>
              <c:numCache>
                <c:formatCode>General</c:formatCode>
                <c:ptCount val="2"/>
                <c:pt idx="0">
                  <c:v>100</c:v>
                </c:pt>
                <c:pt idx="1">
                  <c:v>44159.971219556486</c:v>
                </c:pt>
              </c:numCache>
            </c:numRef>
          </c:xVal>
          <c:yVal>
            <c:numRef>
              <c:f>Loop_Response!$D$42:$D$43</c:f>
              <c:numCache>
                <c:formatCode>General</c:formatCode>
                <c:ptCount val="2"/>
                <c:pt idx="0">
                  <c:v>0</c:v>
                </c:pt>
                <c:pt idx="1">
                  <c:v>0</c:v>
                </c:pt>
              </c:numCache>
            </c:numRef>
          </c:yVal>
          <c:smooth val="0"/>
          <c:extLst>
            <c:ext xmlns:c16="http://schemas.microsoft.com/office/drawing/2014/chart" uri="{C3380CC4-5D6E-409C-BE32-E72D297353CC}">
              <c16:uniqueId val="{00000005-F242-439F-BCD3-AB405D699144}"/>
            </c:ext>
          </c:extLst>
        </c:ser>
        <c:ser>
          <c:idx val="7"/>
          <c:order val="6"/>
          <c:tx>
            <c:v>GM3</c:v>
          </c:tx>
          <c:spPr>
            <a:ln w="28575" cap="rnd">
              <a:solidFill>
                <a:schemeClr val="accent2">
                  <a:lumMod val="60000"/>
                </a:schemeClr>
              </a:solidFill>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E-F242-439F-BCD3-AB405D699144}"/>
              </c:ext>
            </c:extLst>
          </c:dPt>
          <c:xVal>
            <c:numRef>
              <c:f>Loop_Response!$E$46:$E$47</c:f>
              <c:numCache>
                <c:formatCode>General</c:formatCode>
                <c:ptCount val="2"/>
                <c:pt idx="0">
                  <c:v>156685.49056867999</c:v>
                </c:pt>
                <c:pt idx="1">
                  <c:v>100</c:v>
                </c:pt>
              </c:numCache>
            </c:numRef>
          </c:xVal>
          <c:yVal>
            <c:numRef>
              <c:f>Loop_Response!$F$46:$F$47</c:f>
              <c:numCache>
                <c:formatCode>General</c:formatCode>
                <c:ptCount val="2"/>
                <c:pt idx="0">
                  <c:v>-13.495789274340506</c:v>
                </c:pt>
                <c:pt idx="1">
                  <c:v>-13.495789274340506</c:v>
                </c:pt>
              </c:numCache>
            </c:numRef>
          </c:yVal>
          <c:smooth val="0"/>
          <c:extLst>
            <c:ext xmlns:c16="http://schemas.microsoft.com/office/drawing/2014/chart" uri="{C3380CC4-5D6E-409C-BE32-E72D297353CC}">
              <c16:uniqueId val="{0000000A-F242-439F-BCD3-AB405D699144}"/>
            </c:ext>
          </c:extLst>
        </c:ser>
        <c:ser>
          <c:idx val="6"/>
          <c:order val="7"/>
          <c:tx>
            <c:v>Gain Margin</c:v>
          </c:tx>
          <c:spPr>
            <a:ln w="19050" cap="rnd">
              <a:solidFill>
                <a:srgbClr val="0070C0"/>
              </a:solidFill>
              <a:prstDash val="sysDash"/>
              <a:round/>
            </a:ln>
            <a:effectLst/>
          </c:spPr>
          <c:marker>
            <c:symbol val="none"/>
          </c:marker>
          <c:xVal>
            <c:numRef>
              <c:f>Loop_Response!$E$44:$E$45</c:f>
              <c:numCache>
                <c:formatCode>General</c:formatCode>
                <c:ptCount val="2"/>
                <c:pt idx="0">
                  <c:v>156685.49056867999</c:v>
                </c:pt>
                <c:pt idx="1">
                  <c:v>156685.49056867999</c:v>
                </c:pt>
              </c:numCache>
            </c:numRef>
          </c:xVal>
          <c:yVal>
            <c:numRef>
              <c:f>Loop_Response!$F$44:$F$45</c:f>
              <c:numCache>
                <c:formatCode>General</c:formatCode>
                <c:ptCount val="2"/>
                <c:pt idx="0">
                  <c:v>0</c:v>
                </c:pt>
                <c:pt idx="1">
                  <c:v>-13.495789274340506</c:v>
                </c:pt>
              </c:numCache>
            </c:numRef>
          </c:yVal>
          <c:smooth val="0"/>
          <c:extLst>
            <c:ext xmlns:c16="http://schemas.microsoft.com/office/drawing/2014/chart" uri="{C3380CC4-5D6E-409C-BE32-E72D297353CC}">
              <c16:uniqueId val="{00000011-F242-439F-BCD3-AB405D699144}"/>
            </c:ext>
          </c:extLst>
        </c:ser>
        <c:dLbls>
          <c:showLegendKey val="0"/>
          <c:showVal val="0"/>
          <c:showCatName val="0"/>
          <c:showSerName val="0"/>
          <c:showPercent val="0"/>
          <c:showBubbleSize val="0"/>
        </c:dLbls>
        <c:axId val="1106689647"/>
        <c:axId val="1925061759"/>
      </c:scatterChart>
      <c:scatterChart>
        <c:scatterStyle val="smoothMarker"/>
        <c:varyColors val="0"/>
        <c:ser>
          <c:idx val="1"/>
          <c:order val="1"/>
          <c:tx>
            <c:v>Phase - (-180)</c:v>
          </c:tx>
          <c:spPr>
            <a:ln w="28575" cap="rnd">
              <a:solidFill>
                <a:schemeClr val="accent2"/>
              </a:solidFill>
              <a:round/>
            </a:ln>
            <a:effectLst/>
          </c:spPr>
          <c:marker>
            <c:symbol val="none"/>
          </c:marker>
          <c:xVal>
            <c:numRef>
              <c:f>Loop_Response!$I$3:$I$403</c:f>
              <c:numCache>
                <c:formatCode>###.###.###.###</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31622.776601683803</c:v>
                </c:pt>
                <c:pt idx="251">
                  <c:v>32359.365692962834</c:v>
                </c:pt>
                <c:pt idx="252">
                  <c:v>33113.112148259112</c:v>
                </c:pt>
                <c:pt idx="253">
                  <c:v>33884.415613920253</c:v>
                </c:pt>
                <c:pt idx="254">
                  <c:v>34673.685045253224</c:v>
                </c:pt>
                <c:pt idx="255">
                  <c:v>35481.338923357536</c:v>
                </c:pt>
                <c:pt idx="256">
                  <c:v>36307.805477010188</c:v>
                </c:pt>
                <c:pt idx="257">
                  <c:v>37153.522909717241</c:v>
                </c:pt>
                <c:pt idx="258">
                  <c:v>38018.939632056172</c:v>
                </c:pt>
                <c:pt idx="259">
                  <c:v>38904.514499428107</c:v>
                </c:pt>
                <c:pt idx="260">
                  <c:v>39810.717055349771</c:v>
                </c:pt>
                <c:pt idx="261">
                  <c:v>40738.027780411314</c:v>
                </c:pt>
                <c:pt idx="262">
                  <c:v>41686.938347033582</c:v>
                </c:pt>
                <c:pt idx="263">
                  <c:v>42657.9518801593</c:v>
                </c:pt>
                <c:pt idx="264">
                  <c:v>43651.583224016635</c:v>
                </c:pt>
                <c:pt idx="265">
                  <c:v>44668.359215096345</c:v>
                </c:pt>
                <c:pt idx="266">
                  <c:v>45708.81896148753</c:v>
                </c:pt>
                <c:pt idx="267">
                  <c:v>46773.514128719842</c:v>
                </c:pt>
                <c:pt idx="268">
                  <c:v>47863.009232263852</c:v>
                </c:pt>
                <c:pt idx="269">
                  <c:v>48977.881936844635</c:v>
                </c:pt>
                <c:pt idx="270">
                  <c:v>50118.723362727324</c:v>
                </c:pt>
                <c:pt idx="271">
                  <c:v>51286.138399136486</c:v>
                </c:pt>
                <c:pt idx="272">
                  <c:v>52480.74602497735</c:v>
                </c:pt>
                <c:pt idx="273">
                  <c:v>53703.17963702527</c:v>
                </c:pt>
                <c:pt idx="274">
                  <c:v>54954.087385762541</c:v>
                </c:pt>
                <c:pt idx="275">
                  <c:v>56234.132519034989</c:v>
                </c:pt>
                <c:pt idx="276">
                  <c:v>57543.993733715673</c:v>
                </c:pt>
                <c:pt idx="277">
                  <c:v>58884.365535558973</c:v>
                </c:pt>
                <c:pt idx="278">
                  <c:v>60255.958607435852</c:v>
                </c:pt>
                <c:pt idx="279">
                  <c:v>61659.500186148289</c:v>
                </c:pt>
                <c:pt idx="280">
                  <c:v>63095.734448019386</c:v>
                </c:pt>
                <c:pt idx="281">
                  <c:v>64565.422903465616</c:v>
                </c:pt>
                <c:pt idx="282">
                  <c:v>66069.34480075966</c:v>
                </c:pt>
                <c:pt idx="283">
                  <c:v>67608.297539198233</c:v>
                </c:pt>
                <c:pt idx="284">
                  <c:v>69183.097091893695</c:v>
                </c:pt>
                <c:pt idx="285">
                  <c:v>70794.578438413824</c:v>
                </c:pt>
                <c:pt idx="286">
                  <c:v>72443.596007499029</c:v>
                </c:pt>
                <c:pt idx="287">
                  <c:v>74131.02413009177</c:v>
                </c:pt>
                <c:pt idx="288">
                  <c:v>75857.757502918394</c:v>
                </c:pt>
                <c:pt idx="289">
                  <c:v>77624.711662869318</c:v>
                </c:pt>
                <c:pt idx="290">
                  <c:v>79432.82347242815</c:v>
                </c:pt>
                <c:pt idx="291">
                  <c:v>81283.05161641007</c:v>
                </c:pt>
                <c:pt idx="292">
                  <c:v>83176.377110267087</c:v>
                </c:pt>
                <c:pt idx="293">
                  <c:v>85113.803820237779</c:v>
                </c:pt>
                <c:pt idx="294">
                  <c:v>87096.358995608185</c:v>
                </c:pt>
                <c:pt idx="295">
                  <c:v>89125.093813374682</c:v>
                </c:pt>
                <c:pt idx="296">
                  <c:v>91201.083935591087</c:v>
                </c:pt>
                <c:pt idx="297">
                  <c:v>93325.430079699217</c:v>
                </c:pt>
                <c:pt idx="298">
                  <c:v>95499.258602143687</c:v>
                </c:pt>
                <c:pt idx="299">
                  <c:v>97723.722095581164</c:v>
                </c:pt>
                <c:pt idx="300">
                  <c:v>100000</c:v>
                </c:pt>
                <c:pt idx="301">
                  <c:v>102329.29922807548</c:v>
                </c:pt>
                <c:pt idx="302">
                  <c:v>104712.85480509003</c:v>
                </c:pt>
                <c:pt idx="303">
                  <c:v>107151.9305237607</c:v>
                </c:pt>
                <c:pt idx="304">
                  <c:v>109647.81961431856</c:v>
                </c:pt>
                <c:pt idx="305">
                  <c:v>112201.84543019639</c:v>
                </c:pt>
                <c:pt idx="306">
                  <c:v>114815.36214968831</c:v>
                </c:pt>
                <c:pt idx="307">
                  <c:v>117489.75549395318</c:v>
                </c:pt>
                <c:pt idx="308">
                  <c:v>120226.44346174151</c:v>
                </c:pt>
                <c:pt idx="309">
                  <c:v>123026.87708123817</c:v>
                </c:pt>
                <c:pt idx="310">
                  <c:v>125892.54117941672</c:v>
                </c:pt>
                <c:pt idx="311">
                  <c:v>128824.9551693136</c:v>
                </c:pt>
                <c:pt idx="312">
                  <c:v>131825.6738556409</c:v>
                </c:pt>
                <c:pt idx="313">
                  <c:v>134896.28825916557</c:v>
                </c:pt>
                <c:pt idx="314">
                  <c:v>138038.42646028841</c:v>
                </c:pt>
                <c:pt idx="315">
                  <c:v>141253.7544622756</c:v>
                </c:pt>
                <c:pt idx="316">
                  <c:v>144543.9770745929</c:v>
                </c:pt>
                <c:pt idx="317">
                  <c:v>147910.83881682088</c:v>
                </c:pt>
                <c:pt idx="318">
                  <c:v>151356.12484362445</c:v>
                </c:pt>
                <c:pt idx="319">
                  <c:v>154881.66189124854</c:v>
                </c:pt>
                <c:pt idx="320">
                  <c:v>158489.31924611147</c:v>
                </c:pt>
                <c:pt idx="321">
                  <c:v>162181.00973589683</c:v>
                </c:pt>
                <c:pt idx="322">
                  <c:v>165958.69074376026</c:v>
                </c:pt>
                <c:pt idx="323">
                  <c:v>169824.36524617841</c:v>
                </c:pt>
                <c:pt idx="324">
                  <c:v>173780.08287494161</c:v>
                </c:pt>
                <c:pt idx="325">
                  <c:v>177827.94100389644</c:v>
                </c:pt>
                <c:pt idx="326">
                  <c:v>181970.08586100259</c:v>
                </c:pt>
                <c:pt idx="327">
                  <c:v>186208.71366629141</c:v>
                </c:pt>
                <c:pt idx="328">
                  <c:v>190546.07179632946</c:v>
                </c:pt>
                <c:pt idx="329">
                  <c:v>194984.459975809</c:v>
                </c:pt>
                <c:pt idx="330">
                  <c:v>199526.23149689252</c:v>
                </c:pt>
                <c:pt idx="331">
                  <c:v>204173.79446695794</c:v>
                </c:pt>
                <c:pt idx="332">
                  <c:v>208929.61308540907</c:v>
                </c:pt>
                <c:pt idx="333">
                  <c:v>213796.20895022844</c:v>
                </c:pt>
                <c:pt idx="334">
                  <c:v>218776.16239496018</c:v>
                </c:pt>
                <c:pt idx="335">
                  <c:v>223872.11385683939</c:v>
                </c:pt>
                <c:pt idx="336">
                  <c:v>229086.76527678283</c:v>
                </c:pt>
                <c:pt idx="337">
                  <c:v>234422.88153199785</c:v>
                </c:pt>
                <c:pt idx="338">
                  <c:v>239883.29190195477</c:v>
                </c:pt>
                <c:pt idx="339">
                  <c:v>245470.89156850934</c:v>
                </c:pt>
                <c:pt idx="340">
                  <c:v>251188.643150964</c:v>
                </c:pt>
                <c:pt idx="341">
                  <c:v>257039.57827689245</c:v>
                </c:pt>
                <c:pt idx="342">
                  <c:v>263026.79918954434</c:v>
                </c:pt>
                <c:pt idx="343">
                  <c:v>269153.48039269837</c:v>
                </c:pt>
                <c:pt idx="344">
                  <c:v>275422.87033382355</c:v>
                </c:pt>
                <c:pt idx="345">
                  <c:v>281838.29312645196</c:v>
                </c:pt>
                <c:pt idx="346">
                  <c:v>288403.15031266725</c:v>
                </c:pt>
                <c:pt idx="347">
                  <c:v>295120.9226666459</c:v>
                </c:pt>
                <c:pt idx="348">
                  <c:v>301995.17204020906</c:v>
                </c:pt>
                <c:pt idx="349">
                  <c:v>309029.54325136665</c:v>
                </c:pt>
                <c:pt idx="350">
                  <c:v>316227.76601684513</c:v>
                </c:pt>
                <c:pt idx="351">
                  <c:v>323593.65692963556</c:v>
                </c:pt>
                <c:pt idx="352">
                  <c:v>331131.12148259912</c:v>
                </c:pt>
                <c:pt idx="353">
                  <c:v>338844.15613921074</c:v>
                </c:pt>
                <c:pt idx="354">
                  <c:v>346736.85045254003</c:v>
                </c:pt>
                <c:pt idx="355">
                  <c:v>354813.38923358335</c:v>
                </c:pt>
                <c:pt idx="356">
                  <c:v>363078.05477011006</c:v>
                </c:pt>
                <c:pt idx="357">
                  <c:v>371535.22909718135</c:v>
                </c:pt>
                <c:pt idx="358">
                  <c:v>380189.39632057026</c:v>
                </c:pt>
                <c:pt idx="359">
                  <c:v>389045.14499428979</c:v>
                </c:pt>
                <c:pt idx="360">
                  <c:v>398107.17055350728</c:v>
                </c:pt>
                <c:pt idx="361">
                  <c:v>407380.27780413168</c:v>
                </c:pt>
                <c:pt idx="362">
                  <c:v>416869.38347035483</c:v>
                </c:pt>
                <c:pt idx="363">
                  <c:v>426579.51880160259</c:v>
                </c:pt>
                <c:pt idx="364">
                  <c:v>436515.83224017685</c:v>
                </c:pt>
                <c:pt idx="365">
                  <c:v>446683.5921509742</c:v>
                </c:pt>
                <c:pt idx="366">
                  <c:v>457088.18961489608</c:v>
                </c:pt>
                <c:pt idx="367">
                  <c:v>467735.14128722053</c:v>
                </c:pt>
                <c:pt idx="368">
                  <c:v>478630.09232266113</c:v>
                </c:pt>
                <c:pt idx="369">
                  <c:v>489778.81936846947</c:v>
                </c:pt>
                <c:pt idx="370">
                  <c:v>501187.23362729524</c:v>
                </c:pt>
                <c:pt idx="371">
                  <c:v>512861.38399138919</c:v>
                </c:pt>
                <c:pt idx="372">
                  <c:v>524807.46024979744</c:v>
                </c:pt>
                <c:pt idx="373">
                  <c:v>537031.79637027811</c:v>
                </c:pt>
                <c:pt idx="374">
                  <c:v>549540.87385765044</c:v>
                </c:pt>
                <c:pt idx="375">
                  <c:v>562341.32519037649</c:v>
                </c:pt>
                <c:pt idx="376">
                  <c:v>575439.93733718398</c:v>
                </c:pt>
                <c:pt idx="377">
                  <c:v>588843.65535561647</c:v>
                </c:pt>
                <c:pt idx="378">
                  <c:v>602559.58607438591</c:v>
                </c:pt>
                <c:pt idx="379">
                  <c:v>616595.00186151091</c:v>
                </c:pt>
                <c:pt idx="380">
                  <c:v>630957.34448022372</c:v>
                </c:pt>
                <c:pt idx="381">
                  <c:v>645654.22903468553</c:v>
                </c:pt>
                <c:pt idx="382">
                  <c:v>660693.44800762658</c:v>
                </c:pt>
                <c:pt idx="383">
                  <c:v>676082.97539201309</c:v>
                </c:pt>
                <c:pt idx="384">
                  <c:v>691830.97091896972</c:v>
                </c:pt>
                <c:pt idx="385">
                  <c:v>707945.78438417171</c:v>
                </c:pt>
                <c:pt idx="386">
                  <c:v>724435.96007502335</c:v>
                </c:pt>
                <c:pt idx="387">
                  <c:v>741310.24130095146</c:v>
                </c:pt>
                <c:pt idx="388">
                  <c:v>758577.57502921985</c:v>
                </c:pt>
                <c:pt idx="389">
                  <c:v>776247.11662872857</c:v>
                </c:pt>
                <c:pt idx="390">
                  <c:v>794328.23472431907</c:v>
                </c:pt>
                <c:pt idx="391">
                  <c:v>812830.51616413763</c:v>
                </c:pt>
                <c:pt idx="392">
                  <c:v>831763.77110271016</c:v>
                </c:pt>
                <c:pt idx="393">
                  <c:v>851138.0382024165</c:v>
                </c:pt>
                <c:pt idx="394">
                  <c:v>870963.58995612152</c:v>
                </c:pt>
                <c:pt idx="395">
                  <c:v>891250.93813378725</c:v>
                </c:pt>
                <c:pt idx="396">
                  <c:v>912010.83935595397</c:v>
                </c:pt>
                <c:pt idx="397">
                  <c:v>933254.30079703464</c:v>
                </c:pt>
                <c:pt idx="398">
                  <c:v>954992.58602148038</c:v>
                </c:pt>
                <c:pt idx="399">
                  <c:v>977237.22095585614</c:v>
                </c:pt>
                <c:pt idx="400">
                  <c:v>1000000.0000000482</c:v>
                </c:pt>
              </c:numCache>
            </c:numRef>
          </c:xVal>
          <c:yVal>
            <c:numRef>
              <c:f>Loop_Response!$J$3:$J$403</c:f>
              <c:numCache>
                <c:formatCode>General</c:formatCode>
                <c:ptCount val="401"/>
                <c:pt idx="0">
                  <c:v>90.172620757029208</c:v>
                </c:pt>
                <c:pt idx="1">
                  <c:v>90.16506116851599</c:v>
                </c:pt>
                <c:pt idx="2">
                  <c:v>90.157693624459199</c:v>
                </c:pt>
                <c:pt idx="3">
                  <c:v>90.150521204401443</c:v>
                </c:pt>
                <c:pt idx="4">
                  <c:v>90.143547534271548</c:v>
                </c:pt>
                <c:pt idx="5">
                  <c:v>90.13677681362681</c:v>
                </c:pt>
                <c:pt idx="6">
                  <c:v>90.130213844321688</c:v>
                </c:pt>
                <c:pt idx="7">
                  <c:v>90.123864060629728</c:v>
                </c:pt>
                <c:pt idx="8">
                  <c:v>90.117733560839071</c:v>
                </c:pt>
                <c:pt idx="9">
                  <c:v>90.111829140336908</c:v>
                </c:pt>
                <c:pt idx="10">
                  <c:v>90.106158326192102</c:v>
                </c:pt>
                <c:pt idx="11">
                  <c:v>90.100729413236749</c:v>
                </c:pt>
                <c:pt idx="12">
                  <c:v>90.095551501639079</c:v>
                </c:pt>
                <c:pt idx="13">
                  <c:v>90.090634535951423</c:v>
                </c:pt>
                <c:pt idx="14">
                  <c:v>90.085989345604006</c:v>
                </c:pt>
                <c:pt idx="15">
                  <c:v>90.081627686804865</c:v>
                </c:pt>
                <c:pt idx="16">
                  <c:v>90.077562285791075</c:v>
                </c:pt>
                <c:pt idx="17">
                  <c:v>90.073806883362849</c:v>
                </c:pt>
                <c:pt idx="18">
                  <c:v>90.0703762806139</c:v>
                </c:pt>
                <c:pt idx="19">
                  <c:v>90.067286385754457</c:v>
                </c:pt>
                <c:pt idx="20">
                  <c:v>90.064554261903339</c:v>
                </c:pt>
                <c:pt idx="21">
                  <c:v>90.062198175703983</c:v>
                </c:pt>
                <c:pt idx="22">
                  <c:v>90.060237646596804</c:v>
                </c:pt>
                <c:pt idx="23">
                  <c:v>90.058693496555719</c:v>
                </c:pt>
                <c:pt idx="24">
                  <c:v>90.057587900070772</c:v>
                </c:pt>
                <c:pt idx="25">
                  <c:v>90.05694443413212</c:v>
                </c:pt>
                <c:pt idx="26">
                  <c:v>90.056788127941118</c:v>
                </c:pt>
                <c:pt idx="27">
                  <c:v>90.057145512045722</c:v>
                </c:pt>
                <c:pt idx="28">
                  <c:v>90.058044666566644</c:v>
                </c:pt>
                <c:pt idx="29">
                  <c:v>90.05951526814934</c:v>
                </c:pt>
                <c:pt idx="30">
                  <c:v>90.061588635246224</c:v>
                </c:pt>
                <c:pt idx="31">
                  <c:v>90.064297771302066</c:v>
                </c:pt>
                <c:pt idx="32">
                  <c:v>90.067677405385126</c:v>
                </c:pt>
                <c:pt idx="33">
                  <c:v>90.071764029775906</c:v>
                </c:pt>
                <c:pt idx="34">
                  <c:v>90.076595933999911</c:v>
                </c:pt>
                <c:pt idx="35">
                  <c:v>90.08221323476252</c:v>
                </c:pt>
                <c:pt idx="36">
                  <c:v>90.088657901222717</c:v>
                </c:pt>
                <c:pt idx="37">
                  <c:v>90.095973775023239</c:v>
                </c:pt>
                <c:pt idx="38">
                  <c:v>90.10420658447984</c:v>
                </c:pt>
                <c:pt idx="39">
                  <c:v>90.113403952323594</c:v>
                </c:pt>
                <c:pt idx="40">
                  <c:v>90.123615396386384</c:v>
                </c:pt>
                <c:pt idx="41">
                  <c:v>90.134892322623941</c:v>
                </c:pt>
                <c:pt idx="42">
                  <c:v>90.147288009883837</c:v>
                </c:pt>
                <c:pt idx="43">
                  <c:v>90.160857585844369</c:v>
                </c:pt>
                <c:pt idx="44">
                  <c:v>90.175657993582888</c:v>
                </c:pt>
                <c:pt idx="45">
                  <c:v>90.191747948270873</c:v>
                </c:pt>
                <c:pt idx="46">
                  <c:v>90.209187883546122</c:v>
                </c:pt>
                <c:pt idx="47">
                  <c:v>90.228039887174305</c:v>
                </c:pt>
                <c:pt idx="48">
                  <c:v>90.248367625687877</c:v>
                </c:pt>
                <c:pt idx="49">
                  <c:v>90.270236257776247</c:v>
                </c:pt>
                <c:pt idx="50">
                  <c:v>90.293712336300246</c:v>
                </c:pt>
                <c:pt idx="51">
                  <c:v>90.318863698913788</c:v>
                </c:pt>
                <c:pt idx="52">
                  <c:v>90.345759347395585</c:v>
                </c:pt>
                <c:pt idx="53">
                  <c:v>90.374469315926007</c:v>
                </c:pt>
                <c:pt idx="54">
                  <c:v>90.405064528681748</c:v>
                </c:pt>
                <c:pt idx="55">
                  <c:v>90.437616647268158</c:v>
                </c:pt>
                <c:pt idx="56">
                  <c:v>90.472197908659751</c:v>
                </c:pt>
                <c:pt idx="57">
                  <c:v>90.508880954473796</c:v>
                </c:pt>
                <c:pt idx="58">
                  <c:v>90.547738652556276</c:v>
                </c:pt>
                <c:pt idx="59">
                  <c:v>90.588843912010233</c:v>
                </c:pt>
                <c:pt idx="60">
                  <c:v>90.632269492944133</c:v>
                </c:pt>
                <c:pt idx="61">
                  <c:v>90.678087812353752</c:v>
                </c:pt>
                <c:pt idx="62">
                  <c:v>90.726370747677862</c:v>
                </c:pt>
                <c:pt idx="63">
                  <c:v>90.77718943967696</c:v>
                </c:pt>
                <c:pt idx="64">
                  <c:v>90.830614096376436</c:v>
                </c:pt>
                <c:pt idx="65">
                  <c:v>90.886713799886351</c:v>
                </c:pt>
                <c:pt idx="66">
                  <c:v>90.945556317955564</c:v>
                </c:pt>
                <c:pt idx="67">
                  <c:v>91.007207922137667</c:v>
                </c:pt>
                <c:pt idx="68">
                  <c:v>91.071733214438481</c:v>
                </c:pt>
                <c:pt idx="69">
                  <c:v>91.139194964275646</c:v>
                </c:pt>
                <c:pt idx="70">
                  <c:v>91.209653957513297</c:v>
                </c:pt>
                <c:pt idx="71">
                  <c:v>91.283168859235218</c:v>
                </c:pt>
                <c:pt idx="72">
                  <c:v>91.359796091792347</c:v>
                </c:pt>
                <c:pt idx="73">
                  <c:v>91.439589729502586</c:v>
                </c:pt>
                <c:pt idx="74">
                  <c:v>91.522601411198892</c:v>
                </c:pt>
                <c:pt idx="75">
                  <c:v>91.608880271614851</c:v>
                </c:pt>
                <c:pt idx="76">
                  <c:v>91.698472892370489</c:v>
                </c:pt>
                <c:pt idx="77">
                  <c:v>91.791423273078991</c:v>
                </c:pt>
                <c:pt idx="78">
                  <c:v>91.887772822840603</c:v>
                </c:pt>
                <c:pt idx="79">
                  <c:v>91.987560372128215</c:v>
                </c:pt>
                <c:pt idx="80">
                  <c:v>92.090822204806926</c:v>
                </c:pt>
                <c:pt idx="81">
                  <c:v>92.19759210976774</c:v>
                </c:pt>
                <c:pt idx="82">
                  <c:v>92.307901451402984</c:v>
                </c:pt>
                <c:pt idx="83">
                  <c:v>92.421779257910615</c:v>
                </c:pt>
                <c:pt idx="84">
                  <c:v>92.539252326188077</c:v>
                </c:pt>
                <c:pt idx="85">
                  <c:v>92.660345341874503</c:v>
                </c:pt>
                <c:pt idx="86">
                  <c:v>92.785081012916564</c:v>
                </c:pt>
                <c:pt idx="87">
                  <c:v>92.91348021488092</c:v>
                </c:pt>
                <c:pt idx="88">
                  <c:v>93.045562146107628</c:v>
                </c:pt>
                <c:pt idx="89">
                  <c:v>93.181344490702358</c:v>
                </c:pt>
                <c:pt idx="90">
                  <c:v>93.320843587298128</c:v>
                </c:pt>
                <c:pt idx="91">
                  <c:v>93.464074601478586</c:v>
                </c:pt>
                <c:pt idx="92">
                  <c:v>93.611051699746184</c:v>
                </c:pt>
                <c:pt idx="93">
                  <c:v>93.761788222937724</c:v>
                </c:pt>
                <c:pt idx="94">
                  <c:v>93.916296857032719</c:v>
                </c:pt>
                <c:pt idx="95">
                  <c:v>94.074589799367786</c:v>
                </c:pt>
                <c:pt idx="96">
                  <c:v>94.236678918357413</c:v>
                </c:pt>
                <c:pt idx="97">
                  <c:v>94.402575904926451</c:v>
                </c:pt>
                <c:pt idx="98">
                  <c:v>94.572292413979071</c:v>
                </c:pt>
                <c:pt idx="99">
                  <c:v>94.745840194358138</c:v>
                </c:pt>
                <c:pt idx="100">
                  <c:v>94.923231205888555</c:v>
                </c:pt>
                <c:pt idx="101">
                  <c:v>95.104477722239864</c:v>
                </c:pt>
                <c:pt idx="102">
                  <c:v>95.289592418488965</c:v>
                </c:pt>
                <c:pt idx="103">
                  <c:v>95.478588442408139</c:v>
                </c:pt>
                <c:pt idx="104">
                  <c:v>95.671479468644776</c:v>
                </c:pt>
                <c:pt idx="105">
                  <c:v>95.868279735095769</c:v>
                </c:pt>
                <c:pt idx="106">
                  <c:v>96.069004060909236</c:v>
                </c:pt>
                <c:pt idx="107">
                  <c:v>96.273667845666722</c:v>
                </c:pt>
                <c:pt idx="108">
                  <c:v>96.482287049414197</c:v>
                </c:pt>
                <c:pt idx="109">
                  <c:v>96.69487815330956</c:v>
                </c:pt>
                <c:pt idx="110">
                  <c:v>96.911458100749698</c:v>
                </c:pt>
                <c:pt idx="111">
                  <c:v>97.132044218921607</c:v>
                </c:pt>
                <c:pt idx="112">
                  <c:v>97.356654120795199</c:v>
                </c:pt>
                <c:pt idx="113">
                  <c:v>97.585305587638018</c:v>
                </c:pt>
                <c:pt idx="114">
                  <c:v>97.818016432188585</c:v>
                </c:pt>
                <c:pt idx="115">
                  <c:v>98.05480434266903</c:v>
                </c:pt>
                <c:pt idx="116">
                  <c:v>98.295686707860654</c:v>
                </c:pt>
                <c:pt idx="117">
                  <c:v>98.540680423497889</c:v>
                </c:pt>
                <c:pt idx="118">
                  <c:v>98.789801680267942</c:v>
                </c:pt>
                <c:pt idx="119">
                  <c:v>99.043065733728014</c:v>
                </c:pt>
                <c:pt idx="120">
                  <c:v>99.300486656478782</c:v>
                </c:pt>
                <c:pt idx="121">
                  <c:v>99.56207707295485</c:v>
                </c:pt>
                <c:pt idx="122">
                  <c:v>99.827847877219924</c:v>
                </c:pt>
                <c:pt idx="123">
                  <c:v>100.09780793417917</c:v>
                </c:pt>
                <c:pt idx="124">
                  <c:v>100.37196376465297</c:v>
                </c:pt>
                <c:pt idx="125">
                  <c:v>100.65031921478933</c:v>
                </c:pt>
                <c:pt idx="126">
                  <c:v>100.93287511033367</c:v>
                </c:pt>
                <c:pt idx="127">
                  <c:v>101.21962889631885</c:v>
                </c:pt>
                <c:pt idx="128">
                  <c:v>101.5105742627934</c:v>
                </c:pt>
                <c:pt idx="129">
                  <c:v>101.80570075726726</c:v>
                </c:pt>
                <c:pt idx="130">
                  <c:v>102.10499338462317</c:v>
                </c:pt>
                <c:pt idx="131">
                  <c:v>102.4084321953228</c:v>
                </c:pt>
                <c:pt idx="132">
                  <c:v>102.71599186282369</c:v>
                </c:pt>
                <c:pt idx="133">
                  <c:v>103.02764125122241</c:v>
                </c:pt>
                <c:pt idx="134">
                  <c:v>103.34334297424579</c:v>
                </c:pt>
                <c:pt idx="135">
                  <c:v>103.66305294682945</c:v>
                </c:pt>
                <c:pt idx="136">
                  <c:v>103.98671993064805</c:v>
                </c:pt>
                <c:pt idx="137">
                  <c:v>104.31428507509511</c:v>
                </c:pt>
                <c:pt idx="138">
                  <c:v>104.64568145535077</c:v>
                </c:pt>
                <c:pt idx="139">
                  <c:v>104.98083360932242</c:v>
                </c:pt>
                <c:pt idx="140">
                  <c:v>105.31965707539369</c:v>
                </c:pt>
                <c:pt idx="141">
                  <c:v>105.66205793307179</c:v>
                </c:pt>
                <c:pt idx="142">
                  <c:v>106.00793234877639</c:v>
                </c:pt>
                <c:pt idx="143">
                  <c:v>106.35716612916812</c:v>
                </c:pt>
                <c:pt idx="144">
                  <c:v>106.70963428456213</c:v>
                </c:pt>
                <c:pt idx="145">
                  <c:v>107.06520060511664</c:v>
                </c:pt>
                <c:pt idx="146">
                  <c:v>107.42371725261864</c:v>
                </c:pt>
                <c:pt idx="147">
                  <c:v>107.78502437080934</c:v>
                </c:pt>
                <c:pt idx="148">
                  <c:v>108.14894971729825</c:v>
                </c:pt>
                <c:pt idx="149">
                  <c:v>108.51530832019898</c:v>
                </c:pt>
                <c:pt idx="150">
                  <c:v>108.88390216268361</c:v>
                </c:pt>
                <c:pt idx="151">
                  <c:v>109.25451989868984</c:v>
                </c:pt>
                <c:pt idx="152">
                  <c:v>109.62693660302322</c:v>
                </c:pt>
                <c:pt idx="153">
                  <c:v>110.00091355907117</c:v>
                </c:pt>
                <c:pt idx="154">
                  <c:v>110.37619808728803</c:v>
                </c:pt>
                <c:pt idx="155">
                  <c:v>110.75252341751042</c:v>
                </c:pt>
                <c:pt idx="156">
                  <c:v>111.12960860802752</c:v>
                </c:pt>
                <c:pt idx="157">
                  <c:v>111.50715851415003</c:v>
                </c:pt>
                <c:pt idx="158">
                  <c:v>111.88486380880195</c:v>
                </c:pt>
                <c:pt idx="159">
                  <c:v>112.26240105739481</c:v>
                </c:pt>
                <c:pt idx="160">
                  <c:v>112.63943284893901</c:v>
                </c:pt>
                <c:pt idx="161">
                  <c:v>113.01560798499901</c:v>
                </c:pt>
                <c:pt idx="162">
                  <c:v>113.39056172771589</c:v>
                </c:pt>
                <c:pt idx="163">
                  <c:v>113.76391610769865</c:v>
                </c:pt>
                <c:pt idx="164">
                  <c:v>114.13528029213475</c:v>
                </c:pt>
                <c:pt idx="165">
                  <c:v>114.50425101299204</c:v>
                </c:pt>
                <c:pt idx="166">
                  <c:v>114.87041305468532</c:v>
                </c:pt>
                <c:pt idx="167">
                  <c:v>115.23333980006751</c:v>
                </c:pt>
                <c:pt idx="168">
                  <c:v>115.59259383308689</c:v>
                </c:pt>
                <c:pt idx="169">
                  <c:v>115.94772759593025</c:v>
                </c:pt>
                <c:pt idx="170">
                  <c:v>116.29828409796556</c:v>
                </c:pt>
                <c:pt idx="171">
                  <c:v>116.64379767330054</c:v>
                </c:pt>
                <c:pt idx="172">
                  <c:v>116.98379478331003</c:v>
                </c:pt>
                <c:pt idx="173">
                  <c:v>117.3177948600493</c:v>
                </c:pt>
                <c:pt idx="174">
                  <c:v>117.6453111860789</c:v>
                </c:pt>
                <c:pt idx="175">
                  <c:v>117.96585180588413</c:v>
                </c:pt>
                <c:pt idx="176">
                  <c:v>118.27892046378284</c:v>
                </c:pt>
                <c:pt idx="177">
                  <c:v>118.58401756298858</c:v>
                </c:pt>
                <c:pt idx="178">
                  <c:v>118.88064114033298</c:v>
                </c:pt>
                <c:pt idx="179">
                  <c:v>119.16828785105784</c:v>
                </c:pt>
                <c:pt idx="180">
                  <c:v>119.44645395806128</c:v>
                </c:pt>
                <c:pt idx="181">
                  <c:v>119.71463632002988</c:v>
                </c:pt>
                <c:pt idx="182">
                  <c:v>119.97233337300332</c:v>
                </c:pt>
                <c:pt idx="183">
                  <c:v>120.21904610010144</c:v>
                </c:pt>
                <c:pt idx="184">
                  <c:v>120.45427898438849</c:v>
                </c:pt>
                <c:pt idx="185">
                  <c:v>120.67754094015601</c:v>
                </c:pt>
                <c:pt idx="186">
                  <c:v>120.88834621826157</c:v>
                </c:pt>
                <c:pt idx="187">
                  <c:v>121.08621528156517</c:v>
                </c:pt>
                <c:pt idx="188">
                  <c:v>121.27067564694556</c:v>
                </c:pt>
                <c:pt idx="189">
                  <c:v>121.44126269085112</c:v>
                </c:pt>
                <c:pt idx="190">
                  <c:v>121.59752041583067</c:v>
                </c:pt>
                <c:pt idx="191">
                  <c:v>121.73900217599608</c:v>
                </c:pt>
                <c:pt idx="192">
                  <c:v>121.86527135987555</c:v>
                </c:pt>
                <c:pt idx="193">
                  <c:v>121.97590202962063</c:v>
                </c:pt>
                <c:pt idx="194">
                  <c:v>122.07047951601923</c:v>
                </c:pt>
                <c:pt idx="195">
                  <c:v>122.14860096923738</c:v>
                </c:pt>
                <c:pt idx="196">
                  <c:v>122.20987586565246</c:v>
                </c:pt>
                <c:pt idx="197">
                  <c:v>122.25392647154908</c:v>
                </c:pt>
                <c:pt idx="198">
                  <c:v>122.28038826481675</c:v>
                </c:pt>
                <c:pt idx="199">
                  <c:v>122.28891031611246</c:v>
                </c:pt>
                <c:pt idx="200">
                  <c:v>122.27915563122932</c:v>
                </c:pt>
                <c:pt idx="201">
                  <c:v>122.25080145663907</c:v>
                </c:pt>
                <c:pt idx="202">
                  <c:v>122.20353955035424</c:v>
                </c:pt>
                <c:pt idx="203">
                  <c:v>122.13707642037946</c:v>
                </c:pt>
                <c:pt idx="204">
                  <c:v>122.05113353309586</c:v>
                </c:pt>
                <c:pt idx="205">
                  <c:v>121.94544749394511</c:v>
                </c:pt>
                <c:pt idx="206">
                  <c:v>121.8197702027546</c:v>
                </c:pt>
                <c:pt idx="207">
                  <c:v>121.67386898597434</c:v>
                </c:pt>
                <c:pt idx="208">
                  <c:v>121.50752670798218</c:v>
                </c:pt>
                <c:pt idx="209">
                  <c:v>121.32054186346029</c:v>
                </c:pt>
                <c:pt idx="210">
                  <c:v>121.11272865265846</c:v>
                </c:pt>
                <c:pt idx="211">
                  <c:v>120.88391704114069</c:v>
                </c:pt>
                <c:pt idx="212">
                  <c:v>120.63395280536737</c:v>
                </c:pt>
                <c:pt idx="213">
                  <c:v>120.36269756519989</c:v>
                </c:pt>
                <c:pt idx="214">
                  <c:v>120.07002880413441</c:v>
                </c:pt>
                <c:pt idx="215">
                  <c:v>119.75583987778015</c:v>
                </c:pt>
                <c:pt idx="216">
                  <c:v>119.42004001080353</c:v>
                </c:pt>
                <c:pt idx="217">
                  <c:v>119.06255428226368</c:v>
                </c:pt>
                <c:pt idx="218">
                  <c:v>118.68332359897785</c:v>
                </c:pt>
                <c:pt idx="219">
                  <c:v>118.28230465627847</c:v>
                </c:pt>
                <c:pt idx="220">
                  <c:v>117.85946988526479</c:v>
                </c:pt>
                <c:pt idx="221">
                  <c:v>117.41480738541452</c:v>
                </c:pt>
                <c:pt idx="222">
                  <c:v>116.94832084121163</c:v>
                </c:pt>
                <c:pt idx="223">
                  <c:v>116.46002942126806</c:v>
                </c:pt>
                <c:pt idx="224">
                  <c:v>115.94996765827432</c:v>
                </c:pt>
                <c:pt idx="225">
                  <c:v>115.41818530801352</c:v>
                </c:pt>
                <c:pt idx="226">
                  <c:v>114.86474718561179</c:v>
                </c:pt>
                <c:pt idx="227">
                  <c:v>114.28973297718738</c:v>
                </c:pt>
                <c:pt idx="228">
                  <c:v>113.69323702509473</c:v>
                </c:pt>
                <c:pt idx="229">
                  <c:v>113.07536808504466</c:v>
                </c:pt>
                <c:pt idx="230">
                  <c:v>112.43624905351734</c:v>
                </c:pt>
                <c:pt idx="231">
                  <c:v>111.77601666406963</c:v>
                </c:pt>
                <c:pt idx="232">
                  <c:v>111.09482115137291</c:v>
                </c:pt>
                <c:pt idx="233">
                  <c:v>110.3928258820971</c:v>
                </c:pt>
                <c:pt idx="234">
                  <c:v>109.67020695208467</c:v>
                </c:pt>
                <c:pt idx="235">
                  <c:v>108.9271527496179</c:v>
                </c:pt>
                <c:pt idx="236">
                  <c:v>108.16386348498858</c:v>
                </c:pt>
                <c:pt idx="237">
                  <c:v>107.38055068700109</c:v>
                </c:pt>
                <c:pt idx="238">
                  <c:v>106.57743666749568</c:v>
                </c:pt>
                <c:pt idx="239">
                  <c:v>105.75475395543981</c:v>
                </c:pt>
                <c:pt idx="240">
                  <c:v>104.91274470260848</c:v>
                </c:pt>
                <c:pt idx="241">
                  <c:v>104.05166006334258</c:v>
                </c:pt>
                <c:pt idx="242">
                  <c:v>103.17175955133138</c:v>
                </c:pt>
                <c:pt idx="243">
                  <c:v>102.27331037680054</c:v>
                </c:pt>
                <c:pt idx="244">
                  <c:v>101.35658676789569</c:v>
                </c:pt>
                <c:pt idx="245">
                  <c:v>100.42186928041551</c:v>
                </c:pt>
                <c:pt idx="246">
                  <c:v>99.469444100370467</c:v>
                </c:pt>
                <c:pt idx="247">
                  <c:v>98.499602344107359</c:v>
                </c:pt>
                <c:pt idx="248">
                  <c:v>97.512639360940824</c:v>
                </c:pt>
                <c:pt idx="249">
                  <c:v>96.508854043368274</c:v>
                </c:pt>
                <c:pt idx="250">
                  <c:v>95.488548150006849</c:v>
                </c:pt>
                <c:pt idx="251">
                  <c:v>94.452025646373954</c:v>
                </c:pt>
                <c:pt idx="252">
                  <c:v>93.39959206854337</c:v>
                </c:pt>
                <c:pt idx="253">
                  <c:v>92.331553914536244</c:v>
                </c:pt>
                <c:pt idx="254">
                  <c:v>91.248218068060055</c:v>
                </c:pt>
                <c:pt idx="255">
                  <c:v>90.149891258887308</c:v>
                </c:pt>
                <c:pt idx="256">
                  <c:v>89.036879563771464</c:v>
                </c:pt>
                <c:pt idx="257">
                  <c:v>87.909487951348311</c:v>
                </c:pt>
                <c:pt idx="258">
                  <c:v>86.768019873949299</c:v>
                </c:pt>
                <c:pt idx="259">
                  <c:v>85.612776908701818</c:v>
                </c:pt>
                <c:pt idx="260">
                  <c:v>84.444058449679005</c:v>
                </c:pt>
                <c:pt idx="261">
                  <c:v>83.262161452238701</c:v>
                </c:pt>
                <c:pt idx="262">
                  <c:v>82.067380230032569</c:v>
                </c:pt>
                <c:pt idx="263">
                  <c:v>80.860006304508971</c:v>
                </c:pt>
                <c:pt idx="264">
                  <c:v>79.640328306071751</c:v>
                </c:pt>
                <c:pt idx="265">
                  <c:v>78.408631925411612</c:v>
                </c:pt>
                <c:pt idx="266">
                  <c:v>77.165199912901869</c:v>
                </c:pt>
                <c:pt idx="267">
                  <c:v>75.910312123360882</c:v>
                </c:pt>
                <c:pt idx="268">
                  <c:v>74.644245602935143</c:v>
                </c:pt>
                <c:pt idx="269">
                  <c:v>73.36727471436123</c:v>
                </c:pt>
                <c:pt idx="270">
                  <c:v>72.079671296427989</c:v>
                </c:pt>
                <c:pt idx="271">
                  <c:v>70.781704853089892</c:v>
                </c:pt>
                <c:pt idx="272">
                  <c:v>69.473642767383126</c:v>
                </c:pt>
                <c:pt idx="273">
                  <c:v>68.155750535076763</c:v>
                </c:pt>
                <c:pt idx="274">
                  <c:v>66.828292012844486</c:v>
                </c:pt>
                <c:pt idx="275">
                  <c:v>65.491529675688298</c:v>
                </c:pt>
                <c:pt idx="276">
                  <c:v>64.145724878361335</c:v>
                </c:pt>
                <c:pt idx="277">
                  <c:v>62.791138115647996</c:v>
                </c:pt>
                <c:pt idx="278">
                  <c:v>61.428029276539441</c:v>
                </c:pt>
                <c:pt idx="279">
                  <c:v>60.056657887605098</c:v>
                </c:pt>
                <c:pt idx="280">
                  <c:v>58.677283341196386</c:v>
                </c:pt>
                <c:pt idx="281">
                  <c:v>57.290165104517072</c:v>
                </c:pt>
                <c:pt idx="282">
                  <c:v>55.895562906056313</c:v>
                </c:pt>
                <c:pt idx="283">
                  <c:v>54.493736896391354</c:v>
                </c:pt>
                <c:pt idx="284">
                  <c:v>53.084947780923287</c:v>
                </c:pt>
                <c:pt idx="285">
                  <c:v>51.669456922696945</c:v>
                </c:pt>
                <c:pt idx="286">
                  <c:v>50.247526414066598</c:v>
                </c:pt>
                <c:pt idx="287">
                  <c:v>48.819419116593807</c:v>
                </c:pt>
                <c:pt idx="288">
                  <c:v>47.385398669186912</c:v>
                </c:pt>
                <c:pt idx="289">
                  <c:v>45.945729465104392</c:v>
                </c:pt>
                <c:pt idx="290">
                  <c:v>44.500676599038378</c:v>
                </c:pt>
                <c:pt idx="291">
                  <c:v>43.050505786047992</c:v>
                </c:pt>
                <c:pt idx="292">
                  <c:v>41.595483254635973</c:v>
                </c:pt>
                <c:pt idx="293">
                  <c:v>40.135875616711509</c:v>
                </c:pt>
                <c:pt idx="294">
                  <c:v>38.671949717597265</c:v>
                </c:pt>
                <c:pt idx="295">
                  <c:v>37.203972469553591</c:v>
                </c:pt>
                <c:pt idx="296">
                  <c:v>35.732210672559596</c:v>
                </c:pt>
                <c:pt idx="297">
                  <c:v>34.256930826256287</c:v>
                </c:pt>
                <c:pt idx="298">
                  <c:v>32.778398937050227</c:v>
                </c:pt>
                <c:pt idx="299">
                  <c:v>31.296880324377845</c:v>
                </c:pt>
                <c:pt idx="300">
                  <c:v>29.812639430048776</c:v>
                </c:pt>
                <c:pt idx="301">
                  <c:v>28.325939634421871</c:v>
                </c:pt>
                <c:pt idx="302">
                  <c:v>26.837043082920502</c:v>
                </c:pt>
                <c:pt idx="303">
                  <c:v>25.3462105260732</c:v>
                </c:pt>
                <c:pt idx="304">
                  <c:v>23.853701175878058</c:v>
                </c:pt>
                <c:pt idx="305">
                  <c:v>22.359772580839675</c:v>
                </c:pt>
                <c:pt idx="306">
                  <c:v>20.864680521528797</c:v>
                </c:pt>
                <c:pt idx="307">
                  <c:v>19.368678927976127</c:v>
                </c:pt>
                <c:pt idx="308">
                  <c:v>17.872019819642873</c:v>
                </c:pt>
                <c:pt idx="309">
                  <c:v>16.374953268125026</c:v>
                </c:pt>
                <c:pt idx="310">
                  <c:v>14.877727382159307</c:v>
                </c:pt>
                <c:pt idx="311">
                  <c:v>13.38058831391411</c:v>
                </c:pt>
                <c:pt idx="312">
                  <c:v>11.8837802849825</c:v>
                </c:pt>
                <c:pt idx="313">
                  <c:v>10.387545629960705</c:v>
                </c:pt>
                <c:pt idx="314">
                  <c:v>8.8921248550028338</c:v>
                </c:pt>
                <c:pt idx="315">
                  <c:v>7.397756708295816</c:v>
                </c:pt>
                <c:pt idx="316">
                  <c:v>5.9046782590214377</c:v>
                </c:pt>
                <c:pt idx="317">
                  <c:v>4.4131249810485613</c:v>
                </c:pt>
                <c:pt idx="318">
                  <c:v>2.9233308373648441</c:v>
                </c:pt>
                <c:pt idx="319">
                  <c:v>1.4355283611004097</c:v>
                </c:pt>
                <c:pt idx="320">
                  <c:v>-5.005127112184482E-2</c:v>
                </c:pt>
                <c:pt idx="321">
                  <c:v>-1.533178177692335</c:v>
                </c:pt>
                <c:pt idx="322">
                  <c:v>-3.0136237265568724</c:v>
                </c:pt>
                <c:pt idx="323">
                  <c:v>-4.491160509757897</c:v>
                </c:pt>
                <c:pt idx="324">
                  <c:v>-5.9655623416699299</c:v>
                </c:pt>
                <c:pt idx="325">
                  <c:v>-7.4366042843314943</c:v>
                </c:pt>
                <c:pt idx="326">
                  <c:v>-8.904062702853011</c:v>
                </c:pt>
                <c:pt idx="327">
                  <c:v>-10.367715353421161</c:v>
                </c:pt>
                <c:pt idx="328">
                  <c:v>-11.827341505902098</c:v>
                </c:pt>
                <c:pt idx="329">
                  <c:v>-13.282722102483334</c:v>
                </c:pt>
                <c:pt idx="330">
                  <c:v>-14.733639953192721</c:v>
                </c:pt>
                <c:pt idx="331">
                  <c:v>-16.179879968509653</c:v>
                </c:pt>
                <c:pt idx="332">
                  <c:v>-17.621229428648064</c:v>
                </c:pt>
                <c:pt idx="333">
                  <c:v>-19.057478288451833</c:v>
                </c:pt>
                <c:pt idx="334">
                  <c:v>-20.488419516212744</c:v>
                </c:pt>
                <c:pt idx="335">
                  <c:v>-21.913849464117689</c:v>
                </c:pt>
                <c:pt idx="336">
                  <c:v>-23.333568267451611</c:v>
                </c:pt>
                <c:pt idx="337">
                  <c:v>-24.747380269156281</c:v>
                </c:pt>
                <c:pt idx="338">
                  <c:v>-26.155094465854319</c:v>
                </c:pt>
                <c:pt idx="339">
                  <c:v>-27.556524971032502</c:v>
                </c:pt>
                <c:pt idx="340">
                  <c:v>-28.951491490715043</c:v>
                </c:pt>
                <c:pt idx="341">
                  <c:v>-30.339819806677596</c:v>
                </c:pt>
                <c:pt idx="342">
                  <c:v>-31.721342262033389</c:v>
                </c:pt>
                <c:pt idx="343">
                  <c:v>-33.095898243896329</c:v>
                </c:pt>
                <c:pt idx="344">
                  <c:v>-34.463334657763554</c:v>
                </c:pt>
                <c:pt idx="345">
                  <c:v>-35.823506388284585</c:v>
                </c:pt>
                <c:pt idx="346">
                  <c:v>-37.17627674117368</c:v>
                </c:pt>
                <c:pt idx="347">
                  <c:v>-38.521517861190517</c:v>
                </c:pt>
                <c:pt idx="348">
                  <c:v>-39.859111121344924</c:v>
                </c:pt>
                <c:pt idx="349">
                  <c:v>-41.188947478769478</c:v>
                </c:pt>
                <c:pt idx="350">
                  <c:v>-42.510927793046818</c:v>
                </c:pt>
                <c:pt idx="351">
                  <c:v>-43.824963103166567</c:v>
                </c:pt>
                <c:pt idx="352">
                  <c:v>-45.130974859708857</c:v>
                </c:pt>
                <c:pt idx="353">
                  <c:v>-46.428895109305714</c:v>
                </c:pt>
                <c:pt idx="354">
                  <c:v>-47.718666628901474</c:v>
                </c:pt>
                <c:pt idx="355">
                  <c:v>-49.000243007815882</c:v>
                </c:pt>
                <c:pt idx="356">
                  <c:v>-50.273588676103955</c:v>
                </c:pt>
                <c:pt idx="357">
                  <c:v>-51.538678878183816</c:v>
                </c:pt>
                <c:pt idx="358">
                  <c:v>-52.795499591182804</c:v>
                </c:pt>
                <c:pt idx="359">
                  <c:v>-54.044047387900818</c:v>
                </c:pt>
                <c:pt idx="360">
                  <c:v>-55.28432924472888</c:v>
                </c:pt>
                <c:pt idx="361">
                  <c:v>-56.516362295266077</c:v>
                </c:pt>
                <c:pt idx="362">
                  <c:v>-57.740173530750695</c:v>
                </c:pt>
                <c:pt idx="363">
                  <c:v>-58.955799448788653</c:v>
                </c:pt>
                <c:pt idx="364">
                  <c:v>-60.163285652144296</c:v>
                </c:pt>
                <c:pt idx="365">
                  <c:v>-61.36268639965202</c:v>
                </c:pt>
                <c:pt idx="366">
                  <c:v>-62.554064111573084</c:v>
                </c:pt>
                <c:pt idx="367">
                  <c:v>-63.737488831888513</c:v>
                </c:pt>
                <c:pt idx="368">
                  <c:v>-64.913037650250757</c:v>
                </c:pt>
                <c:pt idx="369">
                  <c:v>-66.080794086419289</c:v>
                </c:pt>
                <c:pt idx="370">
                  <c:v>-67.240847440167386</c:v>
                </c:pt>
                <c:pt idx="371">
                  <c:v>-68.39329210972825</c:v>
                </c:pt>
                <c:pt idx="372">
                  <c:v>-69.538226881929376</c:v>
                </c:pt>
                <c:pt idx="373">
                  <c:v>-70.67575419722921</c:v>
                </c:pt>
                <c:pt idx="374">
                  <c:v>-71.805979392910189</c:v>
                </c:pt>
                <c:pt idx="375">
                  <c:v>-72.929009927718809</c:v>
                </c:pt>
                <c:pt idx="376">
                  <c:v>-74.04495459126484</c:v>
                </c:pt>
                <c:pt idx="377">
                  <c:v>-75.153922701513594</c:v>
                </c:pt>
                <c:pt idx="378">
                  <c:v>-76.256023293710797</c:v>
                </c:pt>
                <c:pt idx="379">
                  <c:v>-77.351364304098951</c:v>
                </c:pt>
                <c:pt idx="380">
                  <c:v>-78.440051751788886</c:v>
                </c:pt>
                <c:pt idx="381">
                  <c:v>-79.522188922162655</c:v>
                </c:pt>
                <c:pt idx="382">
                  <c:v>-80.597875555196893</c:v>
                </c:pt>
                <c:pt idx="383">
                  <c:v>-81.667207042107407</c:v>
                </c:pt>
                <c:pt idx="384">
                  <c:v>-82.730273633731926</c:v>
                </c:pt>
                <c:pt idx="385">
                  <c:v>-83.787159664082836</c:v>
                </c:pt>
                <c:pt idx="386">
                  <c:v>-84.837942792515634</c:v>
                </c:pt>
                <c:pt idx="387">
                  <c:v>-85.88269326797024</c:v>
                </c:pt>
                <c:pt idx="388">
                  <c:v>-86.921473218750791</c:v>
                </c:pt>
                <c:pt idx="389">
                  <c:v>-87.954335971309533</c:v>
                </c:pt>
                <c:pt idx="390">
                  <c:v>-88.981325401491617</c:v>
                </c:pt>
                <c:pt idx="391">
                  <c:v>-90.002475321674069</c:v>
                </c:pt>
                <c:pt idx="392">
                  <c:v>-91.01780890719759</c:v>
                </c:pt>
                <c:pt idx="393">
                  <c:v>-92.027338165429853</c:v>
                </c:pt>
                <c:pt idx="394">
                  <c:v>-93.031063450722669</c:v>
                </c:pt>
                <c:pt idx="395">
                  <c:v>-94.028973028418847</c:v>
                </c:pt>
                <c:pt idx="396">
                  <c:v>-95.021042690931708</c:v>
                </c:pt>
                <c:pt idx="397">
                  <c:v>-96.007235428756871</c:v>
                </c:pt>
                <c:pt idx="398">
                  <c:v>-96.987501159076231</c:v>
                </c:pt>
                <c:pt idx="399">
                  <c:v>-97.961776514380205</c:v>
                </c:pt>
                <c:pt idx="400">
                  <c:v>-98.929984693267073</c:v>
                </c:pt>
              </c:numCache>
            </c:numRef>
          </c:yVal>
          <c:smooth val="1"/>
          <c:extLst>
            <c:ext xmlns:c16="http://schemas.microsoft.com/office/drawing/2014/chart" uri="{C3380CC4-5D6E-409C-BE32-E72D297353CC}">
              <c16:uniqueId val="{00000001-F242-439F-BCD3-AB405D699144}"/>
            </c:ext>
          </c:extLst>
        </c:ser>
        <c:dLbls>
          <c:showLegendKey val="0"/>
          <c:showVal val="0"/>
          <c:showCatName val="0"/>
          <c:showSerName val="0"/>
          <c:showPercent val="0"/>
          <c:showBubbleSize val="0"/>
        </c:dLbls>
        <c:axId val="1042822479"/>
        <c:axId val="1042822063"/>
      </c:scatterChart>
      <c:scatterChart>
        <c:scatterStyle val="lineMarker"/>
        <c:varyColors val="0"/>
        <c:ser>
          <c:idx val="2"/>
          <c:order val="2"/>
          <c:tx>
            <c:v>Phase Margin</c:v>
          </c:tx>
          <c:spPr>
            <a:ln w="19050" cap="rnd">
              <a:solidFill>
                <a:schemeClr val="accent2"/>
              </a:solidFill>
              <a:prstDash val="sysDash"/>
              <a:round/>
            </a:ln>
            <a:effectLst/>
          </c:spPr>
          <c:marker>
            <c:symbol val="none"/>
          </c:marker>
          <c:xVal>
            <c:numRef>
              <c:f>Loop_Response!$C$44:$C$45</c:f>
              <c:numCache>
                <c:formatCode>General</c:formatCode>
                <c:ptCount val="2"/>
                <c:pt idx="0">
                  <c:v>44159.971219556486</c:v>
                </c:pt>
                <c:pt idx="1">
                  <c:v>44159.971219556486</c:v>
                </c:pt>
              </c:numCache>
            </c:numRef>
          </c:xVal>
          <c:yVal>
            <c:numRef>
              <c:f>Loop_Response!$D$44:$D$45</c:f>
              <c:numCache>
                <c:formatCode>General</c:formatCode>
                <c:ptCount val="2"/>
                <c:pt idx="0">
                  <c:v>0</c:v>
                </c:pt>
                <c:pt idx="1">
                  <c:v>79.024480115741682</c:v>
                </c:pt>
              </c:numCache>
            </c:numRef>
          </c:yVal>
          <c:smooth val="0"/>
          <c:extLst>
            <c:ext xmlns:c16="http://schemas.microsoft.com/office/drawing/2014/chart" uri="{C3380CC4-5D6E-409C-BE32-E72D297353CC}">
              <c16:uniqueId val="{00000010-F242-439F-BCD3-AB405D699144}"/>
            </c:ext>
          </c:extLst>
        </c:ser>
        <c:ser>
          <c:idx val="4"/>
          <c:order val="4"/>
          <c:tx>
            <c:v>PM3</c:v>
          </c:tx>
          <c:spPr>
            <a:ln w="28575" cap="rnd">
              <a:solidFill>
                <a:schemeClr val="accent5"/>
              </a:solidFill>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C-F242-439F-BCD3-AB405D699144}"/>
              </c:ext>
            </c:extLst>
          </c:dPt>
          <c:xVal>
            <c:numRef>
              <c:f>Loop_Response!$C$46:$C$47</c:f>
              <c:numCache>
                <c:formatCode>General</c:formatCode>
                <c:ptCount val="2"/>
                <c:pt idx="0">
                  <c:v>44159.971219556486</c:v>
                </c:pt>
                <c:pt idx="1">
                  <c:v>1000000</c:v>
                </c:pt>
              </c:numCache>
            </c:numRef>
          </c:xVal>
          <c:yVal>
            <c:numRef>
              <c:f>Loop_Response!$D$46:$D$47</c:f>
              <c:numCache>
                <c:formatCode>General</c:formatCode>
                <c:ptCount val="2"/>
                <c:pt idx="0">
                  <c:v>79.024480115741682</c:v>
                </c:pt>
                <c:pt idx="1">
                  <c:v>79.024480115741682</c:v>
                </c:pt>
              </c:numCache>
            </c:numRef>
          </c:yVal>
          <c:smooth val="0"/>
          <c:extLst>
            <c:ext xmlns:c16="http://schemas.microsoft.com/office/drawing/2014/chart" uri="{C3380CC4-5D6E-409C-BE32-E72D297353CC}">
              <c16:uniqueId val="{00000007-F242-439F-BCD3-AB405D699144}"/>
            </c:ext>
          </c:extLst>
        </c:ser>
        <c:ser>
          <c:idx val="5"/>
          <c:order val="5"/>
          <c:tx>
            <c:v>GM1</c:v>
          </c:tx>
          <c:spPr>
            <a:ln w="28575" cap="rnd">
              <a:solidFill>
                <a:schemeClr val="accent6"/>
              </a:solidFill>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D-F242-439F-BCD3-AB405D699144}"/>
              </c:ext>
            </c:extLst>
          </c:dPt>
          <c:xVal>
            <c:numRef>
              <c:f>Loop_Response!$E$42:$E$43</c:f>
              <c:numCache>
                <c:formatCode>General</c:formatCode>
                <c:ptCount val="2"/>
                <c:pt idx="0">
                  <c:v>1000000</c:v>
                </c:pt>
                <c:pt idx="1">
                  <c:v>156685.49056867999</c:v>
                </c:pt>
              </c:numCache>
            </c:numRef>
          </c:xVal>
          <c:yVal>
            <c:numRef>
              <c:f>Loop_Response!$F$42:$F$43</c:f>
              <c:numCache>
                <c:formatCode>General</c:formatCode>
                <c:ptCount val="2"/>
                <c:pt idx="0">
                  <c:v>0</c:v>
                </c:pt>
                <c:pt idx="1">
                  <c:v>0</c:v>
                </c:pt>
              </c:numCache>
            </c:numRef>
          </c:yVal>
          <c:smooth val="0"/>
          <c:extLst>
            <c:ext xmlns:c16="http://schemas.microsoft.com/office/drawing/2014/chart" uri="{C3380CC4-5D6E-409C-BE32-E72D297353CC}">
              <c16:uniqueId val="{00000008-F242-439F-BCD3-AB405D699144}"/>
            </c:ext>
          </c:extLst>
        </c:ser>
        <c:dLbls>
          <c:showLegendKey val="0"/>
          <c:showVal val="0"/>
          <c:showCatName val="0"/>
          <c:showSerName val="0"/>
          <c:showPercent val="0"/>
          <c:showBubbleSize val="0"/>
        </c:dLbls>
        <c:axId val="1042822479"/>
        <c:axId val="1042822063"/>
      </c:scatterChart>
      <c:valAx>
        <c:axId val="1106689647"/>
        <c:scaling>
          <c:logBase val="10"/>
          <c:orientation val="minMax"/>
          <c:min val="1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t>Frequency (Hz)</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925061759"/>
        <c:crosses val="autoZero"/>
        <c:crossBetween val="midCat"/>
      </c:valAx>
      <c:valAx>
        <c:axId val="1925061759"/>
        <c:scaling>
          <c:orientation val="minMax"/>
          <c:max val="60"/>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solidFill>
                      <a:srgbClr val="0070C0"/>
                    </a:solidFill>
                  </a:rPr>
                  <a:t>Gain</a:t>
                </a:r>
                <a:r>
                  <a:rPr lang="en-US" sz="1200" b="1" baseline="0">
                    <a:solidFill>
                      <a:srgbClr val="0070C0"/>
                    </a:solidFill>
                  </a:rPr>
                  <a:t> (dB)</a:t>
                </a:r>
                <a:endParaRPr lang="en-US" sz="1200" b="1">
                  <a:solidFill>
                    <a:srgbClr val="0070C0"/>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rgbClr val="0070C0"/>
                </a:solidFill>
                <a:latin typeface="+mn-lt"/>
                <a:ea typeface="+mn-ea"/>
                <a:cs typeface="+mn-cs"/>
              </a:defRPr>
            </a:pPr>
            <a:endParaRPr lang="en-US"/>
          </a:p>
        </c:txPr>
        <c:crossAx val="1106689647"/>
        <c:crosses val="autoZero"/>
        <c:crossBetween val="midCat"/>
      </c:valAx>
      <c:valAx>
        <c:axId val="1042822063"/>
        <c:scaling>
          <c:orientation val="minMax"/>
          <c:max val="180"/>
          <c:min val="-180"/>
        </c:scaling>
        <c:delete val="0"/>
        <c:axPos val="r"/>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solidFill>
                      <a:schemeClr val="accent2"/>
                    </a:solidFill>
                  </a:rPr>
                  <a:t>Phase</a:t>
                </a:r>
                <a:r>
                  <a:rPr lang="en-US" sz="1200" b="1" baseline="0">
                    <a:solidFill>
                      <a:schemeClr val="accent2"/>
                    </a:solidFill>
                  </a:rPr>
                  <a:t> - (-180) (</a:t>
                </a:r>
                <a:r>
                  <a:rPr lang="en-US" sz="1200" b="1" baseline="0">
                    <a:solidFill>
                      <a:schemeClr val="accent2"/>
                    </a:solidFill>
                    <a:latin typeface="Calibri" panose="020F0502020204030204" pitchFamily="34" charset="0"/>
                    <a:cs typeface="Calibri" panose="020F0502020204030204" pitchFamily="34" charset="0"/>
                  </a:rPr>
                  <a:t>˚)</a:t>
                </a:r>
                <a:endParaRPr lang="en-US" sz="1200" b="1">
                  <a:solidFill>
                    <a:schemeClr val="accent2"/>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chemeClr val="accent2"/>
                </a:solidFill>
                <a:latin typeface="+mn-lt"/>
                <a:ea typeface="+mn-ea"/>
                <a:cs typeface="+mn-cs"/>
              </a:defRPr>
            </a:pPr>
            <a:endParaRPr lang="en-US"/>
          </a:p>
        </c:txPr>
        <c:crossAx val="1042822479"/>
        <c:crosses val="max"/>
        <c:crossBetween val="midCat"/>
      </c:valAx>
      <c:valAx>
        <c:axId val="1042822479"/>
        <c:scaling>
          <c:logBase val="10"/>
          <c:orientation val="minMax"/>
        </c:scaling>
        <c:delete val="1"/>
        <c:axPos val="b"/>
        <c:numFmt formatCode="###.###.###.###" sourceLinked="1"/>
        <c:majorTickMark val="out"/>
        <c:minorTickMark val="none"/>
        <c:tickLblPos val="nextTo"/>
        <c:crossAx val="1042822063"/>
        <c:crosses val="autoZero"/>
        <c:crossBetween val="midCat"/>
      </c:valAx>
      <c:spPr>
        <a:noFill/>
        <a:ln>
          <a:solidFill>
            <a:schemeClr val="tx1"/>
          </a:solidFill>
        </a:ln>
        <a:effectLst/>
      </c:spPr>
    </c:plotArea>
    <c:legend>
      <c:legendPos val="r"/>
      <c:legendEntry>
        <c:idx val="1"/>
        <c:delete val="1"/>
      </c:legendEntry>
      <c:legendEntry>
        <c:idx val="2"/>
        <c:delete val="1"/>
      </c:legendEntry>
      <c:legendEntry>
        <c:idx val="6"/>
        <c:delete val="1"/>
      </c:legendEntry>
      <c:legendEntry>
        <c:idx val="7"/>
        <c:delete val="1"/>
      </c:legendEntry>
      <c:layout>
        <c:manualLayout>
          <c:xMode val="edge"/>
          <c:yMode val="edge"/>
          <c:x val="0.12372260583432337"/>
          <c:y val="0.57048287252532592"/>
          <c:w val="0.22484628739987852"/>
          <c:h val="0.23169220427004267"/>
        </c:manualLayout>
      </c:layout>
      <c:overlay val="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zh-CN"/>
              <a:t>Loss Percent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976673206295206E-2"/>
          <c:y val="0.13270359994196387"/>
          <c:w val="0.42579668950883326"/>
          <c:h val="0.8447055409639671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863-4D1C-A7E7-E35434CBB03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863-4D1C-A7E7-E35434CBB03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863-4D1C-A7E7-E35434CBB03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863-4D1C-A7E7-E35434CBB03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863-4D1C-A7E7-E35434CBB03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863-4D1C-A7E7-E35434CBB03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863-4D1C-A7E7-E35434CBB03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E863-4D1C-A7E7-E35434CBB03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863-4D1C-A7E7-E35434CBB036}"/>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E863-4D1C-A7E7-E35434CBB03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Efficiency!$A$12:$A$21</c:f>
              <c:strCache>
                <c:ptCount val="10"/>
                <c:pt idx="0">
                  <c:v>Inductor loss ① </c:v>
                </c:pt>
                <c:pt idx="1">
                  <c:v>Conduction loss ② </c:v>
                </c:pt>
                <c:pt idx="2">
                  <c:v>Switching loss ③ </c:v>
                </c:pt>
                <c:pt idx="3">
                  <c:v>Drive (Qg) loss ④ </c:v>
                </c:pt>
                <c:pt idx="4">
                  <c:v>Switching FET output loss ⑤ </c:v>
                </c:pt>
                <c:pt idx="5">
                  <c:v>VCC (LDO) loss ⑥ </c:v>
                </c:pt>
                <c:pt idx="6">
                  <c:v>Dead time (body diode forward on) loss ⑦ </c:v>
                </c:pt>
                <c:pt idx="7">
                  <c:v>Body diode recovery loss ⑧ </c:v>
                </c:pt>
                <c:pt idx="8">
                  <c:v>IC static loss ⑨ </c:v>
                </c:pt>
                <c:pt idx="9">
                  <c:v>Feedback resistors loss ⑩ </c:v>
                </c:pt>
              </c:strCache>
            </c:strRef>
          </c:cat>
          <c:val>
            <c:numRef>
              <c:f>Efficiency!$B$12:$B$21</c:f>
              <c:numCache>
                <c:formatCode>General</c:formatCode>
                <c:ptCount val="10"/>
                <c:pt idx="0">
                  <c:v>214.87360411112786</c:v>
                </c:pt>
                <c:pt idx="1">
                  <c:v>329.9845539292121</c:v>
                </c:pt>
                <c:pt idx="2">
                  <c:v>644.99710212765956</c:v>
                </c:pt>
                <c:pt idx="3">
                  <c:v>13.9392</c:v>
                </c:pt>
                <c:pt idx="4">
                  <c:v>34.56</c:v>
                </c:pt>
                <c:pt idx="5">
                  <c:v>40.127999999999993</c:v>
                </c:pt>
                <c:pt idx="6">
                  <c:v>54.227744680851053</c:v>
                </c:pt>
                <c:pt idx="7">
                  <c:v>25.92</c:v>
                </c:pt>
                <c:pt idx="8">
                  <c:v>1.448</c:v>
                </c:pt>
                <c:pt idx="9">
                  <c:v>0.36807463735701962</c:v>
                </c:pt>
              </c:numCache>
            </c:numRef>
          </c:val>
          <c:extLst>
            <c:ext xmlns:c16="http://schemas.microsoft.com/office/drawing/2014/chart" uri="{C3380CC4-5D6E-409C-BE32-E72D297353CC}">
              <c16:uniqueId val="{00000000-9C0C-492A-BE1B-1188625B3CE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5844078549087728"/>
          <c:y val="5.7268254698616086E-2"/>
          <c:w val="0.42293482457747211"/>
          <c:h val="0.8789095692871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1.xml"/><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0.png"/><Relationship Id="rId5" Type="http://schemas.openxmlformats.org/officeDocument/2006/relationships/image" Target="../media/image5.png"/><Relationship Id="rId10" Type="http://schemas.openxmlformats.org/officeDocument/2006/relationships/image" Target="../media/image9.png"/><Relationship Id="rId4" Type="http://schemas.openxmlformats.org/officeDocument/2006/relationships/image" Target="../media/image4.png"/><Relationship Id="rId9"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2.xml"/><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3.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2.png"/><Relationship Id="rId2" Type="http://schemas.openxmlformats.org/officeDocument/2006/relationships/image" Target="../media/image18.png"/><Relationship Id="rId16" Type="http://schemas.openxmlformats.org/officeDocument/2006/relationships/chart" Target="../charts/chart3.xml"/><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10" Type="http://schemas.openxmlformats.org/officeDocument/2006/relationships/image" Target="../media/image26.png"/><Relationship Id="rId19" Type="http://schemas.openxmlformats.org/officeDocument/2006/relationships/image" Target="../media/image34.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0</xdr:col>
      <xdr:colOff>771525</xdr:colOff>
      <xdr:row>0</xdr:row>
      <xdr:rowOff>0</xdr:rowOff>
    </xdr:from>
    <xdr:to>
      <xdr:col>0</xdr:col>
      <xdr:colOff>2705142</xdr:colOff>
      <xdr:row>0</xdr:row>
      <xdr:rowOff>535490</xdr:rowOff>
    </xdr:to>
    <xdr:pic>
      <xdr:nvPicPr>
        <xdr:cNvPr id="2" name="Picture 1">
          <a:extLst>
            <a:ext uri="{FF2B5EF4-FFF2-40B4-BE49-F238E27FC236}">
              <a16:creationId xmlns:a16="http://schemas.microsoft.com/office/drawing/2014/main" id="{059F8F5C-CE51-4CF0-9CB1-32C8E5A72C72}"/>
            </a:ext>
          </a:extLst>
        </xdr:cNvPr>
        <xdr:cNvPicPr>
          <a:picLocks noChangeAspect="1"/>
        </xdr:cNvPicPr>
      </xdr:nvPicPr>
      <xdr:blipFill>
        <a:blip xmlns:r="http://schemas.openxmlformats.org/officeDocument/2006/relationships" r:embed="rId1"/>
        <a:stretch>
          <a:fillRect/>
        </a:stretch>
      </xdr:blipFill>
      <xdr:spPr>
        <a:xfrm>
          <a:off x="771525" y="0"/>
          <a:ext cx="1933617" cy="535490"/>
        </a:xfrm>
        <a:prstGeom prst="rect">
          <a:avLst/>
        </a:prstGeom>
      </xdr:spPr>
    </xdr:pic>
    <xdr:clientData/>
  </xdr:twoCellAnchor>
  <xdr:twoCellAnchor editAs="oneCell">
    <xdr:from>
      <xdr:col>3</xdr:col>
      <xdr:colOff>169997</xdr:colOff>
      <xdr:row>50</xdr:row>
      <xdr:rowOff>34868</xdr:rowOff>
    </xdr:from>
    <xdr:to>
      <xdr:col>7</xdr:col>
      <xdr:colOff>474260</xdr:colOff>
      <xdr:row>59</xdr:row>
      <xdr:rowOff>1286</xdr:rowOff>
    </xdr:to>
    <xdr:pic>
      <xdr:nvPicPr>
        <xdr:cNvPr id="5" name="Picture 4">
          <a:extLst>
            <a:ext uri="{FF2B5EF4-FFF2-40B4-BE49-F238E27FC236}">
              <a16:creationId xmlns:a16="http://schemas.microsoft.com/office/drawing/2014/main" id="{4C44996F-625E-4AB7-A7BD-9AE04A51D89F}"/>
            </a:ext>
          </a:extLst>
        </xdr:cNvPr>
        <xdr:cNvPicPr>
          <a:picLocks noChangeAspect="1"/>
        </xdr:cNvPicPr>
      </xdr:nvPicPr>
      <xdr:blipFill>
        <a:blip xmlns:r="http://schemas.openxmlformats.org/officeDocument/2006/relationships" r:embed="rId2"/>
        <a:stretch>
          <a:fillRect/>
        </a:stretch>
      </xdr:blipFill>
      <xdr:spPr>
        <a:xfrm>
          <a:off x="5495714" y="10412977"/>
          <a:ext cx="2935967" cy="1836927"/>
        </a:xfrm>
        <a:prstGeom prst="rect">
          <a:avLst/>
        </a:prstGeom>
      </xdr:spPr>
    </xdr:pic>
    <xdr:clientData/>
  </xdr:twoCellAnchor>
  <xdr:twoCellAnchor editAs="oneCell">
    <xdr:from>
      <xdr:col>4</xdr:col>
      <xdr:colOff>591596</xdr:colOff>
      <xdr:row>37</xdr:row>
      <xdr:rowOff>142458</xdr:rowOff>
    </xdr:from>
    <xdr:to>
      <xdr:col>10</xdr:col>
      <xdr:colOff>473795</xdr:colOff>
      <xdr:row>47</xdr:row>
      <xdr:rowOff>96943</xdr:rowOff>
    </xdr:to>
    <xdr:pic>
      <xdr:nvPicPr>
        <xdr:cNvPr id="9" name="Picture 8">
          <a:extLst>
            <a:ext uri="{FF2B5EF4-FFF2-40B4-BE49-F238E27FC236}">
              <a16:creationId xmlns:a16="http://schemas.microsoft.com/office/drawing/2014/main" id="{C9139278-2785-41BC-AE1D-085E0F8B4A0B}"/>
            </a:ext>
          </a:extLst>
        </xdr:cNvPr>
        <xdr:cNvPicPr>
          <a:picLocks noChangeAspect="1"/>
        </xdr:cNvPicPr>
      </xdr:nvPicPr>
      <xdr:blipFill>
        <a:blip xmlns:r="http://schemas.openxmlformats.org/officeDocument/2006/relationships" r:embed="rId3"/>
        <a:stretch>
          <a:fillRect/>
        </a:stretch>
      </xdr:blipFill>
      <xdr:spPr>
        <a:xfrm>
          <a:off x="6577692" y="7938304"/>
          <a:ext cx="3851764" cy="2103983"/>
        </a:xfrm>
        <a:prstGeom prst="rect">
          <a:avLst/>
        </a:prstGeom>
        <a:ln>
          <a:solidFill>
            <a:schemeClr val="tx1"/>
          </a:solidFill>
        </a:ln>
      </xdr:spPr>
    </xdr:pic>
    <xdr:clientData/>
  </xdr:twoCellAnchor>
  <xdr:twoCellAnchor editAs="oneCell">
    <xdr:from>
      <xdr:col>3</xdr:col>
      <xdr:colOff>37726</xdr:colOff>
      <xdr:row>60</xdr:row>
      <xdr:rowOff>29415</xdr:rowOff>
    </xdr:from>
    <xdr:to>
      <xdr:col>9</xdr:col>
      <xdr:colOff>417</xdr:colOff>
      <xdr:row>71</xdr:row>
      <xdr:rowOff>172341</xdr:rowOff>
    </xdr:to>
    <xdr:pic>
      <xdr:nvPicPr>
        <xdr:cNvPr id="10" name="Picture 9">
          <a:extLst>
            <a:ext uri="{FF2B5EF4-FFF2-40B4-BE49-F238E27FC236}">
              <a16:creationId xmlns:a16="http://schemas.microsoft.com/office/drawing/2014/main" id="{ECECE776-A7CA-4B7F-8D69-937994A67373}"/>
            </a:ext>
          </a:extLst>
        </xdr:cNvPr>
        <xdr:cNvPicPr>
          <a:picLocks noChangeAspect="1"/>
        </xdr:cNvPicPr>
      </xdr:nvPicPr>
      <xdr:blipFill>
        <a:blip xmlns:r="http://schemas.openxmlformats.org/officeDocument/2006/relationships" r:embed="rId4"/>
        <a:stretch>
          <a:fillRect/>
        </a:stretch>
      </xdr:blipFill>
      <xdr:spPr>
        <a:xfrm>
          <a:off x="5771776" y="12554790"/>
          <a:ext cx="3906040" cy="2550030"/>
        </a:xfrm>
        <a:prstGeom prst="rect">
          <a:avLst/>
        </a:prstGeom>
      </xdr:spPr>
    </xdr:pic>
    <xdr:clientData/>
  </xdr:twoCellAnchor>
  <xdr:twoCellAnchor editAs="oneCell">
    <xdr:from>
      <xdr:col>3</xdr:col>
      <xdr:colOff>80104</xdr:colOff>
      <xdr:row>73</xdr:row>
      <xdr:rowOff>14968</xdr:rowOff>
    </xdr:from>
    <xdr:to>
      <xdr:col>7</xdr:col>
      <xdr:colOff>398093</xdr:colOff>
      <xdr:row>79</xdr:row>
      <xdr:rowOff>174076</xdr:rowOff>
    </xdr:to>
    <xdr:pic>
      <xdr:nvPicPr>
        <xdr:cNvPr id="13" name="Picture 12">
          <a:extLst>
            <a:ext uri="{FF2B5EF4-FFF2-40B4-BE49-F238E27FC236}">
              <a16:creationId xmlns:a16="http://schemas.microsoft.com/office/drawing/2014/main" id="{15DF2E55-F657-4F9A-9DCB-BC31B52C579F}"/>
            </a:ext>
          </a:extLst>
        </xdr:cNvPr>
        <xdr:cNvPicPr>
          <a:picLocks noChangeAspect="1"/>
        </xdr:cNvPicPr>
      </xdr:nvPicPr>
      <xdr:blipFill>
        <a:blip xmlns:r="http://schemas.openxmlformats.org/officeDocument/2006/relationships" r:embed="rId5"/>
        <a:stretch>
          <a:fillRect/>
        </a:stretch>
      </xdr:blipFill>
      <xdr:spPr>
        <a:xfrm>
          <a:off x="5405821" y="15213555"/>
          <a:ext cx="2947249" cy="1454717"/>
        </a:xfrm>
        <a:prstGeom prst="rect">
          <a:avLst/>
        </a:prstGeom>
      </xdr:spPr>
    </xdr:pic>
    <xdr:clientData/>
  </xdr:twoCellAnchor>
  <xdr:twoCellAnchor editAs="oneCell">
    <xdr:from>
      <xdr:col>8</xdr:col>
      <xdr:colOff>604749</xdr:colOff>
      <xdr:row>74</xdr:row>
      <xdr:rowOff>58867</xdr:rowOff>
    </xdr:from>
    <xdr:to>
      <xdr:col>12</xdr:col>
      <xdr:colOff>741138</xdr:colOff>
      <xdr:row>79</xdr:row>
      <xdr:rowOff>1172</xdr:rowOff>
    </xdr:to>
    <xdr:pic>
      <xdr:nvPicPr>
        <xdr:cNvPr id="14" name="Picture 13">
          <a:extLst>
            <a:ext uri="{FF2B5EF4-FFF2-40B4-BE49-F238E27FC236}">
              <a16:creationId xmlns:a16="http://schemas.microsoft.com/office/drawing/2014/main" id="{DDF9CC56-15E2-4BC1-8167-4D88F3C071BE}"/>
            </a:ext>
          </a:extLst>
        </xdr:cNvPr>
        <xdr:cNvPicPr>
          <a:picLocks noChangeAspect="1"/>
        </xdr:cNvPicPr>
      </xdr:nvPicPr>
      <xdr:blipFill>
        <a:blip xmlns:r="http://schemas.openxmlformats.org/officeDocument/2006/relationships" r:embed="rId6"/>
        <a:stretch>
          <a:fillRect/>
        </a:stretch>
      </xdr:blipFill>
      <xdr:spPr>
        <a:xfrm>
          <a:off x="9202097" y="15472802"/>
          <a:ext cx="2752059" cy="1013910"/>
        </a:xfrm>
        <a:prstGeom prst="rect">
          <a:avLst/>
        </a:prstGeom>
      </xdr:spPr>
    </xdr:pic>
    <xdr:clientData/>
  </xdr:twoCellAnchor>
  <xdr:twoCellAnchor editAs="oneCell">
    <xdr:from>
      <xdr:col>3</xdr:col>
      <xdr:colOff>117199</xdr:colOff>
      <xdr:row>81</xdr:row>
      <xdr:rowOff>17927</xdr:rowOff>
    </xdr:from>
    <xdr:to>
      <xdr:col>5</xdr:col>
      <xdr:colOff>516060</xdr:colOff>
      <xdr:row>85</xdr:row>
      <xdr:rowOff>227720</xdr:rowOff>
    </xdr:to>
    <xdr:pic>
      <xdr:nvPicPr>
        <xdr:cNvPr id="16" name="Picture 15">
          <a:extLst>
            <a:ext uri="{FF2B5EF4-FFF2-40B4-BE49-F238E27FC236}">
              <a16:creationId xmlns:a16="http://schemas.microsoft.com/office/drawing/2014/main" id="{72461019-DCC2-4839-9D4C-DC971B7A7A4E}"/>
            </a:ext>
          </a:extLst>
        </xdr:cNvPr>
        <xdr:cNvPicPr>
          <a:picLocks noChangeAspect="1"/>
        </xdr:cNvPicPr>
      </xdr:nvPicPr>
      <xdr:blipFill>
        <a:blip xmlns:r="http://schemas.openxmlformats.org/officeDocument/2006/relationships" r:embed="rId7"/>
        <a:stretch>
          <a:fillRect/>
        </a:stretch>
      </xdr:blipFill>
      <xdr:spPr>
        <a:xfrm>
          <a:off x="5550590" y="16972427"/>
          <a:ext cx="1717574" cy="1170573"/>
        </a:xfrm>
        <a:prstGeom prst="rect">
          <a:avLst/>
        </a:prstGeom>
      </xdr:spPr>
    </xdr:pic>
    <xdr:clientData/>
  </xdr:twoCellAnchor>
  <xdr:twoCellAnchor>
    <xdr:from>
      <xdr:col>3</xdr:col>
      <xdr:colOff>53152</xdr:colOff>
      <xdr:row>87</xdr:row>
      <xdr:rowOff>35782</xdr:rowOff>
    </xdr:from>
    <xdr:to>
      <xdr:col>11</xdr:col>
      <xdr:colOff>306409</xdr:colOff>
      <xdr:row>101</xdr:row>
      <xdr:rowOff>157134</xdr:rowOff>
    </xdr:to>
    <xdr:graphicFrame macro="">
      <xdr:nvGraphicFramePr>
        <xdr:cNvPr id="20" name="Chart 19">
          <a:extLst>
            <a:ext uri="{FF2B5EF4-FFF2-40B4-BE49-F238E27FC236}">
              <a16:creationId xmlns:a16="http://schemas.microsoft.com/office/drawing/2014/main" id="{E862C807-F1B9-4E65-83C8-E22B1787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xdr:col>
      <xdr:colOff>298812</xdr:colOff>
      <xdr:row>3</xdr:row>
      <xdr:rowOff>155542</xdr:rowOff>
    </xdr:from>
    <xdr:to>
      <xdr:col>12</xdr:col>
      <xdr:colOff>754734</xdr:colOff>
      <xdr:row>26</xdr:row>
      <xdr:rowOff>148926</xdr:rowOff>
    </xdr:to>
    <xdr:pic>
      <xdr:nvPicPr>
        <xdr:cNvPr id="4" name="Picture 3">
          <a:extLst>
            <a:ext uri="{FF2B5EF4-FFF2-40B4-BE49-F238E27FC236}">
              <a16:creationId xmlns:a16="http://schemas.microsoft.com/office/drawing/2014/main" id="{335CD05C-FED9-4BC8-B6ED-424450350F5B}"/>
            </a:ext>
          </a:extLst>
        </xdr:cNvPr>
        <xdr:cNvPicPr>
          <a:picLocks noChangeAspect="1"/>
        </xdr:cNvPicPr>
      </xdr:nvPicPr>
      <xdr:blipFill>
        <a:blip xmlns:r="http://schemas.openxmlformats.org/officeDocument/2006/relationships" r:embed="rId9"/>
        <a:stretch>
          <a:fillRect/>
        </a:stretch>
      </xdr:blipFill>
      <xdr:spPr>
        <a:xfrm>
          <a:off x="7630660" y="1180080"/>
          <a:ext cx="6334208" cy="4885552"/>
        </a:xfrm>
        <a:prstGeom prst="rect">
          <a:avLst/>
        </a:prstGeom>
      </xdr:spPr>
    </xdr:pic>
    <xdr:clientData/>
  </xdr:twoCellAnchor>
  <xdr:twoCellAnchor editAs="oneCell">
    <xdr:from>
      <xdr:col>8</xdr:col>
      <xdr:colOff>578306</xdr:colOff>
      <xdr:row>81</xdr:row>
      <xdr:rowOff>40820</xdr:rowOff>
    </xdr:from>
    <xdr:to>
      <xdr:col>11</xdr:col>
      <xdr:colOff>59872</xdr:colOff>
      <xdr:row>85</xdr:row>
      <xdr:rowOff>198923</xdr:rowOff>
    </xdr:to>
    <xdr:pic>
      <xdr:nvPicPr>
        <xdr:cNvPr id="3" name="Picture 2">
          <a:extLst>
            <a:ext uri="{FF2B5EF4-FFF2-40B4-BE49-F238E27FC236}">
              <a16:creationId xmlns:a16="http://schemas.microsoft.com/office/drawing/2014/main" id="{133F0D75-F6AA-498E-B1E4-72C557848D3E}"/>
            </a:ext>
          </a:extLst>
        </xdr:cNvPr>
        <xdr:cNvPicPr>
          <a:picLocks noChangeAspect="1"/>
        </xdr:cNvPicPr>
      </xdr:nvPicPr>
      <xdr:blipFill>
        <a:blip xmlns:r="http://schemas.openxmlformats.org/officeDocument/2006/relationships" r:embed="rId10"/>
        <a:stretch>
          <a:fillRect/>
        </a:stretch>
      </xdr:blipFill>
      <xdr:spPr>
        <a:xfrm>
          <a:off x="9598481" y="17985920"/>
          <a:ext cx="1450519" cy="1111972"/>
        </a:xfrm>
        <a:prstGeom prst="rect">
          <a:avLst/>
        </a:prstGeom>
      </xdr:spPr>
    </xdr:pic>
    <xdr:clientData/>
  </xdr:twoCellAnchor>
  <xdr:twoCellAnchor editAs="oneCell">
    <xdr:from>
      <xdr:col>8</xdr:col>
      <xdr:colOff>572861</xdr:colOff>
      <xdr:row>52</xdr:row>
      <xdr:rowOff>7742</xdr:rowOff>
    </xdr:from>
    <xdr:to>
      <xdr:col>13</xdr:col>
      <xdr:colOff>17</xdr:colOff>
      <xdr:row>56</xdr:row>
      <xdr:rowOff>102059</xdr:rowOff>
    </xdr:to>
    <xdr:pic>
      <xdr:nvPicPr>
        <xdr:cNvPr id="6" name="Picture 5">
          <a:extLst>
            <a:ext uri="{FF2B5EF4-FFF2-40B4-BE49-F238E27FC236}">
              <a16:creationId xmlns:a16="http://schemas.microsoft.com/office/drawing/2014/main" id="{30D4FDB2-3EE5-4FA5-AD5C-DE8A931BF526}"/>
            </a:ext>
          </a:extLst>
        </xdr:cNvPr>
        <xdr:cNvPicPr>
          <a:picLocks noChangeAspect="1"/>
        </xdr:cNvPicPr>
      </xdr:nvPicPr>
      <xdr:blipFill>
        <a:blip xmlns:r="http://schemas.openxmlformats.org/officeDocument/2006/relationships" r:embed="rId11"/>
        <a:stretch>
          <a:fillRect/>
        </a:stretch>
      </xdr:blipFill>
      <xdr:spPr>
        <a:xfrm>
          <a:off x="9754961" y="10894817"/>
          <a:ext cx="3112203" cy="899854"/>
        </a:xfrm>
        <a:prstGeom prst="rect">
          <a:avLst/>
        </a:prstGeom>
      </xdr:spPr>
    </xdr:pic>
    <xdr:clientData/>
  </xdr:twoCellAnchor>
  <xdr:twoCellAnchor editAs="oneCell">
    <xdr:from>
      <xdr:col>8</xdr:col>
      <xdr:colOff>598714</xdr:colOff>
      <xdr:row>64</xdr:row>
      <xdr:rowOff>56067</xdr:rowOff>
    </xdr:from>
    <xdr:to>
      <xdr:col>13</xdr:col>
      <xdr:colOff>2805</xdr:colOff>
      <xdr:row>68</xdr:row>
      <xdr:rowOff>104779</xdr:rowOff>
    </xdr:to>
    <xdr:pic>
      <xdr:nvPicPr>
        <xdr:cNvPr id="7" name="Picture 6">
          <a:extLst>
            <a:ext uri="{FF2B5EF4-FFF2-40B4-BE49-F238E27FC236}">
              <a16:creationId xmlns:a16="http://schemas.microsoft.com/office/drawing/2014/main" id="{218FC2C7-1CBC-416F-A2F0-D761C4D03B95}"/>
            </a:ext>
          </a:extLst>
        </xdr:cNvPr>
        <xdr:cNvPicPr>
          <a:picLocks noChangeAspect="1"/>
        </xdr:cNvPicPr>
      </xdr:nvPicPr>
      <xdr:blipFill>
        <a:blip xmlns:r="http://schemas.openxmlformats.org/officeDocument/2006/relationships" r:embed="rId12"/>
        <a:stretch>
          <a:fillRect/>
        </a:stretch>
      </xdr:blipFill>
      <xdr:spPr>
        <a:xfrm>
          <a:off x="9780814" y="13457742"/>
          <a:ext cx="3079619" cy="92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6851610</xdr:colOff>
      <xdr:row>18</xdr:row>
      <xdr:rowOff>26267</xdr:rowOff>
    </xdr:from>
    <xdr:to>
      <xdr:col>6</xdr:col>
      <xdr:colOff>962438</xdr:colOff>
      <xdr:row>38</xdr:row>
      <xdr:rowOff>37152</xdr:rowOff>
    </xdr:to>
    <xdr:graphicFrame macro="">
      <xdr:nvGraphicFramePr>
        <xdr:cNvPr id="7" name="Chart 6">
          <a:extLst>
            <a:ext uri="{FF2B5EF4-FFF2-40B4-BE49-F238E27FC236}">
              <a16:creationId xmlns:a16="http://schemas.microsoft.com/office/drawing/2014/main" id="{0E5A3CAF-BFCF-4CB8-8C18-CD0CEE2987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44825</xdr:colOff>
      <xdr:row>2</xdr:row>
      <xdr:rowOff>32019</xdr:rowOff>
    </xdr:from>
    <xdr:to>
      <xdr:col>0</xdr:col>
      <xdr:colOff>1963111</xdr:colOff>
      <xdr:row>5</xdr:row>
      <xdr:rowOff>123400</xdr:rowOff>
    </xdr:to>
    <xdr:pic>
      <xdr:nvPicPr>
        <xdr:cNvPr id="6" name="Picture 5">
          <a:extLst>
            <a:ext uri="{FF2B5EF4-FFF2-40B4-BE49-F238E27FC236}">
              <a16:creationId xmlns:a16="http://schemas.microsoft.com/office/drawing/2014/main" id="{72740BB0-E3CB-4E86-B450-ECAA44DB4B40}"/>
            </a:ext>
          </a:extLst>
        </xdr:cNvPr>
        <xdr:cNvPicPr>
          <a:picLocks noChangeAspect="1"/>
        </xdr:cNvPicPr>
      </xdr:nvPicPr>
      <xdr:blipFill>
        <a:blip xmlns:r="http://schemas.openxmlformats.org/officeDocument/2006/relationships" r:embed="rId2"/>
        <a:stretch>
          <a:fillRect/>
        </a:stretch>
      </xdr:blipFill>
      <xdr:spPr>
        <a:xfrm>
          <a:off x="44825" y="569901"/>
          <a:ext cx="1921007" cy="649836"/>
        </a:xfrm>
        <a:prstGeom prst="rect">
          <a:avLst/>
        </a:prstGeom>
        <a:ln w="38100">
          <a:solidFill>
            <a:schemeClr val="tx1"/>
          </a:solidFill>
        </a:ln>
      </xdr:spPr>
    </xdr:pic>
    <xdr:clientData/>
  </xdr:twoCellAnchor>
  <xdr:twoCellAnchor editAs="oneCell">
    <xdr:from>
      <xdr:col>0</xdr:col>
      <xdr:colOff>19210</xdr:colOff>
      <xdr:row>36</xdr:row>
      <xdr:rowOff>123442</xdr:rowOff>
    </xdr:from>
    <xdr:to>
      <xdr:col>0</xdr:col>
      <xdr:colOff>2523753</xdr:colOff>
      <xdr:row>58</xdr:row>
      <xdr:rowOff>169208</xdr:rowOff>
    </xdr:to>
    <xdr:pic>
      <xdr:nvPicPr>
        <xdr:cNvPr id="8" name="Picture 7">
          <a:extLst>
            <a:ext uri="{FF2B5EF4-FFF2-40B4-BE49-F238E27FC236}">
              <a16:creationId xmlns:a16="http://schemas.microsoft.com/office/drawing/2014/main" id="{A9B8AB5F-019F-4956-947D-EA41DD0DB045}"/>
            </a:ext>
          </a:extLst>
        </xdr:cNvPr>
        <xdr:cNvPicPr>
          <a:picLocks noChangeAspect="1"/>
        </xdr:cNvPicPr>
      </xdr:nvPicPr>
      <xdr:blipFill>
        <a:blip xmlns:r="http://schemas.openxmlformats.org/officeDocument/2006/relationships" r:embed="rId3"/>
        <a:stretch>
          <a:fillRect/>
        </a:stretch>
      </xdr:blipFill>
      <xdr:spPr>
        <a:xfrm>
          <a:off x="19210" y="7007055"/>
          <a:ext cx="2500462" cy="4128390"/>
        </a:xfrm>
        <a:prstGeom prst="rect">
          <a:avLst/>
        </a:prstGeom>
        <a:ln>
          <a:solidFill>
            <a:schemeClr val="tx1"/>
          </a:solidFill>
        </a:ln>
      </xdr:spPr>
    </xdr:pic>
    <xdr:clientData/>
  </xdr:twoCellAnchor>
  <xdr:twoCellAnchor editAs="oneCell">
    <xdr:from>
      <xdr:col>0</xdr:col>
      <xdr:colOff>2551900</xdr:colOff>
      <xdr:row>5</xdr:row>
      <xdr:rowOff>188344</xdr:rowOff>
    </xdr:from>
    <xdr:to>
      <xdr:col>0</xdr:col>
      <xdr:colOff>5229161</xdr:colOff>
      <xdr:row>31</xdr:row>
      <xdr:rowOff>48906</xdr:rowOff>
    </xdr:to>
    <xdr:pic>
      <xdr:nvPicPr>
        <xdr:cNvPr id="11" name="Picture 10">
          <a:extLst>
            <a:ext uri="{FF2B5EF4-FFF2-40B4-BE49-F238E27FC236}">
              <a16:creationId xmlns:a16="http://schemas.microsoft.com/office/drawing/2014/main" id="{EF9AA2E4-0280-4927-9C38-81121E9CA9B6}"/>
            </a:ext>
          </a:extLst>
        </xdr:cNvPr>
        <xdr:cNvPicPr>
          <a:picLocks noChangeAspect="1"/>
        </xdr:cNvPicPr>
      </xdr:nvPicPr>
      <xdr:blipFill>
        <a:blip xmlns:r="http://schemas.openxmlformats.org/officeDocument/2006/relationships" r:embed="rId4"/>
        <a:stretch>
          <a:fillRect/>
        </a:stretch>
      </xdr:blipFill>
      <xdr:spPr>
        <a:xfrm>
          <a:off x="2551900" y="1283319"/>
          <a:ext cx="2673180" cy="4716632"/>
        </a:xfrm>
        <a:prstGeom prst="rect">
          <a:avLst/>
        </a:prstGeom>
        <a:ln>
          <a:solidFill>
            <a:schemeClr val="tx1"/>
          </a:solidFill>
        </a:ln>
      </xdr:spPr>
    </xdr:pic>
    <xdr:clientData/>
  </xdr:twoCellAnchor>
  <xdr:twoCellAnchor editAs="oneCell">
    <xdr:from>
      <xdr:col>0</xdr:col>
      <xdr:colOff>20171</xdr:colOff>
      <xdr:row>5</xdr:row>
      <xdr:rowOff>186786</xdr:rowOff>
    </xdr:from>
    <xdr:to>
      <xdr:col>0</xdr:col>
      <xdr:colOff>2532253</xdr:colOff>
      <xdr:row>36</xdr:row>
      <xdr:rowOff>26976</xdr:rowOff>
    </xdr:to>
    <xdr:pic>
      <xdr:nvPicPr>
        <xdr:cNvPr id="2" name="Picture 1">
          <a:extLst>
            <a:ext uri="{FF2B5EF4-FFF2-40B4-BE49-F238E27FC236}">
              <a16:creationId xmlns:a16="http://schemas.microsoft.com/office/drawing/2014/main" id="{F820117F-51FC-4B26-A156-1321FC3EA585}"/>
            </a:ext>
          </a:extLst>
        </xdr:cNvPr>
        <xdr:cNvPicPr>
          <a:picLocks noChangeAspect="1"/>
        </xdr:cNvPicPr>
      </xdr:nvPicPr>
      <xdr:blipFill>
        <a:blip xmlns:r="http://schemas.openxmlformats.org/officeDocument/2006/relationships" r:embed="rId5"/>
        <a:stretch>
          <a:fillRect/>
        </a:stretch>
      </xdr:blipFill>
      <xdr:spPr>
        <a:xfrm>
          <a:off x="20171" y="1294567"/>
          <a:ext cx="2509361" cy="5627467"/>
        </a:xfrm>
        <a:prstGeom prst="rect">
          <a:avLst/>
        </a:prstGeom>
        <a:ln>
          <a:solidFill>
            <a:schemeClr val="tx1"/>
          </a:solidFill>
        </a:ln>
      </xdr:spPr>
    </xdr:pic>
    <xdr:clientData/>
  </xdr:twoCellAnchor>
  <xdr:twoCellAnchor editAs="oneCell">
    <xdr:from>
      <xdr:col>0</xdr:col>
      <xdr:colOff>2561747</xdr:colOff>
      <xdr:row>36</xdr:row>
      <xdr:rowOff>125986</xdr:rowOff>
    </xdr:from>
    <xdr:to>
      <xdr:col>0</xdr:col>
      <xdr:colOff>5210966</xdr:colOff>
      <xdr:row>61</xdr:row>
      <xdr:rowOff>121902</xdr:rowOff>
    </xdr:to>
    <xdr:pic>
      <xdr:nvPicPr>
        <xdr:cNvPr id="3" name="Picture 2">
          <a:extLst>
            <a:ext uri="{FF2B5EF4-FFF2-40B4-BE49-F238E27FC236}">
              <a16:creationId xmlns:a16="http://schemas.microsoft.com/office/drawing/2014/main" id="{38E92CE8-4C22-4AA4-83CB-86BF16BF311D}"/>
            </a:ext>
          </a:extLst>
        </xdr:cNvPr>
        <xdr:cNvPicPr>
          <a:picLocks noChangeAspect="1"/>
        </xdr:cNvPicPr>
      </xdr:nvPicPr>
      <xdr:blipFill>
        <a:blip xmlns:r="http://schemas.openxmlformats.org/officeDocument/2006/relationships" r:embed="rId6"/>
        <a:stretch>
          <a:fillRect/>
        </a:stretch>
      </xdr:blipFill>
      <xdr:spPr>
        <a:xfrm>
          <a:off x="2561747" y="6815898"/>
          <a:ext cx="2653300" cy="4479631"/>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21773</xdr:colOff>
      <xdr:row>26</xdr:row>
      <xdr:rowOff>32046</xdr:rowOff>
    </xdr:from>
    <xdr:to>
      <xdr:col>4</xdr:col>
      <xdr:colOff>1735445</xdr:colOff>
      <xdr:row>30</xdr:row>
      <xdr:rowOff>16559</xdr:rowOff>
    </xdr:to>
    <xdr:pic>
      <xdr:nvPicPr>
        <xdr:cNvPr id="2" name="Picture 1">
          <a:extLst>
            <a:ext uri="{FF2B5EF4-FFF2-40B4-BE49-F238E27FC236}">
              <a16:creationId xmlns:a16="http://schemas.microsoft.com/office/drawing/2014/main" id="{5C59295F-19E8-4F57-9B2C-75C95C57CCD9}"/>
            </a:ext>
          </a:extLst>
        </xdr:cNvPr>
        <xdr:cNvPicPr>
          <a:picLocks noChangeAspect="1"/>
        </xdr:cNvPicPr>
      </xdr:nvPicPr>
      <xdr:blipFill>
        <a:blip xmlns:r="http://schemas.openxmlformats.org/officeDocument/2006/relationships" r:embed="rId1"/>
        <a:stretch>
          <a:fillRect/>
        </a:stretch>
      </xdr:blipFill>
      <xdr:spPr>
        <a:xfrm>
          <a:off x="5535387" y="4342789"/>
          <a:ext cx="2590799" cy="842865"/>
        </a:xfrm>
        <a:prstGeom prst="rect">
          <a:avLst/>
        </a:prstGeom>
      </xdr:spPr>
    </xdr:pic>
    <xdr:clientData/>
  </xdr:twoCellAnchor>
  <xdr:twoCellAnchor editAs="oneCell">
    <xdr:from>
      <xdr:col>3</xdr:col>
      <xdr:colOff>32658</xdr:colOff>
      <xdr:row>34</xdr:row>
      <xdr:rowOff>48986</xdr:rowOff>
    </xdr:from>
    <xdr:to>
      <xdr:col>6</xdr:col>
      <xdr:colOff>246489</xdr:colOff>
      <xdr:row>40</xdr:row>
      <xdr:rowOff>171450</xdr:rowOff>
    </xdr:to>
    <xdr:pic>
      <xdr:nvPicPr>
        <xdr:cNvPr id="3" name="Picture 2">
          <a:extLst>
            <a:ext uri="{FF2B5EF4-FFF2-40B4-BE49-F238E27FC236}">
              <a16:creationId xmlns:a16="http://schemas.microsoft.com/office/drawing/2014/main" id="{FC7CDA4B-DD98-4113-A0EE-53E45319FD15}"/>
            </a:ext>
          </a:extLst>
        </xdr:cNvPr>
        <xdr:cNvPicPr>
          <a:picLocks noChangeAspect="1"/>
        </xdr:cNvPicPr>
      </xdr:nvPicPr>
      <xdr:blipFill>
        <a:blip xmlns:r="http://schemas.openxmlformats.org/officeDocument/2006/relationships" r:embed="rId2"/>
        <a:stretch>
          <a:fillRect/>
        </a:stretch>
      </xdr:blipFill>
      <xdr:spPr>
        <a:xfrm>
          <a:off x="5546272" y="6047015"/>
          <a:ext cx="3950363" cy="1426028"/>
        </a:xfrm>
        <a:prstGeom prst="rect">
          <a:avLst/>
        </a:prstGeom>
      </xdr:spPr>
    </xdr:pic>
    <xdr:clientData/>
  </xdr:twoCellAnchor>
  <xdr:twoCellAnchor editAs="oneCell">
    <xdr:from>
      <xdr:col>5</xdr:col>
      <xdr:colOff>610958</xdr:colOff>
      <xdr:row>43</xdr:row>
      <xdr:rowOff>66022</xdr:rowOff>
    </xdr:from>
    <xdr:to>
      <xdr:col>15</xdr:col>
      <xdr:colOff>98501</xdr:colOff>
      <xdr:row>54</xdr:row>
      <xdr:rowOff>2718</xdr:rowOff>
    </xdr:to>
    <xdr:pic>
      <xdr:nvPicPr>
        <xdr:cNvPr id="5" name="Picture 4">
          <a:extLst>
            <a:ext uri="{FF2B5EF4-FFF2-40B4-BE49-F238E27FC236}">
              <a16:creationId xmlns:a16="http://schemas.microsoft.com/office/drawing/2014/main" id="{F0B90A55-FABA-471B-A275-9FCAC9A5F490}"/>
            </a:ext>
          </a:extLst>
        </xdr:cNvPr>
        <xdr:cNvPicPr>
          <a:picLocks noChangeAspect="1"/>
        </xdr:cNvPicPr>
      </xdr:nvPicPr>
      <xdr:blipFill>
        <a:blip xmlns:r="http://schemas.openxmlformats.org/officeDocument/2006/relationships" r:embed="rId3"/>
        <a:stretch>
          <a:fillRect/>
        </a:stretch>
      </xdr:blipFill>
      <xdr:spPr>
        <a:xfrm>
          <a:off x="9074601" y="8589536"/>
          <a:ext cx="7748701" cy="2260796"/>
        </a:xfrm>
        <a:prstGeom prst="rect">
          <a:avLst/>
        </a:prstGeom>
      </xdr:spPr>
    </xdr:pic>
    <xdr:clientData/>
  </xdr:twoCellAnchor>
  <xdr:twoCellAnchor editAs="oneCell">
    <xdr:from>
      <xdr:col>7</xdr:col>
      <xdr:colOff>669474</xdr:colOff>
      <xdr:row>55</xdr:row>
      <xdr:rowOff>1</xdr:rowOff>
    </xdr:from>
    <xdr:to>
      <xdr:col>10</xdr:col>
      <xdr:colOff>628650</xdr:colOff>
      <xdr:row>64</xdr:row>
      <xdr:rowOff>1179</xdr:rowOff>
    </xdr:to>
    <xdr:pic>
      <xdr:nvPicPr>
        <xdr:cNvPr id="8" name="Picture 7">
          <a:extLst>
            <a:ext uri="{FF2B5EF4-FFF2-40B4-BE49-F238E27FC236}">
              <a16:creationId xmlns:a16="http://schemas.microsoft.com/office/drawing/2014/main" id="{CB5C3065-1091-4EA1-952D-C02F268F0FA7}"/>
            </a:ext>
          </a:extLst>
        </xdr:cNvPr>
        <xdr:cNvPicPr>
          <a:picLocks noChangeAspect="1"/>
        </xdr:cNvPicPr>
      </xdr:nvPicPr>
      <xdr:blipFill>
        <a:blip xmlns:r="http://schemas.openxmlformats.org/officeDocument/2006/relationships" r:embed="rId4"/>
        <a:stretch>
          <a:fillRect/>
        </a:stretch>
      </xdr:blipFill>
      <xdr:spPr>
        <a:xfrm>
          <a:off x="11108874" y="11049001"/>
          <a:ext cx="2732311" cy="1895292"/>
        </a:xfrm>
        <a:prstGeom prst="rect">
          <a:avLst/>
        </a:prstGeom>
      </xdr:spPr>
    </xdr:pic>
    <xdr:clientData/>
  </xdr:twoCellAnchor>
  <xdr:twoCellAnchor editAs="oneCell">
    <xdr:from>
      <xdr:col>4</xdr:col>
      <xdr:colOff>1872343</xdr:colOff>
      <xdr:row>55</xdr:row>
      <xdr:rowOff>17775</xdr:rowOff>
    </xdr:from>
    <xdr:to>
      <xdr:col>7</xdr:col>
      <xdr:colOff>457199</xdr:colOff>
      <xdr:row>63</xdr:row>
      <xdr:rowOff>132874</xdr:rowOff>
    </xdr:to>
    <xdr:pic>
      <xdr:nvPicPr>
        <xdr:cNvPr id="10" name="Picture 9">
          <a:extLst>
            <a:ext uri="{FF2B5EF4-FFF2-40B4-BE49-F238E27FC236}">
              <a16:creationId xmlns:a16="http://schemas.microsoft.com/office/drawing/2014/main" id="{207D3E3A-9B7F-4BE7-AF71-F9463970CEB1}"/>
            </a:ext>
          </a:extLst>
        </xdr:cNvPr>
        <xdr:cNvPicPr>
          <a:picLocks noChangeAspect="1"/>
        </xdr:cNvPicPr>
      </xdr:nvPicPr>
      <xdr:blipFill>
        <a:blip xmlns:r="http://schemas.openxmlformats.org/officeDocument/2006/relationships" r:embed="rId5"/>
        <a:stretch>
          <a:fillRect/>
        </a:stretch>
      </xdr:blipFill>
      <xdr:spPr>
        <a:xfrm>
          <a:off x="8278586" y="11066775"/>
          <a:ext cx="2618013" cy="1826877"/>
        </a:xfrm>
        <a:prstGeom prst="rect">
          <a:avLst/>
        </a:prstGeom>
      </xdr:spPr>
    </xdr:pic>
    <xdr:clientData/>
  </xdr:twoCellAnchor>
  <xdr:twoCellAnchor editAs="oneCell">
    <xdr:from>
      <xdr:col>3</xdr:col>
      <xdr:colOff>10887</xdr:colOff>
      <xdr:row>57</xdr:row>
      <xdr:rowOff>76201</xdr:rowOff>
    </xdr:from>
    <xdr:to>
      <xdr:col>4</xdr:col>
      <xdr:colOff>1485900</xdr:colOff>
      <xdr:row>61</xdr:row>
      <xdr:rowOff>134137</xdr:rowOff>
    </xdr:to>
    <xdr:pic>
      <xdr:nvPicPr>
        <xdr:cNvPr id="11" name="Picture 10">
          <a:extLst>
            <a:ext uri="{FF2B5EF4-FFF2-40B4-BE49-F238E27FC236}">
              <a16:creationId xmlns:a16="http://schemas.microsoft.com/office/drawing/2014/main" id="{8072BFB1-B56B-4DE1-AB63-4CC2EA0BA1D3}"/>
            </a:ext>
          </a:extLst>
        </xdr:cNvPr>
        <xdr:cNvPicPr>
          <a:picLocks noChangeAspect="1"/>
        </xdr:cNvPicPr>
      </xdr:nvPicPr>
      <xdr:blipFill>
        <a:blip xmlns:r="http://schemas.openxmlformats.org/officeDocument/2006/relationships" r:embed="rId6"/>
        <a:stretch>
          <a:fillRect/>
        </a:stretch>
      </xdr:blipFill>
      <xdr:spPr>
        <a:xfrm>
          <a:off x="5524501" y="10940144"/>
          <a:ext cx="2367642" cy="898857"/>
        </a:xfrm>
        <a:prstGeom prst="rect">
          <a:avLst/>
        </a:prstGeom>
      </xdr:spPr>
    </xdr:pic>
    <xdr:clientData/>
  </xdr:twoCellAnchor>
  <xdr:twoCellAnchor editAs="oneCell">
    <xdr:from>
      <xdr:col>4</xdr:col>
      <xdr:colOff>1937658</xdr:colOff>
      <xdr:row>65</xdr:row>
      <xdr:rowOff>154404</xdr:rowOff>
    </xdr:from>
    <xdr:to>
      <xdr:col>7</xdr:col>
      <xdr:colOff>705316</xdr:colOff>
      <xdr:row>71</xdr:row>
      <xdr:rowOff>193221</xdr:rowOff>
    </xdr:to>
    <xdr:pic>
      <xdr:nvPicPr>
        <xdr:cNvPr id="13" name="Picture 12">
          <a:extLst>
            <a:ext uri="{FF2B5EF4-FFF2-40B4-BE49-F238E27FC236}">
              <a16:creationId xmlns:a16="http://schemas.microsoft.com/office/drawing/2014/main" id="{D24DBDF0-ED99-49BA-893E-C5211AB7F818}"/>
            </a:ext>
          </a:extLst>
        </xdr:cNvPr>
        <xdr:cNvPicPr>
          <a:picLocks noChangeAspect="1"/>
        </xdr:cNvPicPr>
      </xdr:nvPicPr>
      <xdr:blipFill>
        <a:blip xmlns:r="http://schemas.openxmlformats.org/officeDocument/2006/relationships" r:embed="rId7"/>
        <a:stretch>
          <a:fillRect/>
        </a:stretch>
      </xdr:blipFill>
      <xdr:spPr>
        <a:xfrm>
          <a:off x="8343901" y="13293461"/>
          <a:ext cx="2790756" cy="1312446"/>
        </a:xfrm>
        <a:prstGeom prst="rect">
          <a:avLst/>
        </a:prstGeom>
      </xdr:spPr>
    </xdr:pic>
    <xdr:clientData/>
  </xdr:twoCellAnchor>
  <xdr:twoCellAnchor editAs="oneCell">
    <xdr:from>
      <xdr:col>7</xdr:col>
      <xdr:colOff>647700</xdr:colOff>
      <xdr:row>74</xdr:row>
      <xdr:rowOff>204071</xdr:rowOff>
    </xdr:from>
    <xdr:to>
      <xdr:col>13</xdr:col>
      <xdr:colOff>135245</xdr:colOff>
      <xdr:row>80</xdr:row>
      <xdr:rowOff>171773</xdr:rowOff>
    </xdr:to>
    <xdr:pic>
      <xdr:nvPicPr>
        <xdr:cNvPr id="4" name="Picture 3">
          <a:extLst>
            <a:ext uri="{FF2B5EF4-FFF2-40B4-BE49-F238E27FC236}">
              <a16:creationId xmlns:a16="http://schemas.microsoft.com/office/drawing/2014/main" id="{25E4FA86-2543-40C8-B9AA-BA521C275190}"/>
            </a:ext>
          </a:extLst>
        </xdr:cNvPr>
        <xdr:cNvPicPr>
          <a:picLocks noChangeAspect="1"/>
        </xdr:cNvPicPr>
      </xdr:nvPicPr>
      <xdr:blipFill>
        <a:blip xmlns:r="http://schemas.openxmlformats.org/officeDocument/2006/relationships" r:embed="rId8"/>
        <a:stretch>
          <a:fillRect/>
        </a:stretch>
      </xdr:blipFill>
      <xdr:spPr>
        <a:xfrm>
          <a:off x="11087100" y="15215471"/>
          <a:ext cx="4446814" cy="1238610"/>
        </a:xfrm>
        <a:prstGeom prst="rect">
          <a:avLst/>
        </a:prstGeom>
      </xdr:spPr>
    </xdr:pic>
    <xdr:clientData/>
  </xdr:twoCellAnchor>
  <xdr:twoCellAnchor editAs="oneCell">
    <xdr:from>
      <xdr:col>3</xdr:col>
      <xdr:colOff>27214</xdr:colOff>
      <xdr:row>76</xdr:row>
      <xdr:rowOff>87086</xdr:rowOff>
    </xdr:from>
    <xdr:to>
      <xdr:col>4</xdr:col>
      <xdr:colOff>1333499</xdr:colOff>
      <xdr:row>78</xdr:row>
      <xdr:rowOff>130278</xdr:rowOff>
    </xdr:to>
    <xdr:pic>
      <xdr:nvPicPr>
        <xdr:cNvPr id="9" name="Picture 8">
          <a:extLst>
            <a:ext uri="{FF2B5EF4-FFF2-40B4-BE49-F238E27FC236}">
              <a16:creationId xmlns:a16="http://schemas.microsoft.com/office/drawing/2014/main" id="{19BD60EC-5CBA-4423-BC0A-C73697B0D0E5}"/>
            </a:ext>
          </a:extLst>
        </xdr:cNvPr>
        <xdr:cNvPicPr>
          <a:picLocks noChangeAspect="1"/>
        </xdr:cNvPicPr>
      </xdr:nvPicPr>
      <xdr:blipFill>
        <a:blip xmlns:r="http://schemas.openxmlformats.org/officeDocument/2006/relationships" r:embed="rId9"/>
        <a:stretch>
          <a:fillRect/>
        </a:stretch>
      </xdr:blipFill>
      <xdr:spPr>
        <a:xfrm>
          <a:off x="5540828" y="15283543"/>
          <a:ext cx="2198914" cy="474276"/>
        </a:xfrm>
        <a:prstGeom prst="rect">
          <a:avLst/>
        </a:prstGeom>
      </xdr:spPr>
    </xdr:pic>
    <xdr:clientData/>
  </xdr:twoCellAnchor>
  <xdr:twoCellAnchor editAs="oneCell">
    <xdr:from>
      <xdr:col>4</xdr:col>
      <xdr:colOff>1932213</xdr:colOff>
      <xdr:row>74</xdr:row>
      <xdr:rowOff>38099</xdr:rowOff>
    </xdr:from>
    <xdr:to>
      <xdr:col>7</xdr:col>
      <xdr:colOff>57194</xdr:colOff>
      <xdr:row>81</xdr:row>
      <xdr:rowOff>171449</xdr:rowOff>
    </xdr:to>
    <xdr:pic>
      <xdr:nvPicPr>
        <xdr:cNvPr id="14" name="Picture 13">
          <a:extLst>
            <a:ext uri="{FF2B5EF4-FFF2-40B4-BE49-F238E27FC236}">
              <a16:creationId xmlns:a16="http://schemas.microsoft.com/office/drawing/2014/main" id="{40BBE1DB-912E-4C8A-AD3C-131853BCB141}"/>
            </a:ext>
          </a:extLst>
        </xdr:cNvPr>
        <xdr:cNvPicPr>
          <a:picLocks noChangeAspect="1"/>
        </xdr:cNvPicPr>
      </xdr:nvPicPr>
      <xdr:blipFill>
        <a:blip xmlns:r="http://schemas.openxmlformats.org/officeDocument/2006/relationships" r:embed="rId10"/>
        <a:stretch>
          <a:fillRect/>
        </a:stretch>
      </xdr:blipFill>
      <xdr:spPr>
        <a:xfrm>
          <a:off x="8338456" y="15049499"/>
          <a:ext cx="2160859" cy="1621972"/>
        </a:xfrm>
        <a:prstGeom prst="rect">
          <a:avLst/>
        </a:prstGeom>
      </xdr:spPr>
    </xdr:pic>
    <xdr:clientData/>
  </xdr:twoCellAnchor>
  <xdr:twoCellAnchor editAs="oneCell">
    <xdr:from>
      <xdr:col>3</xdr:col>
      <xdr:colOff>81644</xdr:colOff>
      <xdr:row>45</xdr:row>
      <xdr:rowOff>136071</xdr:rowOff>
    </xdr:from>
    <xdr:to>
      <xdr:col>5</xdr:col>
      <xdr:colOff>287646</xdr:colOff>
      <xdr:row>50</xdr:row>
      <xdr:rowOff>191848</xdr:rowOff>
    </xdr:to>
    <xdr:pic>
      <xdr:nvPicPr>
        <xdr:cNvPr id="15" name="Picture 14">
          <a:extLst>
            <a:ext uri="{FF2B5EF4-FFF2-40B4-BE49-F238E27FC236}">
              <a16:creationId xmlns:a16="http://schemas.microsoft.com/office/drawing/2014/main" id="{83A98E10-9F03-459A-A492-14E866A579B1}"/>
            </a:ext>
          </a:extLst>
        </xdr:cNvPr>
        <xdr:cNvPicPr>
          <a:picLocks noChangeAspect="1"/>
        </xdr:cNvPicPr>
      </xdr:nvPicPr>
      <xdr:blipFill>
        <a:blip xmlns:r="http://schemas.openxmlformats.org/officeDocument/2006/relationships" r:embed="rId11"/>
        <a:stretch>
          <a:fillRect/>
        </a:stretch>
      </xdr:blipFill>
      <xdr:spPr>
        <a:xfrm>
          <a:off x="5595258" y="8844642"/>
          <a:ext cx="3145972" cy="1111691"/>
        </a:xfrm>
        <a:prstGeom prst="rect">
          <a:avLst/>
        </a:prstGeom>
      </xdr:spPr>
    </xdr:pic>
    <xdr:clientData/>
  </xdr:twoCellAnchor>
  <xdr:twoCellAnchor editAs="oneCell">
    <xdr:from>
      <xdr:col>4</xdr:col>
      <xdr:colOff>1905000</xdr:colOff>
      <xdr:row>94</xdr:row>
      <xdr:rowOff>68830</xdr:rowOff>
    </xdr:from>
    <xdr:to>
      <xdr:col>8</xdr:col>
      <xdr:colOff>283856</xdr:colOff>
      <xdr:row>100</xdr:row>
      <xdr:rowOff>136187</xdr:rowOff>
    </xdr:to>
    <xdr:pic>
      <xdr:nvPicPr>
        <xdr:cNvPr id="18" name="Picture 17">
          <a:extLst>
            <a:ext uri="{FF2B5EF4-FFF2-40B4-BE49-F238E27FC236}">
              <a16:creationId xmlns:a16="http://schemas.microsoft.com/office/drawing/2014/main" id="{A207EF51-50F9-4E77-94A2-50EF49C0C1A9}"/>
            </a:ext>
          </a:extLst>
        </xdr:cNvPr>
        <xdr:cNvPicPr>
          <a:picLocks noChangeAspect="1"/>
        </xdr:cNvPicPr>
      </xdr:nvPicPr>
      <xdr:blipFill>
        <a:blip xmlns:r="http://schemas.openxmlformats.org/officeDocument/2006/relationships" r:embed="rId12"/>
        <a:stretch>
          <a:fillRect/>
        </a:stretch>
      </xdr:blipFill>
      <xdr:spPr>
        <a:xfrm>
          <a:off x="8311243" y="19478059"/>
          <a:ext cx="3292929" cy="1290901"/>
        </a:xfrm>
        <a:prstGeom prst="rect">
          <a:avLst/>
        </a:prstGeom>
      </xdr:spPr>
    </xdr:pic>
    <xdr:clientData/>
  </xdr:twoCellAnchor>
  <xdr:twoCellAnchor editAs="oneCell">
    <xdr:from>
      <xdr:col>8</xdr:col>
      <xdr:colOff>277585</xdr:colOff>
      <xdr:row>94</xdr:row>
      <xdr:rowOff>16326</xdr:rowOff>
    </xdr:from>
    <xdr:to>
      <xdr:col>10</xdr:col>
      <xdr:colOff>592444</xdr:colOff>
      <xdr:row>103</xdr:row>
      <xdr:rowOff>18624</xdr:rowOff>
    </xdr:to>
    <xdr:pic>
      <xdr:nvPicPr>
        <xdr:cNvPr id="19" name="Picture 18">
          <a:extLst>
            <a:ext uri="{FF2B5EF4-FFF2-40B4-BE49-F238E27FC236}">
              <a16:creationId xmlns:a16="http://schemas.microsoft.com/office/drawing/2014/main" id="{5222E351-1569-41EE-9564-A2912A07E3CC}"/>
            </a:ext>
          </a:extLst>
        </xdr:cNvPr>
        <xdr:cNvPicPr>
          <a:picLocks noChangeAspect="1"/>
        </xdr:cNvPicPr>
      </xdr:nvPicPr>
      <xdr:blipFill>
        <a:blip xmlns:r="http://schemas.openxmlformats.org/officeDocument/2006/relationships" r:embed="rId13"/>
        <a:stretch>
          <a:fillRect/>
        </a:stretch>
      </xdr:blipFill>
      <xdr:spPr>
        <a:xfrm>
          <a:off x="11582399" y="19425555"/>
          <a:ext cx="2209800" cy="1890143"/>
        </a:xfrm>
        <a:prstGeom prst="rect">
          <a:avLst/>
        </a:prstGeom>
      </xdr:spPr>
    </xdr:pic>
    <xdr:clientData/>
  </xdr:twoCellAnchor>
  <xdr:twoCellAnchor editAs="oneCell">
    <xdr:from>
      <xdr:col>3</xdr:col>
      <xdr:colOff>136072</xdr:colOff>
      <xdr:row>94</xdr:row>
      <xdr:rowOff>212271</xdr:rowOff>
    </xdr:from>
    <xdr:to>
      <xdr:col>4</xdr:col>
      <xdr:colOff>1350662</xdr:colOff>
      <xdr:row>97</xdr:row>
      <xdr:rowOff>97145</xdr:rowOff>
    </xdr:to>
    <xdr:pic>
      <xdr:nvPicPr>
        <xdr:cNvPr id="21" name="Picture 20">
          <a:extLst>
            <a:ext uri="{FF2B5EF4-FFF2-40B4-BE49-F238E27FC236}">
              <a16:creationId xmlns:a16="http://schemas.microsoft.com/office/drawing/2014/main" id="{75420A8B-5E59-4591-A0D8-2C6CFAB0D9B5}"/>
            </a:ext>
          </a:extLst>
        </xdr:cNvPr>
        <xdr:cNvPicPr>
          <a:picLocks noChangeAspect="1"/>
        </xdr:cNvPicPr>
      </xdr:nvPicPr>
      <xdr:blipFill>
        <a:blip xmlns:r="http://schemas.openxmlformats.org/officeDocument/2006/relationships" r:embed="rId14"/>
        <a:stretch>
          <a:fillRect/>
        </a:stretch>
      </xdr:blipFill>
      <xdr:spPr>
        <a:xfrm>
          <a:off x="5649686" y="19371128"/>
          <a:ext cx="2117278" cy="495301"/>
        </a:xfrm>
        <a:prstGeom prst="rect">
          <a:avLst/>
        </a:prstGeom>
      </xdr:spPr>
    </xdr:pic>
    <xdr:clientData/>
  </xdr:twoCellAnchor>
  <xdr:twoCellAnchor editAs="oneCell">
    <xdr:from>
      <xdr:col>3</xdr:col>
      <xdr:colOff>103415</xdr:colOff>
      <xdr:row>101</xdr:row>
      <xdr:rowOff>87087</xdr:rowOff>
    </xdr:from>
    <xdr:to>
      <xdr:col>4</xdr:col>
      <xdr:colOff>1769755</xdr:colOff>
      <xdr:row>103</xdr:row>
      <xdr:rowOff>172846</xdr:rowOff>
    </xdr:to>
    <xdr:pic>
      <xdr:nvPicPr>
        <xdr:cNvPr id="22" name="Picture 21">
          <a:extLst>
            <a:ext uri="{FF2B5EF4-FFF2-40B4-BE49-F238E27FC236}">
              <a16:creationId xmlns:a16="http://schemas.microsoft.com/office/drawing/2014/main" id="{5040A349-4212-4615-B2DD-3F8045C50BC4}"/>
            </a:ext>
          </a:extLst>
        </xdr:cNvPr>
        <xdr:cNvPicPr>
          <a:picLocks noChangeAspect="1"/>
        </xdr:cNvPicPr>
      </xdr:nvPicPr>
      <xdr:blipFill>
        <a:blip xmlns:r="http://schemas.openxmlformats.org/officeDocument/2006/relationships" r:embed="rId15"/>
        <a:stretch>
          <a:fillRect/>
        </a:stretch>
      </xdr:blipFill>
      <xdr:spPr>
        <a:xfrm>
          <a:off x="5617029" y="20682858"/>
          <a:ext cx="2574471" cy="523908"/>
        </a:xfrm>
        <a:prstGeom prst="rect">
          <a:avLst/>
        </a:prstGeom>
      </xdr:spPr>
    </xdr:pic>
    <xdr:clientData/>
  </xdr:twoCellAnchor>
  <xdr:twoCellAnchor>
    <xdr:from>
      <xdr:col>3</xdr:col>
      <xdr:colOff>12789</xdr:colOff>
      <xdr:row>3</xdr:row>
      <xdr:rowOff>12789</xdr:rowOff>
    </xdr:from>
    <xdr:to>
      <xdr:col>9</xdr:col>
      <xdr:colOff>885825</xdr:colOff>
      <xdr:row>23</xdr:row>
      <xdr:rowOff>2176</xdr:rowOff>
    </xdr:to>
    <xdr:graphicFrame macro="">
      <xdr:nvGraphicFramePr>
        <xdr:cNvPr id="25" name="Chart 24">
          <a:extLst>
            <a:ext uri="{FF2B5EF4-FFF2-40B4-BE49-F238E27FC236}">
              <a16:creationId xmlns:a16="http://schemas.microsoft.com/office/drawing/2014/main" id="{FCB7974E-B974-4005-8AD6-3C651C4DCA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xdr:col>
      <xdr:colOff>81644</xdr:colOff>
      <xdr:row>107</xdr:row>
      <xdr:rowOff>108858</xdr:rowOff>
    </xdr:from>
    <xdr:to>
      <xdr:col>4</xdr:col>
      <xdr:colOff>1162049</xdr:colOff>
      <xdr:row>110</xdr:row>
      <xdr:rowOff>135275</xdr:rowOff>
    </xdr:to>
    <xdr:pic>
      <xdr:nvPicPr>
        <xdr:cNvPr id="26" name="Picture 25">
          <a:extLst>
            <a:ext uri="{FF2B5EF4-FFF2-40B4-BE49-F238E27FC236}">
              <a16:creationId xmlns:a16="http://schemas.microsoft.com/office/drawing/2014/main" id="{2C0BA420-27C1-4023-A009-0A48B14C7C45}"/>
            </a:ext>
          </a:extLst>
        </xdr:cNvPr>
        <xdr:cNvPicPr>
          <a:picLocks noChangeAspect="1"/>
        </xdr:cNvPicPr>
      </xdr:nvPicPr>
      <xdr:blipFill>
        <a:blip xmlns:r="http://schemas.openxmlformats.org/officeDocument/2006/relationships" r:embed="rId17"/>
        <a:stretch>
          <a:fillRect/>
        </a:stretch>
      </xdr:blipFill>
      <xdr:spPr>
        <a:xfrm>
          <a:off x="5595258" y="22206858"/>
          <a:ext cx="1970313" cy="693157"/>
        </a:xfrm>
        <a:prstGeom prst="rect">
          <a:avLst/>
        </a:prstGeom>
      </xdr:spPr>
    </xdr:pic>
    <xdr:clientData/>
  </xdr:twoCellAnchor>
  <xdr:twoCellAnchor editAs="oneCell">
    <xdr:from>
      <xdr:col>3</xdr:col>
      <xdr:colOff>21773</xdr:colOff>
      <xdr:row>66</xdr:row>
      <xdr:rowOff>59873</xdr:rowOff>
    </xdr:from>
    <xdr:to>
      <xdr:col>4</xdr:col>
      <xdr:colOff>1442357</xdr:colOff>
      <xdr:row>71</xdr:row>
      <xdr:rowOff>156881</xdr:rowOff>
    </xdr:to>
    <xdr:pic>
      <xdr:nvPicPr>
        <xdr:cNvPr id="6" name="Picture 5">
          <a:extLst>
            <a:ext uri="{FF2B5EF4-FFF2-40B4-BE49-F238E27FC236}">
              <a16:creationId xmlns:a16="http://schemas.microsoft.com/office/drawing/2014/main" id="{C3BB7635-DEC3-4210-A4E2-EE5AAFE9701C}"/>
            </a:ext>
          </a:extLst>
        </xdr:cNvPr>
        <xdr:cNvPicPr>
          <a:picLocks noChangeAspect="1"/>
        </xdr:cNvPicPr>
      </xdr:nvPicPr>
      <xdr:blipFill>
        <a:blip xmlns:r="http://schemas.openxmlformats.org/officeDocument/2006/relationships" r:embed="rId18"/>
        <a:stretch>
          <a:fillRect/>
        </a:stretch>
      </xdr:blipFill>
      <xdr:spPr>
        <a:xfrm>
          <a:off x="5529944" y="13416644"/>
          <a:ext cx="2318656" cy="1152923"/>
        </a:xfrm>
        <a:prstGeom prst="rect">
          <a:avLst/>
        </a:prstGeom>
      </xdr:spPr>
    </xdr:pic>
    <xdr:clientData/>
  </xdr:twoCellAnchor>
  <xdr:twoCellAnchor editAs="oneCell">
    <xdr:from>
      <xdr:col>3</xdr:col>
      <xdr:colOff>27215</xdr:colOff>
      <xdr:row>86</xdr:row>
      <xdr:rowOff>34891</xdr:rowOff>
    </xdr:from>
    <xdr:to>
      <xdr:col>5</xdr:col>
      <xdr:colOff>609600</xdr:colOff>
      <xdr:row>89</xdr:row>
      <xdr:rowOff>61087</xdr:rowOff>
    </xdr:to>
    <xdr:pic>
      <xdr:nvPicPr>
        <xdr:cNvPr id="16" name="Picture 15">
          <a:extLst>
            <a:ext uri="{FF2B5EF4-FFF2-40B4-BE49-F238E27FC236}">
              <a16:creationId xmlns:a16="http://schemas.microsoft.com/office/drawing/2014/main" id="{451E9E82-609E-4F92-AB55-469A1BC1A605}"/>
            </a:ext>
          </a:extLst>
        </xdr:cNvPr>
        <xdr:cNvPicPr>
          <a:picLocks noChangeAspect="1"/>
        </xdr:cNvPicPr>
      </xdr:nvPicPr>
      <xdr:blipFill>
        <a:blip xmlns:r="http://schemas.openxmlformats.org/officeDocument/2006/relationships" r:embed="rId19"/>
        <a:stretch>
          <a:fillRect/>
        </a:stretch>
      </xdr:blipFill>
      <xdr:spPr>
        <a:xfrm>
          <a:off x="5535386" y="17571777"/>
          <a:ext cx="3537857" cy="67933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03"/>
  <sheetViews>
    <sheetView tabSelected="1" zoomScale="130" zoomScaleNormal="130" workbookViewId="0">
      <selection activeCell="C25" sqref="C25"/>
    </sheetView>
  </sheetViews>
  <sheetFormatPr defaultRowHeight="15" x14ac:dyDescent="0.25"/>
  <cols>
    <col min="1" max="1" width="81.85546875" customWidth="1"/>
    <col min="2" max="2" width="14.28515625" customWidth="1"/>
    <col min="3" max="3" width="7.42578125" customWidth="1"/>
    <col min="13" max="13" width="15.140625" customWidth="1"/>
    <col min="14" max="14" width="4" customWidth="1"/>
    <col min="19" max="19" width="13.5703125" customWidth="1"/>
  </cols>
  <sheetData>
    <row r="1" spans="1:14" ht="45.4" customHeight="1" thickBot="1" x14ac:dyDescent="0.3">
      <c r="B1" s="93" t="s">
        <v>0</v>
      </c>
      <c r="C1" s="93"/>
      <c r="D1" s="93"/>
      <c r="E1" s="93"/>
      <c r="F1" s="93"/>
      <c r="G1" s="93"/>
      <c r="H1" s="93"/>
      <c r="I1" s="93"/>
      <c r="J1" s="93"/>
      <c r="K1" s="93"/>
      <c r="L1" s="93"/>
      <c r="M1" s="93"/>
      <c r="N1" s="1"/>
    </row>
    <row r="2" spans="1:14" ht="19.899999999999999" customHeight="1" thickBot="1" x14ac:dyDescent="0.3">
      <c r="A2" s="1"/>
      <c r="B2" s="2"/>
      <c r="C2" s="103" t="s">
        <v>1</v>
      </c>
      <c r="D2" s="104"/>
      <c r="E2" s="1"/>
      <c r="F2" s="1"/>
      <c r="G2" s="4" t="s">
        <v>2</v>
      </c>
      <c r="H2" s="1"/>
      <c r="I2" s="1"/>
      <c r="J2" s="1"/>
      <c r="K2" s="3" t="s">
        <v>3</v>
      </c>
      <c r="L2" s="1"/>
      <c r="M2" s="1"/>
      <c r="N2" s="1"/>
    </row>
    <row r="3" spans="1:14" ht="15.75" x14ac:dyDescent="0.25">
      <c r="A3" s="94" t="s">
        <v>4</v>
      </c>
      <c r="B3" s="95"/>
      <c r="C3" s="96"/>
      <c r="D3" s="5"/>
      <c r="E3" s="5"/>
      <c r="F3" s="5"/>
      <c r="G3" s="5"/>
      <c r="H3" s="5"/>
      <c r="I3" s="5"/>
      <c r="J3" s="5"/>
      <c r="K3" s="5"/>
      <c r="L3" s="5"/>
      <c r="M3" s="5"/>
      <c r="N3" s="1"/>
    </row>
    <row r="4" spans="1:14" x14ac:dyDescent="0.25">
      <c r="A4" s="21" t="s">
        <v>5</v>
      </c>
      <c r="B4" s="21" t="s">
        <v>6</v>
      </c>
      <c r="C4" s="22" t="s">
        <v>7</v>
      </c>
      <c r="D4" s="6"/>
      <c r="E4" s="6"/>
      <c r="F4" s="6"/>
      <c r="G4" s="6"/>
      <c r="H4" s="6"/>
      <c r="I4" s="6"/>
      <c r="J4" s="6"/>
      <c r="K4" s="6"/>
      <c r="L4" s="6"/>
      <c r="M4" s="6"/>
      <c r="N4" s="1"/>
    </row>
    <row r="5" spans="1:14" ht="18" x14ac:dyDescent="0.25">
      <c r="A5" s="8" t="s">
        <v>33</v>
      </c>
      <c r="B5" s="10">
        <v>19</v>
      </c>
      <c r="C5" s="11" t="s">
        <v>9</v>
      </c>
      <c r="D5" s="6"/>
      <c r="E5" s="6"/>
      <c r="F5" s="6"/>
      <c r="G5" s="6"/>
      <c r="H5" s="6"/>
      <c r="I5" s="6"/>
      <c r="J5" s="6"/>
      <c r="K5" s="6"/>
      <c r="L5" s="6"/>
      <c r="M5" s="6"/>
      <c r="N5" s="1"/>
    </row>
    <row r="6" spans="1:14" ht="18" x14ac:dyDescent="0.25">
      <c r="A6" s="8" t="s">
        <v>34</v>
      </c>
      <c r="B6" s="10">
        <v>20</v>
      </c>
      <c r="C6" s="11" t="s">
        <v>9</v>
      </c>
      <c r="D6" s="6"/>
      <c r="E6" s="6"/>
      <c r="F6" s="6"/>
      <c r="G6" s="6"/>
      <c r="H6" s="6"/>
      <c r="I6" s="6"/>
      <c r="J6" s="6"/>
      <c r="K6" s="6"/>
      <c r="L6" s="6"/>
      <c r="M6" s="6"/>
      <c r="N6" s="1"/>
    </row>
    <row r="7" spans="1:14" ht="18" x14ac:dyDescent="0.25">
      <c r="A7" s="8" t="s">
        <v>35</v>
      </c>
      <c r="B7" s="10">
        <v>21</v>
      </c>
      <c r="C7" s="11" t="s">
        <v>9</v>
      </c>
      <c r="D7" s="6"/>
      <c r="E7" s="6"/>
      <c r="G7" s="6"/>
      <c r="H7" s="6"/>
      <c r="I7" s="6"/>
      <c r="J7" s="6"/>
      <c r="K7" s="6"/>
      <c r="L7" s="6"/>
      <c r="M7" s="6"/>
      <c r="N7" s="1"/>
    </row>
    <row r="8" spans="1:14" ht="18" x14ac:dyDescent="0.25">
      <c r="A8" s="8" t="s">
        <v>36</v>
      </c>
      <c r="B8" s="10">
        <v>24</v>
      </c>
      <c r="C8" s="11" t="s">
        <v>9</v>
      </c>
      <c r="D8" s="6"/>
      <c r="E8" s="6"/>
      <c r="F8" s="6"/>
      <c r="G8" s="6"/>
      <c r="H8" s="6"/>
      <c r="I8" s="6"/>
      <c r="J8" s="6"/>
      <c r="K8" s="6"/>
      <c r="L8" s="6"/>
      <c r="M8" s="6"/>
      <c r="N8" s="1"/>
    </row>
    <row r="9" spans="1:14" ht="18" x14ac:dyDescent="0.25">
      <c r="A9" s="8" t="s">
        <v>54</v>
      </c>
      <c r="B9" s="10">
        <v>1.875</v>
      </c>
      <c r="C9" s="11" t="s">
        <v>10</v>
      </c>
      <c r="D9" s="6"/>
      <c r="E9" s="6"/>
      <c r="F9" s="6"/>
      <c r="G9" s="6"/>
      <c r="H9" s="6"/>
      <c r="I9" s="6"/>
      <c r="J9" s="6"/>
      <c r="K9" s="6"/>
      <c r="L9" s="6"/>
      <c r="M9" s="6"/>
      <c r="N9" s="1"/>
    </row>
    <row r="10" spans="1:14" x14ac:dyDescent="0.25">
      <c r="A10" s="8" t="s">
        <v>8</v>
      </c>
      <c r="B10" s="10">
        <v>90</v>
      </c>
      <c r="C10" s="11" t="s">
        <v>11</v>
      </c>
      <c r="D10" s="6"/>
      <c r="E10" s="6"/>
      <c r="F10" s="6"/>
      <c r="G10" s="6"/>
      <c r="H10" s="6"/>
      <c r="I10" s="6"/>
      <c r="J10" s="6"/>
      <c r="K10" s="6"/>
      <c r="L10" s="6"/>
      <c r="M10" s="6"/>
      <c r="N10" s="1"/>
    </row>
    <row r="11" spans="1:14" ht="18" x14ac:dyDescent="0.35">
      <c r="A11" s="8" t="s">
        <v>45</v>
      </c>
      <c r="B11" s="10">
        <v>1.2</v>
      </c>
      <c r="C11" s="11" t="s">
        <v>12</v>
      </c>
      <c r="D11" s="6"/>
      <c r="E11" s="6"/>
      <c r="F11" s="6" t="s">
        <v>349</v>
      </c>
      <c r="G11" s="6"/>
      <c r="H11" s="6"/>
      <c r="J11" s="6"/>
      <c r="K11" s="6">
        <f>vout*0.5/efficiency*100</f>
        <v>13.333333333333334</v>
      </c>
      <c r="L11" s="6"/>
      <c r="M11" s="6"/>
      <c r="N11" s="1"/>
    </row>
    <row r="12" spans="1:14" ht="18" x14ac:dyDescent="0.35">
      <c r="A12" s="8" t="s">
        <v>342</v>
      </c>
      <c r="B12" s="10">
        <v>6</v>
      </c>
      <c r="C12" s="11" t="s">
        <v>10</v>
      </c>
      <c r="D12" s="6"/>
      <c r="E12" s="6"/>
      <c r="F12" s="6" t="s">
        <v>350</v>
      </c>
      <c r="G12" s="6"/>
      <c r="H12" s="6"/>
      <c r="I12" s="6"/>
      <c r="K12" s="6">
        <f>vout*2/3/efficiency*100</f>
        <v>17.777777777777779</v>
      </c>
      <c r="L12" s="6"/>
      <c r="M12" s="6"/>
      <c r="N12" s="1"/>
    </row>
    <row r="13" spans="1:14" ht="18" x14ac:dyDescent="0.35">
      <c r="A13" s="9" t="s">
        <v>44</v>
      </c>
      <c r="B13" s="85">
        <f>0.54*160/ilimit_nom</f>
        <v>14.4</v>
      </c>
      <c r="C13" s="11" t="s">
        <v>13</v>
      </c>
      <c r="D13" s="6"/>
      <c r="E13" s="6"/>
      <c r="F13" s="6" t="s">
        <v>351</v>
      </c>
      <c r="G13" s="6"/>
      <c r="H13" s="6"/>
      <c r="I13" s="6"/>
      <c r="J13" s="6"/>
      <c r="K13" s="6">
        <f>1-v_1*efficiency/100/vout</f>
        <v>0.5</v>
      </c>
      <c r="L13" s="6"/>
      <c r="M13" s="6"/>
      <c r="N13" s="1"/>
    </row>
    <row r="14" spans="1:14" ht="18" x14ac:dyDescent="0.35">
      <c r="A14" s="8" t="s">
        <v>46</v>
      </c>
      <c r="B14" s="86">
        <f>1-vin_max*efficiency/100/vout</f>
        <v>0.21250000000000002</v>
      </c>
      <c r="C14" s="12" t="s">
        <v>14</v>
      </c>
      <c r="D14" s="6"/>
      <c r="E14" s="6"/>
      <c r="F14" s="6" t="s">
        <v>352</v>
      </c>
      <c r="G14" s="6"/>
      <c r="H14" s="6"/>
      <c r="I14" s="6"/>
      <c r="J14" s="6"/>
      <c r="K14" s="6">
        <f>1-v_2*efficiency/100/vout</f>
        <v>0.33333333333333337</v>
      </c>
      <c r="L14" s="6"/>
      <c r="M14" s="6"/>
      <c r="N14" s="1"/>
    </row>
    <row r="15" spans="1:14" ht="18" x14ac:dyDescent="0.35">
      <c r="A15" s="8" t="s">
        <v>343</v>
      </c>
      <c r="B15" s="86">
        <f>1-vin_nom*efficiency/100/vout</f>
        <v>0.25</v>
      </c>
      <c r="C15" s="12" t="s">
        <v>14</v>
      </c>
      <c r="D15" s="6"/>
      <c r="E15" s="6"/>
      <c r="F15" s="6" t="s">
        <v>355</v>
      </c>
      <c r="G15" s="6"/>
      <c r="H15" s="6"/>
      <c r="I15" s="6"/>
      <c r="J15" s="6"/>
      <c r="K15" s="6">
        <f>v_1/L/f*D_1</f>
        <v>1.1820330969267141</v>
      </c>
      <c r="L15" s="6"/>
      <c r="M15" s="6"/>
      <c r="N15" s="1"/>
    </row>
    <row r="16" spans="1:14" ht="18" x14ac:dyDescent="0.35">
      <c r="A16" s="8" t="s">
        <v>47</v>
      </c>
      <c r="B16" s="86">
        <f>1-vin_min*efficiency/100/vout</f>
        <v>0.28749999999999998</v>
      </c>
      <c r="C16" s="12" t="s">
        <v>14</v>
      </c>
      <c r="D16" s="6"/>
      <c r="E16" s="6"/>
      <c r="F16" s="6" t="s">
        <v>356</v>
      </c>
      <c r="G16" s="6"/>
      <c r="H16" s="6"/>
      <c r="I16" s="6"/>
      <c r="J16" s="6"/>
      <c r="K16" s="6">
        <f>v_2/L/f*D_2</f>
        <v>1.0506960861570793</v>
      </c>
      <c r="L16" s="6"/>
      <c r="M16" s="6"/>
      <c r="N16" s="1"/>
    </row>
    <row r="17" spans="1:14" ht="18" x14ac:dyDescent="0.35">
      <c r="A17" s="9" t="s">
        <v>55</v>
      </c>
      <c r="B17" s="86">
        <f>((ilimit_nom*37+3)/45-vin_min/L/f*duty_max/2)*vin_min*efficiency/100/vout</f>
        <v>3.2174617686170213</v>
      </c>
      <c r="C17" s="11" t="s">
        <v>10</v>
      </c>
      <c r="D17" s="6"/>
      <c r="E17" s="6"/>
      <c r="F17" s="6" t="s">
        <v>353</v>
      </c>
      <c r="G17" s="6"/>
      <c r="H17" s="6"/>
      <c r="I17" s="6"/>
      <c r="J17" s="6"/>
      <c r="K17" s="6">
        <f>vout*iout_actual_max/v_2/efficiency*100</f>
        <v>2.8125</v>
      </c>
      <c r="L17" s="6"/>
      <c r="M17" s="6"/>
      <c r="N17" s="1"/>
    </row>
    <row r="18" spans="1:14" ht="18" x14ac:dyDescent="0.35">
      <c r="A18" s="6"/>
      <c r="B18" s="6"/>
      <c r="C18" s="6"/>
      <c r="D18" s="6"/>
      <c r="E18" s="6"/>
      <c r="F18" s="6" t="s">
        <v>354</v>
      </c>
      <c r="G18" s="6"/>
      <c r="H18" s="6"/>
      <c r="I18" s="6"/>
      <c r="J18" s="6"/>
      <c r="K18" s="6">
        <f>vout*iout_actual_max/vin_max/efficiency*100</f>
        <v>2.3809523809523809</v>
      </c>
      <c r="L18" s="6"/>
      <c r="M18" s="6"/>
      <c r="N18" s="1"/>
    </row>
    <row r="19" spans="1:14" ht="15.75" x14ac:dyDescent="0.25">
      <c r="A19" s="97" t="s">
        <v>15</v>
      </c>
      <c r="B19" s="97"/>
      <c r="C19" s="97"/>
      <c r="D19" s="6"/>
      <c r="E19" s="6"/>
      <c r="F19" s="6"/>
      <c r="G19" s="6"/>
      <c r="H19" s="6"/>
      <c r="I19" s="6"/>
      <c r="J19" s="6"/>
      <c r="K19" s="6"/>
      <c r="L19" s="6"/>
      <c r="M19" s="6"/>
      <c r="N19" s="1"/>
    </row>
    <row r="20" spans="1:14" ht="18" x14ac:dyDescent="0.35">
      <c r="A20" s="8" t="s">
        <v>59</v>
      </c>
      <c r="B20" s="86">
        <f>vout*iout_actual_max/vin_min/efficiency*100</f>
        <v>2.6315789473684208</v>
      </c>
      <c r="C20" s="11" t="s">
        <v>10</v>
      </c>
      <c r="D20" s="6"/>
      <c r="E20" s="6"/>
      <c r="F20" s="6" t="s">
        <v>365</v>
      </c>
      <c r="G20" s="6"/>
      <c r="H20" s="6"/>
      <c r="I20" s="6"/>
      <c r="J20" s="6"/>
      <c r="K20" s="6">
        <f>vout*iout_actual_max/vin_nom/efficiency*100</f>
        <v>2.5</v>
      </c>
      <c r="L20" s="6"/>
      <c r="M20" s="6"/>
      <c r="N20" s="1"/>
    </row>
    <row r="21" spans="1:14" ht="18" x14ac:dyDescent="0.25">
      <c r="A21" s="8" t="s">
        <v>341</v>
      </c>
      <c r="B21" s="10">
        <v>40</v>
      </c>
      <c r="C21" s="11" t="s">
        <v>11</v>
      </c>
      <c r="D21" s="6"/>
      <c r="E21" s="6"/>
      <c r="F21" s="6"/>
      <c r="G21" s="6"/>
      <c r="H21" s="6"/>
      <c r="I21" s="6"/>
      <c r="J21" s="6"/>
      <c r="K21" s="6"/>
      <c r="L21" s="6"/>
      <c r="M21" s="6"/>
      <c r="N21" s="1"/>
    </row>
    <row r="22" spans="1:14" ht="18" x14ac:dyDescent="0.25">
      <c r="A22" s="8" t="s">
        <v>361</v>
      </c>
      <c r="B22" s="86">
        <f>IF(AND(v_2&gt;=vin_min,v_2&lt;=vin_max),iin_v2*iL_p2p_ratio_max,IF(v_2&gt;vin_max,iin_vin_max*iL_p2p_ratio_max,iin_max*iL_p2p_ratio_max))/100</f>
        <v>1.0526315789473684</v>
      </c>
      <c r="C22" s="11" t="s">
        <v>10</v>
      </c>
      <c r="E22" s="6"/>
      <c r="F22" s="6"/>
      <c r="G22" s="6"/>
      <c r="H22" s="6"/>
      <c r="I22" s="6"/>
      <c r="J22" s="6"/>
      <c r="K22" s="6"/>
      <c r="L22" s="6"/>
      <c r="M22" s="6"/>
      <c r="N22" s="1"/>
    </row>
    <row r="23" spans="1:14" ht="18" x14ac:dyDescent="0.25">
      <c r="A23" s="9" t="s">
        <v>362</v>
      </c>
      <c r="B23" s="86">
        <f>IF(AND(v_2&gt;=vin_min,v_2&lt;=vin_max),v_2*D_2/f/iL_p2p_cal_max,IF(v_2&gt;vin_max,vin_max*duty_min/f/iL_p2p_cal_max, vin_min*duty_max/f/iL_p2p_cal_max))</f>
        <v>4.3244791666666664</v>
      </c>
      <c r="C23" s="11" t="s">
        <v>16</v>
      </c>
      <c r="E23" s="6"/>
      <c r="F23" s="6"/>
      <c r="G23" s="6"/>
      <c r="H23" s="6"/>
      <c r="I23" s="6"/>
      <c r="J23" s="6"/>
      <c r="K23" s="6"/>
      <c r="L23" s="6"/>
      <c r="M23" s="6"/>
      <c r="N23" s="1"/>
    </row>
    <row r="24" spans="1:14" ht="18" x14ac:dyDescent="0.25">
      <c r="A24" s="8" t="s">
        <v>357</v>
      </c>
      <c r="B24" s="86">
        <f>IF(AND(v_1&gt;=vin_min,v_1&lt;=vin_max),iL_p2p_1,IF(v_1&gt;vin_max,iL_p2p_act_max,iL_p2p_act_min))</f>
        <v>0.96852836879432636</v>
      </c>
      <c r="C24" s="11" t="s">
        <v>10</v>
      </c>
      <c r="E24" s="6"/>
      <c r="F24" s="6"/>
      <c r="G24" s="6"/>
      <c r="H24" s="6"/>
      <c r="I24" s="6"/>
      <c r="J24" s="6"/>
      <c r="K24" s="6"/>
      <c r="L24" s="6"/>
      <c r="M24" s="6"/>
      <c r="N24" s="1"/>
    </row>
    <row r="25" spans="1:14" x14ac:dyDescent="0.25">
      <c r="A25" s="8" t="s">
        <v>64</v>
      </c>
      <c r="B25" s="10">
        <v>4.7</v>
      </c>
      <c r="C25" s="11" t="s">
        <v>17</v>
      </c>
      <c r="D25" s="6"/>
      <c r="E25" s="6"/>
      <c r="F25" s="6"/>
      <c r="G25" s="6"/>
      <c r="H25" s="6"/>
      <c r="I25" s="6"/>
      <c r="J25" s="6"/>
      <c r="K25" s="6"/>
      <c r="L25" s="6"/>
      <c r="M25" s="6"/>
      <c r="N25" s="1"/>
    </row>
    <row r="26" spans="1:14" ht="18" x14ac:dyDescent="0.25">
      <c r="A26" s="8" t="s">
        <v>65</v>
      </c>
      <c r="B26" s="10">
        <v>13.9</v>
      </c>
      <c r="C26" s="11" t="s">
        <v>18</v>
      </c>
      <c r="D26" s="6"/>
      <c r="E26" s="6"/>
      <c r="F26" s="6"/>
      <c r="G26" s="6"/>
      <c r="H26" s="6"/>
      <c r="I26" s="6"/>
      <c r="J26" s="6"/>
      <c r="K26" s="6"/>
      <c r="L26" s="6"/>
      <c r="M26" s="6"/>
      <c r="N26" s="1"/>
    </row>
    <row r="27" spans="1:14" ht="18" x14ac:dyDescent="0.25">
      <c r="A27" s="8" t="s">
        <v>71</v>
      </c>
      <c r="B27" s="86">
        <f>vin_min/L/f*duty_max</f>
        <v>0.96852836879432636</v>
      </c>
      <c r="C27" s="11" t="s">
        <v>10</v>
      </c>
      <c r="D27" s="6"/>
      <c r="E27" s="6"/>
      <c r="F27" s="6"/>
      <c r="G27" s="6"/>
      <c r="H27" s="6"/>
      <c r="I27" s="6"/>
      <c r="J27" s="6"/>
      <c r="K27" s="6"/>
      <c r="L27" s="6"/>
      <c r="M27" s="6"/>
      <c r="N27" s="1"/>
    </row>
    <row r="28" spans="1:14" ht="18" x14ac:dyDescent="0.25">
      <c r="A28" s="8" t="s">
        <v>72</v>
      </c>
      <c r="B28" s="86">
        <f>vin_nom/L/f*duty_nom</f>
        <v>0.88652482269503552</v>
      </c>
      <c r="C28" s="11" t="s">
        <v>10</v>
      </c>
      <c r="D28" s="6"/>
      <c r="E28" s="6"/>
      <c r="F28" s="6"/>
      <c r="G28" s="6"/>
      <c r="H28" s="6"/>
      <c r="I28" s="6"/>
      <c r="J28" s="6"/>
      <c r="K28" s="6"/>
      <c r="L28" s="6"/>
      <c r="M28" s="6"/>
      <c r="N28" s="1"/>
    </row>
    <row r="29" spans="1:14" ht="18" x14ac:dyDescent="0.25">
      <c r="A29" s="8" t="s">
        <v>73</v>
      </c>
      <c r="B29" s="86">
        <f>vin_max/L/f*duty_min</f>
        <v>0.79122340425531923</v>
      </c>
      <c r="C29" s="11" t="s">
        <v>10</v>
      </c>
      <c r="D29" s="6"/>
      <c r="E29" s="6"/>
      <c r="F29" s="6"/>
      <c r="G29" s="6"/>
      <c r="H29" s="6"/>
      <c r="I29" s="6"/>
      <c r="J29" s="6"/>
      <c r="K29" s="6"/>
      <c r="L29" s="6"/>
      <c r="M29" s="6"/>
      <c r="N29" s="1"/>
    </row>
    <row r="30" spans="1:14" ht="18" x14ac:dyDescent="0.25">
      <c r="A30" s="8" t="s">
        <v>74</v>
      </c>
      <c r="B30" s="86">
        <f>iin_max+iL_p2p_act_min/2</f>
        <v>3.1158431317655841</v>
      </c>
      <c r="C30" s="11" t="s">
        <v>10</v>
      </c>
      <c r="D30" s="6"/>
      <c r="E30" s="6"/>
      <c r="F30" s="6"/>
      <c r="G30" s="6"/>
      <c r="H30" s="6"/>
      <c r="I30" s="6"/>
      <c r="J30" s="6"/>
      <c r="K30" s="6"/>
      <c r="L30" s="6"/>
      <c r="M30" s="6"/>
      <c r="N30" s="1"/>
    </row>
    <row r="31" spans="1:14" ht="18" x14ac:dyDescent="0.25">
      <c r="A31" s="8" t="s">
        <v>75</v>
      </c>
      <c r="B31" s="86">
        <f>SQRT((iin_max)^2+1/12*(iL_p2p_act_min)^2)</f>
        <v>2.6463896833855181</v>
      </c>
      <c r="C31" s="11" t="s">
        <v>10</v>
      </c>
      <c r="D31" s="6"/>
      <c r="E31" s="6"/>
      <c r="F31" s="6"/>
      <c r="G31" s="6"/>
      <c r="H31" s="6"/>
      <c r="I31" s="6"/>
      <c r="J31" s="6"/>
      <c r="K31" s="6"/>
      <c r="L31" s="6"/>
      <c r="M31" s="6"/>
      <c r="N31" s="1"/>
    </row>
    <row r="32" spans="1:14" ht="18" x14ac:dyDescent="0.25">
      <c r="A32" s="8" t="s">
        <v>363</v>
      </c>
      <c r="B32" s="86">
        <f>SQRT(iin_nom^2+1/12*(iL_p2p_act_nom)^2)</f>
        <v>2.5130646340881362</v>
      </c>
      <c r="C32" s="11" t="s">
        <v>10</v>
      </c>
      <c r="D32" s="6"/>
      <c r="E32" s="6"/>
      <c r="F32" s="6"/>
      <c r="G32" s="6"/>
      <c r="H32" s="6"/>
      <c r="I32" s="6"/>
      <c r="J32" s="6"/>
      <c r="K32" s="6"/>
      <c r="L32" s="6"/>
      <c r="M32" s="6"/>
      <c r="N32" s="1"/>
    </row>
    <row r="33" spans="1:14" x14ac:dyDescent="0.25">
      <c r="A33" s="6"/>
      <c r="B33" s="6"/>
      <c r="C33" s="6"/>
      <c r="D33" s="6"/>
      <c r="E33" s="6"/>
      <c r="F33" s="6"/>
      <c r="G33" s="6"/>
      <c r="H33" s="6"/>
      <c r="I33" s="6"/>
      <c r="J33" s="6"/>
      <c r="K33" s="6"/>
      <c r="L33" s="6"/>
      <c r="M33" s="6"/>
      <c r="N33" s="1"/>
    </row>
    <row r="34" spans="1:14" ht="15.75" x14ac:dyDescent="0.25">
      <c r="A34" s="97" t="s">
        <v>19</v>
      </c>
      <c r="B34" s="97"/>
      <c r="C34" s="97"/>
      <c r="D34" s="5"/>
      <c r="E34" s="5"/>
      <c r="F34" s="5"/>
      <c r="G34" s="5"/>
      <c r="H34" s="5"/>
      <c r="I34" s="5"/>
      <c r="J34" s="5"/>
      <c r="K34" s="5"/>
      <c r="L34" s="5"/>
      <c r="M34" s="5"/>
      <c r="N34" s="1"/>
    </row>
    <row r="35" spans="1:14" ht="18" x14ac:dyDescent="0.25">
      <c r="A35" s="13" t="s">
        <v>77</v>
      </c>
      <c r="B35" s="10">
        <v>100</v>
      </c>
      <c r="C35" s="14" t="s">
        <v>22</v>
      </c>
      <c r="D35" s="6"/>
      <c r="E35" s="6"/>
      <c r="F35" s="6"/>
      <c r="G35" s="6"/>
      <c r="H35" s="6"/>
      <c r="I35" s="6"/>
      <c r="J35" s="6"/>
      <c r="K35" s="6"/>
      <c r="L35" s="6"/>
      <c r="M35" s="6"/>
      <c r="N35" s="1"/>
    </row>
    <row r="36" spans="1:14" ht="18.75" x14ac:dyDescent="0.3">
      <c r="A36" s="9" t="s">
        <v>78</v>
      </c>
      <c r="B36" s="87">
        <f>iout_actual_max*duty_max/f/vout_p2p_max*1000</f>
        <v>4.4921875</v>
      </c>
      <c r="C36" s="11" t="s">
        <v>20</v>
      </c>
      <c r="D36" s="6"/>
      <c r="E36" s="6" t="s">
        <v>112</v>
      </c>
      <c r="F36" s="6"/>
      <c r="G36" s="6"/>
      <c r="H36" s="6"/>
      <c r="I36" s="6"/>
      <c r="J36" s="6"/>
      <c r="K36" s="6"/>
      <c r="L36" s="6"/>
      <c r="M36" s="6"/>
      <c r="N36" s="1"/>
    </row>
    <row r="37" spans="1:14" ht="18" x14ac:dyDescent="0.25">
      <c r="A37" s="8" t="s">
        <v>80</v>
      </c>
      <c r="B37" s="10">
        <v>9</v>
      </c>
      <c r="C37" s="11" t="s">
        <v>20</v>
      </c>
      <c r="D37" s="6"/>
      <c r="E37" s="6" t="s">
        <v>113</v>
      </c>
      <c r="F37" s="6"/>
      <c r="G37" s="6"/>
      <c r="H37" s="6"/>
      <c r="I37" s="6"/>
      <c r="J37" s="6"/>
      <c r="K37" s="6"/>
      <c r="L37" s="6"/>
      <c r="M37" s="6"/>
      <c r="N37" s="1"/>
    </row>
    <row r="38" spans="1:14" ht="18" x14ac:dyDescent="0.25">
      <c r="A38" s="8" t="s">
        <v>79</v>
      </c>
      <c r="B38" s="10">
        <v>1.25</v>
      </c>
      <c r="C38" s="11" t="s">
        <v>18</v>
      </c>
      <c r="D38" s="6"/>
      <c r="E38" s="6"/>
      <c r="F38" s="6"/>
      <c r="G38" s="6"/>
      <c r="H38" s="6"/>
      <c r="I38" s="6"/>
      <c r="J38" s="6"/>
      <c r="K38" s="6"/>
      <c r="L38" s="6"/>
      <c r="M38" s="6"/>
      <c r="N38" s="1"/>
    </row>
    <row r="39" spans="1:14" ht="18" x14ac:dyDescent="0.25">
      <c r="A39" s="8" t="s">
        <v>140</v>
      </c>
      <c r="B39" s="10">
        <v>47</v>
      </c>
      <c r="C39" s="11" t="s">
        <v>20</v>
      </c>
      <c r="D39" s="6"/>
      <c r="E39" s="6"/>
      <c r="F39" s="6"/>
      <c r="G39" s="6"/>
      <c r="H39" s="6"/>
      <c r="I39" s="6"/>
      <c r="J39" s="6"/>
      <c r="K39" s="6"/>
      <c r="L39" s="6"/>
      <c r="M39" s="6"/>
      <c r="N39" s="1"/>
    </row>
    <row r="40" spans="1:14" ht="18" x14ac:dyDescent="0.25">
      <c r="A40" s="8" t="s">
        <v>320</v>
      </c>
      <c r="B40" s="10">
        <v>582</v>
      </c>
      <c r="C40" s="11" t="s">
        <v>18</v>
      </c>
      <c r="D40" s="6"/>
      <c r="E40" s="6"/>
      <c r="F40" s="6"/>
      <c r="G40" s="6"/>
      <c r="H40" s="6"/>
      <c r="I40" s="6"/>
      <c r="J40" s="6"/>
      <c r="K40" s="6"/>
      <c r="L40" s="6"/>
      <c r="M40" s="6"/>
      <c r="N40" s="1"/>
    </row>
    <row r="41" spans="1:14" ht="18" x14ac:dyDescent="0.25">
      <c r="A41" s="8" t="s">
        <v>321</v>
      </c>
      <c r="B41" s="86">
        <f>iout_actual_max*SQRT(vout/vin_min-1)</f>
        <v>0.96185470507983184</v>
      </c>
      <c r="C41" s="15" t="s">
        <v>10</v>
      </c>
      <c r="D41" s="6"/>
      <c r="E41" s="6"/>
      <c r="F41" s="6"/>
      <c r="G41" s="6"/>
      <c r="H41" s="6"/>
      <c r="I41" s="6"/>
      <c r="J41" s="6"/>
      <c r="K41" s="6"/>
      <c r="L41" s="6"/>
      <c r="M41" s="6"/>
      <c r="N41" s="1"/>
    </row>
    <row r="42" spans="1:14" x14ac:dyDescent="0.25">
      <c r="A42" s="6"/>
      <c r="B42" s="6"/>
      <c r="C42" s="6"/>
      <c r="D42" s="6"/>
      <c r="E42" s="6"/>
      <c r="F42" s="6"/>
      <c r="G42" s="6"/>
      <c r="H42" s="6"/>
      <c r="I42" s="6"/>
      <c r="J42" s="6"/>
      <c r="K42" s="6"/>
      <c r="L42" s="6"/>
      <c r="M42" s="6"/>
      <c r="N42" s="1"/>
    </row>
    <row r="43" spans="1:14" ht="15.75" x14ac:dyDescent="0.25">
      <c r="A43" s="94" t="s">
        <v>21</v>
      </c>
      <c r="B43" s="95"/>
      <c r="C43" s="96"/>
      <c r="D43" s="6"/>
      <c r="E43" s="6"/>
      <c r="F43" s="6"/>
      <c r="G43" s="6"/>
      <c r="H43" s="6"/>
      <c r="I43" s="6"/>
      <c r="J43" s="6"/>
      <c r="K43" s="6"/>
      <c r="L43" s="6"/>
      <c r="M43" s="6"/>
      <c r="N43" s="1"/>
    </row>
    <row r="44" spans="1:14" ht="18" x14ac:dyDescent="0.25">
      <c r="A44" s="8" t="s">
        <v>89</v>
      </c>
      <c r="B44" s="24">
        <v>100</v>
      </c>
      <c r="C44" s="11" t="s">
        <v>22</v>
      </c>
      <c r="D44" s="6"/>
      <c r="E44" s="6"/>
      <c r="F44" s="6"/>
      <c r="G44" s="6"/>
      <c r="H44" s="6"/>
      <c r="I44" s="6"/>
      <c r="J44" s="6"/>
      <c r="K44" s="6"/>
      <c r="L44" s="6"/>
      <c r="M44" s="6"/>
      <c r="N44" s="1"/>
    </row>
    <row r="45" spans="1:14" ht="18" x14ac:dyDescent="0.25">
      <c r="A45" s="9" t="s">
        <v>91</v>
      </c>
      <c r="B45" s="88">
        <f>iL_p2p_act_nom/(8*f*vin_p2p_max)*1000</f>
        <v>0.92346335697399529</v>
      </c>
      <c r="C45" s="11" t="s">
        <v>23</v>
      </c>
      <c r="D45" s="6"/>
      <c r="E45" s="6"/>
      <c r="F45" s="6"/>
      <c r="G45" s="6"/>
      <c r="H45" s="6"/>
      <c r="I45" s="6"/>
      <c r="J45" s="6"/>
      <c r="K45" s="6"/>
      <c r="L45" s="6"/>
      <c r="M45" s="6"/>
      <c r="N45" s="1"/>
    </row>
    <row r="46" spans="1:14" ht="18" x14ac:dyDescent="0.25">
      <c r="A46" s="8" t="s">
        <v>93</v>
      </c>
      <c r="B46" s="23">
        <v>5.3</v>
      </c>
      <c r="C46" s="11" t="s">
        <v>23</v>
      </c>
      <c r="D46" s="6"/>
      <c r="E46" s="6"/>
      <c r="F46" s="6"/>
      <c r="G46" s="6"/>
      <c r="H46" s="6"/>
      <c r="I46" s="6"/>
      <c r="J46" s="6"/>
      <c r="K46" s="6"/>
      <c r="L46" s="6"/>
      <c r="M46" s="6"/>
      <c r="N46" s="1"/>
    </row>
    <row r="47" spans="1:14" ht="18" x14ac:dyDescent="0.25">
      <c r="A47" s="8" t="s">
        <v>95</v>
      </c>
      <c r="B47" s="88">
        <f>iL_p2p_act_nom/SQRT(12)</f>
        <v>0.25591767251313202</v>
      </c>
      <c r="C47" s="11" t="s">
        <v>10</v>
      </c>
      <c r="D47" s="6"/>
      <c r="E47" s="6"/>
      <c r="F47" s="6"/>
      <c r="G47" s="6"/>
      <c r="H47" s="6"/>
      <c r="I47" s="6"/>
      <c r="J47" s="6"/>
      <c r="K47" s="6"/>
      <c r="L47" s="6"/>
      <c r="M47" s="6"/>
      <c r="N47" s="1"/>
    </row>
    <row r="48" spans="1:14" x14ac:dyDescent="0.25">
      <c r="A48" s="26"/>
      <c r="B48" s="26"/>
      <c r="C48" s="26"/>
      <c r="D48" s="6"/>
      <c r="E48" s="6"/>
      <c r="F48" s="6"/>
      <c r="G48" s="6"/>
      <c r="H48" s="6"/>
      <c r="I48" s="6"/>
      <c r="J48" s="6"/>
      <c r="K48" s="6"/>
      <c r="L48" s="6"/>
      <c r="M48" s="6"/>
      <c r="N48" s="1"/>
    </row>
    <row r="49" spans="1:14" ht="15.75" x14ac:dyDescent="0.25">
      <c r="A49" s="94" t="s">
        <v>24</v>
      </c>
      <c r="B49" s="95"/>
      <c r="C49" s="96"/>
      <c r="D49" s="6"/>
      <c r="E49" s="6"/>
      <c r="F49" s="6"/>
      <c r="G49" s="6"/>
      <c r="H49" s="6"/>
      <c r="I49" s="6"/>
      <c r="J49" s="6"/>
      <c r="K49" s="6"/>
      <c r="L49" s="6"/>
      <c r="M49" s="6"/>
      <c r="N49" s="1"/>
    </row>
    <row r="50" spans="1:14" x14ac:dyDescent="0.25">
      <c r="A50" s="98" t="s">
        <v>96</v>
      </c>
      <c r="B50" s="98"/>
      <c r="C50" s="99"/>
      <c r="D50" s="5"/>
      <c r="E50" s="5"/>
      <c r="F50" s="5"/>
      <c r="G50" s="5"/>
      <c r="H50" s="5"/>
      <c r="I50" s="5"/>
      <c r="J50" s="5"/>
      <c r="K50" s="5"/>
      <c r="L50" s="5"/>
      <c r="M50" s="5"/>
      <c r="N50" s="1"/>
    </row>
    <row r="51" spans="1:14" x14ac:dyDescent="0.25">
      <c r="A51" s="8" t="s">
        <v>64</v>
      </c>
      <c r="B51" s="89">
        <f>L</f>
        <v>4.7</v>
      </c>
      <c r="C51" s="11" t="s">
        <v>17</v>
      </c>
      <c r="D51" s="6"/>
      <c r="E51" s="6"/>
      <c r="F51" s="6"/>
      <c r="G51" s="6"/>
      <c r="H51" s="6"/>
      <c r="I51" s="6"/>
      <c r="J51" s="6"/>
      <c r="K51" s="6"/>
      <c r="L51" s="6"/>
      <c r="M51" s="6"/>
      <c r="N51" s="1"/>
    </row>
    <row r="52" spans="1:14" ht="18" x14ac:dyDescent="0.25">
      <c r="A52" s="8" t="s">
        <v>98</v>
      </c>
      <c r="B52" s="87">
        <f>vout/iout_actual_max</f>
        <v>12.8</v>
      </c>
      <c r="C52" s="11" t="s">
        <v>99</v>
      </c>
      <c r="D52" s="6"/>
      <c r="E52" s="6"/>
      <c r="F52" s="6"/>
      <c r="G52" s="6"/>
      <c r="H52" s="6"/>
      <c r="I52" s="6"/>
      <c r="J52" s="6"/>
      <c r="K52" s="6"/>
      <c r="L52" s="6"/>
      <c r="M52" s="6"/>
      <c r="N52" s="1"/>
    </row>
    <row r="53" spans="1:14" ht="18" x14ac:dyDescent="0.25">
      <c r="A53" s="8" t="s">
        <v>101</v>
      </c>
      <c r="B53" s="85">
        <f>Cout_MLCC+Cout_elec</f>
        <v>56</v>
      </c>
      <c r="C53" s="11" t="s">
        <v>20</v>
      </c>
      <c r="D53" s="6"/>
      <c r="E53" s="6"/>
      <c r="F53" s="6"/>
      <c r="G53" s="6"/>
      <c r="H53" s="6"/>
      <c r="I53" s="6"/>
      <c r="J53" s="6"/>
      <c r="K53" s="6"/>
      <c r="L53" s="6"/>
      <c r="M53" s="6"/>
      <c r="N53" s="1"/>
    </row>
    <row r="54" spans="1:14" x14ac:dyDescent="0.25">
      <c r="A54" s="8" t="s">
        <v>103</v>
      </c>
      <c r="B54" s="90">
        <f>f</f>
        <v>1.2</v>
      </c>
      <c r="C54" s="11" t="s">
        <v>12</v>
      </c>
      <c r="D54" s="6"/>
      <c r="E54" s="6"/>
      <c r="F54" s="6"/>
      <c r="G54" s="6"/>
      <c r="H54" s="6"/>
      <c r="I54" s="6"/>
      <c r="J54" s="6"/>
      <c r="K54" s="6"/>
      <c r="L54" s="6"/>
      <c r="M54" s="6"/>
      <c r="N54" s="1"/>
    </row>
    <row r="55" spans="1:14" x14ac:dyDescent="0.25">
      <c r="A55" s="8" t="s">
        <v>104</v>
      </c>
      <c r="B55" s="86">
        <f>duty_nom</f>
        <v>0.25</v>
      </c>
      <c r="C55" s="12" t="s">
        <v>14</v>
      </c>
      <c r="D55" s="6"/>
      <c r="E55" s="6"/>
      <c r="F55" s="6"/>
      <c r="G55" s="6"/>
      <c r="H55" s="6"/>
      <c r="I55" s="6"/>
      <c r="J55" s="6"/>
      <c r="K55" s="6"/>
      <c r="L55" s="6"/>
      <c r="M55" s="6"/>
      <c r="N55" s="1"/>
    </row>
    <row r="56" spans="1:14" ht="18" x14ac:dyDescent="0.25">
      <c r="A56" s="9" t="s">
        <v>106</v>
      </c>
      <c r="B56" s="85">
        <f>(2*L*Rout*(1-D)*f)/(4*L*f+Rout*(1-D)^3)</f>
        <v>3.8729613733905581</v>
      </c>
      <c r="C56" s="11" t="s">
        <v>99</v>
      </c>
      <c r="D56" s="6"/>
      <c r="E56" s="6"/>
      <c r="F56" s="6"/>
      <c r="G56" s="6"/>
      <c r="H56" s="6"/>
      <c r="I56" s="6"/>
      <c r="J56" s="6"/>
      <c r="K56" s="6"/>
      <c r="L56" s="6"/>
      <c r="M56" s="6"/>
      <c r="N56" s="1"/>
    </row>
    <row r="57" spans="1:14" ht="18" x14ac:dyDescent="0.25">
      <c r="A57" s="9" t="s">
        <v>107</v>
      </c>
      <c r="B57" s="85">
        <f>(1-D)^2*Rout/L*1000/(2*PI())</f>
        <v>243.81182771524394</v>
      </c>
      <c r="C57" s="11" t="s">
        <v>25</v>
      </c>
      <c r="D57" s="6"/>
      <c r="E57" s="6"/>
      <c r="F57" s="6"/>
      <c r="G57" s="6"/>
      <c r="H57" s="6"/>
      <c r="I57" s="6"/>
      <c r="J57" s="6"/>
      <c r="K57" s="6"/>
      <c r="L57" s="6"/>
      <c r="M57" s="6"/>
      <c r="N57" s="1"/>
    </row>
    <row r="58" spans="1:14" ht="18" x14ac:dyDescent="0.25">
      <c r="A58" s="9" t="s">
        <v>108</v>
      </c>
      <c r="B58" s="85">
        <f>(4*L*f + Rout*(1-D)^3)/(L*0.000001*(3*D-1)+2*Cout*0.000001*L*Rout*f)/2/PI()</f>
        <v>550.44422472779058</v>
      </c>
      <c r="C58" s="25" t="s">
        <v>110</v>
      </c>
      <c r="D58" s="6"/>
      <c r="E58" s="6"/>
      <c r="F58" s="6"/>
      <c r="G58" s="6"/>
      <c r="H58" s="6"/>
      <c r="I58" s="6"/>
      <c r="J58" s="6"/>
      <c r="K58" s="6"/>
      <c r="L58" s="6"/>
      <c r="M58" s="6"/>
      <c r="N58" s="1"/>
    </row>
    <row r="59" spans="1:14" ht="18" x14ac:dyDescent="0.25">
      <c r="A59" s="9" t="s">
        <v>109</v>
      </c>
      <c r="B59" s="85">
        <f>(L*(3*D-1)+2*Cout*L*Rout*f)/(Cout*L*Rout*D)/2/PI()*1000</f>
        <v>1527.6654183263195</v>
      </c>
      <c r="C59" s="11" t="s">
        <v>25</v>
      </c>
      <c r="D59" s="6"/>
      <c r="E59" s="6"/>
      <c r="F59" s="6"/>
      <c r="G59" s="6"/>
      <c r="H59" s="6"/>
      <c r="I59" s="6"/>
      <c r="J59" s="6"/>
      <c r="K59" s="6"/>
      <c r="L59" s="6"/>
      <c r="M59" s="6"/>
      <c r="N59" s="1"/>
    </row>
    <row r="60" spans="1:14" x14ac:dyDescent="0.25">
      <c r="A60" s="98" t="s">
        <v>111</v>
      </c>
      <c r="B60" s="98"/>
      <c r="C60" s="99"/>
      <c r="D60" s="5"/>
      <c r="E60" s="5"/>
      <c r="F60" s="5"/>
      <c r="G60" s="5"/>
      <c r="H60" s="5"/>
      <c r="I60" s="5"/>
      <c r="J60" s="5"/>
      <c r="K60" s="5"/>
      <c r="L60" s="5"/>
      <c r="M60" s="5"/>
      <c r="N60" s="1"/>
    </row>
    <row r="61" spans="1:14" ht="18" x14ac:dyDescent="0.25">
      <c r="A61" s="17" t="s">
        <v>36</v>
      </c>
      <c r="B61" s="85">
        <f>vout</f>
        <v>24</v>
      </c>
      <c r="C61" s="11" t="s">
        <v>9</v>
      </c>
      <c r="D61" s="6"/>
      <c r="E61" s="6"/>
      <c r="F61" s="6"/>
      <c r="G61" s="6"/>
      <c r="H61" s="6"/>
      <c r="I61" s="6"/>
      <c r="J61" s="6"/>
      <c r="K61" s="6"/>
      <c r="L61" s="6"/>
      <c r="M61" s="6"/>
      <c r="N61" s="1"/>
    </row>
    <row r="62" spans="1:14" ht="18" x14ac:dyDescent="0.25">
      <c r="A62" s="17" t="s">
        <v>114</v>
      </c>
      <c r="B62" s="16">
        <v>1</v>
      </c>
      <c r="C62" s="11" t="s">
        <v>9</v>
      </c>
      <c r="D62" s="6"/>
      <c r="E62" s="6"/>
      <c r="F62" s="6"/>
      <c r="G62" s="6"/>
      <c r="H62" s="6"/>
      <c r="I62" s="6"/>
      <c r="J62" s="6"/>
      <c r="K62" s="6"/>
      <c r="L62" s="6"/>
      <c r="M62" s="6"/>
      <c r="N62" s="1"/>
    </row>
    <row r="63" spans="1:14" ht="18" x14ac:dyDescent="0.25">
      <c r="A63" s="17" t="s">
        <v>115</v>
      </c>
      <c r="B63" s="92">
        <v>240</v>
      </c>
      <c r="C63" s="11" t="s">
        <v>132</v>
      </c>
      <c r="D63" s="6"/>
      <c r="E63" s="6"/>
      <c r="F63" s="6"/>
      <c r="G63" s="6"/>
      <c r="H63" s="6"/>
      <c r="I63" s="6"/>
      <c r="J63" s="6"/>
      <c r="K63" s="6"/>
      <c r="L63" s="6"/>
      <c r="M63" s="6"/>
      <c r="N63" s="1"/>
    </row>
    <row r="64" spans="1:14" ht="18" x14ac:dyDescent="0.25">
      <c r="A64" s="17" t="s">
        <v>116</v>
      </c>
      <c r="B64" s="92">
        <v>100</v>
      </c>
      <c r="C64" s="11" t="s">
        <v>131</v>
      </c>
      <c r="D64" s="6"/>
      <c r="E64" s="6"/>
      <c r="F64" s="6"/>
      <c r="G64" s="6"/>
      <c r="H64" s="6"/>
      <c r="I64" s="6"/>
      <c r="J64" s="6"/>
      <c r="K64" s="6"/>
      <c r="L64" s="6"/>
      <c r="M64" s="6"/>
      <c r="N64" s="1"/>
    </row>
    <row r="65" spans="1:14" ht="18" x14ac:dyDescent="0.25">
      <c r="A65" s="17" t="s">
        <v>346</v>
      </c>
      <c r="B65" s="83">
        <f>1/6.5</f>
        <v>0.15384615384615385</v>
      </c>
      <c r="C65" s="11" t="s">
        <v>99</v>
      </c>
      <c r="D65" s="6"/>
      <c r="E65" s="6"/>
      <c r="F65" s="6"/>
      <c r="G65" s="6"/>
      <c r="H65" s="6"/>
      <c r="I65" s="6"/>
      <c r="J65" s="6"/>
      <c r="K65" s="6"/>
      <c r="L65" s="6"/>
      <c r="M65" s="6"/>
      <c r="N65" s="1"/>
    </row>
    <row r="66" spans="1:14" ht="18" x14ac:dyDescent="0.25">
      <c r="A66" s="17" t="s">
        <v>333</v>
      </c>
      <c r="B66" s="16">
        <v>80.599999999999994</v>
      </c>
      <c r="C66" s="11" t="s">
        <v>13</v>
      </c>
      <c r="D66" s="6"/>
      <c r="E66" s="6"/>
      <c r="F66" s="6"/>
      <c r="G66" s="6"/>
      <c r="H66" s="6"/>
      <c r="I66" s="6"/>
      <c r="J66" s="6"/>
      <c r="K66" s="6"/>
      <c r="L66" s="6"/>
      <c r="M66" s="6"/>
      <c r="N66" s="1"/>
    </row>
    <row r="67" spans="1:14" ht="18" x14ac:dyDescent="0.25">
      <c r="A67" s="17" t="s">
        <v>334</v>
      </c>
      <c r="B67" s="16">
        <v>3.3</v>
      </c>
      <c r="C67" s="11" t="s">
        <v>26</v>
      </c>
      <c r="D67" s="6"/>
      <c r="E67" s="6"/>
      <c r="F67" s="6"/>
      <c r="G67" s="6"/>
      <c r="H67" s="6"/>
      <c r="I67" s="6"/>
      <c r="J67" s="6"/>
      <c r="K67" s="6"/>
      <c r="L67" s="6"/>
      <c r="M67" s="6"/>
      <c r="N67" s="1"/>
    </row>
    <row r="68" spans="1:14" ht="18" x14ac:dyDescent="0.25">
      <c r="A68" s="17" t="s">
        <v>335</v>
      </c>
      <c r="B68" s="16">
        <v>22</v>
      </c>
      <c r="C68" s="11" t="s">
        <v>27</v>
      </c>
      <c r="D68" s="6"/>
      <c r="E68" s="6"/>
      <c r="F68" s="6"/>
      <c r="G68" s="6"/>
      <c r="H68" s="6"/>
      <c r="I68" s="6"/>
      <c r="J68" s="6"/>
      <c r="K68" s="6"/>
      <c r="L68" s="6"/>
      <c r="M68" s="6"/>
      <c r="N68" s="1"/>
    </row>
    <row r="69" spans="1:14" ht="18" x14ac:dyDescent="0.25">
      <c r="A69" s="9" t="s">
        <v>117</v>
      </c>
      <c r="B69" s="87">
        <f>G_EA*R_EA*vref/(vout*Rsense)</f>
        <v>6500</v>
      </c>
      <c r="C69" s="11" t="s">
        <v>135</v>
      </c>
      <c r="D69" s="6"/>
      <c r="E69" s="6"/>
      <c r="F69" s="6"/>
      <c r="G69" s="6"/>
      <c r="H69" s="6"/>
      <c r="I69" s="6"/>
      <c r="J69" s="6"/>
      <c r="K69" s="6"/>
      <c r="L69" s="6"/>
      <c r="M69" s="6"/>
      <c r="N69" s="1"/>
    </row>
    <row r="70" spans="1:14" ht="18" x14ac:dyDescent="0.25">
      <c r="A70" s="9" t="s">
        <v>118</v>
      </c>
      <c r="B70" s="91">
        <f>1/(R_EA*C_c)/2/PI()*1000</f>
        <v>0.48228770633907675</v>
      </c>
      <c r="C70" s="25" t="s">
        <v>110</v>
      </c>
      <c r="D70" s="6"/>
      <c r="E70" s="6"/>
      <c r="F70" s="6"/>
      <c r="G70" s="6"/>
      <c r="H70" s="6"/>
      <c r="I70" s="6"/>
      <c r="J70" s="6"/>
      <c r="K70" s="6"/>
      <c r="L70" s="6"/>
      <c r="M70" s="6"/>
      <c r="N70" s="1"/>
    </row>
    <row r="71" spans="1:14" ht="18" x14ac:dyDescent="0.25">
      <c r="A71" s="9" t="s">
        <v>119</v>
      </c>
      <c r="B71" s="85">
        <f>1/(R_c*C_c)/2/PI()*1000000</f>
        <v>598.3718440931475</v>
      </c>
      <c r="C71" s="25" t="s">
        <v>110</v>
      </c>
      <c r="D71" s="6"/>
      <c r="E71" s="6"/>
      <c r="F71" s="6"/>
      <c r="G71" s="6"/>
      <c r="H71" s="6"/>
      <c r="I71" s="6"/>
      <c r="J71" s="6"/>
      <c r="K71" s="6"/>
      <c r="L71" s="6"/>
      <c r="M71" s="6"/>
      <c r="N71" s="1"/>
    </row>
    <row r="72" spans="1:14" ht="18" x14ac:dyDescent="0.25">
      <c r="A72" s="9" t="s">
        <v>120</v>
      </c>
      <c r="B72" s="85">
        <f>IF(C_p="","",1/(R_c*C_p)/2/PI()*1000000)</f>
        <v>89.755776613972131</v>
      </c>
      <c r="C72" s="11" t="s">
        <v>25</v>
      </c>
      <c r="D72" s="6"/>
      <c r="E72" s="6"/>
      <c r="F72" s="6"/>
      <c r="G72" s="6"/>
      <c r="H72" s="6"/>
      <c r="I72" s="6"/>
      <c r="J72" s="6"/>
      <c r="K72" s="6"/>
      <c r="L72" s="6"/>
      <c r="M72" s="6"/>
      <c r="N72" s="1"/>
    </row>
    <row r="73" spans="1:14" x14ac:dyDescent="0.25">
      <c r="A73" s="98" t="s">
        <v>136</v>
      </c>
      <c r="B73" s="98"/>
      <c r="C73" s="99"/>
      <c r="D73" s="5"/>
      <c r="E73" s="5"/>
      <c r="F73" s="5"/>
      <c r="G73" s="5"/>
      <c r="H73" s="5"/>
      <c r="I73" s="5"/>
      <c r="J73" s="5"/>
      <c r="K73" s="5"/>
      <c r="L73" s="5"/>
      <c r="M73" s="5"/>
      <c r="N73" s="1"/>
    </row>
    <row r="74" spans="1:14" ht="18" x14ac:dyDescent="0.25">
      <c r="A74" s="8" t="s">
        <v>80</v>
      </c>
      <c r="B74" s="89">
        <f>Cout_MLCC</f>
        <v>9</v>
      </c>
      <c r="C74" s="11" t="s">
        <v>20</v>
      </c>
      <c r="D74" s="6"/>
      <c r="E74" s="6"/>
      <c r="F74" s="6"/>
      <c r="G74" s="6"/>
      <c r="H74" s="6"/>
      <c r="I74" s="6"/>
      <c r="J74" s="6"/>
      <c r="K74" s="6"/>
      <c r="L74" s="6"/>
      <c r="M74" s="6"/>
      <c r="N74" s="1"/>
    </row>
    <row r="75" spans="1:14" ht="18" x14ac:dyDescent="0.25">
      <c r="A75" s="8" t="s">
        <v>79</v>
      </c>
      <c r="B75" s="89">
        <f>Resr_MLCC</f>
        <v>1.25</v>
      </c>
      <c r="C75" s="11" t="s">
        <v>18</v>
      </c>
      <c r="D75" s="6"/>
      <c r="E75" s="6"/>
      <c r="F75" s="6"/>
      <c r="G75" s="6"/>
      <c r="H75" s="6"/>
      <c r="I75" s="6"/>
      <c r="J75" s="6"/>
      <c r="K75" s="6"/>
      <c r="L75" s="6"/>
      <c r="M75" s="6"/>
      <c r="N75" s="1"/>
    </row>
    <row r="76" spans="1:14" ht="18" x14ac:dyDescent="0.25">
      <c r="A76" s="8" t="s">
        <v>86</v>
      </c>
      <c r="B76" s="89">
        <f>Cout_elec</f>
        <v>47</v>
      </c>
      <c r="C76" s="11" t="s">
        <v>20</v>
      </c>
      <c r="D76" s="6"/>
      <c r="E76" s="6"/>
      <c r="F76" s="6"/>
      <c r="G76" s="6"/>
      <c r="H76" s="6"/>
      <c r="I76" s="6"/>
      <c r="J76" s="6"/>
      <c r="K76" s="6"/>
      <c r="L76" s="6"/>
      <c r="M76" s="6"/>
      <c r="N76" s="1"/>
    </row>
    <row r="77" spans="1:14" ht="18" x14ac:dyDescent="0.25">
      <c r="A77" s="8" t="s">
        <v>87</v>
      </c>
      <c r="B77" s="89">
        <f>Resr_elec</f>
        <v>582</v>
      </c>
      <c r="C77" s="11" t="s">
        <v>18</v>
      </c>
      <c r="D77" s="6"/>
      <c r="E77" s="6"/>
      <c r="F77" s="6"/>
      <c r="G77" s="6"/>
      <c r="H77" s="6"/>
      <c r="I77" s="6"/>
      <c r="J77" s="6"/>
      <c r="K77" s="6"/>
      <c r="L77" s="6"/>
      <c r="M77" s="6"/>
      <c r="N77" s="1"/>
    </row>
    <row r="78" spans="1:14" ht="18" x14ac:dyDescent="0.25">
      <c r="A78" s="9" t="s">
        <v>137</v>
      </c>
      <c r="B78" s="85">
        <f>IF(Cout_elec="","",1/(Resr_elec*Cout_elec)/2/PI()*1000000)</f>
        <v>5.8183425857971542</v>
      </c>
      <c r="C78" s="11" t="s">
        <v>25</v>
      </c>
      <c r="D78" s="6"/>
      <c r="E78" s="6"/>
      <c r="F78" s="6"/>
      <c r="G78" s="6"/>
      <c r="H78" s="6"/>
      <c r="I78" s="6"/>
      <c r="J78" s="6"/>
      <c r="K78" s="6"/>
      <c r="L78" s="6"/>
      <c r="M78" s="6"/>
      <c r="N78" s="1"/>
    </row>
    <row r="79" spans="1:14" ht="18" x14ac:dyDescent="0.25">
      <c r="A79" s="9" t="s">
        <v>340</v>
      </c>
      <c r="B79" s="85">
        <f>1/(Resr_MLCC*Cout_MLCC)/2/PI()*1000000</f>
        <v>14147.10605261292</v>
      </c>
      <c r="C79" s="11" t="s">
        <v>25</v>
      </c>
      <c r="D79" s="6"/>
      <c r="E79" s="6"/>
      <c r="F79" s="6"/>
      <c r="G79" s="6"/>
      <c r="H79" s="6"/>
      <c r="I79" s="6"/>
      <c r="J79" s="6"/>
      <c r="K79" s="6"/>
      <c r="L79" s="6"/>
      <c r="M79" s="6"/>
      <c r="N79" s="1"/>
    </row>
    <row r="80" spans="1:14" ht="18" x14ac:dyDescent="0.25">
      <c r="A80" s="9" t="s">
        <v>138</v>
      </c>
      <c r="B80" s="85">
        <f>IF(Resr_elec="","",1/(Resr_elec*Cout_MLCC)/2/PI()*1000000)</f>
        <v>30.384677948051806</v>
      </c>
      <c r="C80" s="11" t="s">
        <v>25</v>
      </c>
      <c r="D80" s="6"/>
      <c r="E80" s="6"/>
      <c r="F80" s="6"/>
      <c r="G80" s="6"/>
      <c r="H80" s="6"/>
      <c r="I80" s="6"/>
      <c r="J80" s="6"/>
      <c r="K80" s="6"/>
      <c r="L80" s="6"/>
      <c r="M80" s="6"/>
      <c r="N80" s="1"/>
    </row>
    <row r="81" spans="1:14" ht="15.4" customHeight="1" x14ac:dyDescent="0.25">
      <c r="A81" s="98" t="s">
        <v>139</v>
      </c>
      <c r="B81" s="98"/>
      <c r="C81" s="99"/>
      <c r="D81" s="5"/>
      <c r="E81" s="5"/>
      <c r="F81" s="5"/>
      <c r="G81" s="5"/>
      <c r="H81" s="5"/>
      <c r="I81" s="5"/>
      <c r="J81" s="5"/>
      <c r="K81" s="5"/>
      <c r="L81" s="5"/>
      <c r="M81" s="5"/>
      <c r="N81" s="1"/>
    </row>
    <row r="82" spans="1:14" ht="18.95" customHeight="1" x14ac:dyDescent="0.25">
      <c r="A82" s="8" t="s">
        <v>152</v>
      </c>
      <c r="B82" s="16">
        <v>1500</v>
      </c>
      <c r="C82" s="11" t="s">
        <v>13</v>
      </c>
      <c r="D82" s="6"/>
      <c r="E82" s="6"/>
      <c r="F82" s="6"/>
      <c r="G82" s="6"/>
      <c r="H82" s="6"/>
      <c r="I82" s="6"/>
      <c r="J82" s="6"/>
      <c r="K82" s="6"/>
      <c r="L82" s="6"/>
      <c r="M82" s="6"/>
      <c r="N82" s="1"/>
    </row>
    <row r="83" spans="1:14" ht="18.95" customHeight="1" x14ac:dyDescent="0.25">
      <c r="A83" s="8" t="s">
        <v>153</v>
      </c>
      <c r="B83" s="16">
        <v>64.900000000000006</v>
      </c>
      <c r="C83" s="11" t="s">
        <v>13</v>
      </c>
      <c r="D83" s="6"/>
      <c r="E83" s="6"/>
      <c r="F83" s="6"/>
      <c r="G83" s="6"/>
      <c r="H83" s="6"/>
      <c r="I83" s="6"/>
      <c r="J83" s="6"/>
      <c r="K83" s="6"/>
      <c r="L83" s="6"/>
      <c r="M83" s="6"/>
      <c r="N83" s="1"/>
    </row>
    <row r="84" spans="1:14" ht="18.95" customHeight="1" x14ac:dyDescent="0.25">
      <c r="A84" s="8" t="s">
        <v>154</v>
      </c>
      <c r="B84" s="16"/>
      <c r="C84" s="11" t="s">
        <v>27</v>
      </c>
      <c r="D84" s="6"/>
      <c r="E84" s="6"/>
      <c r="F84" s="6"/>
      <c r="G84" s="6"/>
      <c r="H84" s="6"/>
      <c r="I84" s="6"/>
      <c r="J84" s="6"/>
      <c r="K84" s="6"/>
      <c r="L84" s="6"/>
      <c r="M84" s="6"/>
      <c r="N84" s="1"/>
    </row>
    <row r="85" spans="1:14" ht="18.95" customHeight="1" x14ac:dyDescent="0.25">
      <c r="A85" s="9" t="s">
        <v>141</v>
      </c>
      <c r="B85" s="85" t="str">
        <f>IF(C_ff="","",1/(2*PI()*R_FT*C_ff)*1000000)</f>
        <v/>
      </c>
      <c r="C85" s="11" t="s">
        <v>25</v>
      </c>
      <c r="D85" s="6"/>
      <c r="E85" s="6"/>
      <c r="F85" s="6"/>
      <c r="G85" s="6"/>
      <c r="H85" s="6"/>
      <c r="I85" s="6"/>
      <c r="J85" s="6"/>
      <c r="K85" s="6"/>
      <c r="L85" s="6"/>
      <c r="M85" s="6"/>
      <c r="N85" s="1"/>
    </row>
    <row r="86" spans="1:14" ht="18.95" customHeight="1" x14ac:dyDescent="0.25">
      <c r="A86" s="9" t="s">
        <v>142</v>
      </c>
      <c r="B86" s="85" t="str">
        <f>IF(C_ff="","",1/(2*PI()*R_FT*R_FB/(R_FT+R_FB)*C_ff)*1000000)</f>
        <v/>
      </c>
      <c r="C86" s="11" t="s">
        <v>25</v>
      </c>
      <c r="D86" s="6"/>
      <c r="E86" s="6"/>
      <c r="F86" s="6"/>
      <c r="G86" s="6"/>
      <c r="H86" s="6"/>
      <c r="I86" s="6"/>
      <c r="J86" s="6"/>
      <c r="K86" s="6"/>
      <c r="L86" s="6"/>
      <c r="M86" s="6"/>
      <c r="N86" s="1"/>
    </row>
    <row r="87" spans="1:14" ht="15.95" customHeight="1" x14ac:dyDescent="0.25">
      <c r="A87" s="105" t="s">
        <v>143</v>
      </c>
      <c r="B87" s="105"/>
      <c r="C87" s="106"/>
      <c r="D87" s="5"/>
      <c r="E87" s="5"/>
      <c r="F87" s="5"/>
      <c r="G87" s="5"/>
      <c r="H87" s="5"/>
      <c r="I87" s="5"/>
      <c r="J87" s="5"/>
      <c r="K87" s="5"/>
      <c r="L87" s="5"/>
      <c r="M87" s="5"/>
      <c r="N87" s="1"/>
    </row>
    <row r="88" spans="1:14" ht="15.95" customHeight="1" x14ac:dyDescent="0.25">
      <c r="A88" s="9" t="s">
        <v>144</v>
      </c>
      <c r="B88" s="85">
        <f>fc</f>
        <v>44.159971219556489</v>
      </c>
      <c r="C88" s="40" t="s">
        <v>25</v>
      </c>
      <c r="D88" s="6"/>
      <c r="E88" s="6"/>
      <c r="F88" s="6"/>
      <c r="G88" s="6"/>
      <c r="H88" s="6"/>
      <c r="I88" s="6"/>
      <c r="J88" s="6"/>
      <c r="K88" s="6"/>
      <c r="L88" s="6"/>
      <c r="M88" s="6"/>
      <c r="N88" s="1"/>
    </row>
    <row r="89" spans="1:14" ht="15.95" customHeight="1" x14ac:dyDescent="0.25">
      <c r="A89" s="9" t="s">
        <v>145</v>
      </c>
      <c r="B89" s="87">
        <f>PM</f>
        <v>79.024480115741682</v>
      </c>
      <c r="C89" s="44" t="s">
        <v>198</v>
      </c>
      <c r="D89" s="6"/>
      <c r="E89" s="6"/>
      <c r="F89" s="6"/>
      <c r="G89" s="6"/>
      <c r="H89" s="6"/>
      <c r="I89" s="6"/>
      <c r="J89" s="6"/>
      <c r="K89" s="6"/>
      <c r="L89" s="6"/>
      <c r="M89" s="6"/>
      <c r="N89" s="1"/>
    </row>
    <row r="90" spans="1:14" ht="15.95" customHeight="1" thickBot="1" x14ac:dyDescent="0.3">
      <c r="A90" s="9" t="s">
        <v>146</v>
      </c>
      <c r="B90" s="85">
        <f>GM</f>
        <v>-13.495789274340506</v>
      </c>
      <c r="C90" s="43" t="s">
        <v>28</v>
      </c>
      <c r="D90" s="6"/>
      <c r="E90" s="6"/>
      <c r="F90" s="6"/>
      <c r="G90" s="6"/>
      <c r="H90" s="6"/>
      <c r="I90" s="6"/>
      <c r="J90" s="6"/>
      <c r="K90" s="6"/>
      <c r="L90" s="6"/>
      <c r="M90" s="6"/>
      <c r="N90" s="1"/>
    </row>
    <row r="91" spans="1:14" ht="15.95" customHeight="1" x14ac:dyDescent="0.25">
      <c r="A91" s="9" t="s">
        <v>147</v>
      </c>
      <c r="B91" s="84">
        <v>1.5</v>
      </c>
      <c r="C91" s="11" t="s">
        <v>10</v>
      </c>
      <c r="D91" s="6"/>
      <c r="E91" s="6"/>
      <c r="F91" s="6"/>
      <c r="G91" s="6"/>
      <c r="H91" s="6"/>
      <c r="I91" s="6"/>
      <c r="J91" s="6"/>
      <c r="K91" s="6"/>
      <c r="L91" s="6"/>
      <c r="M91" s="6"/>
      <c r="N91" s="1"/>
    </row>
    <row r="92" spans="1:14" ht="15.95" customHeight="1" x14ac:dyDescent="0.25">
      <c r="A92" s="9" t="s">
        <v>148</v>
      </c>
      <c r="B92" s="85">
        <f>delta_iout/(2*PI()*Cout*fc)*10^6</f>
        <v>96.537174166696403</v>
      </c>
      <c r="C92" s="11" t="s">
        <v>22</v>
      </c>
      <c r="D92" s="6"/>
      <c r="E92" s="6"/>
      <c r="F92" s="6"/>
      <c r="G92" s="6"/>
      <c r="H92" s="6"/>
      <c r="I92" s="6"/>
      <c r="J92" s="6"/>
      <c r="K92" s="6"/>
      <c r="L92" s="6"/>
      <c r="M92" s="6"/>
      <c r="N92" s="1"/>
    </row>
    <row r="93" spans="1:14" ht="98.65" customHeight="1" x14ac:dyDescent="0.25">
      <c r="A93" s="27"/>
      <c r="B93" s="28"/>
      <c r="C93" s="26"/>
      <c r="D93" s="6"/>
      <c r="E93" s="6"/>
      <c r="F93" s="6"/>
      <c r="G93" s="6"/>
      <c r="H93" s="6"/>
      <c r="I93" s="6"/>
      <c r="J93" s="6"/>
      <c r="K93" s="6"/>
      <c r="L93" s="6"/>
      <c r="M93" s="6"/>
      <c r="N93" s="1"/>
    </row>
    <row r="94" spans="1:14" ht="15.75" x14ac:dyDescent="0.25">
      <c r="A94" s="100" t="s">
        <v>29</v>
      </c>
      <c r="B94" s="101"/>
      <c r="C94" s="102"/>
      <c r="D94" s="6"/>
      <c r="E94" s="6"/>
      <c r="F94" s="6"/>
      <c r="G94" s="6"/>
      <c r="H94" s="6"/>
      <c r="I94" s="6"/>
      <c r="J94" s="6"/>
      <c r="K94" s="6"/>
      <c r="L94" s="6"/>
      <c r="M94" s="6"/>
      <c r="N94" s="1"/>
    </row>
    <row r="95" spans="1:14" ht="18" x14ac:dyDescent="0.25">
      <c r="A95" s="73" t="s">
        <v>336</v>
      </c>
      <c r="B95" s="87">
        <f>P_loss_inductor_DC</f>
        <v>87.785364585953076</v>
      </c>
      <c r="C95" s="11" t="s">
        <v>30</v>
      </c>
      <c r="D95" s="6"/>
      <c r="E95" s="6"/>
      <c r="F95" s="6"/>
      <c r="G95" s="6"/>
      <c r="H95" s="6"/>
      <c r="I95" s="6"/>
      <c r="J95" s="6"/>
      <c r="K95" s="6"/>
      <c r="L95" s="6"/>
      <c r="M95" s="6"/>
      <c r="N95" s="1"/>
    </row>
    <row r="96" spans="1:14" ht="18" x14ac:dyDescent="0.25">
      <c r="A96" s="73" t="s">
        <v>337</v>
      </c>
      <c r="B96" s="87">
        <f>P_loss_inductor_AC</f>
        <v>127.08823952517477</v>
      </c>
      <c r="C96" s="11" t="s">
        <v>30</v>
      </c>
      <c r="D96" s="6"/>
      <c r="E96" s="6"/>
      <c r="F96" s="6"/>
      <c r="G96" s="6"/>
      <c r="H96" s="6"/>
      <c r="I96" s="6"/>
      <c r="J96" s="6"/>
      <c r="K96" s="6"/>
      <c r="L96" s="6"/>
      <c r="M96" s="6"/>
      <c r="N96" s="1"/>
    </row>
    <row r="97" spans="1:14" ht="18" x14ac:dyDescent="0.25">
      <c r="A97" s="73" t="s">
        <v>344</v>
      </c>
      <c r="B97" s="92"/>
      <c r="C97" s="11" t="s">
        <v>30</v>
      </c>
      <c r="D97" s="6"/>
      <c r="E97" s="6"/>
      <c r="F97" s="6"/>
      <c r="G97" s="6"/>
      <c r="H97" s="6"/>
      <c r="I97" s="6"/>
      <c r="J97" s="6"/>
      <c r="K97" s="6"/>
      <c r="L97" s="6"/>
      <c r="M97" s="6"/>
      <c r="N97" s="1"/>
    </row>
    <row r="98" spans="1:14" ht="18" x14ac:dyDescent="0.25">
      <c r="A98" s="73" t="s">
        <v>345</v>
      </c>
      <c r="B98" s="92"/>
      <c r="C98" s="11" t="s">
        <v>30</v>
      </c>
      <c r="D98" s="6"/>
      <c r="E98" s="6"/>
      <c r="F98" s="6"/>
      <c r="G98" s="6"/>
      <c r="H98" s="6"/>
      <c r="I98" s="6"/>
      <c r="J98" s="6"/>
      <c r="K98" s="6"/>
      <c r="L98" s="6"/>
      <c r="M98" s="6"/>
      <c r="N98" s="1"/>
    </row>
    <row r="99" spans="1:14" ht="18" x14ac:dyDescent="0.25">
      <c r="A99" s="18" t="s">
        <v>327</v>
      </c>
      <c r="B99" s="87">
        <f>SUM(Efficiency!B13:B21)</f>
        <v>1145.5726753750798</v>
      </c>
      <c r="C99" s="11" t="s">
        <v>30</v>
      </c>
      <c r="D99" s="6"/>
      <c r="E99" s="6"/>
      <c r="F99" s="6"/>
      <c r="G99" s="6"/>
      <c r="H99" s="6"/>
      <c r="I99" s="6"/>
      <c r="J99" s="6"/>
      <c r="K99" s="6"/>
      <c r="L99" s="6"/>
      <c r="M99" s="6"/>
      <c r="N99" s="1"/>
    </row>
    <row r="100" spans="1:14" ht="18" x14ac:dyDescent="0.25">
      <c r="A100" s="19" t="s">
        <v>324</v>
      </c>
      <c r="B100" s="85">
        <f>efficiency_cal</f>
        <v>97.065502192785885</v>
      </c>
      <c r="C100" s="11" t="s">
        <v>11</v>
      </c>
      <c r="D100" s="6"/>
      <c r="E100" s="6"/>
      <c r="F100" s="6"/>
      <c r="G100" s="6"/>
      <c r="H100" s="6"/>
      <c r="I100" s="6"/>
      <c r="J100" s="6"/>
      <c r="K100" s="6"/>
      <c r="L100" s="6"/>
      <c r="M100" s="6"/>
      <c r="N100" s="1"/>
    </row>
    <row r="101" spans="1:14" ht="18" x14ac:dyDescent="0.25">
      <c r="A101" s="19" t="s">
        <v>325</v>
      </c>
      <c r="B101" s="10">
        <v>32</v>
      </c>
      <c r="C101" s="20" t="s">
        <v>31</v>
      </c>
      <c r="D101" s="6"/>
      <c r="E101" s="6"/>
      <c r="F101" s="6"/>
      <c r="G101" s="6"/>
      <c r="H101" s="6"/>
      <c r="I101" s="6"/>
      <c r="J101" s="6"/>
      <c r="K101" s="6"/>
      <c r="L101" s="6"/>
      <c r="M101" s="6"/>
      <c r="N101" s="1"/>
    </row>
    <row r="102" spans="1:14" x14ac:dyDescent="0.25">
      <c r="A102" s="19" t="s">
        <v>326</v>
      </c>
      <c r="B102" s="85">
        <f>(P_loss_IC_total)/1000*R_theta_JA</f>
        <v>36.658325612002557</v>
      </c>
      <c r="C102" s="20" t="s">
        <v>32</v>
      </c>
      <c r="D102" s="6"/>
      <c r="E102" s="6"/>
      <c r="F102" s="6"/>
      <c r="G102" s="6"/>
      <c r="H102" s="6"/>
      <c r="I102" s="6"/>
      <c r="J102" s="6"/>
      <c r="K102" s="6"/>
      <c r="L102" s="6"/>
      <c r="M102" s="6"/>
      <c r="N102" s="1"/>
    </row>
    <row r="103" spans="1:14" ht="18.95" customHeight="1" x14ac:dyDescent="0.25">
      <c r="A103" s="1"/>
      <c r="B103" s="1"/>
      <c r="C103" s="1"/>
      <c r="D103" s="1"/>
      <c r="E103" s="1"/>
      <c r="F103" s="1"/>
      <c r="G103" s="1"/>
      <c r="H103" s="1"/>
      <c r="I103" s="1"/>
      <c r="J103" s="1"/>
      <c r="K103" s="1"/>
      <c r="L103" s="1"/>
      <c r="M103" s="1"/>
      <c r="N103" s="1"/>
    </row>
  </sheetData>
  <sheetProtection algorithmName="SHA-512" hashValue="k2CqUQYquMX60JzETc9ra8HXImOMAre9EtiSFCdH2tjx/JgmUW2EGn/HwW8inaIv8siJDz5ihhRfWqrnhQsNCw==" saltValue="sacOTKZij+n5aHPaZ9RhFQ==" spinCount="100000" sheet="1" objects="1" scenarios="1"/>
  <mergeCells count="13">
    <mergeCell ref="A60:C60"/>
    <mergeCell ref="A73:C73"/>
    <mergeCell ref="A94:C94"/>
    <mergeCell ref="C2:D2"/>
    <mergeCell ref="A50:C50"/>
    <mergeCell ref="A81:C81"/>
    <mergeCell ref="A87:C87"/>
    <mergeCell ref="A49:C49"/>
    <mergeCell ref="B1:M1"/>
    <mergeCell ref="A3:C3"/>
    <mergeCell ref="A19:C19"/>
    <mergeCell ref="A34:C34"/>
    <mergeCell ref="A43:C43"/>
  </mergeCells>
  <conditionalFormatting sqref="B5">
    <cfRule type="cellIs" dxfId="13" priority="20" operator="notBetween">
      <formula>2.9</formula>
      <formula>23</formula>
    </cfRule>
  </conditionalFormatting>
  <conditionalFormatting sqref="B6">
    <cfRule type="cellIs" dxfId="12" priority="18" operator="notBetween">
      <formula>B5</formula>
      <formula>B7</formula>
    </cfRule>
  </conditionalFormatting>
  <conditionalFormatting sqref="B7">
    <cfRule type="cellIs" dxfId="11" priority="19" operator="notBetween">
      <formula>2.9</formula>
      <formula>23</formula>
    </cfRule>
  </conditionalFormatting>
  <conditionalFormatting sqref="B8">
    <cfRule type="cellIs" dxfId="10" priority="17" operator="notBetween">
      <formula>4.5</formula>
      <formula>25</formula>
    </cfRule>
  </conditionalFormatting>
  <conditionalFormatting sqref="B9">
    <cfRule type="cellIs" dxfId="9" priority="16" operator="notBetween">
      <formula>0</formula>
      <formula>B17</formula>
    </cfRule>
  </conditionalFormatting>
  <conditionalFormatting sqref="B10">
    <cfRule type="cellIs" dxfId="8" priority="6" operator="notBetween">
      <formula>0</formula>
      <formula>100</formula>
    </cfRule>
  </conditionalFormatting>
  <conditionalFormatting sqref="B14:B16">
    <cfRule type="cellIs" dxfId="7" priority="3" operator="notBetween">
      <formula>0</formula>
      <formula>1</formula>
    </cfRule>
  </conditionalFormatting>
  <conditionalFormatting sqref="B27">
    <cfRule type="cellIs" dxfId="6" priority="10" operator="greaterThan">
      <formula>B22</formula>
    </cfRule>
  </conditionalFormatting>
  <conditionalFormatting sqref="B28">
    <cfRule type="cellIs" dxfId="5" priority="8" operator="greaterThan">
      <formula>B22</formula>
    </cfRule>
  </conditionalFormatting>
  <conditionalFormatting sqref="B29">
    <cfRule type="cellIs" dxfId="4" priority="7" operator="greaterThan">
      <formula>B22</formula>
    </cfRule>
  </conditionalFormatting>
  <conditionalFormatting sqref="B30">
    <cfRule type="cellIs" dxfId="3" priority="11" operator="greaterThan">
      <formula>B12</formula>
    </cfRule>
  </conditionalFormatting>
  <conditionalFormatting sqref="B72">
    <cfRule type="cellIs" dxfId="2" priority="15" operator="lessThan">
      <formula>45</formula>
    </cfRule>
  </conditionalFormatting>
  <conditionalFormatting sqref="B78 B80">
    <cfRule type="cellIs" dxfId="1" priority="1" operator="notBetween">
      <formula>0</formula>
      <formula>999999999</formula>
    </cfRule>
  </conditionalFormatting>
  <conditionalFormatting sqref="B85:B86">
    <cfRule type="cellIs" dxfId="0" priority="2" operator="notBetween">
      <formula>0</formula>
      <formula>9999999999</formula>
    </cfRule>
  </conditionalFormatting>
  <pageMargins left="0.7" right="0.7" top="0.75" bottom="0.75" header="0.3" footer="0.3"/>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641B8-E4A8-4454-BEB2-11B91A443636}">
  <dimension ref="A1:AQ503"/>
  <sheetViews>
    <sheetView zoomScale="85" zoomScaleNormal="85" workbookViewId="0">
      <selection activeCell="E6" sqref="E6"/>
    </sheetView>
  </sheetViews>
  <sheetFormatPr defaultRowHeight="15" x14ac:dyDescent="0.25"/>
  <cols>
    <col min="1" max="1" width="93.85546875" customWidth="1"/>
    <col min="2" max="2" width="6.140625" customWidth="1"/>
    <col min="3" max="3" width="24.5703125" customWidth="1"/>
    <col min="4" max="5" width="16.7109375" customWidth="1"/>
    <col min="6" max="6" width="12" customWidth="1"/>
    <col min="7" max="7" width="16" customWidth="1"/>
    <col min="8" max="8" width="9.28515625" style="29"/>
    <col min="9" max="9" width="9.7109375" style="29" bestFit="1" customWidth="1"/>
    <col min="10" max="10" width="16.28515625" style="29" customWidth="1"/>
    <col min="11" max="11" width="15.85546875" style="29" customWidth="1"/>
    <col min="12" max="12" width="9.28515625" style="29"/>
    <col min="13" max="13" width="12.28515625" style="29" customWidth="1"/>
    <col min="14" max="14" width="13.140625" style="29" customWidth="1"/>
    <col min="15" max="15" width="12.42578125" style="29" customWidth="1"/>
    <col min="16" max="16" width="13.85546875" style="29" customWidth="1"/>
    <col min="17" max="17" width="12.85546875" style="29" customWidth="1"/>
    <col min="18" max="18" width="13.7109375" style="29" customWidth="1"/>
    <col min="19" max="19" width="11.42578125" style="29" customWidth="1"/>
    <col min="20" max="21" width="9.28515625" style="29"/>
    <col min="22" max="22" width="12.5703125" style="29" customWidth="1"/>
    <col min="23" max="23" width="12.28515625" style="29" customWidth="1"/>
    <col min="24" max="24" width="13.28515625" style="29" customWidth="1"/>
    <col min="25" max="25" width="13.85546875" style="29" customWidth="1"/>
    <col min="26" max="26" width="15.140625" style="29" customWidth="1"/>
    <col min="27" max="27" width="15.28515625" style="29" customWidth="1"/>
    <col min="28" max="28" width="11.28515625" style="29" customWidth="1"/>
    <col min="29" max="29" width="9.28515625" style="29"/>
    <col min="30" max="30" width="14.5703125" style="29" customWidth="1"/>
    <col min="31" max="31" width="13.7109375" style="29" customWidth="1"/>
    <col min="32" max="32" width="14.5703125" style="29" customWidth="1"/>
    <col min="33" max="33" width="12.7109375" style="29" customWidth="1"/>
    <col min="34" max="34" width="13.7109375" style="29" customWidth="1"/>
    <col min="35" max="35" width="12.28515625" style="29" customWidth="1"/>
    <col min="36" max="37" width="11.7109375" style="29" customWidth="1"/>
    <col min="38" max="39" width="9.28515625" style="29"/>
    <col min="40" max="40" width="11.42578125" style="29" bestFit="1" customWidth="1"/>
    <col min="41" max="41" width="12.7109375" style="29" customWidth="1"/>
    <col min="42" max="42" width="11.5703125" style="29" customWidth="1"/>
    <col min="43" max="43" width="10.42578125" style="29" customWidth="1"/>
  </cols>
  <sheetData>
    <row r="1" spans="1:43" ht="21.75" thickBot="1" x14ac:dyDescent="0.3">
      <c r="A1" s="119" t="s">
        <v>201</v>
      </c>
      <c r="B1" s="46"/>
      <c r="H1" s="110" t="s">
        <v>165</v>
      </c>
      <c r="I1" s="110" t="s">
        <v>52</v>
      </c>
      <c r="J1" s="109" t="s">
        <v>167</v>
      </c>
      <c r="K1" s="109"/>
      <c r="L1" s="108" t="s">
        <v>96</v>
      </c>
      <c r="M1" s="108"/>
      <c r="N1" s="108"/>
      <c r="O1" s="108"/>
      <c r="P1" s="108"/>
      <c r="Q1" s="108"/>
      <c r="R1" s="108"/>
      <c r="S1" s="108"/>
      <c r="T1" s="108"/>
      <c r="U1" s="108" t="s">
        <v>97</v>
      </c>
      <c r="V1" s="108"/>
      <c r="W1" s="108"/>
      <c r="X1" s="108"/>
      <c r="Y1" s="108"/>
      <c r="Z1" s="108"/>
      <c r="AA1" s="108"/>
      <c r="AB1" s="108"/>
      <c r="AC1" s="108"/>
      <c r="AD1" s="108" t="s">
        <v>168</v>
      </c>
      <c r="AE1" s="108"/>
      <c r="AF1" s="108"/>
      <c r="AG1" s="108"/>
      <c r="AH1" s="108"/>
      <c r="AI1" s="108"/>
      <c r="AJ1" s="108"/>
      <c r="AK1" s="108"/>
      <c r="AL1" s="108" t="s">
        <v>164</v>
      </c>
      <c r="AM1" s="108"/>
      <c r="AN1" s="108"/>
      <c r="AO1" s="108"/>
      <c r="AP1" s="108"/>
      <c r="AQ1" s="108"/>
    </row>
    <row r="2" spans="1:43" ht="21.75" thickBot="1" x14ac:dyDescent="0.3">
      <c r="A2" s="120"/>
      <c r="B2" s="47"/>
      <c r="C2" s="58" t="s">
        <v>160</v>
      </c>
      <c r="D2" s="59" t="s">
        <v>161</v>
      </c>
      <c r="E2" s="60" t="s">
        <v>6</v>
      </c>
      <c r="F2" s="61" t="s">
        <v>162</v>
      </c>
      <c r="H2" s="111"/>
      <c r="I2" s="111"/>
      <c r="J2" s="32" t="s">
        <v>166</v>
      </c>
      <c r="K2" s="32" t="s">
        <v>193</v>
      </c>
      <c r="L2" s="15" t="s">
        <v>124</v>
      </c>
      <c r="M2" s="15" t="s">
        <v>169</v>
      </c>
      <c r="N2" s="15" t="s">
        <v>170</v>
      </c>
      <c r="O2" s="15" t="s">
        <v>189</v>
      </c>
      <c r="P2" s="15" t="s">
        <v>190</v>
      </c>
      <c r="Q2" s="15" t="s">
        <v>191</v>
      </c>
      <c r="R2" s="15" t="s">
        <v>192</v>
      </c>
      <c r="S2" s="31" t="s">
        <v>171</v>
      </c>
      <c r="T2" s="31" t="s">
        <v>172</v>
      </c>
      <c r="U2" s="15" t="s">
        <v>123</v>
      </c>
      <c r="V2" s="15" t="s">
        <v>173</v>
      </c>
      <c r="W2" s="15" t="s">
        <v>174</v>
      </c>
      <c r="X2" s="15" t="s">
        <v>175</v>
      </c>
      <c r="Y2" s="15" t="s">
        <v>176</v>
      </c>
      <c r="Z2" s="15" t="s">
        <v>177</v>
      </c>
      <c r="AA2" s="15" t="s">
        <v>178</v>
      </c>
      <c r="AB2" s="31" t="s">
        <v>171</v>
      </c>
      <c r="AC2" s="31" t="s">
        <v>172</v>
      </c>
      <c r="AD2" s="15" t="s">
        <v>179</v>
      </c>
      <c r="AE2" s="15" t="s">
        <v>180</v>
      </c>
      <c r="AF2" s="15" t="s">
        <v>181</v>
      </c>
      <c r="AG2" s="15" t="s">
        <v>182</v>
      </c>
      <c r="AH2" s="15" t="s">
        <v>183</v>
      </c>
      <c r="AI2" s="15" t="s">
        <v>184</v>
      </c>
      <c r="AJ2" s="31" t="s">
        <v>171</v>
      </c>
      <c r="AK2" s="31" t="s">
        <v>172</v>
      </c>
      <c r="AL2" s="15" t="s">
        <v>185</v>
      </c>
      <c r="AM2" s="15" t="s">
        <v>186</v>
      </c>
      <c r="AN2" s="15" t="s">
        <v>187</v>
      </c>
      <c r="AO2" s="15" t="s">
        <v>188</v>
      </c>
      <c r="AP2" s="31" t="s">
        <v>171</v>
      </c>
      <c r="AQ2" s="31" t="s">
        <v>172</v>
      </c>
    </row>
    <row r="3" spans="1:43" x14ac:dyDescent="0.25">
      <c r="C3" s="115" t="s">
        <v>96</v>
      </c>
      <c r="D3" s="33" t="s">
        <v>124</v>
      </c>
      <c r="E3" s="34">
        <f>A_PS</f>
        <v>3.8729613733905581</v>
      </c>
      <c r="F3" s="39" t="s">
        <v>99</v>
      </c>
      <c r="H3" s="15">
        <v>1</v>
      </c>
      <c r="I3" s="45">
        <f>10*10^H3</f>
        <v>100</v>
      </c>
      <c r="J3" s="32">
        <f>180+S3+AB3+AJ3+AP3</f>
        <v>90.172620757029208</v>
      </c>
      <c r="K3" s="32">
        <f>T3+AC3+AK3+AQ3</f>
        <v>41.664993849941823</v>
      </c>
      <c r="L3" s="15">
        <f t="shared" ref="L3:L66" si="0">A_PS</f>
        <v>3.8729613733905581</v>
      </c>
      <c r="M3" s="15">
        <f t="shared" ref="M3:M66" si="1">-180/PI()*ATAN($I3/z_RHP/1000)</f>
        <v>-2.3499998682237865E-2</v>
      </c>
      <c r="N3" s="15">
        <f t="shared" ref="N3:N66" si="2">20*LOG(SQRT(($I3/z_RHP/1000)^2+1))</f>
        <v>7.3059170203858702E-7</v>
      </c>
      <c r="O3" s="15">
        <f t="shared" ref="O3:O66" si="3">-180/PI()*ATAN($I3/p_small)</f>
        <v>-10.296708127006996</v>
      </c>
      <c r="P3" s="15">
        <f t="shared" ref="P3:P66" si="4">-20*LOG(SQRT(($I3/p_small)^2+1))</f>
        <v>-0.14102219902746593</v>
      </c>
      <c r="Q3" s="15">
        <f t="shared" ref="Q3:Q66" si="5">-180/PI()*ATAN($I3/p_large/1000)</f>
        <v>-3.7505450306008999E-3</v>
      </c>
      <c r="R3" s="15">
        <f t="shared" ref="R3:R66" si="6">-20*LOG(SQRT(($I3/p_large/1000)^2+1))</f>
        <v>-1.860920376996901E-8</v>
      </c>
      <c r="S3" s="31">
        <f>M3+O3+Q3</f>
        <v>-10.323958670719835</v>
      </c>
      <c r="T3" s="31">
        <f>20*LOG(L3)+N3+P3+R3</f>
        <v>11.619841825219996</v>
      </c>
      <c r="U3" s="15">
        <f t="shared" ref="U3:U66" si="7">A_EA</f>
        <v>6500</v>
      </c>
      <c r="V3" s="15">
        <f t="shared" ref="V3:V66" si="8">-180/PI()*ATAN($I3/p_EA)</f>
        <v>-89.723671641623028</v>
      </c>
      <c r="W3" s="15">
        <f t="shared" ref="W3:W66" si="9">-20*LOG(SQRT(($I3/p_EA)^2+1))</f>
        <v>-46.333977181063489</v>
      </c>
      <c r="X3" s="15">
        <f t="shared" ref="X3:X66" si="10">180/PI()*ATAN($I3/z_comp)</f>
        <v>9.4876015073883888</v>
      </c>
      <c r="Y3" s="15">
        <f t="shared" ref="Y3:Y66" si="11">20*LOG(SQRT(($I3/z_comp)^2+1))</f>
        <v>0.11963181449774796</v>
      </c>
      <c r="Z3" s="15">
        <f t="shared" ref="Z3:Z66" si="12">IF(p_comp="",0,-180/PI()*ATAN($I3/p_comp/1000))</f>
        <v>-6.3835173587237434E-2</v>
      </c>
      <c r="AA3" s="15">
        <f t="shared" ref="AA3:AA66" si="13">IF(p_comp="",0,-20*LOG(SQRT(($I3/p_comp/1000)^2+1)))</f>
        <v>-5.3908745278419067E-6</v>
      </c>
      <c r="AB3" s="31">
        <f>V3+X3+Z3</f>
        <v>-80.299905307821874</v>
      </c>
      <c r="AC3" s="31">
        <f>20*LOG(U3)+W3+Y3+AA3</f>
        <v>30.043916375416845</v>
      </c>
      <c r="AD3" s="15">
        <f t="shared" ref="AD3:AD66" si="14">IF(z_esr_1="",0,180/PI()*ATAN($I3/z_esr_1/1000))</f>
        <v>0.98464705474726211</v>
      </c>
      <c r="AE3" s="15">
        <f t="shared" ref="AE3:AE66" si="15">IF(z_esr_1="",0,20*LOG(SQRT(($I3/z_esr_1/1000)^2+1)))</f>
        <v>1.2826896697519955E-3</v>
      </c>
      <c r="AF3" s="15">
        <f t="shared" ref="AF3:AF66" si="16">180/PI()*ATAN($I3/z_esr_2/1000)</f>
        <v>4.0499999999325472E-4</v>
      </c>
      <c r="AG3" s="15">
        <f t="shared" ref="AG3:AG66" si="17">20*LOG(SQRT(($I3/z_esr_2/1000)^2+1))</f>
        <v>2.1699489517604325E-10</v>
      </c>
      <c r="AH3" s="15">
        <f t="shared" ref="AH3:AH66" si="18">IF(p_esr="",0,-180/PI()*ATAN($I3/p_esr/1000))</f>
        <v>-0.18856731917633585</v>
      </c>
      <c r="AI3" s="15">
        <f t="shared" ref="AI3:AI66" si="19">IF(p_esr="",0,-20*LOG(SQRT(($I3/p_esr/1000)^2+1)))</f>
        <v>-4.7040581765592891E-5</v>
      </c>
      <c r="AJ3" s="31">
        <f>AD3+AF3+AH3</f>
        <v>0.79648473557091948</v>
      </c>
      <c r="AK3" s="31">
        <f>AE3+AG3+AI3</f>
        <v>1.2356493049812977E-3</v>
      </c>
      <c r="AL3" s="15">
        <f t="shared" ref="AL3:AL66" si="20">IF(z_ff="",0,180/PI()*ATAN($I3/z_ff/1000))</f>
        <v>0</v>
      </c>
      <c r="AM3" s="15">
        <f t="shared" ref="AM3:AM66" si="21">IF(z_ff="",0,20*LOG(SQRT(($I3/z_ff/1000)^2+1)))</f>
        <v>0</v>
      </c>
      <c r="AN3" s="15">
        <f t="shared" ref="AN3:AN66" si="22">IF(p_ff="",0,-180/PI()*ATAN($I3/p_ff/1000))</f>
        <v>0</v>
      </c>
      <c r="AO3" s="15">
        <f t="shared" ref="AO3:AO66" si="23">IF(p_ff="",0,-20*LOG(SQRT(($I3/p_ff/1000)^2+1)))</f>
        <v>0</v>
      </c>
      <c r="AP3" s="31">
        <f>AL3+AN3</f>
        <v>0</v>
      </c>
      <c r="AQ3" s="31">
        <f>AM3+AO3</f>
        <v>0</v>
      </c>
    </row>
    <row r="4" spans="1:43" x14ac:dyDescent="0.25">
      <c r="C4" s="116"/>
      <c r="D4" s="30" t="s">
        <v>125</v>
      </c>
      <c r="E4" s="8">
        <f>z_RHP</f>
        <v>243.81182771524394</v>
      </c>
      <c r="F4" s="35" t="s">
        <v>25</v>
      </c>
      <c r="H4" s="15">
        <v>1.01</v>
      </c>
      <c r="I4" s="45">
        <f t="shared" ref="I4:I67" si="24">10*10^H4</f>
        <v>102.32929922807543</v>
      </c>
      <c r="J4" s="32">
        <f t="shared" ref="J4:J67" si="25">180+S4+AB4+AJ4+AP4</f>
        <v>90.16506116851599</v>
      </c>
      <c r="K4" s="32">
        <f t="shared" ref="K4:K67" si="26">T4+AC4+AK4+AQ4</f>
        <v>41.464079465627862</v>
      </c>
      <c r="L4" s="15">
        <f t="shared" si="0"/>
        <v>3.8729613733905581</v>
      </c>
      <c r="M4" s="15">
        <f t="shared" si="1"/>
        <v>-2.4047383906590163E-2</v>
      </c>
      <c r="N4" s="15">
        <f t="shared" si="2"/>
        <v>7.6502342399964502E-7</v>
      </c>
      <c r="O4" s="15">
        <f t="shared" si="3"/>
        <v>-10.531242695556655</v>
      </c>
      <c r="P4" s="15">
        <f t="shared" si="4"/>
        <v>-0.14755670480572697</v>
      </c>
      <c r="Q4" s="15">
        <f t="shared" si="5"/>
        <v>-3.8379064467889629E-3</v>
      </c>
      <c r="R4" s="15">
        <f t="shared" si="6"/>
        <v>-1.9486228740397018E-8</v>
      </c>
      <c r="S4" s="31">
        <f t="shared" ref="S4:S67" si="27">M4+O4+Q4</f>
        <v>-10.559127985910033</v>
      </c>
      <c r="T4" s="31">
        <f t="shared" ref="T4:T67" si="28">20*LOG(L4)+N4+P4+R4</f>
        <v>11.613307352996431</v>
      </c>
      <c r="U4" s="15">
        <f t="shared" si="7"/>
        <v>6500</v>
      </c>
      <c r="V4" s="15">
        <f t="shared" si="8"/>
        <v>-89.729961548757771</v>
      </c>
      <c r="W4" s="15">
        <f t="shared" si="9"/>
        <v>-46.533972634629599</v>
      </c>
      <c r="X4" s="15">
        <f t="shared" si="10"/>
        <v>9.7044401809457792</v>
      </c>
      <c r="Y4" s="15">
        <f t="shared" si="11"/>
        <v>0.12518938501403643</v>
      </c>
      <c r="Z4" s="15">
        <f t="shared" si="12"/>
        <v>-6.5322084519056398E-2</v>
      </c>
      <c r="AA4" s="15">
        <f t="shared" si="13"/>
        <v>-5.6449384510970841E-6</v>
      </c>
      <c r="AB4" s="31">
        <f t="shared" ref="AB4:AB67" si="29">V4+X4+Z4</f>
        <v>-80.090843452331043</v>
      </c>
      <c r="AC4" s="31">
        <f t="shared" ref="AC4:AC67" si="30">20*LOG(U4)+W4+Y4+AA4</f>
        <v>29.849478238303099</v>
      </c>
      <c r="AD4" s="15">
        <f t="shared" si="14"/>
        <v>1.0075777565481256</v>
      </c>
      <c r="AE4" s="15">
        <f t="shared" si="15"/>
        <v>1.3431316246186029E-3</v>
      </c>
      <c r="AF4" s="15">
        <f t="shared" si="16"/>
        <v>4.1443366186647772E-4</v>
      </c>
      <c r="AG4" s="15">
        <f t="shared" si="17"/>
        <v>2.2722255228604587E-10</v>
      </c>
      <c r="AH4" s="15">
        <f t="shared" si="18"/>
        <v>-0.19295958345292111</v>
      </c>
      <c r="AI4" s="15">
        <f t="shared" si="19"/>
        <v>-4.9257523511555679E-5</v>
      </c>
      <c r="AJ4" s="31">
        <f t="shared" ref="AJ4:AJ67" si="31">AD4+AF4+AH4</f>
        <v>0.81503260675707112</v>
      </c>
      <c r="AK4" s="31">
        <f t="shared" ref="AK4:AK67" si="32">AE4+AG4+AI4</f>
        <v>1.2938743283295994E-3</v>
      </c>
      <c r="AL4" s="15">
        <f t="shared" si="20"/>
        <v>0</v>
      </c>
      <c r="AM4" s="15">
        <f t="shared" si="21"/>
        <v>0</v>
      </c>
      <c r="AN4" s="15">
        <f t="shared" si="22"/>
        <v>0</v>
      </c>
      <c r="AO4" s="15">
        <f t="shared" si="23"/>
        <v>0</v>
      </c>
      <c r="AP4" s="31">
        <f t="shared" ref="AP4:AP67" si="33">AL4+AN4</f>
        <v>0</v>
      </c>
      <c r="AQ4" s="31">
        <f t="shared" ref="AQ4:AQ67" si="34">AM4+AO4</f>
        <v>0</v>
      </c>
    </row>
    <row r="5" spans="1:43" x14ac:dyDescent="0.25">
      <c r="C5" s="116"/>
      <c r="D5" s="30" t="s">
        <v>126</v>
      </c>
      <c r="E5" s="8">
        <f>p_small</f>
        <v>550.44422472779058</v>
      </c>
      <c r="F5" s="35" t="s">
        <v>110</v>
      </c>
      <c r="H5" s="15">
        <v>1.02</v>
      </c>
      <c r="I5" s="45">
        <f t="shared" si="24"/>
        <v>104.71285480508999</v>
      </c>
      <c r="J5" s="32">
        <f t="shared" si="25"/>
        <v>90.157693624459199</v>
      </c>
      <c r="K5" s="32">
        <f t="shared" si="26"/>
        <v>41.26312447703846</v>
      </c>
      <c r="L5" s="15">
        <f t="shared" si="0"/>
        <v>3.8729613733905581</v>
      </c>
      <c r="M5" s="15">
        <f t="shared" si="1"/>
        <v>-2.4607519366202795E-2</v>
      </c>
      <c r="N5" s="15">
        <f t="shared" si="2"/>
        <v>8.0107786386173712E-7</v>
      </c>
      <c r="O5" s="15">
        <f t="shared" si="3"/>
        <v>-10.7708712644264</v>
      </c>
      <c r="P5" s="15">
        <f t="shared" si="4"/>
        <v>-0.15438865072583882</v>
      </c>
      <c r="Q5" s="15">
        <f t="shared" si="5"/>
        <v>-3.9273027717514541E-3</v>
      </c>
      <c r="R5" s="15">
        <f t="shared" si="6"/>
        <v>-2.0404586714510887E-8</v>
      </c>
      <c r="S5" s="31">
        <f t="shared" si="27"/>
        <v>-10.799406086564355</v>
      </c>
      <c r="T5" s="31">
        <f t="shared" si="28"/>
        <v>11.606475442212401</v>
      </c>
      <c r="U5" s="15">
        <f t="shared" si="7"/>
        <v>6500</v>
      </c>
      <c r="V5" s="15">
        <f t="shared" si="8"/>
        <v>-89.736108286415572</v>
      </c>
      <c r="W5" s="15">
        <f t="shared" si="9"/>
        <v>-46.733968292814502</v>
      </c>
      <c r="X5" s="15">
        <f t="shared" si="10"/>
        <v>9.9260394459193844</v>
      </c>
      <c r="Y5" s="15">
        <f t="shared" si="11"/>
        <v>0.13100126324734834</v>
      </c>
      <c r="Z5" s="15">
        <f t="shared" si="12"/>
        <v>-6.6843629964631987E-2</v>
      </c>
      <c r="AA5" s="15">
        <f t="shared" si="13"/>
        <v>-5.9109760233446007E-6</v>
      </c>
      <c r="AB5" s="31">
        <f t="shared" si="29"/>
        <v>-79.876912470460823</v>
      </c>
      <c r="AC5" s="31">
        <f t="shared" si="30"/>
        <v>29.655294192313935</v>
      </c>
      <c r="AD5" s="15">
        <f t="shared" si="14"/>
        <v>1.031042248781618</v>
      </c>
      <c r="AE5" s="15">
        <f t="shared" si="15"/>
        <v>1.406421219483622E-3</v>
      </c>
      <c r="AF5" s="15">
        <f t="shared" si="16"/>
        <v>4.2408706195286983E-4</v>
      </c>
      <c r="AG5" s="15">
        <f t="shared" si="17"/>
        <v>2.3793044447436683E-10</v>
      </c>
      <c r="AH5" s="15">
        <f t="shared" si="18"/>
        <v>-0.19745415435919658</v>
      </c>
      <c r="AI5" s="15">
        <f t="shared" si="19"/>
        <v>-5.1578945290358244E-5</v>
      </c>
      <c r="AJ5" s="31">
        <f t="shared" si="31"/>
        <v>0.83401218148437439</v>
      </c>
      <c r="AK5" s="31">
        <f t="shared" si="32"/>
        <v>1.3548425121237082E-3</v>
      </c>
      <c r="AL5" s="15">
        <f t="shared" si="20"/>
        <v>0</v>
      </c>
      <c r="AM5" s="15">
        <f t="shared" si="21"/>
        <v>0</v>
      </c>
      <c r="AN5" s="15">
        <f t="shared" si="22"/>
        <v>0</v>
      </c>
      <c r="AO5" s="15">
        <f t="shared" si="23"/>
        <v>0</v>
      </c>
      <c r="AP5" s="31">
        <f t="shared" si="33"/>
        <v>0</v>
      </c>
      <c r="AQ5" s="31">
        <f t="shared" si="34"/>
        <v>0</v>
      </c>
    </row>
    <row r="6" spans="1:43" ht="15.75" thickBot="1" x14ac:dyDescent="0.3">
      <c r="C6" s="117"/>
      <c r="D6" s="36" t="s">
        <v>127</v>
      </c>
      <c r="E6" s="37">
        <f>p_large</f>
        <v>1527.6654183263195</v>
      </c>
      <c r="F6" s="38" t="s">
        <v>25</v>
      </c>
      <c r="H6" s="15">
        <v>1.03</v>
      </c>
      <c r="I6" s="45">
        <f t="shared" si="24"/>
        <v>107.15193052376068</v>
      </c>
      <c r="J6" s="32">
        <f t="shared" si="25"/>
        <v>90.150521204401443</v>
      </c>
      <c r="K6" s="32">
        <f t="shared" si="26"/>
        <v>41.062127256046381</v>
      </c>
      <c r="L6" s="15">
        <f t="shared" si="0"/>
        <v>3.8729613733905581</v>
      </c>
      <c r="M6" s="15">
        <f t="shared" si="1"/>
        <v>-2.5180702051882185E-2</v>
      </c>
      <c r="N6" s="15">
        <f t="shared" si="2"/>
        <v>8.3883149662267862E-7</v>
      </c>
      <c r="O6" s="15">
        <f t="shared" si="3"/>
        <v>-11.015687339445368</v>
      </c>
      <c r="P6" s="15">
        <f t="shared" si="4"/>
        <v>-0.16153107586574636</v>
      </c>
      <c r="Q6" s="15">
        <f t="shared" si="5"/>
        <v>-4.0187814046014243E-3</v>
      </c>
      <c r="R6" s="15">
        <f t="shared" si="6"/>
        <v>-2.1366225633775144E-8</v>
      </c>
      <c r="S6" s="31">
        <f t="shared" si="27"/>
        <v>-11.044886822901852</v>
      </c>
      <c r="T6" s="31">
        <f t="shared" si="28"/>
        <v>11.599333053864488</v>
      </c>
      <c r="U6" s="15">
        <f t="shared" si="7"/>
        <v>6500</v>
      </c>
      <c r="V6" s="15">
        <f t="shared" si="8"/>
        <v>-89.742115113111822</v>
      </c>
      <c r="W6" s="15">
        <f t="shared" si="9"/>
        <v>-46.933964146409217</v>
      </c>
      <c r="X6" s="15">
        <f t="shared" si="10"/>
        <v>10.152490265379251</v>
      </c>
      <c r="Y6" s="15">
        <f t="shared" si="11"/>
        <v>0.13707872223483095</v>
      </c>
      <c r="Z6" s="15">
        <f t="shared" si="12"/>
        <v>-6.8400616658910326E-2</v>
      </c>
      <c r="AA6" s="15">
        <f t="shared" si="13"/>
        <v>-6.1895515424430573E-6</v>
      </c>
      <c r="AB6" s="31">
        <f t="shared" si="29"/>
        <v>-79.658025464391471</v>
      </c>
      <c r="AC6" s="31">
        <f t="shared" si="30"/>
        <v>29.461375519131188</v>
      </c>
      <c r="AD6" s="15">
        <f t="shared" si="14"/>
        <v>1.0550529411308978</v>
      </c>
      <c r="AE6" s="15">
        <f t="shared" si="15"/>
        <v>1.4726925725346285E-3</v>
      </c>
      <c r="AF6" s="15">
        <f t="shared" si="16"/>
        <v>4.3396531861293228E-4</v>
      </c>
      <c r="AG6" s="15">
        <f t="shared" si="17"/>
        <v>2.4914364425513408E-10</v>
      </c>
      <c r="AH6" s="15">
        <f t="shared" si="18"/>
        <v>-0.20205341475475905</v>
      </c>
      <c r="AI6" s="15">
        <f t="shared" si="19"/>
        <v>-5.4009770976734363E-5</v>
      </c>
      <c r="AJ6" s="31">
        <f t="shared" si="31"/>
        <v>0.85343349169475169</v>
      </c>
      <c r="AK6" s="31">
        <f t="shared" si="32"/>
        <v>1.4186830507015385E-3</v>
      </c>
      <c r="AL6" s="15">
        <f t="shared" si="20"/>
        <v>0</v>
      </c>
      <c r="AM6" s="15">
        <f t="shared" si="21"/>
        <v>0</v>
      </c>
      <c r="AN6" s="15">
        <f t="shared" si="22"/>
        <v>0</v>
      </c>
      <c r="AO6" s="15">
        <f t="shared" si="23"/>
        <v>0</v>
      </c>
      <c r="AP6" s="31">
        <f t="shared" si="33"/>
        <v>0</v>
      </c>
      <c r="AQ6" s="31">
        <f t="shared" si="34"/>
        <v>0</v>
      </c>
    </row>
    <row r="7" spans="1:43" x14ac:dyDescent="0.25">
      <c r="C7" s="118" t="s">
        <v>97</v>
      </c>
      <c r="D7" s="33" t="s">
        <v>123</v>
      </c>
      <c r="E7" s="34">
        <f>A_EA</f>
        <v>6500</v>
      </c>
      <c r="F7" s="39" t="s">
        <v>135</v>
      </c>
      <c r="H7" s="15">
        <v>1.04</v>
      </c>
      <c r="I7" s="45">
        <f t="shared" si="24"/>
        <v>109.64781961431854</v>
      </c>
      <c r="J7" s="32">
        <f t="shared" si="25"/>
        <v>90.143547534271548</v>
      </c>
      <c r="K7" s="32">
        <f t="shared" si="26"/>
        <v>40.861086120700136</v>
      </c>
      <c r="L7" s="15">
        <f t="shared" si="0"/>
        <v>3.8729613733905581</v>
      </c>
      <c r="M7" s="15">
        <f t="shared" si="1"/>
        <v>-2.576723587221608E-2</v>
      </c>
      <c r="N7" s="15">
        <f t="shared" si="2"/>
        <v>8.7836440193369232E-7</v>
      </c>
      <c r="O7" s="15">
        <f t="shared" si="3"/>
        <v>-11.265784950778034</v>
      </c>
      <c r="P7" s="15">
        <f t="shared" si="4"/>
        <v>-0.16899754455101515</v>
      </c>
      <c r="Q7" s="15">
        <f t="shared" si="5"/>
        <v>-4.112390848519009E-3</v>
      </c>
      <c r="R7" s="15">
        <f t="shared" si="6"/>
        <v>-2.2373184086434455E-8</v>
      </c>
      <c r="S7" s="31">
        <f t="shared" si="27"/>
        <v>-11.295664577498769</v>
      </c>
      <c r="T7" s="31">
        <f t="shared" si="28"/>
        <v>11.591866623705165</v>
      </c>
      <c r="U7" s="15">
        <f t="shared" si="7"/>
        <v>6500</v>
      </c>
      <c r="V7" s="15">
        <f t="shared" si="8"/>
        <v>-89.747985213217078</v>
      </c>
      <c r="W7" s="15">
        <f t="shared" si="9"/>
        <v>-47.133960186619213</v>
      </c>
      <c r="X7" s="15">
        <f t="shared" si="10"/>
        <v>10.383884393806511</v>
      </c>
      <c r="Y7" s="15">
        <f t="shared" si="11"/>
        <v>0.14343350079420694</v>
      </c>
      <c r="Z7" s="15">
        <f t="shared" si="12"/>
        <v>-6.999387012764248E-2</v>
      </c>
      <c r="AA7" s="15">
        <f t="shared" si="13"/>
        <v>-6.4812559022576433E-6</v>
      </c>
      <c r="AB7" s="31">
        <f t="shared" si="29"/>
        <v>-79.434094689538213</v>
      </c>
      <c r="AC7" s="31">
        <f t="shared" si="30"/>
        <v>29.267733965776205</v>
      </c>
      <c r="AD7" s="15">
        <f t="shared" si="14"/>
        <v>1.0796225306302214</v>
      </c>
      <c r="AE7" s="15">
        <f t="shared" si="15"/>
        <v>1.5420861143676057E-3</v>
      </c>
      <c r="AF7" s="15">
        <f t="shared" si="16"/>
        <v>4.4407366942909805E-4</v>
      </c>
      <c r="AG7" s="15">
        <f t="shared" si="17"/>
        <v>2.6088529548754216E-10</v>
      </c>
      <c r="AH7" s="15">
        <f t="shared" si="18"/>
        <v>-0.20675980299112487</v>
      </c>
      <c r="AI7" s="15">
        <f t="shared" si="19"/>
        <v>-5.6555156490143641E-5</v>
      </c>
      <c r="AJ7" s="31">
        <f t="shared" si="31"/>
        <v>0.87330680130852567</v>
      </c>
      <c r="AK7" s="31">
        <f t="shared" si="32"/>
        <v>1.4855312187627577E-3</v>
      </c>
      <c r="AL7" s="15">
        <f t="shared" si="20"/>
        <v>0</v>
      </c>
      <c r="AM7" s="15">
        <f t="shared" si="21"/>
        <v>0</v>
      </c>
      <c r="AN7" s="15">
        <f t="shared" si="22"/>
        <v>0</v>
      </c>
      <c r="AO7" s="15">
        <f t="shared" si="23"/>
        <v>0</v>
      </c>
      <c r="AP7" s="31">
        <f t="shared" si="33"/>
        <v>0</v>
      </c>
      <c r="AQ7" s="31">
        <f t="shared" si="34"/>
        <v>0</v>
      </c>
    </row>
    <row r="8" spans="1:43" x14ac:dyDescent="0.25">
      <c r="C8" s="116"/>
      <c r="D8" s="30" t="s">
        <v>128</v>
      </c>
      <c r="E8" s="8">
        <f>p_EA</f>
        <v>0.48228770633907675</v>
      </c>
      <c r="F8" s="35" t="s">
        <v>110</v>
      </c>
      <c r="H8" s="15">
        <v>1.05</v>
      </c>
      <c r="I8" s="45">
        <f t="shared" si="24"/>
        <v>112.20184543019636</v>
      </c>
      <c r="J8" s="32">
        <f t="shared" si="25"/>
        <v>90.13677681362681</v>
      </c>
      <c r="K8" s="32">
        <f t="shared" si="26"/>
        <v>40.659999334744143</v>
      </c>
      <c r="L8" s="15">
        <f t="shared" si="0"/>
        <v>3.8729613733905581</v>
      </c>
      <c r="M8" s="15">
        <f t="shared" si="1"/>
        <v>-2.6367431814707704E-2</v>
      </c>
      <c r="N8" s="15">
        <f t="shared" si="2"/>
        <v>9.1976043767809585E-7</v>
      </c>
      <c r="O8" s="15">
        <f t="shared" si="3"/>
        <v>-11.521258563426038</v>
      </c>
      <c r="P8" s="15">
        <f t="shared" si="4"/>
        <v>-0.17680216322407072</v>
      </c>
      <c r="Q8" s="15">
        <f t="shared" si="5"/>
        <v>-4.2081807364684398E-3</v>
      </c>
      <c r="R8" s="15">
        <f t="shared" si="6"/>
        <v>-2.3427600950788109E-8</v>
      </c>
      <c r="S8" s="31">
        <f t="shared" si="27"/>
        <v>-11.551834175977213</v>
      </c>
      <c r="T8" s="31">
        <f t="shared" si="28"/>
        <v>11.584062045373729</v>
      </c>
      <c r="U8" s="15">
        <f t="shared" si="7"/>
        <v>6500</v>
      </c>
      <c r="V8" s="15">
        <f t="shared" si="8"/>
        <v>-89.753721698642906</v>
      </c>
      <c r="W8" s="15">
        <f t="shared" si="9"/>
        <v>-47.333956405045747</v>
      </c>
      <c r="X8" s="15">
        <f t="shared" si="10"/>
        <v>10.620314311865185</v>
      </c>
      <c r="Y8" s="15">
        <f t="shared" si="11"/>
        <v>0.15007781960977132</v>
      </c>
      <c r="Z8" s="15">
        <f t="shared" si="12"/>
        <v>-7.1624235125045121E-2</v>
      </c>
      <c r="AA8" s="15">
        <f t="shared" si="13"/>
        <v>-6.7867078443431956E-6</v>
      </c>
      <c r="AB8" s="31">
        <f t="shared" si="29"/>
        <v>-79.205031621902762</v>
      </c>
      <c r="AC8" s="31">
        <f t="shared" si="30"/>
        <v>29.074381760713294</v>
      </c>
      <c r="AD8" s="15">
        <f t="shared" si="14"/>
        <v>1.1047640082362433</v>
      </c>
      <c r="AE8" s="15">
        <f t="shared" si="15"/>
        <v>1.6147488846705122E-3</v>
      </c>
      <c r="AF8" s="15">
        <f t="shared" si="16"/>
        <v>4.5441747398276719E-4</v>
      </c>
      <c r="AG8" s="15">
        <f t="shared" si="17"/>
        <v>2.7318047068571857E-10</v>
      </c>
      <c r="AH8" s="15">
        <f t="shared" si="18"/>
        <v>-0.21157581420344404</v>
      </c>
      <c r="AI8" s="15">
        <f t="shared" si="19"/>
        <v>-5.9220500729180286E-5</v>
      </c>
      <c r="AJ8" s="31">
        <f t="shared" si="31"/>
        <v>0.89364261150678193</v>
      </c>
      <c r="AK8" s="31">
        <f t="shared" si="32"/>
        <v>1.5555286571218025E-3</v>
      </c>
      <c r="AL8" s="15">
        <f t="shared" si="20"/>
        <v>0</v>
      </c>
      <c r="AM8" s="15">
        <f t="shared" si="21"/>
        <v>0</v>
      </c>
      <c r="AN8" s="15">
        <f t="shared" si="22"/>
        <v>0</v>
      </c>
      <c r="AO8" s="15">
        <f t="shared" si="23"/>
        <v>0</v>
      </c>
      <c r="AP8" s="31">
        <f t="shared" si="33"/>
        <v>0</v>
      </c>
      <c r="AQ8" s="31">
        <f t="shared" si="34"/>
        <v>0</v>
      </c>
    </row>
    <row r="9" spans="1:43" x14ac:dyDescent="0.25">
      <c r="C9" s="116"/>
      <c r="D9" s="30" t="s">
        <v>129</v>
      </c>
      <c r="E9" s="8">
        <f>z_comp</f>
        <v>598.3718440931475</v>
      </c>
      <c r="F9" s="35" t="s">
        <v>110</v>
      </c>
      <c r="H9" s="15">
        <v>1.06</v>
      </c>
      <c r="I9" s="45">
        <f t="shared" si="24"/>
        <v>114.81536214968834</v>
      </c>
      <c r="J9" s="32">
        <f t="shared" si="25"/>
        <v>90.130213844321688</v>
      </c>
      <c r="K9" s="32">
        <f t="shared" si="26"/>
        <v>40.458865107272203</v>
      </c>
      <c r="L9" s="15">
        <f t="shared" si="0"/>
        <v>3.8729613733905581</v>
      </c>
      <c r="M9" s="15">
        <f t="shared" si="1"/>
        <v>-2.6981608110663129E-2</v>
      </c>
      <c r="N9" s="15">
        <f t="shared" si="2"/>
        <v>9.6310740583534538E-7</v>
      </c>
      <c r="O9" s="15">
        <f t="shared" si="3"/>
        <v>-11.782202980206453</v>
      </c>
      <c r="P9" s="15">
        <f t="shared" si="4"/>
        <v>-0.18495959744799434</v>
      </c>
      <c r="Q9" s="15">
        <f t="shared" si="5"/>
        <v>-4.306201857514097E-3</v>
      </c>
      <c r="R9" s="15">
        <f t="shared" si="6"/>
        <v>-2.4531709609225047E-8</v>
      </c>
      <c r="S9" s="31">
        <f t="shared" si="27"/>
        <v>-11.81349079017463</v>
      </c>
      <c r="T9" s="31">
        <f t="shared" si="28"/>
        <v>11.575904653392664</v>
      </c>
      <c r="U9" s="15">
        <f t="shared" si="7"/>
        <v>6500</v>
      </c>
      <c r="V9" s="15">
        <f t="shared" si="8"/>
        <v>-89.759327610489521</v>
      </c>
      <c r="W9" s="15">
        <f t="shared" si="9"/>
        <v>-47.533952793668057</v>
      </c>
      <c r="X9" s="15">
        <f t="shared" si="10"/>
        <v>10.861873154939355</v>
      </c>
      <c r="Y9" s="15">
        <f t="shared" si="11"/>
        <v>0.15702439757388487</v>
      </c>
      <c r="Z9" s="15">
        <f t="shared" si="12"/>
        <v>-7.3292576081653446E-2</v>
      </c>
      <c r="AA9" s="15">
        <f t="shared" si="13"/>
        <v>-7.1065552694142373E-6</v>
      </c>
      <c r="AB9" s="31">
        <f t="shared" si="29"/>
        <v>-78.970747031631817</v>
      </c>
      <c r="AC9" s="31">
        <f t="shared" si="30"/>
        <v>28.881331630207672</v>
      </c>
      <c r="AD9" s="15">
        <f t="shared" si="14"/>
        <v>1.1304906655436753</v>
      </c>
      <c r="AE9" s="15">
        <f t="shared" si="15"/>
        <v>1.6908348428288655E-3</v>
      </c>
      <c r="AF9" s="15">
        <f t="shared" si="16"/>
        <v>4.6500221669602831E-4</v>
      </c>
      <c r="AG9" s="15">
        <f t="shared" si="17"/>
        <v>2.8605424236379053E-10</v>
      </c>
      <c r="AH9" s="15">
        <f t="shared" si="18"/>
        <v>-0.21650400163224057</v>
      </c>
      <c r="AI9" s="15">
        <f t="shared" si="19"/>
        <v>-6.2011457016972822E-5</v>
      </c>
      <c r="AJ9" s="31">
        <f t="shared" si="31"/>
        <v>0.91445166612813078</v>
      </c>
      <c r="AK9" s="31">
        <f t="shared" si="32"/>
        <v>1.6288236718661349E-3</v>
      </c>
      <c r="AL9" s="15">
        <f t="shared" si="20"/>
        <v>0</v>
      </c>
      <c r="AM9" s="15">
        <f t="shared" si="21"/>
        <v>0</v>
      </c>
      <c r="AN9" s="15">
        <f t="shared" si="22"/>
        <v>0</v>
      </c>
      <c r="AO9" s="15">
        <f t="shared" si="23"/>
        <v>0</v>
      </c>
      <c r="AP9" s="31">
        <f t="shared" si="33"/>
        <v>0</v>
      </c>
      <c r="AQ9" s="31">
        <f t="shared" si="34"/>
        <v>0</v>
      </c>
    </row>
    <row r="10" spans="1:43" ht="15.75" thickBot="1" x14ac:dyDescent="0.3">
      <c r="C10" s="117"/>
      <c r="D10" s="36" t="s">
        <v>130</v>
      </c>
      <c r="E10" s="37">
        <f>p_comp</f>
        <v>89.755776613972131</v>
      </c>
      <c r="F10" s="38" t="s">
        <v>25</v>
      </c>
      <c r="H10" s="15">
        <v>1.07</v>
      </c>
      <c r="I10" s="45">
        <f t="shared" si="24"/>
        <v>117.489755493953</v>
      </c>
      <c r="J10" s="32">
        <f t="shared" si="25"/>
        <v>90.123864060629728</v>
      </c>
      <c r="K10" s="32">
        <f t="shared" si="26"/>
        <v>40.257681592531185</v>
      </c>
      <c r="L10" s="15">
        <f t="shared" si="0"/>
        <v>3.8729613733905581</v>
      </c>
      <c r="M10" s="15">
        <f t="shared" si="1"/>
        <v>-2.7610090403919103E-2</v>
      </c>
      <c r="N10" s="15">
        <f t="shared" si="2"/>
        <v>1.0084972549894924E-6</v>
      </c>
      <c r="O10" s="15">
        <f t="shared" si="3"/>
        <v>-12.048713236836376</v>
      </c>
      <c r="P10" s="15">
        <f t="shared" si="4"/>
        <v>-0.19348508900091491</v>
      </c>
      <c r="Q10" s="15">
        <f t="shared" si="5"/>
        <v>-4.4065061837495192E-3</v>
      </c>
      <c r="R10" s="15">
        <f t="shared" si="6"/>
        <v>-2.5687853377463121E-8</v>
      </c>
      <c r="S10" s="31">
        <f t="shared" si="27"/>
        <v>-12.080729833424044</v>
      </c>
      <c r="T10" s="31">
        <f t="shared" si="28"/>
        <v>11.567379206073451</v>
      </c>
      <c r="U10" s="15">
        <f t="shared" si="7"/>
        <v>6500</v>
      </c>
      <c r="V10" s="15">
        <f t="shared" si="8"/>
        <v>-89.764805920656002</v>
      </c>
      <c r="W10" s="15">
        <f t="shared" si="9"/>
        <v>-47.733949344826321</v>
      </c>
      <c r="X10" s="15">
        <f t="shared" si="10"/>
        <v>11.108654635090472</v>
      </c>
      <c r="Y10" s="15">
        <f t="shared" si="11"/>
        <v>0.16428646835606364</v>
      </c>
      <c r="Z10" s="15">
        <f t="shared" si="12"/>
        <v>-7.4999777562602996E-2</v>
      </c>
      <c r="AA10" s="15">
        <f t="shared" si="13"/>
        <v>-7.4414766124591208E-6</v>
      </c>
      <c r="AB10" s="31">
        <f t="shared" si="29"/>
        <v>-78.731151063128138</v>
      </c>
      <c r="AC10" s="31">
        <f t="shared" si="30"/>
        <v>28.688596814910245</v>
      </c>
      <c r="AD10" s="15">
        <f t="shared" si="14"/>
        <v>1.1568161016480474</v>
      </c>
      <c r="AE10" s="15">
        <f t="shared" si="15"/>
        <v>1.7705051930516206E-3</v>
      </c>
      <c r="AF10" s="15">
        <f t="shared" si="16"/>
        <v>4.7583350973956999E-4</v>
      </c>
      <c r="AG10" s="15">
        <f t="shared" si="17"/>
        <v>2.9953554034575102E-10</v>
      </c>
      <c r="AH10" s="15">
        <f t="shared" si="18"/>
        <v>-0.2215469779758738</v>
      </c>
      <c r="AI10" s="15">
        <f t="shared" si="19"/>
        <v>-6.4933945099994952E-5</v>
      </c>
      <c r="AJ10" s="31">
        <f t="shared" si="31"/>
        <v>0.9357449571819132</v>
      </c>
      <c r="AK10" s="31">
        <f t="shared" si="32"/>
        <v>1.705571547487166E-3</v>
      </c>
      <c r="AL10" s="15">
        <f t="shared" si="20"/>
        <v>0</v>
      </c>
      <c r="AM10" s="15">
        <f t="shared" si="21"/>
        <v>0</v>
      </c>
      <c r="AN10" s="15">
        <f t="shared" si="22"/>
        <v>0</v>
      </c>
      <c r="AO10" s="15">
        <f t="shared" si="23"/>
        <v>0</v>
      </c>
      <c r="AP10" s="31">
        <f t="shared" si="33"/>
        <v>0</v>
      </c>
      <c r="AQ10" s="31">
        <f t="shared" si="34"/>
        <v>0</v>
      </c>
    </row>
    <row r="11" spans="1:43" x14ac:dyDescent="0.25">
      <c r="C11" s="115" t="s">
        <v>163</v>
      </c>
      <c r="D11" s="33" t="s">
        <v>149</v>
      </c>
      <c r="E11" s="34">
        <f>z_esr_1</f>
        <v>5.8183425857971542</v>
      </c>
      <c r="F11" s="39" t="s">
        <v>25</v>
      </c>
      <c r="H11" s="15">
        <v>1.08</v>
      </c>
      <c r="I11" s="45">
        <f t="shared" si="24"/>
        <v>120.22644346174133</v>
      </c>
      <c r="J11" s="32">
        <f t="shared" si="25"/>
        <v>90.117733560839071</v>
      </c>
      <c r="K11" s="32">
        <f t="shared" si="26"/>
        <v>40.056446889892797</v>
      </c>
      <c r="L11" s="15">
        <f t="shared" si="0"/>
        <v>3.8729613733905581</v>
      </c>
      <c r="M11" s="15">
        <f t="shared" si="1"/>
        <v>-2.8253211923501189E-2</v>
      </c>
      <c r="N11" s="15">
        <f t="shared" si="2"/>
        <v>1.0560262616224123E-6</v>
      </c>
      <c r="O11" s="15">
        <f t="shared" si="3"/>
        <v>-12.320884488750149</v>
      </c>
      <c r="P11" s="15">
        <f t="shared" si="4"/>
        <v>-0.20239447301186442</v>
      </c>
      <c r="Q11" s="15">
        <f t="shared" si="5"/>
        <v>-4.5091468978537049E-3</v>
      </c>
      <c r="R11" s="15">
        <f t="shared" si="6"/>
        <v>-2.6898483575893934E-8</v>
      </c>
      <c r="S11" s="31">
        <f t="shared" si="27"/>
        <v>-12.353646847571504</v>
      </c>
      <c r="T11" s="31">
        <f t="shared" si="28"/>
        <v>11.558469868380877</v>
      </c>
      <c r="U11" s="15">
        <f t="shared" si="7"/>
        <v>6500</v>
      </c>
      <c r="V11" s="15">
        <f t="shared" si="8"/>
        <v>-89.770159533414031</v>
      </c>
      <c r="W11" s="15">
        <f t="shared" si="9"/>
        <v>-47.933946051205481</v>
      </c>
      <c r="X11" s="15">
        <f t="shared" si="10"/>
        <v>11.360752956081255</v>
      </c>
      <c r="Y11" s="15">
        <f t="shared" si="11"/>
        <v>0.17187779716786705</v>
      </c>
      <c r="Z11" s="15">
        <f t="shared" si="12"/>
        <v>-7.6746744736584049E-2</v>
      </c>
      <c r="AA11" s="15">
        <f t="shared" si="13"/>
        <v>-7.7921822872841367E-6</v>
      </c>
      <c r="AB11" s="31">
        <f t="shared" si="29"/>
        <v>-78.486153322069356</v>
      </c>
      <c r="AC11" s="31">
        <f t="shared" si="30"/>
        <v>28.496191086637211</v>
      </c>
      <c r="AD11" s="15">
        <f t="shared" si="14"/>
        <v>1.1837542301583426</v>
      </c>
      <c r="AE11" s="15">
        <f t="shared" si="15"/>
        <v>1.8539287247537461E-3</v>
      </c>
      <c r="AF11" s="15">
        <f t="shared" si="16"/>
        <v>4.8691709600833048E-4</v>
      </c>
      <c r="AG11" s="15">
        <f t="shared" si="17"/>
        <v>3.1365329445559283E-10</v>
      </c>
      <c r="AH11" s="15">
        <f t="shared" si="18"/>
        <v>-0.22670741677443357</v>
      </c>
      <c r="AI11" s="15">
        <f t="shared" si="19"/>
        <v>-6.7994163696419795E-5</v>
      </c>
      <c r="AJ11" s="31">
        <f t="shared" si="31"/>
        <v>0.95753373047991719</v>
      </c>
      <c r="AK11" s="31">
        <f t="shared" si="32"/>
        <v>1.7859348747106209E-3</v>
      </c>
      <c r="AL11" s="15">
        <f t="shared" si="20"/>
        <v>0</v>
      </c>
      <c r="AM11" s="15">
        <f t="shared" si="21"/>
        <v>0</v>
      </c>
      <c r="AN11" s="15">
        <f t="shared" si="22"/>
        <v>0</v>
      </c>
      <c r="AO11" s="15">
        <f t="shared" si="23"/>
        <v>0</v>
      </c>
      <c r="AP11" s="31">
        <f t="shared" si="33"/>
        <v>0</v>
      </c>
      <c r="AQ11" s="31">
        <f t="shared" si="34"/>
        <v>0</v>
      </c>
    </row>
    <row r="12" spans="1:43" x14ac:dyDescent="0.25">
      <c r="C12" s="116"/>
      <c r="D12" s="30" t="s">
        <v>150</v>
      </c>
      <c r="E12" s="8">
        <f>z_esr_2</f>
        <v>14147.10605261292</v>
      </c>
      <c r="F12" s="35" t="s">
        <v>25</v>
      </c>
      <c r="H12" s="15">
        <v>1.0900000000000001</v>
      </c>
      <c r="I12" s="45">
        <f t="shared" si="24"/>
        <v>123.02687708123818</v>
      </c>
      <c r="J12" s="32">
        <f t="shared" si="25"/>
        <v>90.111829140336908</v>
      </c>
      <c r="K12" s="32">
        <f t="shared" si="26"/>
        <v>39.855159044012865</v>
      </c>
      <c r="L12" s="15">
        <f t="shared" si="0"/>
        <v>3.8729613733905581</v>
      </c>
      <c r="M12" s="15">
        <f t="shared" si="1"/>
        <v>-2.8911313660303185E-2</v>
      </c>
      <c r="N12" s="15">
        <f t="shared" si="2"/>
        <v>1.1057952403368173E-6</v>
      </c>
      <c r="O12" s="15">
        <f t="shared" si="3"/>
        <v>-12.598811889273703</v>
      </c>
      <c r="P12" s="15">
        <f t="shared" si="4"/>
        <v>-0.21170419508340482</v>
      </c>
      <c r="Q12" s="15">
        <f t="shared" si="5"/>
        <v>-4.6141784212892448E-3</v>
      </c>
      <c r="R12" s="15">
        <f t="shared" si="6"/>
        <v>-2.8166171101512201E-8</v>
      </c>
      <c r="S12" s="31">
        <f t="shared" si="27"/>
        <v>-12.632337381355295</v>
      </c>
      <c r="T12" s="31">
        <f t="shared" si="28"/>
        <v>11.549160194810627</v>
      </c>
      <c r="U12" s="15">
        <f t="shared" si="7"/>
        <v>6500</v>
      </c>
      <c r="V12" s="15">
        <f t="shared" si="8"/>
        <v>-89.775391286945805</v>
      </c>
      <c r="W12" s="15">
        <f t="shared" si="9"/>
        <v>-48.133942905819673</v>
      </c>
      <c r="X12" s="15">
        <f t="shared" si="10"/>
        <v>11.61826272110507</v>
      </c>
      <c r="Y12" s="15">
        <f t="shared" si="11"/>
        <v>0.17981269768731151</v>
      </c>
      <c r="Z12" s="15">
        <f t="shared" si="12"/>
        <v>-7.8534403855715945E-2</v>
      </c>
      <c r="AA12" s="15">
        <f t="shared" si="13"/>
        <v>-8.1594161792722369E-6</v>
      </c>
      <c r="AB12" s="31">
        <f t="shared" si="29"/>
        <v>-78.235662969696449</v>
      </c>
      <c r="AC12" s="31">
        <f t="shared" si="30"/>
        <v>28.304128765308572</v>
      </c>
      <c r="AD12" s="15">
        <f t="shared" si="14"/>
        <v>1.2113192863622673</v>
      </c>
      <c r="AE12" s="15">
        <f t="shared" si="15"/>
        <v>1.9412821688694374E-3</v>
      </c>
      <c r="AF12" s="15">
        <f t="shared" si="16"/>
        <v>4.9825885216645428E-4</v>
      </c>
      <c r="AG12" s="15">
        <f t="shared" si="17"/>
        <v>3.2843450586237527E-10</v>
      </c>
      <c r="AH12" s="15">
        <f t="shared" si="18"/>
        <v>-0.23198805382579304</v>
      </c>
      <c r="AI12" s="15">
        <f t="shared" si="19"/>
        <v>-7.1198603640292975E-5</v>
      </c>
      <c r="AJ12" s="31">
        <f t="shared" si="31"/>
        <v>0.97982949138864073</v>
      </c>
      <c r="AK12" s="31">
        <f t="shared" si="32"/>
        <v>1.8700838936636505E-3</v>
      </c>
      <c r="AL12" s="15">
        <f t="shared" si="20"/>
        <v>0</v>
      </c>
      <c r="AM12" s="15">
        <f t="shared" si="21"/>
        <v>0</v>
      </c>
      <c r="AN12" s="15">
        <f t="shared" si="22"/>
        <v>0</v>
      </c>
      <c r="AO12" s="15">
        <f t="shared" si="23"/>
        <v>0</v>
      </c>
      <c r="AP12" s="31">
        <f t="shared" si="33"/>
        <v>0</v>
      </c>
      <c r="AQ12" s="31">
        <f t="shared" si="34"/>
        <v>0</v>
      </c>
    </row>
    <row r="13" spans="1:43" ht="15.75" thickBot="1" x14ac:dyDescent="0.3">
      <c r="C13" s="117"/>
      <c r="D13" s="36" t="s">
        <v>151</v>
      </c>
      <c r="E13" s="37">
        <f>p_esr</f>
        <v>30.384677948051806</v>
      </c>
      <c r="F13" s="38" t="s">
        <v>25</v>
      </c>
      <c r="H13" s="15">
        <v>1.1000000000000001</v>
      </c>
      <c r="I13" s="45">
        <f t="shared" si="24"/>
        <v>125.8925411794168</v>
      </c>
      <c r="J13" s="32">
        <f t="shared" si="25"/>
        <v>90.106158326192102</v>
      </c>
      <c r="K13" s="32">
        <f t="shared" si="26"/>
        <v>39.653816045198184</v>
      </c>
      <c r="L13" s="15">
        <f t="shared" si="0"/>
        <v>3.8729613733905581</v>
      </c>
      <c r="M13" s="15">
        <f t="shared" si="1"/>
        <v>-2.9584744547881979E-2</v>
      </c>
      <c r="N13" s="15">
        <f t="shared" si="2"/>
        <v>1.157909756007895E-6</v>
      </c>
      <c r="O13" s="15">
        <f t="shared" si="3"/>
        <v>-12.882590458781129</v>
      </c>
      <c r="P13" s="15">
        <f t="shared" si="4"/>
        <v>-0.22143132834048473</v>
      </c>
      <c r="Q13" s="15">
        <f t="shared" si="5"/>
        <v>-4.7216564431572967E-3</v>
      </c>
      <c r="R13" s="15">
        <f t="shared" si="6"/>
        <v>-2.9493600641950711E-8</v>
      </c>
      <c r="S13" s="31">
        <f t="shared" si="27"/>
        <v>-12.916896859772169</v>
      </c>
      <c r="T13" s="31">
        <f t="shared" si="28"/>
        <v>11.539433112340634</v>
      </c>
      <c r="U13" s="15">
        <f t="shared" si="7"/>
        <v>6500</v>
      </c>
      <c r="V13" s="15">
        <f t="shared" si="8"/>
        <v>-89.780503954847134</v>
      </c>
      <c r="W13" s="15">
        <f t="shared" si="9"/>
        <v>-48.333939901997418</v>
      </c>
      <c r="X13" s="15">
        <f t="shared" si="10"/>
        <v>11.881278832853855</v>
      </c>
      <c r="Y13" s="15">
        <f t="shared" si="11"/>
        <v>0.18810604910199846</v>
      </c>
      <c r="Z13" s="15">
        <f t="shared" si="12"/>
        <v>-8.0363702746596252E-2</v>
      </c>
      <c r="AA13" s="15">
        <f t="shared" si="13"/>
        <v>-8.543957238429826E-6</v>
      </c>
      <c r="AB13" s="31">
        <f t="shared" si="29"/>
        <v>-77.979588824739878</v>
      </c>
      <c r="AC13" s="31">
        <f t="shared" si="30"/>
        <v>28.112424736004456</v>
      </c>
      <c r="AD13" s="15">
        <f t="shared" si="14"/>
        <v>1.2395258345469655</v>
      </c>
      <c r="AE13" s="15">
        <f t="shared" si="15"/>
        <v>2.0327505708365562E-3</v>
      </c>
      <c r="AF13" s="15">
        <f t="shared" si="16"/>
        <v>5.098647917631795E-4</v>
      </c>
      <c r="AG13" s="15">
        <f t="shared" si="17"/>
        <v>3.4391389035488955E-10</v>
      </c>
      <c r="AH13" s="15">
        <f t="shared" si="18"/>
        <v>-0.23739168863456597</v>
      </c>
      <c r="AI13" s="15">
        <f t="shared" si="19"/>
        <v>-7.4554061652370131E-5</v>
      </c>
      <c r="AJ13" s="31">
        <f t="shared" si="31"/>
        <v>1.0026440107041628</v>
      </c>
      <c r="AK13" s="31">
        <f t="shared" si="32"/>
        <v>1.9581968530980767E-3</v>
      </c>
      <c r="AL13" s="15">
        <f t="shared" si="20"/>
        <v>0</v>
      </c>
      <c r="AM13" s="15">
        <f t="shared" si="21"/>
        <v>0</v>
      </c>
      <c r="AN13" s="15">
        <f t="shared" si="22"/>
        <v>0</v>
      </c>
      <c r="AO13" s="15">
        <f t="shared" si="23"/>
        <v>0</v>
      </c>
      <c r="AP13" s="31">
        <f t="shared" si="33"/>
        <v>0</v>
      </c>
      <c r="AQ13" s="31">
        <f t="shared" si="34"/>
        <v>0</v>
      </c>
    </row>
    <row r="14" spans="1:43" x14ac:dyDescent="0.25">
      <c r="C14" s="115" t="s">
        <v>164</v>
      </c>
      <c r="D14" s="33" t="s">
        <v>158</v>
      </c>
      <c r="E14" s="34" t="str">
        <f>z_ff</f>
        <v/>
      </c>
      <c r="F14" s="39" t="s">
        <v>25</v>
      </c>
      <c r="H14" s="15">
        <v>1.1100000000000001</v>
      </c>
      <c r="I14" s="45">
        <f t="shared" si="24"/>
        <v>128.82495516931345</v>
      </c>
      <c r="J14" s="32">
        <f t="shared" si="25"/>
        <v>90.100729413236749</v>
      </c>
      <c r="K14" s="32">
        <f t="shared" si="26"/>
        <v>39.452415830002963</v>
      </c>
      <c r="L14" s="15">
        <f t="shared" si="0"/>
        <v>3.8729613733905581</v>
      </c>
      <c r="M14" s="15">
        <f t="shared" si="1"/>
        <v>-3.0273861647463367E-2</v>
      </c>
      <c r="N14" s="15">
        <f t="shared" si="2"/>
        <v>1.2124803552214515E-6</v>
      </c>
      <c r="O14" s="15">
        <f t="shared" si="3"/>
        <v>-13.172314944461403</v>
      </c>
      <c r="P14" s="15">
        <f t="shared" si="4"/>
        <v>-0.23159359033873372</v>
      </c>
      <c r="Q14" s="15">
        <f t="shared" si="5"/>
        <v>-4.8316379497246658E-3</v>
      </c>
      <c r="R14" s="15">
        <f t="shared" si="6"/>
        <v>-3.0883591890684247E-8</v>
      </c>
      <c r="S14" s="31">
        <f t="shared" si="27"/>
        <v>-13.207420444058592</v>
      </c>
      <c r="T14" s="31">
        <f t="shared" si="28"/>
        <v>11.52927090352299</v>
      </c>
      <c r="U14" s="15">
        <f t="shared" si="7"/>
        <v>6500</v>
      </c>
      <c r="V14" s="15">
        <f t="shared" si="8"/>
        <v>-89.785500247596346</v>
      </c>
      <c r="W14" s="15">
        <f t="shared" si="9"/>
        <v>-48.533937033367494</v>
      </c>
      <c r="X14" s="15">
        <f t="shared" si="10"/>
        <v>12.149896385552792</v>
      </c>
      <c r="Y14" s="15">
        <f t="shared" si="11"/>
        <v>0.19677331322505087</v>
      </c>
      <c r="Z14" s="15">
        <f t="shared" si="12"/>
        <v>-8.2235611312784285E-2</v>
      </c>
      <c r="AA14" s="15">
        <f t="shared" si="13"/>
        <v>-8.9466211225764764E-6</v>
      </c>
      <c r="AB14" s="31">
        <f t="shared" si="29"/>
        <v>-77.717839473356335</v>
      </c>
      <c r="AC14" s="31">
        <f t="shared" si="30"/>
        <v>27.92109446609355</v>
      </c>
      <c r="AD14" s="15">
        <f t="shared" si="14"/>
        <v>1.2683887754779739</v>
      </c>
      <c r="AE14" s="15">
        <f t="shared" si="15"/>
        <v>2.1285276810497976E-3</v>
      </c>
      <c r="AF14" s="15">
        <f t="shared" si="16"/>
        <v>5.217410684212984E-4</v>
      </c>
      <c r="AG14" s="15">
        <f t="shared" si="17"/>
        <v>3.601223064120603E-10</v>
      </c>
      <c r="AH14" s="15">
        <f t="shared" si="18"/>
        <v>-0.24292118589472683</v>
      </c>
      <c r="AI14" s="15">
        <f t="shared" si="19"/>
        <v>-7.8067654749176436E-5</v>
      </c>
      <c r="AJ14" s="31">
        <f t="shared" si="31"/>
        <v>1.0259893306516683</v>
      </c>
      <c r="AK14" s="31">
        <f t="shared" si="32"/>
        <v>2.0504603864229276E-3</v>
      </c>
      <c r="AL14" s="15">
        <f t="shared" si="20"/>
        <v>0</v>
      </c>
      <c r="AM14" s="15">
        <f t="shared" si="21"/>
        <v>0</v>
      </c>
      <c r="AN14" s="15">
        <f t="shared" si="22"/>
        <v>0</v>
      </c>
      <c r="AO14" s="15">
        <f t="shared" si="23"/>
        <v>0</v>
      </c>
      <c r="AP14" s="31">
        <f t="shared" si="33"/>
        <v>0</v>
      </c>
      <c r="AQ14" s="31">
        <f t="shared" si="34"/>
        <v>0</v>
      </c>
    </row>
    <row r="15" spans="1:43" ht="15.75" thickBot="1" x14ac:dyDescent="0.3">
      <c r="C15" s="117"/>
      <c r="D15" s="36" t="s">
        <v>159</v>
      </c>
      <c r="E15" s="37" t="str">
        <f>p_ff</f>
        <v/>
      </c>
      <c r="F15" s="38" t="s">
        <v>25</v>
      </c>
      <c r="H15" s="15">
        <v>1.1200000000000001</v>
      </c>
      <c r="I15" s="45">
        <f t="shared" si="24"/>
        <v>131.82567385564076</v>
      </c>
      <c r="J15" s="32">
        <f t="shared" si="25"/>
        <v>90.095551501639079</v>
      </c>
      <c r="K15" s="32">
        <f t="shared" si="26"/>
        <v>39.250956282077574</v>
      </c>
      <c r="L15" s="15">
        <f t="shared" si="0"/>
        <v>3.8729613733905581</v>
      </c>
      <c r="M15" s="15">
        <f t="shared" si="1"/>
        <v>-3.0979030337257161E-2</v>
      </c>
      <c r="N15" s="15">
        <f t="shared" si="2"/>
        <v>1.2696227842114319E-6</v>
      </c>
      <c r="O15" s="15">
        <f t="shared" si="3"/>
        <v>-13.468079670329052</v>
      </c>
      <c r="P15" s="15">
        <f t="shared" si="4"/>
        <v>-0.24220935975892102</v>
      </c>
      <c r="Q15" s="15">
        <f t="shared" si="5"/>
        <v>-4.9441812546386675E-3</v>
      </c>
      <c r="R15" s="15">
        <f t="shared" si="6"/>
        <v>-3.233909183240958E-8</v>
      </c>
      <c r="S15" s="31">
        <f t="shared" si="27"/>
        <v>-13.504002881920947</v>
      </c>
      <c r="T15" s="31">
        <f t="shared" si="28"/>
        <v>11.518655189789735</v>
      </c>
      <c r="U15" s="15">
        <f t="shared" si="7"/>
        <v>6500</v>
      </c>
      <c r="V15" s="15">
        <f t="shared" si="8"/>
        <v>-89.790382813989893</v>
      </c>
      <c r="W15" s="15">
        <f t="shared" si="9"/>
        <v>-48.733934293845415</v>
      </c>
      <c r="X15" s="15">
        <f t="shared" si="10"/>
        <v>12.424210548587219</v>
      </c>
      <c r="Y15" s="15">
        <f t="shared" si="11"/>
        <v>0.20583055163274305</v>
      </c>
      <c r="Z15" s="15">
        <f t="shared" si="12"/>
        <v>-8.4151122048985852E-2</v>
      </c>
      <c r="AA15" s="15">
        <f t="shared" si="13"/>
        <v>-9.3682619311790634E-6</v>
      </c>
      <c r="AB15" s="31">
        <f t="shared" si="29"/>
        <v>-77.450323387451647</v>
      </c>
      <c r="AC15" s="31">
        <f t="shared" si="30"/>
        <v>27.730154022382511</v>
      </c>
      <c r="AD15" s="15">
        <f t="shared" si="14"/>
        <v>1.2979233540392348</v>
      </c>
      <c r="AE15" s="15">
        <f t="shared" si="15"/>
        <v>2.2288163635694504E-3</v>
      </c>
      <c r="AF15" s="15">
        <f t="shared" si="16"/>
        <v>5.3389397909989254E-4</v>
      </c>
      <c r="AG15" s="15">
        <f t="shared" si="17"/>
        <v>3.7709446982267791E-10</v>
      </c>
      <c r="AH15" s="15">
        <f t="shared" si="18"/>
        <v>-0.24857947700667363</v>
      </c>
      <c r="AI15" s="15">
        <f t="shared" si="19"/>
        <v>-8.1746835340417402E-5</v>
      </c>
      <c r="AJ15" s="31">
        <f t="shared" si="31"/>
        <v>1.0498777710116611</v>
      </c>
      <c r="AK15" s="31">
        <f t="shared" si="32"/>
        <v>2.1470699053235029E-3</v>
      </c>
      <c r="AL15" s="15">
        <f t="shared" si="20"/>
        <v>0</v>
      </c>
      <c r="AM15" s="15">
        <f t="shared" si="21"/>
        <v>0</v>
      </c>
      <c r="AN15" s="15">
        <f t="shared" si="22"/>
        <v>0</v>
      </c>
      <c r="AO15" s="15">
        <f t="shared" si="23"/>
        <v>0</v>
      </c>
      <c r="AP15" s="31">
        <f t="shared" si="33"/>
        <v>0</v>
      </c>
      <c r="AQ15" s="31">
        <f t="shared" si="34"/>
        <v>0</v>
      </c>
    </row>
    <row r="16" spans="1:43" x14ac:dyDescent="0.25">
      <c r="C16" s="112" t="s">
        <v>194</v>
      </c>
      <c r="D16" s="49" t="s">
        <v>195</v>
      </c>
      <c r="E16" s="41">
        <f>(INDEX(I3:I503, 1+MATCH(0,K3:K503,-1))/1000+INDEX(I3:I503, MATCH(0,K3:K503,-1))/1000)/2</f>
        <v>44.159971219556489</v>
      </c>
      <c r="F16" s="50" t="s">
        <v>25</v>
      </c>
      <c r="H16" s="15">
        <v>1.1299999999999999</v>
      </c>
      <c r="I16" s="45">
        <f t="shared" si="24"/>
        <v>134.89628825916535</v>
      </c>
      <c r="J16" s="32">
        <f t="shared" si="25"/>
        <v>90.090634535951423</v>
      </c>
      <c r="K16" s="32">
        <f t="shared" si="26"/>
        <v>39.049435233294005</v>
      </c>
      <c r="L16" s="15">
        <f t="shared" si="0"/>
        <v>3.8729613733905581</v>
      </c>
      <c r="M16" s="15">
        <f t="shared" si="1"/>
        <v>-3.170062450618167E-2</v>
      </c>
      <c r="N16" s="15">
        <f t="shared" si="2"/>
        <v>1.3294582530851073E-6</v>
      </c>
      <c r="O16" s="15">
        <f t="shared" si="3"/>
        <v>-13.769978377121145</v>
      </c>
      <c r="P16" s="15">
        <f t="shared" si="4"/>
        <v>-0.25329769280731329</v>
      </c>
      <c r="Q16" s="15">
        <f t="shared" si="5"/>
        <v>-5.0593460298457779E-3</v>
      </c>
      <c r="R16" s="15">
        <f t="shared" si="6"/>
        <v>-3.3863186314974737E-8</v>
      </c>
      <c r="S16" s="31">
        <f t="shared" si="27"/>
        <v>-13.806738347657172</v>
      </c>
      <c r="T16" s="31">
        <f t="shared" si="28"/>
        <v>11.507566915052717</v>
      </c>
      <c r="U16" s="15">
        <f t="shared" si="7"/>
        <v>6500</v>
      </c>
      <c r="V16" s="15">
        <f t="shared" si="8"/>
        <v>-89.795154242545252</v>
      </c>
      <c r="W16" s="15">
        <f t="shared" si="9"/>
        <v>-48.933931677620521</v>
      </c>
      <c r="X16" s="15">
        <f t="shared" si="10"/>
        <v>12.70431644134616</v>
      </c>
      <c r="Y16" s="15">
        <f t="shared" si="11"/>
        <v>0.21529444276692625</v>
      </c>
      <c r="Z16" s="15">
        <f t="shared" si="12"/>
        <v>-8.6111250567210529E-2</v>
      </c>
      <c r="AA16" s="15">
        <f t="shared" si="13"/>
        <v>-9.8097740144008808E-6</v>
      </c>
      <c r="AB16" s="31">
        <f t="shared" si="29"/>
        <v>-77.1769490517663</v>
      </c>
      <c r="AC16" s="31">
        <f t="shared" si="30"/>
        <v>27.539620088229505</v>
      </c>
      <c r="AD16" s="15">
        <f t="shared" si="14"/>
        <v>1.3281451670369757</v>
      </c>
      <c r="AE16" s="15">
        <f t="shared" si="15"/>
        <v>2.3338290239544165E-3</v>
      </c>
      <c r="AF16" s="15">
        <f t="shared" si="16"/>
        <v>5.4632996743306207E-4</v>
      </c>
      <c r="AG16" s="15">
        <f t="shared" si="17"/>
        <v>3.9486509637553215E-10</v>
      </c>
      <c r="AH16" s="15">
        <f t="shared" si="18"/>
        <v>-0.25436956162952723</v>
      </c>
      <c r="AI16" s="15">
        <f t="shared" si="19"/>
        <v>-8.5599407030153104E-5</v>
      </c>
      <c r="AJ16" s="31">
        <f t="shared" si="31"/>
        <v>1.0743219353748816</v>
      </c>
      <c r="AK16" s="31">
        <f t="shared" si="32"/>
        <v>2.2482300117893598E-3</v>
      </c>
      <c r="AL16" s="15">
        <f t="shared" si="20"/>
        <v>0</v>
      </c>
      <c r="AM16" s="15">
        <f t="shared" si="21"/>
        <v>0</v>
      </c>
      <c r="AN16" s="15">
        <f t="shared" si="22"/>
        <v>0</v>
      </c>
      <c r="AO16" s="15">
        <f t="shared" si="23"/>
        <v>0</v>
      </c>
      <c r="AP16" s="31">
        <f t="shared" si="33"/>
        <v>0</v>
      </c>
      <c r="AQ16" s="31">
        <f t="shared" si="34"/>
        <v>0</v>
      </c>
    </row>
    <row r="17" spans="3:43" x14ac:dyDescent="0.25">
      <c r="C17" s="113"/>
      <c r="D17" s="48" t="s">
        <v>196</v>
      </c>
      <c r="E17" s="7">
        <f>(INDEX(J3:J503, 1+MATCH(0,K3:K503,-1))+INDEX(J3:J503, MATCH(0,K3:K503,-1)))/2</f>
        <v>79.024480115741682</v>
      </c>
      <c r="F17" s="44" t="s">
        <v>198</v>
      </c>
      <c r="H17" s="15">
        <v>1.1399999999999999</v>
      </c>
      <c r="I17" s="45">
        <f t="shared" si="24"/>
        <v>138.03842646028852</v>
      </c>
      <c r="J17" s="32">
        <f t="shared" si="25"/>
        <v>90.085989345604006</v>
      </c>
      <c r="K17" s="32">
        <f t="shared" si="26"/>
        <v>38.847850465173345</v>
      </c>
      <c r="L17" s="15">
        <f t="shared" si="0"/>
        <v>3.8729613733905581</v>
      </c>
      <c r="M17" s="15">
        <f t="shared" si="1"/>
        <v>-3.2439026752100558E-2</v>
      </c>
      <c r="N17" s="15">
        <f t="shared" si="2"/>
        <v>1.3921136807616641E-6</v>
      </c>
      <c r="O17" s="15">
        <f t="shared" si="3"/>
        <v>-14.078104051735661</v>
      </c>
      <c r="P17" s="15">
        <f t="shared" si="4"/>
        <v>-0.26487833923459836</v>
      </c>
      <c r="Q17" s="15">
        <f t="shared" si="5"/>
        <v>-5.1771933372304797E-3</v>
      </c>
      <c r="R17" s="15">
        <f t="shared" si="6"/>
        <v>-3.5459107763998285E-8</v>
      </c>
      <c r="S17" s="31">
        <f t="shared" si="27"/>
        <v>-14.115720271824992</v>
      </c>
      <c r="T17" s="31">
        <f t="shared" si="28"/>
        <v>11.495986329684937</v>
      </c>
      <c r="U17" s="15">
        <f t="shared" si="7"/>
        <v>6500</v>
      </c>
      <c r="V17" s="15">
        <f t="shared" si="8"/>
        <v>-89.799817062872165</v>
      </c>
      <c r="W17" s="15">
        <f t="shared" si="9"/>
        <v>-49.133929179143678</v>
      </c>
      <c r="X17" s="15">
        <f t="shared" si="10"/>
        <v>12.990308998908398</v>
      </c>
      <c r="Y17" s="15">
        <f t="shared" si="11"/>
        <v>0.22518229893945627</v>
      </c>
      <c r="Z17" s="15">
        <f t="shared" si="12"/>
        <v>-8.8117036135181001E-2</v>
      </c>
      <c r="AA17" s="15">
        <f t="shared" si="13"/>
        <v>-1.0272093874723364E-5</v>
      </c>
      <c r="AB17" s="31">
        <f t="shared" si="29"/>
        <v>-76.897625100098949</v>
      </c>
      <c r="AC17" s="31">
        <f t="shared" si="30"/>
        <v>27.349509980559016</v>
      </c>
      <c r="AD17" s="15">
        <f t="shared" si="14"/>
        <v>1.3590701711702804</v>
      </c>
      <c r="AE17" s="15">
        <f t="shared" si="15"/>
        <v>2.4437880570830767E-3</v>
      </c>
      <c r="AF17" s="15">
        <f t="shared" si="16"/>
        <v>5.5905562714642662E-4</v>
      </c>
      <c r="AG17" s="15">
        <f t="shared" si="17"/>
        <v>4.1347468782421165E-10</v>
      </c>
      <c r="AH17" s="15">
        <f t="shared" si="18"/>
        <v>-0.26029450926948239</v>
      </c>
      <c r="AI17" s="15">
        <f t="shared" si="19"/>
        <v>-8.9633541168004412E-5</v>
      </c>
      <c r="AJ17" s="31">
        <f t="shared" si="31"/>
        <v>1.0993347175279444</v>
      </c>
      <c r="AK17" s="31">
        <f t="shared" si="32"/>
        <v>2.3541549293897598E-3</v>
      </c>
      <c r="AL17" s="15">
        <f t="shared" si="20"/>
        <v>0</v>
      </c>
      <c r="AM17" s="15">
        <f t="shared" si="21"/>
        <v>0</v>
      </c>
      <c r="AN17" s="15">
        <f t="shared" si="22"/>
        <v>0</v>
      </c>
      <c r="AO17" s="15">
        <f t="shared" si="23"/>
        <v>0</v>
      </c>
      <c r="AP17" s="31">
        <f t="shared" si="33"/>
        <v>0</v>
      </c>
      <c r="AQ17" s="31">
        <f t="shared" si="34"/>
        <v>0</v>
      </c>
    </row>
    <row r="18" spans="3:43" ht="15.75" thickBot="1" x14ac:dyDescent="0.3">
      <c r="C18" s="114"/>
      <c r="D18" s="51" t="s">
        <v>197</v>
      </c>
      <c r="E18" s="42">
        <f>(INDEX(K3:K503, 1+MATCH(0,J3:J503,-1))+INDEX(K3:K503, 1+MATCH(0,J3:J503,-1)))/2</f>
        <v>-13.495789274340506</v>
      </c>
      <c r="F18" s="43" t="s">
        <v>28</v>
      </c>
      <c r="H18" s="15">
        <v>1.1499999999999999</v>
      </c>
      <c r="I18" s="45">
        <f t="shared" si="24"/>
        <v>141.25375446227542</v>
      </c>
      <c r="J18" s="32">
        <f t="shared" si="25"/>
        <v>90.081627686804865</v>
      </c>
      <c r="K18" s="32">
        <f t="shared" si="26"/>
        <v>38.646199710641802</v>
      </c>
      <c r="L18" s="15">
        <f t="shared" si="0"/>
        <v>3.8729613733905581</v>
      </c>
      <c r="M18" s="15">
        <f t="shared" si="1"/>
        <v>-3.3194628584676797E-2</v>
      </c>
      <c r="N18" s="15">
        <f t="shared" si="2"/>
        <v>1.4577219669119052E-6</v>
      </c>
      <c r="O18" s="15">
        <f t="shared" si="3"/>
        <v>-14.392548745882161</v>
      </c>
      <c r="P18" s="15">
        <f t="shared" si="4"/>
        <v>-0.27697175787848044</v>
      </c>
      <c r="Q18" s="15">
        <f t="shared" si="5"/>
        <v>-5.2977856609910416E-3</v>
      </c>
      <c r="R18" s="15">
        <f t="shared" si="6"/>
        <v>-3.7130244826143626E-8</v>
      </c>
      <c r="S18" s="31">
        <f t="shared" si="27"/>
        <v>-14.43104116012783</v>
      </c>
      <c r="T18" s="31">
        <f t="shared" si="28"/>
        <v>11.483892974978204</v>
      </c>
      <c r="U18" s="15">
        <f t="shared" si="7"/>
        <v>6500</v>
      </c>
      <c r="V18" s="15">
        <f t="shared" si="8"/>
        <v>-89.804373747012463</v>
      </c>
      <c r="W18" s="15">
        <f t="shared" si="9"/>
        <v>-49.333926793115467</v>
      </c>
      <c r="X18" s="15">
        <f t="shared" si="10"/>
        <v>13.282282828200765</v>
      </c>
      <c r="Y18" s="15">
        <f t="shared" si="11"/>
        <v>0.2355120831694035</v>
      </c>
      <c r="Z18" s="15">
        <f t="shared" si="12"/>
        <v>-9.0169542227278437E-2</v>
      </c>
      <c r="AA18" s="15">
        <f t="shared" si="13"/>
        <v>-1.0756202143782285E-5</v>
      </c>
      <c r="AB18" s="31">
        <f t="shared" si="29"/>
        <v>-76.612260461038971</v>
      </c>
      <c r="AC18" s="31">
        <f t="shared" si="30"/>
        <v>27.159841666708907</v>
      </c>
      <c r="AD18" s="15">
        <f t="shared" si="14"/>
        <v>1.390714691171141</v>
      </c>
      <c r="AE18" s="15">
        <f t="shared" si="15"/>
        <v>2.5589263159071824E-3</v>
      </c>
      <c r="AF18" s="15">
        <f t="shared" si="16"/>
        <v>5.7207770555320466E-4</v>
      </c>
      <c r="AG18" s="15">
        <f t="shared" si="17"/>
        <v>4.3295988861243792E-10</v>
      </c>
      <c r="AH18" s="15">
        <f t="shared" si="18"/>
        <v>-0.26635746090504031</v>
      </c>
      <c r="AI18" s="15">
        <f t="shared" si="19"/>
        <v>-9.3857794173514867E-5</v>
      </c>
      <c r="AJ18" s="31">
        <f t="shared" si="31"/>
        <v>1.1249293079716538</v>
      </c>
      <c r="AK18" s="31">
        <f t="shared" si="32"/>
        <v>2.4650689546935559E-3</v>
      </c>
      <c r="AL18" s="15">
        <f t="shared" si="20"/>
        <v>0</v>
      </c>
      <c r="AM18" s="15">
        <f t="shared" si="21"/>
        <v>0</v>
      </c>
      <c r="AN18" s="15">
        <f t="shared" si="22"/>
        <v>0</v>
      </c>
      <c r="AO18" s="15">
        <f t="shared" si="23"/>
        <v>0</v>
      </c>
      <c r="AP18" s="31">
        <f t="shared" si="33"/>
        <v>0</v>
      </c>
      <c r="AQ18" s="31">
        <f t="shared" si="34"/>
        <v>0</v>
      </c>
    </row>
    <row r="19" spans="3:43" x14ac:dyDescent="0.25">
      <c r="H19" s="15">
        <v>1.1599999999999999</v>
      </c>
      <c r="I19" s="45">
        <f t="shared" si="24"/>
        <v>144.54397707459276</v>
      </c>
      <c r="J19" s="32">
        <f t="shared" si="25"/>
        <v>90.077562285791075</v>
      </c>
      <c r="K19" s="32">
        <f t="shared" si="26"/>
        <v>38.444480656143249</v>
      </c>
      <c r="L19" s="15">
        <f t="shared" si="0"/>
        <v>3.8729613733905581</v>
      </c>
      <c r="M19" s="15">
        <f t="shared" si="1"/>
        <v>-3.3967830632951716E-2</v>
      </c>
      <c r="N19" s="15">
        <f t="shared" si="2"/>
        <v>1.526422273541161E-6</v>
      </c>
      <c r="O19" s="15">
        <f t="shared" si="3"/>
        <v>-14.713403383636575</v>
      </c>
      <c r="P19" s="15">
        <f t="shared" si="4"/>
        <v>-0.28959913162730444</v>
      </c>
      <c r="Q19" s="15">
        <f t="shared" si="5"/>
        <v>-5.4211869407694803E-3</v>
      </c>
      <c r="R19" s="15">
        <f t="shared" si="6"/>
        <v>-3.8880138511808672E-8</v>
      </c>
      <c r="S19" s="31">
        <f t="shared" si="27"/>
        <v>-14.752792401210295</v>
      </c>
      <c r="T19" s="31">
        <f t="shared" si="28"/>
        <v>11.471265668179795</v>
      </c>
      <c r="U19" s="15">
        <f t="shared" si="7"/>
        <v>6500</v>
      </c>
      <c r="V19" s="15">
        <f t="shared" si="8"/>
        <v>-89.808826710749713</v>
      </c>
      <c r="W19" s="15">
        <f t="shared" si="9"/>
        <v>-49.533924514475004</v>
      </c>
      <c r="X19" s="15">
        <f t="shared" si="10"/>
        <v>13.580332054265414</v>
      </c>
      <c r="Y19" s="15">
        <f t="shared" si="11"/>
        <v>0.24630242577723271</v>
      </c>
      <c r="Z19" s="15">
        <f t="shared" si="12"/>
        <v>-9.2269857088317392E-2</v>
      </c>
      <c r="AA19" s="15">
        <f t="shared" si="13"/>
        <v>-1.1263125676848476E-5</v>
      </c>
      <c r="AB19" s="31">
        <f t="shared" si="29"/>
        <v>-76.320764513572612</v>
      </c>
      <c r="AC19" s="31">
        <f t="shared" si="30"/>
        <v>26.970633781033666</v>
      </c>
      <c r="AD19" s="15">
        <f t="shared" si="14"/>
        <v>1.4230954281168224</v>
      </c>
      <c r="AE19" s="15">
        <f t="shared" si="15"/>
        <v>2.6794876021094855E-3</v>
      </c>
      <c r="AF19" s="15">
        <f t="shared" si="16"/>
        <v>5.8540310713173021E-4</v>
      </c>
      <c r="AG19" s="15">
        <f t="shared" si="17"/>
        <v>4.5336505780366438E-10</v>
      </c>
      <c r="AH19" s="15">
        <f t="shared" si="18"/>
        <v>-0.27256163064997729</v>
      </c>
      <c r="AI19" s="15">
        <f t="shared" si="19"/>
        <v>-9.8281125685718536E-5</v>
      </c>
      <c r="AJ19" s="31">
        <f t="shared" si="31"/>
        <v>1.151119200573977</v>
      </c>
      <c r="AK19" s="31">
        <f t="shared" si="32"/>
        <v>2.5812069297888249E-3</v>
      </c>
      <c r="AL19" s="15">
        <f t="shared" si="20"/>
        <v>0</v>
      </c>
      <c r="AM19" s="15">
        <f t="shared" si="21"/>
        <v>0</v>
      </c>
      <c r="AN19" s="15">
        <f t="shared" si="22"/>
        <v>0</v>
      </c>
      <c r="AO19" s="15">
        <f t="shared" si="23"/>
        <v>0</v>
      </c>
      <c r="AP19" s="31">
        <f t="shared" si="33"/>
        <v>0</v>
      </c>
      <c r="AQ19" s="31">
        <f t="shared" si="34"/>
        <v>0</v>
      </c>
    </row>
    <row r="20" spans="3:43" x14ac:dyDescent="0.25">
      <c r="H20" s="15">
        <v>1.17</v>
      </c>
      <c r="I20" s="45">
        <f t="shared" si="24"/>
        <v>147.91083881682073</v>
      </c>
      <c r="J20" s="32">
        <f t="shared" si="25"/>
        <v>90.073806883362849</v>
      </c>
      <c r="K20" s="32">
        <f t="shared" si="26"/>
        <v>38.242690944136825</v>
      </c>
      <c r="L20" s="15">
        <f t="shared" si="0"/>
        <v>3.8729613733905581</v>
      </c>
      <c r="M20" s="15">
        <f t="shared" si="1"/>
        <v>-3.4759042857758708E-2</v>
      </c>
      <c r="N20" s="15">
        <f t="shared" si="2"/>
        <v>1.5983603258586845E-6</v>
      </c>
      <c r="O20" s="15">
        <f t="shared" si="3"/>
        <v>-15.040757557616621</v>
      </c>
      <c r="P20" s="15">
        <f t="shared" si="4"/>
        <v>-0.30278238169409299</v>
      </c>
      <c r="Q20" s="15">
        <f t="shared" si="5"/>
        <v>-5.5474626055531575E-3</v>
      </c>
      <c r="R20" s="15">
        <f t="shared" si="6"/>
        <v>-4.0712503410329586E-8</v>
      </c>
      <c r="S20" s="31">
        <f t="shared" si="27"/>
        <v>-15.081064063079934</v>
      </c>
      <c r="T20" s="31">
        <f t="shared" si="28"/>
        <v>11.458082488218691</v>
      </c>
      <c r="U20" s="15">
        <f t="shared" si="7"/>
        <v>6500</v>
      </c>
      <c r="V20" s="15">
        <f t="shared" si="8"/>
        <v>-89.81317831488893</v>
      </c>
      <c r="W20" s="15">
        <f t="shared" si="9"/>
        <v>-49.733922338389135</v>
      </c>
      <c r="X20" s="15">
        <f t="shared" si="10"/>
        <v>13.884550156282609</v>
      </c>
      <c r="Y20" s="15">
        <f t="shared" si="11"/>
        <v>0.25757264065304564</v>
      </c>
      <c r="Z20" s="15">
        <f t="shared" si="12"/>
        <v>-9.4419094310446483E-2</v>
      </c>
      <c r="AA20" s="15">
        <f t="shared" si="13"/>
        <v>-1.1793939714807796E-5</v>
      </c>
      <c r="AB20" s="31">
        <f t="shared" si="29"/>
        <v>-76.023047252916768</v>
      </c>
      <c r="AC20" s="31">
        <f t="shared" si="30"/>
        <v>26.781905641181307</v>
      </c>
      <c r="AD20" s="15">
        <f t="shared" si="14"/>
        <v>1.4562294679172818</v>
      </c>
      <c r="AE20" s="15">
        <f t="shared" si="15"/>
        <v>2.8057271796592832E-3</v>
      </c>
      <c r="AF20" s="15">
        <f t="shared" si="16"/>
        <v>5.990388971862967E-4</v>
      </c>
      <c r="AG20" s="15">
        <f t="shared" si="17"/>
        <v>4.747326258064105E-10</v>
      </c>
      <c r="AH20" s="15">
        <f t="shared" si="18"/>
        <v>-0.27891030745491624</v>
      </c>
      <c r="AI20" s="15">
        <f t="shared" si="19"/>
        <v>-1.0291291756103337E-4</v>
      </c>
      <c r="AJ20" s="31">
        <f t="shared" si="31"/>
        <v>1.177918199359552</v>
      </c>
      <c r="AK20" s="31">
        <f t="shared" si="32"/>
        <v>2.7028147368308754E-3</v>
      </c>
      <c r="AL20" s="15">
        <f t="shared" si="20"/>
        <v>0</v>
      </c>
      <c r="AM20" s="15">
        <f t="shared" si="21"/>
        <v>0</v>
      </c>
      <c r="AN20" s="15">
        <f t="shared" si="22"/>
        <v>0</v>
      </c>
      <c r="AO20" s="15">
        <f t="shared" si="23"/>
        <v>0</v>
      </c>
      <c r="AP20" s="31">
        <f t="shared" si="33"/>
        <v>0</v>
      </c>
      <c r="AQ20" s="31">
        <f t="shared" si="34"/>
        <v>0</v>
      </c>
    </row>
    <row r="21" spans="3:43" x14ac:dyDescent="0.25">
      <c r="H21" s="15">
        <v>1.18</v>
      </c>
      <c r="I21" s="45">
        <f t="shared" si="24"/>
        <v>151.35612484362088</v>
      </c>
      <c r="J21" s="32">
        <f t="shared" si="25"/>
        <v>90.0703762806139</v>
      </c>
      <c r="K21" s="32">
        <f t="shared" si="26"/>
        <v>38.040828176009384</v>
      </c>
      <c r="L21" s="15">
        <f t="shared" si="0"/>
        <v>3.8729613733905581</v>
      </c>
      <c r="M21" s="15">
        <f t="shared" si="1"/>
        <v>-3.5568684769084591E-2</v>
      </c>
      <c r="N21" s="15">
        <f t="shared" si="2"/>
        <v>1.6736887131469702E-6</v>
      </c>
      <c r="O21" s="15">
        <f t="shared" si="3"/>
        <v>-15.374699313525211</v>
      </c>
      <c r="P21" s="15">
        <f t="shared" si="4"/>
        <v>-0.31654418108220683</v>
      </c>
      <c r="Q21" s="15">
        <f t="shared" si="5"/>
        <v>-5.6766796083660915E-3</v>
      </c>
      <c r="R21" s="15">
        <f t="shared" si="6"/>
        <v>-4.263122383267038E-8</v>
      </c>
      <c r="S21" s="31">
        <f t="shared" si="27"/>
        <v>-15.41594467790266</v>
      </c>
      <c r="T21" s="31">
        <f t="shared" si="28"/>
        <v>11.444320762240245</v>
      </c>
      <c r="U21" s="15">
        <f t="shared" si="7"/>
        <v>6500</v>
      </c>
      <c r="V21" s="15">
        <f t="shared" si="8"/>
        <v>-89.81743086650728</v>
      </c>
      <c r="W21" s="15">
        <f t="shared" si="9"/>
        <v>-49.933920260242246</v>
      </c>
      <c r="X21" s="15">
        <f t="shared" si="10"/>
        <v>14.195029793009695</v>
      </c>
      <c r="Y21" s="15">
        <f t="shared" si="11"/>
        <v>0.26934274110877182</v>
      </c>
      <c r="Z21" s="15">
        <f t="shared" si="12"/>
        <v>-9.6618393423482093E-2</v>
      </c>
      <c r="AA21" s="15">
        <f t="shared" si="13"/>
        <v>-1.2349770179214194E-5</v>
      </c>
      <c r="AB21" s="31">
        <f t="shared" si="29"/>
        <v>-75.719019466921068</v>
      </c>
      <c r="AC21" s="31">
        <f t="shared" si="30"/>
        <v>26.59367726395346</v>
      </c>
      <c r="AD21" s="15">
        <f t="shared" si="14"/>
        <v>1.4901342899804382</v>
      </c>
      <c r="AE21" s="15">
        <f t="shared" si="15"/>
        <v>2.9379123123412102E-3</v>
      </c>
      <c r="AF21" s="15">
        <f t="shared" si="16"/>
        <v>6.129923055932763E-4</v>
      </c>
      <c r="AG21" s="15">
        <f t="shared" si="17"/>
        <v>4.9710695168412816E-10</v>
      </c>
      <c r="AH21" s="15">
        <f t="shared" si="18"/>
        <v>-0.28540685684839262</v>
      </c>
      <c r="AI21" s="15">
        <f t="shared" si="19"/>
        <v>-1.0776299376766892E-4</v>
      </c>
      <c r="AJ21" s="31">
        <f t="shared" si="31"/>
        <v>1.205340425437639</v>
      </c>
      <c r="AK21" s="31">
        <f t="shared" si="32"/>
        <v>2.8301498156804929E-3</v>
      </c>
      <c r="AL21" s="15">
        <f t="shared" si="20"/>
        <v>0</v>
      </c>
      <c r="AM21" s="15">
        <f t="shared" si="21"/>
        <v>0</v>
      </c>
      <c r="AN21" s="15">
        <f t="shared" si="22"/>
        <v>0</v>
      </c>
      <c r="AO21" s="15">
        <f t="shared" si="23"/>
        <v>0</v>
      </c>
      <c r="AP21" s="31">
        <f t="shared" si="33"/>
        <v>0</v>
      </c>
      <c r="AQ21" s="31">
        <f t="shared" si="34"/>
        <v>0</v>
      </c>
    </row>
    <row r="22" spans="3:43" x14ac:dyDescent="0.25">
      <c r="H22" s="15">
        <v>1.19</v>
      </c>
      <c r="I22" s="45">
        <f t="shared" si="24"/>
        <v>154.88166189124817</v>
      </c>
      <c r="J22" s="32">
        <f t="shared" si="25"/>
        <v>90.067286385754457</v>
      </c>
      <c r="K22" s="32">
        <f t="shared" si="26"/>
        <v>37.838889915433185</v>
      </c>
      <c r="L22" s="15">
        <f t="shared" si="0"/>
        <v>3.8729613733905581</v>
      </c>
      <c r="M22" s="15">
        <f t="shared" si="1"/>
        <v>-3.6397185648493452E-2</v>
      </c>
      <c r="N22" s="15">
        <f t="shared" si="2"/>
        <v>1.7525672166321602E-6</v>
      </c>
      <c r="O22" s="15">
        <f t="shared" si="3"/>
        <v>-15.715314922844499</v>
      </c>
      <c r="P22" s="15">
        <f t="shared" si="4"/>
        <v>-0.33090796711546588</v>
      </c>
      <c r="Q22" s="15">
        <f t="shared" si="5"/>
        <v>-5.8089064617682989E-3</v>
      </c>
      <c r="R22" s="15">
        <f t="shared" si="6"/>
        <v>-4.4640373097971607E-8</v>
      </c>
      <c r="S22" s="31">
        <f t="shared" si="27"/>
        <v>-15.75752101495476</v>
      </c>
      <c r="T22" s="31">
        <f t="shared" si="28"/>
        <v>11.42995705307634</v>
      </c>
      <c r="U22" s="15">
        <f t="shared" si="7"/>
        <v>6500</v>
      </c>
      <c r="V22" s="15">
        <f t="shared" si="8"/>
        <v>-89.821586620176433</v>
      </c>
      <c r="W22" s="15">
        <f t="shared" si="9"/>
        <v>-50.133918275626442</v>
      </c>
      <c r="X22" s="15">
        <f t="shared" si="10"/>
        <v>14.511862617314335</v>
      </c>
      <c r="Y22" s="15">
        <f t="shared" si="11"/>
        <v>0.28163345521655059</v>
      </c>
      <c r="Z22" s="15">
        <f t="shared" si="12"/>
        <v>-9.8868920498986379E-2</v>
      </c>
      <c r="AA22" s="15">
        <f t="shared" si="13"/>
        <v>-1.293179605219912E-5</v>
      </c>
      <c r="AB22" s="31">
        <f t="shared" si="29"/>
        <v>-75.408592923361084</v>
      </c>
      <c r="AC22" s="31">
        <f t="shared" si="30"/>
        <v>26.405969380651168</v>
      </c>
      <c r="AD22" s="15">
        <f t="shared" si="14"/>
        <v>1.5248277760579947</v>
      </c>
      <c r="AE22" s="15">
        <f t="shared" si="15"/>
        <v>3.0763228263654069E-3</v>
      </c>
      <c r="AF22" s="15">
        <f t="shared" si="16"/>
        <v>6.2727073063449396E-4</v>
      </c>
      <c r="AG22" s="15">
        <f t="shared" si="17"/>
        <v>5.2053432315520132E-10</v>
      </c>
      <c r="AH22" s="15">
        <f t="shared" si="18"/>
        <v>-0.29205472271832356</v>
      </c>
      <c r="AI22" s="15">
        <f t="shared" si="19"/>
        <v>-1.1284164121894884E-4</v>
      </c>
      <c r="AJ22" s="31">
        <f t="shared" si="31"/>
        <v>1.2334003240703058</v>
      </c>
      <c r="AK22" s="31">
        <f t="shared" si="32"/>
        <v>2.9634817056807812E-3</v>
      </c>
      <c r="AL22" s="15">
        <f t="shared" si="20"/>
        <v>0</v>
      </c>
      <c r="AM22" s="15">
        <f t="shared" si="21"/>
        <v>0</v>
      </c>
      <c r="AN22" s="15">
        <f t="shared" si="22"/>
        <v>0</v>
      </c>
      <c r="AO22" s="15">
        <f t="shared" si="23"/>
        <v>0</v>
      </c>
      <c r="AP22" s="31">
        <f t="shared" si="33"/>
        <v>0</v>
      </c>
      <c r="AQ22" s="31">
        <f t="shared" si="34"/>
        <v>0</v>
      </c>
    </row>
    <row r="23" spans="3:43" x14ac:dyDescent="0.25">
      <c r="H23" s="15">
        <v>1.2</v>
      </c>
      <c r="I23" s="45">
        <f t="shared" si="24"/>
        <v>158.48931924611136</v>
      </c>
      <c r="J23" s="32">
        <f t="shared" si="25"/>
        <v>90.064554261903339</v>
      </c>
      <c r="K23" s="32">
        <f t="shared" si="26"/>
        <v>37.636873692200112</v>
      </c>
      <c r="L23" s="15">
        <f t="shared" si="0"/>
        <v>3.8729613733905581</v>
      </c>
      <c r="M23" s="15">
        <f t="shared" si="1"/>
        <v>-3.7244984776731431E-2</v>
      </c>
      <c r="N23" s="15">
        <f t="shared" si="2"/>
        <v>1.8351631469976351E-6</v>
      </c>
      <c r="O23" s="15">
        <f t="shared" si="3"/>
        <v>-16.062688643505631</v>
      </c>
      <c r="P23" s="15">
        <f t="shared" si="4"/>
        <v>-0.34589795289715397</v>
      </c>
      <c r="Q23" s="15">
        <f t="shared" si="5"/>
        <v>-5.9442132741820454E-3</v>
      </c>
      <c r="R23" s="15">
        <f t="shared" si="6"/>
        <v>-4.6744207747584994E-8</v>
      </c>
      <c r="S23" s="31">
        <f t="shared" si="27"/>
        <v>-16.105877841556545</v>
      </c>
      <c r="T23" s="31">
        <f t="shared" si="28"/>
        <v>11.414967147786747</v>
      </c>
      <c r="U23" s="15">
        <f t="shared" si="7"/>
        <v>6500</v>
      </c>
      <c r="V23" s="15">
        <f t="shared" si="8"/>
        <v>-89.825647779156981</v>
      </c>
      <c r="W23" s="15">
        <f t="shared" si="9"/>
        <v>-50.333916380332226</v>
      </c>
      <c r="X23" s="15">
        <f t="shared" si="10"/>
        <v>14.835139079502628</v>
      </c>
      <c r="Y23" s="15">
        <f t="shared" si="11"/>
        <v>0.29446624052767489</v>
      </c>
      <c r="Z23" s="15">
        <f t="shared" si="12"/>
        <v>-0.10117186876841039</v>
      </c>
      <c r="AA23" s="15">
        <f t="shared" si="13"/>
        <v>-1.3541251872095357E-5</v>
      </c>
      <c r="AB23" s="31">
        <f t="shared" si="29"/>
        <v>-75.09168056842276</v>
      </c>
      <c r="AC23" s="31">
        <f t="shared" si="30"/>
        <v>26.218803451800692</v>
      </c>
      <c r="AD23" s="15">
        <f t="shared" si="14"/>
        <v>1.5603282192745356</v>
      </c>
      <c r="AE23" s="15">
        <f t="shared" si="15"/>
        <v>3.2212516991978611E-3</v>
      </c>
      <c r="AF23" s="15">
        <f t="shared" si="16"/>
        <v>6.4188174291989755E-4</v>
      </c>
      <c r="AG23" s="15">
        <f t="shared" si="17"/>
        <v>5.4506488524787917E-10</v>
      </c>
      <c r="AH23" s="15">
        <f t="shared" si="18"/>
        <v>-0.29885742913481239</v>
      </c>
      <c r="AI23" s="15">
        <f t="shared" si="19"/>
        <v>-1.1815963158601732E-4</v>
      </c>
      <c r="AJ23" s="31">
        <f t="shared" si="31"/>
        <v>1.262112671882643</v>
      </c>
      <c r="AK23" s="31">
        <f t="shared" si="32"/>
        <v>3.1030926126767288E-3</v>
      </c>
      <c r="AL23" s="15">
        <f t="shared" si="20"/>
        <v>0</v>
      </c>
      <c r="AM23" s="15">
        <f t="shared" si="21"/>
        <v>0</v>
      </c>
      <c r="AN23" s="15">
        <f t="shared" si="22"/>
        <v>0</v>
      </c>
      <c r="AO23" s="15">
        <f t="shared" si="23"/>
        <v>0</v>
      </c>
      <c r="AP23" s="31">
        <f t="shared" si="33"/>
        <v>0</v>
      </c>
      <c r="AQ23" s="31">
        <f t="shared" si="34"/>
        <v>0</v>
      </c>
    </row>
    <row r="24" spans="3:43" x14ac:dyDescent="0.25">
      <c r="H24" s="15">
        <v>1.21</v>
      </c>
      <c r="I24" s="45">
        <f t="shared" si="24"/>
        <v>162.18100973589299</v>
      </c>
      <c r="J24" s="32">
        <f t="shared" si="25"/>
        <v>90.062198175703983</v>
      </c>
      <c r="K24" s="32">
        <f t="shared" si="26"/>
        <v>37.434777006563706</v>
      </c>
      <c r="L24" s="15">
        <f t="shared" si="0"/>
        <v>3.8729613733905581</v>
      </c>
      <c r="M24" s="15">
        <f t="shared" si="1"/>
        <v>-3.8112531666632407E-2</v>
      </c>
      <c r="N24" s="15">
        <f t="shared" si="2"/>
        <v>1.9216517011840562E-6</v>
      </c>
      <c r="O24" s="15">
        <f t="shared" si="3"/>
        <v>-16.41690246840697</v>
      </c>
      <c r="P24" s="15">
        <f t="shared" si="4"/>
        <v>-0.36153913755393619</v>
      </c>
      <c r="Q24" s="15">
        <f t="shared" si="5"/>
        <v>-6.0826717870642319E-3</v>
      </c>
      <c r="R24" s="15">
        <f t="shared" si="6"/>
        <v>-4.8947194546241619E-8</v>
      </c>
      <c r="S24" s="31">
        <f t="shared" si="27"/>
        <v>-16.461097671860664</v>
      </c>
      <c r="T24" s="31">
        <f t="shared" si="28"/>
        <v>11.399326047415533</v>
      </c>
      <c r="U24" s="15">
        <f t="shared" si="7"/>
        <v>6500</v>
      </c>
      <c r="V24" s="15">
        <f t="shared" si="8"/>
        <v>-89.829616496565833</v>
      </c>
      <c r="W24" s="15">
        <f t="shared" si="9"/>
        <v>-50.533914570339526</v>
      </c>
      <c r="X24" s="15">
        <f t="shared" si="10"/>
        <v>15.164948219169439</v>
      </c>
      <c r="Y24" s="15">
        <f t="shared" si="11"/>
        <v>0.30786329805849449</v>
      </c>
      <c r="Z24" s="15">
        <f t="shared" si="12"/>
        <v>-0.10352845925562811</v>
      </c>
      <c r="AA24" s="15">
        <f t="shared" si="13"/>
        <v>-1.4179430369847242E-5</v>
      </c>
      <c r="AB24" s="31">
        <f t="shared" si="29"/>
        <v>-74.76819673665203</v>
      </c>
      <c r="AC24" s="31">
        <f t="shared" si="30"/>
        <v>26.032201681145711</v>
      </c>
      <c r="AD24" s="15">
        <f t="shared" si="14"/>
        <v>1.5966543333425198</v>
      </c>
      <c r="AE24" s="15">
        <f t="shared" si="15"/>
        <v>3.373005675847657E-3</v>
      </c>
      <c r="AF24" s="15">
        <f t="shared" si="16"/>
        <v>6.5683308940159269E-4</v>
      </c>
      <c r="AG24" s="15">
        <f t="shared" si="17"/>
        <v>5.7075456895520865E-10</v>
      </c>
      <c r="AH24" s="15">
        <f t="shared" si="18"/>
        <v>-0.30581858221523822</v>
      </c>
      <c r="AI24" s="15">
        <f t="shared" si="19"/>
        <v>-1.2372824413618103E-4</v>
      </c>
      <c r="AJ24" s="31">
        <f t="shared" si="31"/>
        <v>1.2914925842166833</v>
      </c>
      <c r="AK24" s="31">
        <f t="shared" si="32"/>
        <v>3.2492780024660451E-3</v>
      </c>
      <c r="AL24" s="15">
        <f t="shared" si="20"/>
        <v>0</v>
      </c>
      <c r="AM24" s="15">
        <f t="shared" si="21"/>
        <v>0</v>
      </c>
      <c r="AN24" s="15">
        <f t="shared" si="22"/>
        <v>0</v>
      </c>
      <c r="AO24" s="15">
        <f t="shared" si="23"/>
        <v>0</v>
      </c>
      <c r="AP24" s="31">
        <f t="shared" si="33"/>
        <v>0</v>
      </c>
      <c r="AQ24" s="31">
        <f t="shared" si="34"/>
        <v>0</v>
      </c>
    </row>
    <row r="25" spans="3:43" x14ac:dyDescent="0.25">
      <c r="H25" s="15">
        <v>1.22</v>
      </c>
      <c r="I25" s="45">
        <f t="shared" si="24"/>
        <v>165.95869074375614</v>
      </c>
      <c r="J25" s="32">
        <f t="shared" si="25"/>
        <v>90.060237646596804</v>
      </c>
      <c r="K25" s="32">
        <f t="shared" si="26"/>
        <v>37.232597334120904</v>
      </c>
      <c r="L25" s="15">
        <f t="shared" si="0"/>
        <v>3.8729613733905581</v>
      </c>
      <c r="M25" s="15">
        <f t="shared" si="1"/>
        <v>-3.9000286301448688E-2</v>
      </c>
      <c r="N25" s="15">
        <f t="shared" si="2"/>
        <v>2.0122163365471904E-6</v>
      </c>
      <c r="O25" s="15">
        <f t="shared" si="3"/>
        <v>-16.77803586170905</v>
      </c>
      <c r="P25" s="15">
        <f t="shared" si="4"/>
        <v>-0.37785731511224241</v>
      </c>
      <c r="Q25" s="15">
        <f t="shared" si="5"/>
        <v>-6.2243554129446351E-3</v>
      </c>
      <c r="R25" s="15">
        <f t="shared" si="6"/>
        <v>-5.1254004696086486E-8</v>
      </c>
      <c r="S25" s="31">
        <f t="shared" si="27"/>
        <v>-16.823260503423441</v>
      </c>
      <c r="T25" s="31">
        <f t="shared" si="28"/>
        <v>11.383007958115051</v>
      </c>
      <c r="U25" s="15">
        <f t="shared" si="7"/>
        <v>6500</v>
      </c>
      <c r="V25" s="15">
        <f t="shared" si="8"/>
        <v>-89.833494876517094</v>
      </c>
      <c r="W25" s="15">
        <f t="shared" si="9"/>
        <v>-50.733912841809207</v>
      </c>
      <c r="X25" s="15">
        <f t="shared" si="10"/>
        <v>15.501377445330878</v>
      </c>
      <c r="Y25" s="15">
        <f t="shared" si="11"/>
        <v>0.32184758542130398</v>
      </c>
      <c r="Z25" s="15">
        <f t="shared" si="12"/>
        <v>-0.10593994142419771</v>
      </c>
      <c r="AA25" s="15">
        <f t="shared" si="13"/>
        <v>-1.4847685194133188E-5</v>
      </c>
      <c r="AB25" s="31">
        <f t="shared" si="29"/>
        <v>-74.438057372610416</v>
      </c>
      <c r="AC25" s="31">
        <f t="shared" si="30"/>
        <v>25.846187028784016</v>
      </c>
      <c r="AD25" s="15">
        <f t="shared" si="14"/>
        <v>1.6338252619657951</v>
      </c>
      <c r="AE25" s="15">
        <f t="shared" si="15"/>
        <v>3.5319059138453784E-3</v>
      </c>
      <c r="AF25" s="15">
        <f t="shared" si="16"/>
        <v>6.7213269748138047E-4</v>
      </c>
      <c r="AG25" s="15">
        <f t="shared" si="17"/>
        <v>5.9765159065050388E-10</v>
      </c>
      <c r="AH25" s="15">
        <f t="shared" si="18"/>
        <v>-0.31294187203260265</v>
      </c>
      <c r="AI25" s="15">
        <f t="shared" si="19"/>
        <v>-1.2955928965856396E-4</v>
      </c>
      <c r="AJ25" s="31">
        <f t="shared" si="31"/>
        <v>1.3215555226306739</v>
      </c>
      <c r="AK25" s="31">
        <f t="shared" si="32"/>
        <v>3.4023472218384049E-3</v>
      </c>
      <c r="AL25" s="15">
        <f t="shared" si="20"/>
        <v>0</v>
      </c>
      <c r="AM25" s="15">
        <f t="shared" si="21"/>
        <v>0</v>
      </c>
      <c r="AN25" s="15">
        <f t="shared" si="22"/>
        <v>0</v>
      </c>
      <c r="AO25" s="15">
        <f t="shared" si="23"/>
        <v>0</v>
      </c>
      <c r="AP25" s="31">
        <f t="shared" si="33"/>
        <v>0</v>
      </c>
      <c r="AQ25" s="31">
        <f t="shared" si="34"/>
        <v>0</v>
      </c>
    </row>
    <row r="26" spans="3:43" x14ac:dyDescent="0.25">
      <c r="H26" s="15">
        <v>1.23</v>
      </c>
      <c r="I26" s="45">
        <f t="shared" si="24"/>
        <v>169.82436524617447</v>
      </c>
      <c r="J26" s="32">
        <f t="shared" si="25"/>
        <v>90.058693496555719</v>
      </c>
      <c r="K26" s="32">
        <f t="shared" si="26"/>
        <v>37.030332131265006</v>
      </c>
      <c r="L26" s="15">
        <f t="shared" si="0"/>
        <v>3.8729613733905581</v>
      </c>
      <c r="M26" s="15">
        <f t="shared" si="1"/>
        <v>-3.9908719378732402E-2</v>
      </c>
      <c r="N26" s="15">
        <f t="shared" si="2"/>
        <v>2.1070491469442792E-6</v>
      </c>
      <c r="O26" s="15">
        <f t="shared" si="3"/>
        <v>-17.146165482896574</v>
      </c>
      <c r="P26" s="15">
        <f t="shared" si="4"/>
        <v>-0.3948790818465131</v>
      </c>
      <c r="Q26" s="15">
        <f t="shared" si="5"/>
        <v>-6.3693392743501562E-3</v>
      </c>
      <c r="R26" s="15">
        <f t="shared" si="6"/>
        <v>-5.3669533123226846E-8</v>
      </c>
      <c r="S26" s="31">
        <f t="shared" si="27"/>
        <v>-17.192443541549657</v>
      </c>
      <c r="T26" s="31">
        <f t="shared" si="28"/>
        <v>11.365986283798064</v>
      </c>
      <c r="U26" s="15">
        <f t="shared" si="7"/>
        <v>6500</v>
      </c>
      <c r="V26" s="15">
        <f t="shared" si="8"/>
        <v>-89.837284975236869</v>
      </c>
      <c r="W26" s="15">
        <f t="shared" si="9"/>
        <v>-50.933911191074934</v>
      </c>
      <c r="X26" s="15">
        <f t="shared" si="10"/>
        <v>15.844512304636709</v>
      </c>
      <c r="Y26" s="15">
        <f t="shared" si="11"/>
        <v>0.33644282896996158</v>
      </c>
      <c r="Z26" s="15">
        <f t="shared" si="12"/>
        <v>-0.10840759383969086</v>
      </c>
      <c r="AA26" s="15">
        <f t="shared" si="13"/>
        <v>-1.554743378498815E-5</v>
      </c>
      <c r="AB26" s="31">
        <f t="shared" si="29"/>
        <v>-74.101180264439847</v>
      </c>
      <c r="AC26" s="31">
        <f t="shared" si="30"/>
        <v>25.660783223318354</v>
      </c>
      <c r="AD26" s="15">
        <f t="shared" si="14"/>
        <v>1.6718605884341455</v>
      </c>
      <c r="AE26" s="15">
        <f t="shared" si="15"/>
        <v>3.6982886582636312E-3</v>
      </c>
      <c r="AF26" s="15">
        <f t="shared" si="16"/>
        <v>6.8778867921396962E-4</v>
      </c>
      <c r="AG26" s="15">
        <f t="shared" si="17"/>
        <v>6.258195959465415E-10</v>
      </c>
      <c r="AH26" s="15">
        <f t="shared" si="18"/>
        <v>-0.32023107456812966</v>
      </c>
      <c r="AI26" s="15">
        <f t="shared" si="19"/>
        <v>-1.356651354982477E-4</v>
      </c>
      <c r="AJ26" s="31">
        <f t="shared" si="31"/>
        <v>1.35231730254523</v>
      </c>
      <c r="AK26" s="31">
        <f t="shared" si="32"/>
        <v>3.5626241485849793E-3</v>
      </c>
      <c r="AL26" s="15">
        <f t="shared" si="20"/>
        <v>0</v>
      </c>
      <c r="AM26" s="15">
        <f t="shared" si="21"/>
        <v>0</v>
      </c>
      <c r="AN26" s="15">
        <f t="shared" si="22"/>
        <v>0</v>
      </c>
      <c r="AO26" s="15">
        <f t="shared" si="23"/>
        <v>0</v>
      </c>
      <c r="AP26" s="31">
        <f t="shared" si="33"/>
        <v>0</v>
      </c>
      <c r="AQ26" s="31">
        <f t="shared" si="34"/>
        <v>0</v>
      </c>
    </row>
    <row r="27" spans="3:43" x14ac:dyDescent="0.25">
      <c r="H27" s="15">
        <v>1.24</v>
      </c>
      <c r="I27" s="45">
        <f t="shared" si="24"/>
        <v>173.78008287493756</v>
      </c>
      <c r="J27" s="32">
        <f t="shared" si="25"/>
        <v>90.057587900070772</v>
      </c>
      <c r="K27" s="32">
        <f t="shared" si="26"/>
        <v>36.827978841241226</v>
      </c>
      <c r="L27" s="15">
        <f t="shared" si="0"/>
        <v>3.8729613733905581</v>
      </c>
      <c r="M27" s="15">
        <f t="shared" si="1"/>
        <v>-4.0838312559897748E-2</v>
      </c>
      <c r="N27" s="15">
        <f t="shared" si="2"/>
        <v>2.2063512889652958E-6</v>
      </c>
      <c r="O27" s="15">
        <f t="shared" si="3"/>
        <v>-17.521364898668033</v>
      </c>
      <c r="P27" s="15">
        <f t="shared" si="4"/>
        <v>-0.41263184193067648</v>
      </c>
      <c r="Q27" s="15">
        <f t="shared" si="5"/>
        <v>-6.5177002436357778E-3</v>
      </c>
      <c r="R27" s="15">
        <f t="shared" si="6"/>
        <v>-5.6198900406386245E-8</v>
      </c>
      <c r="S27" s="31">
        <f t="shared" si="27"/>
        <v>-17.568720911471566</v>
      </c>
      <c r="T27" s="31">
        <f t="shared" si="28"/>
        <v>11.348233620486674</v>
      </c>
      <c r="U27" s="15">
        <f t="shared" si="7"/>
        <v>6500</v>
      </c>
      <c r="V27" s="15">
        <f t="shared" si="8"/>
        <v>-89.840988802152964</v>
      </c>
      <c r="W27" s="15">
        <f t="shared" si="9"/>
        <v>-51.133909614635343</v>
      </c>
      <c r="X27" s="15">
        <f t="shared" si="10"/>
        <v>16.194436237504899</v>
      </c>
      <c r="Y27" s="15">
        <f t="shared" si="11"/>
        <v>0.35167353482151448</v>
      </c>
      <c r="Z27" s="15">
        <f t="shared" si="12"/>
        <v>-0.11093272484744229</v>
      </c>
      <c r="AA27" s="15">
        <f t="shared" si="13"/>
        <v>-1.6280160392068093E-5</v>
      </c>
      <c r="AB27" s="31">
        <f t="shared" si="29"/>
        <v>-73.757485289495506</v>
      </c>
      <c r="AC27" s="31">
        <f t="shared" si="30"/>
        <v>25.476014772882895</v>
      </c>
      <c r="AD27" s="15">
        <f t="shared" si="14"/>
        <v>1.7107803454113639</v>
      </c>
      <c r="AE27" s="15">
        <f t="shared" si="15"/>
        <v>3.8725059481238126E-3</v>
      </c>
      <c r="AF27" s="15">
        <f t="shared" si="16"/>
        <v>7.0380933560809753E-4</v>
      </c>
      <c r="AG27" s="15">
        <f t="shared" si="17"/>
        <v>6.5531451583636525E-10</v>
      </c>
      <c r="AH27" s="15">
        <f t="shared" si="18"/>
        <v>-0.32769005370913534</v>
      </c>
      <c r="AI27" s="15">
        <f t="shared" si="19"/>
        <v>-1.4205873178756701E-4</v>
      </c>
      <c r="AJ27" s="31">
        <f t="shared" si="31"/>
        <v>1.3837941010378367</v>
      </c>
      <c r="AK27" s="31">
        <f t="shared" si="32"/>
        <v>3.7304478716507611E-3</v>
      </c>
      <c r="AL27" s="15">
        <f t="shared" si="20"/>
        <v>0</v>
      </c>
      <c r="AM27" s="15">
        <f t="shared" si="21"/>
        <v>0</v>
      </c>
      <c r="AN27" s="15">
        <f t="shared" si="22"/>
        <v>0</v>
      </c>
      <c r="AO27" s="15">
        <f t="shared" si="23"/>
        <v>0</v>
      </c>
      <c r="AP27" s="31">
        <f t="shared" si="33"/>
        <v>0</v>
      </c>
      <c r="AQ27" s="31">
        <f t="shared" si="34"/>
        <v>0</v>
      </c>
    </row>
    <row r="28" spans="3:43" x14ac:dyDescent="0.25">
      <c r="H28" s="15">
        <v>1.25</v>
      </c>
      <c r="I28" s="45">
        <f t="shared" si="24"/>
        <v>177.82794100389236</v>
      </c>
      <c r="J28" s="32">
        <f t="shared" si="25"/>
        <v>90.05694443413212</v>
      </c>
      <c r="K28" s="32">
        <f t="shared" si="26"/>
        <v>36.625534900835078</v>
      </c>
      <c r="L28" s="15">
        <f t="shared" si="0"/>
        <v>3.8729613733905581</v>
      </c>
      <c r="M28" s="15">
        <f t="shared" si="1"/>
        <v>-4.1789558725595283E-2</v>
      </c>
      <c r="N28" s="15">
        <f t="shared" si="2"/>
        <v>2.3103333946634838E-6</v>
      </c>
      <c r="O28" s="15">
        <f t="shared" si="3"/>
        <v>-17.903704282790887</v>
      </c>
      <c r="P28" s="15">
        <f t="shared" si="4"/>
        <v>-0.4311438112166221</v>
      </c>
      <c r="Q28" s="15">
        <f t="shared" si="5"/>
        <v>-6.6695169837432417E-3</v>
      </c>
      <c r="R28" s="15">
        <f t="shared" si="6"/>
        <v>-5.8847472063452809E-8</v>
      </c>
      <c r="S28" s="31">
        <f t="shared" si="27"/>
        <v>-17.952163358500226</v>
      </c>
      <c r="T28" s="31">
        <f t="shared" si="28"/>
        <v>11.329721752534264</v>
      </c>
      <c r="U28" s="15">
        <f t="shared" si="7"/>
        <v>6500</v>
      </c>
      <c r="V28" s="15">
        <f t="shared" si="8"/>
        <v>-89.844608320959495</v>
      </c>
      <c r="W28" s="15">
        <f t="shared" si="9"/>
        <v>-51.333908109146698</v>
      </c>
      <c r="X28" s="15">
        <f t="shared" si="10"/>
        <v>16.551230322070897</v>
      </c>
      <c r="Y28" s="15">
        <f t="shared" si="11"/>
        <v>0.36756499860663866</v>
      </c>
      <c r="Z28" s="15">
        <f t="shared" si="12"/>
        <v>-0.11351667326607688</v>
      </c>
      <c r="AA28" s="15">
        <f t="shared" si="13"/>
        <v>-1.7047419208626069E-5</v>
      </c>
      <c r="AB28" s="31">
        <f t="shared" si="29"/>
        <v>-73.406894672154678</v>
      </c>
      <c r="AC28" s="31">
        <f t="shared" si="30"/>
        <v>25.291906974897845</v>
      </c>
      <c r="AD28" s="15">
        <f t="shared" si="14"/>
        <v>1.7506050249192011</v>
      </c>
      <c r="AE28" s="15">
        <f t="shared" si="15"/>
        <v>4.0549263556667638E-3</v>
      </c>
      <c r="AF28" s="15">
        <f t="shared" si="16"/>
        <v>7.2020316102783266E-4</v>
      </c>
      <c r="AG28" s="15">
        <f t="shared" si="17"/>
        <v>6.8619613862288287E-10</v>
      </c>
      <c r="AH28" s="15">
        <f t="shared" si="18"/>
        <v>-0.33532276329320393</v>
      </c>
      <c r="AI28" s="15">
        <f t="shared" si="19"/>
        <v>-1.4875363889765345E-4</v>
      </c>
      <c r="AJ28" s="31">
        <f t="shared" si="31"/>
        <v>1.4160024647870251</v>
      </c>
      <c r="AK28" s="31">
        <f t="shared" si="32"/>
        <v>3.9061734029652495E-3</v>
      </c>
      <c r="AL28" s="15">
        <f t="shared" si="20"/>
        <v>0</v>
      </c>
      <c r="AM28" s="15">
        <f t="shared" si="21"/>
        <v>0</v>
      </c>
      <c r="AN28" s="15">
        <f t="shared" si="22"/>
        <v>0</v>
      </c>
      <c r="AO28" s="15">
        <f t="shared" si="23"/>
        <v>0</v>
      </c>
      <c r="AP28" s="31">
        <f t="shared" si="33"/>
        <v>0</v>
      </c>
      <c r="AQ28" s="31">
        <f t="shared" si="34"/>
        <v>0</v>
      </c>
    </row>
    <row r="29" spans="3:43" x14ac:dyDescent="0.25">
      <c r="H29" s="15">
        <v>1.26</v>
      </c>
      <c r="I29" s="45">
        <f t="shared" si="24"/>
        <v>181.97008586099841</v>
      </c>
      <c r="J29" s="32">
        <f t="shared" si="25"/>
        <v>90.056788127941118</v>
      </c>
      <c r="K29" s="32">
        <f t="shared" si="26"/>
        <v>36.422997747723265</v>
      </c>
      <c r="L29" s="15">
        <f t="shared" si="0"/>
        <v>3.8729613733905581</v>
      </c>
      <c r="M29" s="15">
        <f t="shared" si="1"/>
        <v>-4.2762962237034428E-2</v>
      </c>
      <c r="N29" s="15">
        <f t="shared" si="2"/>
        <v>2.4192160209301791E-6</v>
      </c>
      <c r="O29" s="15">
        <f t="shared" si="3"/>
        <v>-18.293250104146903</v>
      </c>
      <c r="P29" s="15">
        <f t="shared" si="4"/>
        <v>-0.45044401895628977</v>
      </c>
      <c r="Q29" s="15">
        <f t="shared" si="5"/>
        <v>-6.8248699899091476E-3</v>
      </c>
      <c r="R29" s="15">
        <f t="shared" si="6"/>
        <v>-6.1620868194752678E-8</v>
      </c>
      <c r="S29" s="31">
        <f t="shared" si="27"/>
        <v>-18.342837936373847</v>
      </c>
      <c r="T29" s="31">
        <f t="shared" si="28"/>
        <v>11.310421650903825</v>
      </c>
      <c r="U29" s="15">
        <f t="shared" si="7"/>
        <v>6500</v>
      </c>
      <c r="V29" s="15">
        <f t="shared" si="8"/>
        <v>-89.84814545065764</v>
      </c>
      <c r="W29" s="15">
        <f t="shared" si="9"/>
        <v>-51.533906671415714</v>
      </c>
      <c r="X29" s="15">
        <f t="shared" si="10"/>
        <v>16.914973005902336</v>
      </c>
      <c r="Y29" s="15">
        <f t="shared" si="11"/>
        <v>0.3841433137934136</v>
      </c>
      <c r="Z29" s="15">
        <f t="shared" si="12"/>
        <v>-0.11616080909718124</v>
      </c>
      <c r="AA29" s="15">
        <f t="shared" si="13"/>
        <v>-1.785083767327271E-5</v>
      </c>
      <c r="AB29" s="31">
        <f t="shared" si="29"/>
        <v>-73.049333253852481</v>
      </c>
      <c r="AC29" s="31">
        <f t="shared" si="30"/>
        <v>25.10848592439714</v>
      </c>
      <c r="AD29" s="15">
        <f t="shared" si="14"/>
        <v>1.7913555885194992</v>
      </c>
      <c r="AE29" s="15">
        <f t="shared" si="15"/>
        <v>4.2459357599652003E-3</v>
      </c>
      <c r="AF29" s="15">
        <f t="shared" si="16"/>
        <v>7.369788476963993E-4</v>
      </c>
      <c r="AG29" s="15">
        <f t="shared" si="17"/>
        <v>7.1853582453859875E-10</v>
      </c>
      <c r="AH29" s="15">
        <f t="shared" si="18"/>
        <v>-0.34313324919973509</v>
      </c>
      <c r="AI29" s="15">
        <f t="shared" si="19"/>
        <v>-1.557640561969587E-4</v>
      </c>
      <c r="AJ29" s="31">
        <f t="shared" si="31"/>
        <v>1.4489593181674603</v>
      </c>
      <c r="AK29" s="31">
        <f t="shared" si="32"/>
        <v>4.0901724223040663E-3</v>
      </c>
      <c r="AL29" s="15">
        <f t="shared" si="20"/>
        <v>0</v>
      </c>
      <c r="AM29" s="15">
        <f t="shared" si="21"/>
        <v>0</v>
      </c>
      <c r="AN29" s="15">
        <f t="shared" si="22"/>
        <v>0</v>
      </c>
      <c r="AO29" s="15">
        <f t="shared" si="23"/>
        <v>0</v>
      </c>
      <c r="AP29" s="31">
        <f t="shared" si="33"/>
        <v>0</v>
      </c>
      <c r="AQ29" s="31">
        <f t="shared" si="34"/>
        <v>0</v>
      </c>
    </row>
    <row r="30" spans="3:43" x14ac:dyDescent="0.25">
      <c r="H30" s="15">
        <v>1.27</v>
      </c>
      <c r="I30" s="45">
        <f t="shared" si="24"/>
        <v>186.2087136662868</v>
      </c>
      <c r="J30" s="32">
        <f t="shared" si="25"/>
        <v>90.057145512045722</v>
      </c>
      <c r="K30" s="32">
        <f t="shared" si="26"/>
        <v>36.220364828514398</v>
      </c>
      <c r="L30" s="15">
        <f t="shared" si="0"/>
        <v>3.8729613733905581</v>
      </c>
      <c r="M30" s="15">
        <f t="shared" si="1"/>
        <v>-4.3759039203392573E-2</v>
      </c>
      <c r="N30" s="15">
        <f t="shared" si="2"/>
        <v>2.5332301258706275E-6</v>
      </c>
      <c r="O30" s="15">
        <f t="shared" si="3"/>
        <v>-18.690064803286475</v>
      </c>
      <c r="P30" s="15">
        <f t="shared" si="4"/>
        <v>-0.47056230727755088</v>
      </c>
      <c r="Q30" s="15">
        <f t="shared" si="5"/>
        <v>-6.9838416323445666E-3</v>
      </c>
      <c r="R30" s="15">
        <f t="shared" si="6"/>
        <v>-6.4524969269013664E-8</v>
      </c>
      <c r="S30" s="31">
        <f t="shared" si="27"/>
        <v>-18.740807684122213</v>
      </c>
      <c r="T30" s="31">
        <f t="shared" si="28"/>
        <v>11.290303473692569</v>
      </c>
      <c r="U30" s="15">
        <f t="shared" si="7"/>
        <v>6500</v>
      </c>
      <c r="V30" s="15">
        <f t="shared" si="8"/>
        <v>-89.851602066572497</v>
      </c>
      <c r="W30" s="15">
        <f t="shared" si="9"/>
        <v>-51.733905298392841</v>
      </c>
      <c r="X30" s="15">
        <f t="shared" si="10"/>
        <v>17.28573982549489</v>
      </c>
      <c r="Y30" s="15">
        <f t="shared" si="11"/>
        <v>0.4014353784207792</v>
      </c>
      <c r="Z30" s="15">
        <f t="shared" si="12"/>
        <v>-0.11886653425149642</v>
      </c>
      <c r="AA30" s="15">
        <f t="shared" si="13"/>
        <v>-1.8692119924091131E-5</v>
      </c>
      <c r="AB30" s="31">
        <f t="shared" si="29"/>
        <v>-72.684728775329106</v>
      </c>
      <c r="AC30" s="31">
        <f t="shared" si="30"/>
        <v>24.925778520765128</v>
      </c>
      <c r="AD30" s="15">
        <f t="shared" si="14"/>
        <v>1.8330534776966896</v>
      </c>
      <c r="AE30" s="15">
        <f t="shared" si="15"/>
        <v>4.4459381564616943E-3</v>
      </c>
      <c r="AF30" s="15">
        <f t="shared" si="16"/>
        <v>7.5414529030491044E-4</v>
      </c>
      <c r="AG30" s="15">
        <f t="shared" si="17"/>
        <v>7.5239914785121674E-10</v>
      </c>
      <c r="AH30" s="15">
        <f t="shared" si="18"/>
        <v>-0.35112565148994912</v>
      </c>
      <c r="AI30" s="15">
        <f t="shared" si="19"/>
        <v>-1.6310485215719733E-4</v>
      </c>
      <c r="AJ30" s="31">
        <f t="shared" si="31"/>
        <v>1.4826819714970454</v>
      </c>
      <c r="AK30" s="31">
        <f t="shared" si="32"/>
        <v>4.2828340567036454E-3</v>
      </c>
      <c r="AL30" s="15">
        <f t="shared" si="20"/>
        <v>0</v>
      </c>
      <c r="AM30" s="15">
        <f t="shared" si="21"/>
        <v>0</v>
      </c>
      <c r="AN30" s="15">
        <f t="shared" si="22"/>
        <v>0</v>
      </c>
      <c r="AO30" s="15">
        <f t="shared" si="23"/>
        <v>0</v>
      </c>
      <c r="AP30" s="31">
        <f t="shared" si="33"/>
        <v>0</v>
      </c>
      <c r="AQ30" s="31">
        <f t="shared" si="34"/>
        <v>0</v>
      </c>
    </row>
    <row r="31" spans="3:43" x14ac:dyDescent="0.25">
      <c r="H31" s="15">
        <v>1.28</v>
      </c>
      <c r="I31" s="45">
        <f t="shared" si="24"/>
        <v>190.54607179632478</v>
      </c>
      <c r="J31" s="32">
        <f t="shared" si="25"/>
        <v>90.058044666566644</v>
      </c>
      <c r="K31" s="32">
        <f t="shared" si="26"/>
        <v>36.017633607505381</v>
      </c>
      <c r="L31" s="15">
        <f t="shared" si="0"/>
        <v>3.8729613733905581</v>
      </c>
      <c r="M31" s="15">
        <f t="shared" si="1"/>
        <v>-4.4778317755452185E-2</v>
      </c>
      <c r="N31" s="15">
        <f t="shared" si="2"/>
        <v>2.6526175471082767E-6</v>
      </c>
      <c r="O31" s="15">
        <f t="shared" si="3"/>
        <v>-19.094206457913867</v>
      </c>
      <c r="P31" s="15">
        <f t="shared" si="4"/>
        <v>-0.49152932821830653</v>
      </c>
      <c r="Q31" s="15">
        <f t="shared" si="5"/>
        <v>-7.1465161999087609E-3</v>
      </c>
      <c r="R31" s="15">
        <f t="shared" si="6"/>
        <v>-6.7565937338567983E-8</v>
      </c>
      <c r="S31" s="31">
        <f t="shared" si="27"/>
        <v>-19.146131291869228</v>
      </c>
      <c r="T31" s="31">
        <f t="shared" si="28"/>
        <v>11.269336569098268</v>
      </c>
      <c r="U31" s="15">
        <f t="shared" si="7"/>
        <v>6500</v>
      </c>
      <c r="V31" s="15">
        <f t="shared" si="8"/>
        <v>-89.854980001346831</v>
      </c>
      <c r="W31" s="15">
        <f t="shared" si="9"/>
        <v>-51.93390398716577</v>
      </c>
      <c r="X31" s="15">
        <f t="shared" si="10"/>
        <v>17.663603113637755</v>
      </c>
      <c r="Y31" s="15">
        <f t="shared" si="11"/>
        <v>0.4194689000701205</v>
      </c>
      <c r="Z31" s="15">
        <f t="shared" si="12"/>
        <v>-0.12163528329201388</v>
      </c>
      <c r="AA31" s="15">
        <f t="shared" si="13"/>
        <v>-1.9573050408962663E-5</v>
      </c>
      <c r="AB31" s="31">
        <f t="shared" si="29"/>
        <v>-72.313012171001091</v>
      </c>
      <c r="AC31" s="31">
        <f t="shared" si="30"/>
        <v>24.743812472711056</v>
      </c>
      <c r="AD31" s="15">
        <f t="shared" si="14"/>
        <v>1.8757206244427018</v>
      </c>
      <c r="AE31" s="15">
        <f t="shared" si="15"/>
        <v>4.6553565040694366E-3</v>
      </c>
      <c r="AF31" s="15">
        <f t="shared" si="16"/>
        <v>7.7171159072844957E-4</v>
      </c>
      <c r="AG31" s="15">
        <f t="shared" si="17"/>
        <v>7.8785939744817006E-10</v>
      </c>
      <c r="AH31" s="15">
        <f t="shared" si="18"/>
        <v>-0.35930420659645607</v>
      </c>
      <c r="AI31" s="15">
        <f t="shared" si="19"/>
        <v>-1.7079159587221493E-4</v>
      </c>
      <c r="AJ31" s="31">
        <f t="shared" si="31"/>
        <v>1.5171881294369742</v>
      </c>
      <c r="AK31" s="31">
        <f t="shared" si="32"/>
        <v>4.4845656960566188E-3</v>
      </c>
      <c r="AL31" s="15">
        <f t="shared" si="20"/>
        <v>0</v>
      </c>
      <c r="AM31" s="15">
        <f t="shared" si="21"/>
        <v>0</v>
      </c>
      <c r="AN31" s="15">
        <f t="shared" si="22"/>
        <v>0</v>
      </c>
      <c r="AO31" s="15">
        <f t="shared" si="23"/>
        <v>0</v>
      </c>
      <c r="AP31" s="31">
        <f t="shared" si="33"/>
        <v>0</v>
      </c>
      <c r="AQ31" s="31">
        <f t="shared" si="34"/>
        <v>0</v>
      </c>
    </row>
    <row r="32" spans="3:43" x14ac:dyDescent="0.25">
      <c r="H32" s="15">
        <v>1.29</v>
      </c>
      <c r="I32" s="45">
        <f t="shared" si="24"/>
        <v>194.98445997580464</v>
      </c>
      <c r="J32" s="32">
        <f t="shared" si="25"/>
        <v>90.05951526814934</v>
      </c>
      <c r="K32" s="32">
        <f t="shared" si="26"/>
        <v>35.8148015761764</v>
      </c>
      <c r="L32" s="15">
        <f t="shared" si="0"/>
        <v>3.8729613733905581</v>
      </c>
      <c r="M32" s="15">
        <f t="shared" si="1"/>
        <v>-4.5821338325611208E-2</v>
      </c>
      <c r="N32" s="15">
        <f t="shared" si="2"/>
        <v>2.7776315225192605E-6</v>
      </c>
      <c r="O32" s="15">
        <f t="shared" si="3"/>
        <v>-19.505728437837249</v>
      </c>
      <c r="P32" s="15">
        <f t="shared" si="4"/>
        <v>-0.5133765381185561</v>
      </c>
      <c r="Q32" s="15">
        <f t="shared" si="5"/>
        <v>-7.3129799448002075E-3</v>
      </c>
      <c r="R32" s="15">
        <f t="shared" si="6"/>
        <v>-7.0750221825315687E-8</v>
      </c>
      <c r="S32" s="31">
        <f t="shared" si="27"/>
        <v>-19.558862756107661</v>
      </c>
      <c r="T32" s="31">
        <f t="shared" si="28"/>
        <v>11.247489481027706</v>
      </c>
      <c r="U32" s="15">
        <f t="shared" si="7"/>
        <v>6500</v>
      </c>
      <c r="V32" s="15">
        <f t="shared" si="8"/>
        <v>-89.85828104591242</v>
      </c>
      <c r="W32" s="15">
        <f t="shared" si="9"/>
        <v>-52.133902734953267</v>
      </c>
      <c r="X32" s="15">
        <f t="shared" si="10"/>
        <v>18.048631694818233</v>
      </c>
      <c r="Y32" s="15">
        <f t="shared" si="11"/>
        <v>0.43827239889605218</v>
      </c>
      <c r="Z32" s="15">
        <f t="shared" si="12"/>
        <v>-0.12446852419436956</v>
      </c>
      <c r="AA32" s="15">
        <f t="shared" si="13"/>
        <v>-2.0495497679103562E-5</v>
      </c>
      <c r="AB32" s="31">
        <f t="shared" si="29"/>
        <v>-71.93411787528855</v>
      </c>
      <c r="AC32" s="31">
        <f t="shared" si="30"/>
        <v>24.562616301302221</v>
      </c>
      <c r="AD32" s="15">
        <f t="shared" si="14"/>
        <v>1.9193794620462201</v>
      </c>
      <c r="AE32" s="15">
        <f t="shared" si="15"/>
        <v>4.8746336115588554E-3</v>
      </c>
      <c r="AF32" s="15">
        <f t="shared" si="16"/>
        <v>7.8968706285200546E-4</v>
      </c>
      <c r="AG32" s="15">
        <f t="shared" si="17"/>
        <v>8.2498986221689053E-10</v>
      </c>
      <c r="AH32" s="15">
        <f t="shared" si="18"/>
        <v>-0.36767324956352765</v>
      </c>
      <c r="AI32" s="15">
        <f t="shared" si="19"/>
        <v>-1.7884059007649503E-4</v>
      </c>
      <c r="AJ32" s="31">
        <f t="shared" si="31"/>
        <v>1.5524958995455447</v>
      </c>
      <c r="AK32" s="31">
        <f t="shared" si="32"/>
        <v>4.6957938464722224E-3</v>
      </c>
      <c r="AL32" s="15">
        <f t="shared" si="20"/>
        <v>0</v>
      </c>
      <c r="AM32" s="15">
        <f t="shared" si="21"/>
        <v>0</v>
      </c>
      <c r="AN32" s="15">
        <f t="shared" si="22"/>
        <v>0</v>
      </c>
      <c r="AO32" s="15">
        <f t="shared" si="23"/>
        <v>0</v>
      </c>
      <c r="AP32" s="31">
        <f t="shared" si="33"/>
        <v>0</v>
      </c>
      <c r="AQ32" s="31">
        <f t="shared" si="34"/>
        <v>0</v>
      </c>
    </row>
    <row r="33" spans="2:43" x14ac:dyDescent="0.25">
      <c r="H33" s="15">
        <v>1.3</v>
      </c>
      <c r="I33" s="45">
        <f t="shared" si="24"/>
        <v>199.52623149688804</v>
      </c>
      <c r="J33" s="32">
        <f t="shared" si="25"/>
        <v>90.061588635246224</v>
      </c>
      <c r="K33" s="32">
        <f t="shared" si="26"/>
        <v>35.611866263444249</v>
      </c>
      <c r="L33" s="15">
        <f t="shared" si="0"/>
        <v>3.8729613733905581</v>
      </c>
      <c r="M33" s="15">
        <f t="shared" si="1"/>
        <v>-4.6888653934415152E-2</v>
      </c>
      <c r="N33" s="15">
        <f t="shared" si="2"/>
        <v>2.9085372186812884E-6</v>
      </c>
      <c r="O33" s="15">
        <f t="shared" si="3"/>
        <v>-19.924679050037685</v>
      </c>
      <c r="P33" s="15">
        <f t="shared" si="4"/>
        <v>-0.53613618916651384</v>
      </c>
      <c r="Q33" s="15">
        <f t="shared" si="5"/>
        <v>-7.4833211282886091E-3</v>
      </c>
      <c r="R33" s="15">
        <f t="shared" si="6"/>
        <v>-7.4084578807272184E-8</v>
      </c>
      <c r="S33" s="31">
        <f t="shared" si="27"/>
        <v>-19.979051025100389</v>
      </c>
      <c r="T33" s="31">
        <f t="shared" si="28"/>
        <v>11.224729957551089</v>
      </c>
      <c r="U33" s="15">
        <f t="shared" si="7"/>
        <v>6500</v>
      </c>
      <c r="V33" s="15">
        <f t="shared" si="8"/>
        <v>-89.861506950439065</v>
      </c>
      <c r="W33" s="15">
        <f t="shared" si="9"/>
        <v>-52.333901539099273</v>
      </c>
      <c r="X33" s="15">
        <f t="shared" si="10"/>
        <v>18.440890568924253</v>
      </c>
      <c r="Y33" s="15">
        <f t="shared" si="11"/>
        <v>0.45787520853048047</v>
      </c>
      <c r="Z33" s="15">
        <f t="shared" si="12"/>
        <v>-0.1273677591249367</v>
      </c>
      <c r="AA33" s="15">
        <f t="shared" si="13"/>
        <v>-2.1461418340739169E-5</v>
      </c>
      <c r="AB33" s="31">
        <f t="shared" si="29"/>
        <v>-71.547984140639741</v>
      </c>
      <c r="AC33" s="31">
        <f t="shared" si="30"/>
        <v>24.38221934086998</v>
      </c>
      <c r="AD33" s="15">
        <f t="shared" si="14"/>
        <v>1.9640529360880554</v>
      </c>
      <c r="AE33" s="15">
        <f t="shared" si="15"/>
        <v>5.1042330650076483E-3</v>
      </c>
      <c r="AF33" s="15">
        <f t="shared" si="16"/>
        <v>8.0808123750881707E-4</v>
      </c>
      <c r="AG33" s="15">
        <f t="shared" si="17"/>
        <v>8.6387154566453911E-10</v>
      </c>
      <c r="AH33" s="15">
        <f t="shared" si="18"/>
        <v>-0.37623721633922841</v>
      </c>
      <c r="AI33" s="15">
        <f t="shared" si="19"/>
        <v>-1.8726890570372533E-4</v>
      </c>
      <c r="AJ33" s="31">
        <f t="shared" si="31"/>
        <v>1.5886238009863358</v>
      </c>
      <c r="AK33" s="31">
        <f t="shared" si="32"/>
        <v>4.9169650231754682E-3</v>
      </c>
      <c r="AL33" s="15">
        <f t="shared" si="20"/>
        <v>0</v>
      </c>
      <c r="AM33" s="15">
        <f t="shared" si="21"/>
        <v>0</v>
      </c>
      <c r="AN33" s="15">
        <f t="shared" si="22"/>
        <v>0</v>
      </c>
      <c r="AO33" s="15">
        <f t="shared" si="23"/>
        <v>0</v>
      </c>
      <c r="AP33" s="31">
        <f t="shared" si="33"/>
        <v>0</v>
      </c>
      <c r="AQ33" s="31">
        <f t="shared" si="34"/>
        <v>0</v>
      </c>
    </row>
    <row r="34" spans="2:43" x14ac:dyDescent="0.25">
      <c r="H34" s="15">
        <v>1.31</v>
      </c>
      <c r="I34" s="45">
        <f t="shared" si="24"/>
        <v>204.17379446695298</v>
      </c>
      <c r="J34" s="32">
        <f t="shared" si="25"/>
        <v>90.064297771302066</v>
      </c>
      <c r="K34" s="32">
        <f t="shared" si="26"/>
        <v>35.408825246689787</v>
      </c>
      <c r="L34" s="15">
        <f t="shared" si="0"/>
        <v>3.8729613733905581</v>
      </c>
      <c r="M34" s="15">
        <f t="shared" si="1"/>
        <v>-4.7980830483762775E-2</v>
      </c>
      <c r="N34" s="15">
        <f t="shared" si="2"/>
        <v>3.0456123075386469E-6</v>
      </c>
      <c r="O34" s="15">
        <f t="shared" si="3"/>
        <v>-20.351101174639826</v>
      </c>
      <c r="P34" s="15">
        <f t="shared" si="4"/>
        <v>-0.55984131789263747</v>
      </c>
      <c r="Q34" s="15">
        <f t="shared" si="5"/>
        <v>-7.6576300675121273E-3</v>
      </c>
      <c r="R34" s="15">
        <f t="shared" si="6"/>
        <v>-7.7576076804531339E-8</v>
      </c>
      <c r="S34" s="31">
        <f t="shared" si="27"/>
        <v>-20.406739635191101</v>
      </c>
      <c r="T34" s="31">
        <f t="shared" si="28"/>
        <v>11.201024962408557</v>
      </c>
      <c r="U34" s="15">
        <f t="shared" si="7"/>
        <v>6500</v>
      </c>
      <c r="V34" s="15">
        <f t="shared" si="8"/>
        <v>-89.864659425262204</v>
      </c>
      <c r="W34" s="15">
        <f t="shared" si="9"/>
        <v>-52.533900397067271</v>
      </c>
      <c r="X34" s="15">
        <f t="shared" si="10"/>
        <v>18.840440583601239</v>
      </c>
      <c r="Y34" s="15">
        <f t="shared" si="11"/>
        <v>0.47830747466790774</v>
      </c>
      <c r="Z34" s="15">
        <f t="shared" si="12"/>
        <v>-0.13033452523702982</v>
      </c>
      <c r="AA34" s="15">
        <f t="shared" si="13"/>
        <v>-2.2472861209273279E-5</v>
      </c>
      <c r="AB34" s="31">
        <f t="shared" si="29"/>
        <v>-71.154553366898</v>
      </c>
      <c r="AC34" s="31">
        <f t="shared" si="30"/>
        <v>24.20265173759654</v>
      </c>
      <c r="AD34" s="15">
        <f t="shared" si="14"/>
        <v>2.0097645156442407</v>
      </c>
      <c r="AE34" s="15">
        <f t="shared" si="15"/>
        <v>5.3446401981824682E-3</v>
      </c>
      <c r="AF34" s="15">
        <f t="shared" si="16"/>
        <v>8.26903867533748E-4</v>
      </c>
      <c r="AG34" s="15">
        <f t="shared" si="17"/>
        <v>9.0458545129827411E-10</v>
      </c>
      <c r="AH34" s="15">
        <f t="shared" si="18"/>
        <v>-0.38500064612059326</v>
      </c>
      <c r="AI34" s="15">
        <f t="shared" si="19"/>
        <v>-1.9609441807597901E-4</v>
      </c>
      <c r="AJ34" s="31">
        <f t="shared" si="31"/>
        <v>1.6255907733911812</v>
      </c>
      <c r="AK34" s="31">
        <f t="shared" si="32"/>
        <v>5.1485466846919407E-3</v>
      </c>
      <c r="AL34" s="15">
        <f t="shared" si="20"/>
        <v>0</v>
      </c>
      <c r="AM34" s="15">
        <f t="shared" si="21"/>
        <v>0</v>
      </c>
      <c r="AN34" s="15">
        <f t="shared" si="22"/>
        <v>0</v>
      </c>
      <c r="AO34" s="15">
        <f t="shared" si="23"/>
        <v>0</v>
      </c>
      <c r="AP34" s="31">
        <f t="shared" si="33"/>
        <v>0</v>
      </c>
      <c r="AQ34" s="31">
        <f t="shared" si="34"/>
        <v>0</v>
      </c>
    </row>
    <row r="35" spans="2:43" x14ac:dyDescent="0.25">
      <c r="H35" s="15">
        <v>1.32</v>
      </c>
      <c r="I35" s="45">
        <f t="shared" si="24"/>
        <v>208.92961308540401</v>
      </c>
      <c r="J35" s="32">
        <f t="shared" si="25"/>
        <v>90.067677405385126</v>
      </c>
      <c r="K35" s="32">
        <f t="shared" si="26"/>
        <v>35.205676163571027</v>
      </c>
      <c r="L35" s="15">
        <f t="shared" si="0"/>
        <v>3.8729613733905581</v>
      </c>
      <c r="M35" s="15">
        <f t="shared" si="1"/>
        <v>-4.9098447056940539E-2</v>
      </c>
      <c r="N35" s="15">
        <f t="shared" si="2"/>
        <v>3.189147539209635E-6</v>
      </c>
      <c r="O35" s="15">
        <f t="shared" si="3"/>
        <v>-20.785031892703898</v>
      </c>
      <c r="P35" s="15">
        <f t="shared" si="4"/>
        <v>-0.58452573040465527</v>
      </c>
      <c r="Q35" s="15">
        <f t="shared" si="5"/>
        <v>-7.8359991833646826E-3</v>
      </c>
      <c r="R35" s="15">
        <f t="shared" si="6"/>
        <v>-8.1232123780432486E-8</v>
      </c>
      <c r="S35" s="31">
        <f t="shared" si="27"/>
        <v>-20.841966338944204</v>
      </c>
      <c r="T35" s="31">
        <f t="shared" si="28"/>
        <v>11.176340689775724</v>
      </c>
      <c r="U35" s="15">
        <f t="shared" si="7"/>
        <v>6500</v>
      </c>
      <c r="V35" s="15">
        <f t="shared" si="8"/>
        <v>-89.867740141789312</v>
      </c>
      <c r="W35" s="15">
        <f t="shared" si="9"/>
        <v>-52.733899306434893</v>
      </c>
      <c r="X35" s="15">
        <f t="shared" si="10"/>
        <v>19.247338095726139</v>
      </c>
      <c r="Y35" s="15">
        <f t="shared" si="11"/>
        <v>0.49960015113451889</v>
      </c>
      <c r="Z35" s="15">
        <f t="shared" si="12"/>
        <v>-0.13337039548564006</v>
      </c>
      <c r="AA35" s="15">
        <f t="shared" si="13"/>
        <v>-2.3531971660165578E-5</v>
      </c>
      <c r="AB35" s="31">
        <f t="shared" si="29"/>
        <v>-70.753772441548819</v>
      </c>
      <c r="AC35" s="31">
        <f t="shared" si="30"/>
        <v>24.02394444558508</v>
      </c>
      <c r="AD35" s="15">
        <f t="shared" si="14"/>
        <v>2.056538204698267</v>
      </c>
      <c r="AE35" s="15">
        <f t="shared" si="15"/>
        <v>5.5963631078182387E-3</v>
      </c>
      <c r="AF35" s="15">
        <f t="shared" si="16"/>
        <v>8.461649329343687E-4</v>
      </c>
      <c r="AG35" s="15">
        <f t="shared" si="17"/>
        <v>9.4721643993511743E-10</v>
      </c>
      <c r="AH35" s="15">
        <f t="shared" si="18"/>
        <v>-0.39396818375306042</v>
      </c>
      <c r="AI35" s="15">
        <f t="shared" si="19"/>
        <v>-2.0533584481020119E-4</v>
      </c>
      <c r="AJ35" s="31">
        <f t="shared" si="31"/>
        <v>1.6634161858781411</v>
      </c>
      <c r="AK35" s="31">
        <f t="shared" si="32"/>
        <v>5.3910282102244775E-3</v>
      </c>
      <c r="AL35" s="15">
        <f t="shared" si="20"/>
        <v>0</v>
      </c>
      <c r="AM35" s="15">
        <f t="shared" si="21"/>
        <v>0</v>
      </c>
      <c r="AN35" s="15">
        <f t="shared" si="22"/>
        <v>0</v>
      </c>
      <c r="AO35" s="15">
        <f t="shared" si="23"/>
        <v>0</v>
      </c>
      <c r="AP35" s="31">
        <f t="shared" si="33"/>
        <v>0</v>
      </c>
      <c r="AQ35" s="31">
        <f t="shared" si="34"/>
        <v>0</v>
      </c>
    </row>
    <row r="36" spans="2:43" x14ac:dyDescent="0.25">
      <c r="H36" s="15">
        <v>1.33</v>
      </c>
      <c r="I36" s="45">
        <f t="shared" si="24"/>
        <v>213.79620895022333</v>
      </c>
      <c r="J36" s="32">
        <f t="shared" si="25"/>
        <v>90.071764029775906</v>
      </c>
      <c r="K36" s="32">
        <f t="shared" si="26"/>
        <v>35.002416724627743</v>
      </c>
      <c r="L36" s="15">
        <f t="shared" si="0"/>
        <v>3.8729613733905581</v>
      </c>
      <c r="M36" s="15">
        <f t="shared" si="1"/>
        <v>-5.0242096225645079E-2</v>
      </c>
      <c r="N36" s="15">
        <f t="shared" si="2"/>
        <v>3.3394473765106419E-6</v>
      </c>
      <c r="O36" s="15">
        <f t="shared" si="3"/>
        <v>-21.226502106902984</v>
      </c>
      <c r="P36" s="15">
        <f t="shared" si="4"/>
        <v>-0.61022398415768164</v>
      </c>
      <c r="Q36" s="15">
        <f t="shared" si="5"/>
        <v>-8.0185230494986548E-3</v>
      </c>
      <c r="R36" s="15">
        <f t="shared" si="6"/>
        <v>-8.5060476784832792E-8</v>
      </c>
      <c r="S36" s="31">
        <f t="shared" si="27"/>
        <v>-21.284762726178126</v>
      </c>
      <c r="T36" s="31">
        <f t="shared" si="28"/>
        <v>11.150642582494182</v>
      </c>
      <c r="U36" s="15">
        <f t="shared" si="7"/>
        <v>6500</v>
      </c>
      <c r="V36" s="15">
        <f t="shared" si="8"/>
        <v>-89.870750733385762</v>
      </c>
      <c r="W36" s="15">
        <f t="shared" si="9"/>
        <v>-52.933898264888803</v>
      </c>
      <c r="X36" s="15">
        <f t="shared" si="10"/>
        <v>19.661634622576475</v>
      </c>
      <c r="Y36" s="15">
        <f t="shared" si="11"/>
        <v>0.5217849932392491</v>
      </c>
      <c r="Z36" s="15">
        <f t="shared" si="12"/>
        <v>-0.13647697946113263</v>
      </c>
      <c r="AA36" s="15">
        <f t="shared" si="13"/>
        <v>-2.4640996168801004E-5</v>
      </c>
      <c r="AB36" s="31">
        <f t="shared" si="29"/>
        <v>-70.345593090270427</v>
      </c>
      <c r="AC36" s="31">
        <f t="shared" si="30"/>
        <v>23.846129220211388</v>
      </c>
      <c r="AD36" s="15">
        <f t="shared" si="14"/>
        <v>2.1043985537636645</v>
      </c>
      <c r="AE36" s="15">
        <f t="shared" si="15"/>
        <v>5.859933715810178E-3</v>
      </c>
      <c r="AF36" s="15">
        <f t="shared" si="16"/>
        <v>8.6587464618248717E-4</v>
      </c>
      <c r="AG36" s="15">
        <f t="shared" si="17"/>
        <v>9.9185708701181933E-10</v>
      </c>
      <c r="AH36" s="15">
        <f t="shared" si="18"/>
        <v>-0.40314458218539806</v>
      </c>
      <c r="AI36" s="15">
        <f t="shared" si="19"/>
        <v>-2.150127854920383E-4</v>
      </c>
      <c r="AJ36" s="31">
        <f t="shared" si="31"/>
        <v>1.7021198462244491</v>
      </c>
      <c r="AK36" s="31">
        <f t="shared" si="32"/>
        <v>5.6449219221752266E-3</v>
      </c>
      <c r="AL36" s="15">
        <f t="shared" si="20"/>
        <v>0</v>
      </c>
      <c r="AM36" s="15">
        <f t="shared" si="21"/>
        <v>0</v>
      </c>
      <c r="AN36" s="15">
        <f t="shared" si="22"/>
        <v>0</v>
      </c>
      <c r="AO36" s="15">
        <f t="shared" si="23"/>
        <v>0</v>
      </c>
      <c r="AP36" s="31">
        <f t="shared" si="33"/>
        <v>0</v>
      </c>
      <c r="AQ36" s="31">
        <f t="shared" si="34"/>
        <v>0</v>
      </c>
    </row>
    <row r="37" spans="2:43" x14ac:dyDescent="0.25">
      <c r="H37" s="15">
        <v>1.34</v>
      </c>
      <c r="I37" s="45">
        <f t="shared" si="24"/>
        <v>218.77616239495538</v>
      </c>
      <c r="J37" s="32">
        <f t="shared" si="25"/>
        <v>90.076595933999911</v>
      </c>
      <c r="K37" s="32">
        <f t="shared" si="26"/>
        <v>34.799044726677991</v>
      </c>
      <c r="L37" s="15">
        <f t="shared" si="0"/>
        <v>3.8729613733905581</v>
      </c>
      <c r="M37" s="15">
        <f t="shared" si="1"/>
        <v>-5.1412384364156301E-2</v>
      </c>
      <c r="N37" s="15">
        <f t="shared" si="2"/>
        <v>3.4968306179079911E-6</v>
      </c>
      <c r="O37" s="15">
        <f t="shared" si="3"/>
        <v>-21.675536156300467</v>
      </c>
      <c r="P37" s="15">
        <f t="shared" si="4"/>
        <v>-0.63697136605638127</v>
      </c>
      <c r="Q37" s="15">
        <f t="shared" si="5"/>
        <v>-8.2052984424690282E-3</v>
      </c>
      <c r="R37" s="15">
        <f t="shared" si="6"/>
        <v>-8.9069253526034638E-8</v>
      </c>
      <c r="S37" s="31">
        <f t="shared" si="27"/>
        <v>-21.735153839107092</v>
      </c>
      <c r="T37" s="31">
        <f t="shared" si="28"/>
        <v>11.123895353969946</v>
      </c>
      <c r="U37" s="15">
        <f t="shared" si="7"/>
        <v>6500</v>
      </c>
      <c r="V37" s="15">
        <f t="shared" si="8"/>
        <v>-89.873692796240576</v>
      </c>
      <c r="W37" s="15">
        <f t="shared" si="9"/>
        <v>-53.133897270219776</v>
      </c>
      <c r="X37" s="15">
        <f t="shared" si="10"/>
        <v>20.08337648339576</v>
      </c>
      <c r="Y37" s="15">
        <f t="shared" si="11"/>
        <v>0.54489454820199179</v>
      </c>
      <c r="Z37" s="15">
        <f t="shared" si="12"/>
        <v>-0.13965592424234738</v>
      </c>
      <c r="AA37" s="15">
        <f t="shared" si="13"/>
        <v>-2.5802287093351853E-5</v>
      </c>
      <c r="AB37" s="31">
        <f t="shared" si="29"/>
        <v>-69.929972237087171</v>
      </c>
      <c r="AC37" s="31">
        <f t="shared" si="30"/>
        <v>23.669238608552234</v>
      </c>
      <c r="AD37" s="15">
        <f t="shared" si="14"/>
        <v>2.1533706717179246</v>
      </c>
      <c r="AE37" s="15">
        <f t="shared" si="15"/>
        <v>6.1359088804396819E-3</v>
      </c>
      <c r="AF37" s="15">
        <f t="shared" si="16"/>
        <v>8.8604345762893788E-4</v>
      </c>
      <c r="AG37" s="15">
        <f t="shared" si="17"/>
        <v>1.0386018966200597E-9</v>
      </c>
      <c r="AH37" s="15">
        <f t="shared" si="18"/>
        <v>-0.41253470498138861</v>
      </c>
      <c r="AI37" s="15">
        <f t="shared" si="19"/>
        <v>-2.2514576322489417E-4</v>
      </c>
      <c r="AJ37" s="31">
        <f t="shared" si="31"/>
        <v>1.7417220101941651</v>
      </c>
      <c r="AK37" s="31">
        <f t="shared" si="32"/>
        <v>5.910764155816684E-3</v>
      </c>
      <c r="AL37" s="15">
        <f t="shared" si="20"/>
        <v>0</v>
      </c>
      <c r="AM37" s="15">
        <f t="shared" si="21"/>
        <v>0</v>
      </c>
      <c r="AN37" s="15">
        <f t="shared" si="22"/>
        <v>0</v>
      </c>
      <c r="AO37" s="15">
        <f t="shared" si="23"/>
        <v>0</v>
      </c>
      <c r="AP37" s="31">
        <f t="shared" si="33"/>
        <v>0</v>
      </c>
      <c r="AQ37" s="31">
        <f t="shared" si="34"/>
        <v>0</v>
      </c>
    </row>
    <row r="38" spans="2:43" x14ac:dyDescent="0.25">
      <c r="H38" s="15">
        <v>1.35</v>
      </c>
      <c r="I38" s="45">
        <f t="shared" si="24"/>
        <v>223.87211385683403</v>
      </c>
      <c r="J38" s="32">
        <f t="shared" si="25"/>
        <v>90.08221323476252</v>
      </c>
      <c r="K38" s="32">
        <f t="shared" si="26"/>
        <v>34.595558066999743</v>
      </c>
      <c r="L38" s="15">
        <f t="shared" si="0"/>
        <v>3.8729613733905581</v>
      </c>
      <c r="M38" s="15">
        <f t="shared" si="1"/>
        <v>-5.2609931970827674E-2</v>
      </c>
      <c r="N38" s="15">
        <f t="shared" si="2"/>
        <v>3.6616310976155959E-6</v>
      </c>
      <c r="O38" s="15">
        <f t="shared" si="3"/>
        <v>-22.132151426600078</v>
      </c>
      <c r="P38" s="15">
        <f t="shared" si="4"/>
        <v>-0.66480386669134783</v>
      </c>
      <c r="Q38" s="15">
        <f t="shared" si="5"/>
        <v>-8.3964243930455349E-3</v>
      </c>
      <c r="R38" s="15">
        <f t="shared" si="6"/>
        <v>-9.3266957443296983E-8</v>
      </c>
      <c r="S38" s="31">
        <f t="shared" si="27"/>
        <v>-22.193157782963951</v>
      </c>
      <c r="T38" s="31">
        <f t="shared" si="28"/>
        <v>11.096063013937757</v>
      </c>
      <c r="U38" s="15">
        <f t="shared" si="7"/>
        <v>6500</v>
      </c>
      <c r="V38" s="15">
        <f t="shared" si="8"/>
        <v>-89.876567890212286</v>
      </c>
      <c r="W38" s="15">
        <f t="shared" si="9"/>
        <v>-53.333896320318019</v>
      </c>
      <c r="X38" s="15">
        <f t="shared" si="10"/>
        <v>20.512604432188354</v>
      </c>
      <c r="Y38" s="15">
        <f t="shared" si="11"/>
        <v>0.56896214245225518</v>
      </c>
      <c r="Z38" s="15">
        <f t="shared" si="12"/>
        <v>-0.14290891526955299</v>
      </c>
      <c r="AA38" s="15">
        <f t="shared" si="13"/>
        <v>-2.7018307636985362E-5</v>
      </c>
      <c r="AB38" s="31">
        <f t="shared" si="29"/>
        <v>-69.50687237329349</v>
      </c>
      <c r="AC38" s="31">
        <f t="shared" si="30"/>
        <v>23.493305936683711</v>
      </c>
      <c r="AD38" s="15">
        <f t="shared" si="14"/>
        <v>2.2034802378484892</v>
      </c>
      <c r="AE38" s="15">
        <f t="shared" si="15"/>
        <v>6.4248715588742442E-3</v>
      </c>
      <c r="AF38" s="15">
        <f t="shared" si="16"/>
        <v>9.0668206104449467E-4</v>
      </c>
      <c r="AG38" s="15">
        <f t="shared" si="17"/>
        <v>1.0875492301613808E-9</v>
      </c>
      <c r="AH38" s="15">
        <f t="shared" si="18"/>
        <v>-0.42214352888956375</v>
      </c>
      <c r="AI38" s="15">
        <f t="shared" si="19"/>
        <v>-2.3575626814858786E-4</v>
      </c>
      <c r="AJ38" s="31">
        <f t="shared" si="31"/>
        <v>1.78224339101997</v>
      </c>
      <c r="AK38" s="31">
        <f t="shared" si="32"/>
        <v>6.1891163782748868E-3</v>
      </c>
      <c r="AL38" s="15">
        <f t="shared" si="20"/>
        <v>0</v>
      </c>
      <c r="AM38" s="15">
        <f t="shared" si="21"/>
        <v>0</v>
      </c>
      <c r="AN38" s="15">
        <f t="shared" si="22"/>
        <v>0</v>
      </c>
      <c r="AO38" s="15">
        <f t="shared" si="23"/>
        <v>0</v>
      </c>
      <c r="AP38" s="31">
        <f t="shared" si="33"/>
        <v>0</v>
      </c>
      <c r="AQ38" s="31">
        <f t="shared" si="34"/>
        <v>0</v>
      </c>
    </row>
    <row r="39" spans="2:43" x14ac:dyDescent="0.25">
      <c r="H39" s="15">
        <v>1.36</v>
      </c>
      <c r="I39" s="45">
        <f t="shared" si="24"/>
        <v>229.08676527677738</v>
      </c>
      <c r="J39" s="32">
        <f t="shared" si="25"/>
        <v>90.088657901222717</v>
      </c>
      <c r="K39" s="32">
        <f t="shared" si="26"/>
        <v>34.391954758283639</v>
      </c>
      <c r="L39" s="15">
        <f t="shared" si="0"/>
        <v>3.8729613733905581</v>
      </c>
      <c r="M39" s="15">
        <f t="shared" si="1"/>
        <v>-5.3835373997064027E-2</v>
      </c>
      <c r="N39" s="15">
        <f t="shared" si="2"/>
        <v>3.8341983799062819E-6</v>
      </c>
      <c r="O39" s="15">
        <f t="shared" si="3"/>
        <v>-22.596357957402645</v>
      </c>
      <c r="P39" s="15">
        <f t="shared" si="4"/>
        <v>-0.69375815051915568</v>
      </c>
      <c r="Q39" s="15">
        <f t="shared" si="5"/>
        <v>-8.5920022387199983E-3</v>
      </c>
      <c r="R39" s="15">
        <f t="shared" si="6"/>
        <v>-9.7662495064726843E-8</v>
      </c>
      <c r="S39" s="31">
        <f t="shared" si="27"/>
        <v>-22.658785333638431</v>
      </c>
      <c r="T39" s="31">
        <f t="shared" si="28"/>
        <v>11.067108898281692</v>
      </c>
      <c r="U39" s="15">
        <f t="shared" si="7"/>
        <v>6500</v>
      </c>
      <c r="V39" s="15">
        <f t="shared" si="8"/>
        <v>-89.879377539655849</v>
      </c>
      <c r="W39" s="15">
        <f t="shared" si="9"/>
        <v>-53.533895413168686</v>
      </c>
      <c r="X39" s="15">
        <f t="shared" si="10"/>
        <v>20.949353282716469</v>
      </c>
      <c r="Y39" s="15">
        <f t="shared" si="11"/>
        <v>0.594021865591572</v>
      </c>
      <c r="Z39" s="15">
        <f t="shared" si="12"/>
        <v>-0.14623767723771561</v>
      </c>
      <c r="AA39" s="15">
        <f t="shared" si="13"/>
        <v>-2.8291637099348013E-5</v>
      </c>
      <c r="AB39" s="31">
        <f t="shared" si="29"/>
        <v>-69.076261934177097</v>
      </c>
      <c r="AC39" s="31">
        <f t="shared" si="30"/>
        <v>23.318365293642898</v>
      </c>
      <c r="AD39" s="15">
        <f t="shared" si="14"/>
        <v>2.254753514111262</v>
      </c>
      <c r="AE39" s="15">
        <f t="shared" si="15"/>
        <v>6.7274320232226298E-3</v>
      </c>
      <c r="AF39" s="15">
        <f t="shared" si="16"/>
        <v>9.2780139928985239E-4</v>
      </c>
      <c r="AG39" s="15">
        <f t="shared" si="17"/>
        <v>1.1388051636570522E-9</v>
      </c>
      <c r="AH39" s="15">
        <f t="shared" si="18"/>
        <v>-0.43197614647230698</v>
      </c>
      <c r="AI39" s="15">
        <f t="shared" si="19"/>
        <v>-2.4686680297761446E-4</v>
      </c>
      <c r="AJ39" s="31">
        <f t="shared" si="31"/>
        <v>1.8237051690382451</v>
      </c>
      <c r="AK39" s="31">
        <f t="shared" si="32"/>
        <v>6.4805663590501794E-3</v>
      </c>
      <c r="AL39" s="15">
        <f t="shared" si="20"/>
        <v>0</v>
      </c>
      <c r="AM39" s="15">
        <f t="shared" si="21"/>
        <v>0</v>
      </c>
      <c r="AN39" s="15">
        <f t="shared" si="22"/>
        <v>0</v>
      </c>
      <c r="AO39" s="15">
        <f t="shared" si="23"/>
        <v>0</v>
      </c>
      <c r="AP39" s="31">
        <f t="shared" si="33"/>
        <v>0</v>
      </c>
      <c r="AQ39" s="31">
        <f t="shared" si="34"/>
        <v>0</v>
      </c>
    </row>
    <row r="40" spans="2:43" x14ac:dyDescent="0.25">
      <c r="B40" s="107"/>
      <c r="C40" s="107" t="s">
        <v>205</v>
      </c>
      <c r="D40" s="107"/>
      <c r="E40" s="107" t="s">
        <v>204</v>
      </c>
      <c r="F40" s="107"/>
      <c r="H40" s="15">
        <v>1.37</v>
      </c>
      <c r="I40" s="45">
        <f t="shared" si="24"/>
        <v>234.42288153199235</v>
      </c>
      <c r="J40" s="32">
        <f t="shared" si="25"/>
        <v>90.095973775023239</v>
      </c>
      <c r="K40" s="32">
        <f t="shared" si="26"/>
        <v>34.188232944334537</v>
      </c>
      <c r="L40" s="15">
        <f t="shared" si="0"/>
        <v>3.8729613733905581</v>
      </c>
      <c r="M40" s="15">
        <f t="shared" si="1"/>
        <v>-5.5089360183961135E-2</v>
      </c>
      <c r="N40" s="15">
        <f t="shared" si="2"/>
        <v>4.0148984977817312E-6</v>
      </c>
      <c r="O40" s="15">
        <f t="shared" si="3"/>
        <v>-23.068158048169604</v>
      </c>
      <c r="P40" s="15">
        <f t="shared" si="4"/>
        <v>-0.72387152180574565</v>
      </c>
      <c r="Q40" s="15">
        <f t="shared" si="5"/>
        <v>-8.792135677436733E-3</v>
      </c>
      <c r="R40" s="15">
        <f t="shared" si="6"/>
        <v>-1.0226518565055096E-7</v>
      </c>
      <c r="S40" s="31">
        <f t="shared" si="27"/>
        <v>-23.132039544030999</v>
      </c>
      <c r="T40" s="31">
        <f t="shared" si="28"/>
        <v>11.036995703092529</v>
      </c>
      <c r="U40" s="15">
        <f t="shared" si="7"/>
        <v>6500</v>
      </c>
      <c r="V40" s="15">
        <f t="shared" si="8"/>
        <v>-89.882123234230491</v>
      </c>
      <c r="W40" s="15">
        <f t="shared" si="9"/>
        <v>-53.733894546847623</v>
      </c>
      <c r="X40" s="15">
        <f t="shared" si="10"/>
        <v>21.393651526819024</v>
      </c>
      <c r="Y40" s="15">
        <f t="shared" si="11"/>
        <v>0.62010855081453609</v>
      </c>
      <c r="Z40" s="15">
        <f t="shared" si="12"/>
        <v>-0.14964397501055432</v>
      </c>
      <c r="AA40" s="15">
        <f t="shared" si="13"/>
        <v>-2.9624976328606638E-5</v>
      </c>
      <c r="AB40" s="31">
        <f t="shared" si="29"/>
        <v>-68.638115682422011</v>
      </c>
      <c r="AC40" s="31">
        <f t="shared" si="30"/>
        <v>23.144451511847699</v>
      </c>
      <c r="AD40" s="15">
        <f t="shared" si="14"/>
        <v>2.3072173576017931</v>
      </c>
      <c r="AE40" s="15">
        <f t="shared" si="15"/>
        <v>7.0442291325495589E-3</v>
      </c>
      <c r="AF40" s="15">
        <f t="shared" si="16"/>
        <v>9.4941267011767333E-4</v>
      </c>
      <c r="AG40" s="15">
        <f t="shared" si="17"/>
        <v>1.1924757731283394E-9</v>
      </c>
      <c r="AH40" s="15">
        <f t="shared" si="18"/>
        <v>-0.4420377687956743</v>
      </c>
      <c r="AI40" s="15">
        <f t="shared" si="19"/>
        <v>-2.5850093071700146E-4</v>
      </c>
      <c r="AJ40" s="31">
        <f t="shared" si="31"/>
        <v>1.8661290014762364</v>
      </c>
      <c r="AK40" s="31">
        <f t="shared" si="32"/>
        <v>6.7857293943083307E-3</v>
      </c>
      <c r="AL40" s="15">
        <f t="shared" si="20"/>
        <v>0</v>
      </c>
      <c r="AM40" s="15">
        <f t="shared" si="21"/>
        <v>0</v>
      </c>
      <c r="AN40" s="15">
        <f t="shared" si="22"/>
        <v>0</v>
      </c>
      <c r="AO40" s="15">
        <f t="shared" si="23"/>
        <v>0</v>
      </c>
      <c r="AP40" s="31">
        <f t="shared" si="33"/>
        <v>0</v>
      </c>
      <c r="AQ40" s="31">
        <f t="shared" si="34"/>
        <v>0</v>
      </c>
    </row>
    <row r="41" spans="2:43" x14ac:dyDescent="0.25">
      <c r="B41" s="107"/>
      <c r="C41" s="62" t="s">
        <v>203</v>
      </c>
      <c r="D41" s="62" t="s">
        <v>202</v>
      </c>
      <c r="E41" s="62" t="s">
        <v>203</v>
      </c>
      <c r="F41" s="62" t="s">
        <v>202</v>
      </c>
      <c r="H41" s="15">
        <v>1.38</v>
      </c>
      <c r="I41" s="45">
        <f t="shared" si="24"/>
        <v>239.88329190194906</v>
      </c>
      <c r="J41" s="32">
        <f t="shared" si="25"/>
        <v>90.10420658447984</v>
      </c>
      <c r="K41" s="32">
        <f t="shared" si="26"/>
        <v>33.98439091649044</v>
      </c>
      <c r="L41" s="15">
        <f t="shared" si="0"/>
        <v>3.8729613733905581</v>
      </c>
      <c r="M41" s="15">
        <f t="shared" si="1"/>
        <v>-5.6372555406785645E-2</v>
      </c>
      <c r="N41" s="15">
        <f t="shared" si="2"/>
        <v>4.2041147437156352E-6</v>
      </c>
      <c r="O41" s="15">
        <f t="shared" si="3"/>
        <v>-23.547545864760977</v>
      </c>
      <c r="P41" s="15">
        <f t="shared" si="4"/>
        <v>-0.75518188616548299</v>
      </c>
      <c r="Q41" s="15">
        <f t="shared" si="5"/>
        <v>-8.9969308225744705E-3</v>
      </c>
      <c r="R41" s="15">
        <f t="shared" si="6"/>
        <v>-1.0708479590890082E-7</v>
      </c>
      <c r="S41" s="31">
        <f t="shared" si="27"/>
        <v>-23.612915350990338</v>
      </c>
      <c r="T41" s="31">
        <f t="shared" si="28"/>
        <v>11.005685523129427</v>
      </c>
      <c r="U41" s="15">
        <f t="shared" si="7"/>
        <v>6500</v>
      </c>
      <c r="V41" s="15">
        <f t="shared" si="8"/>
        <v>-89.884806429689348</v>
      </c>
      <c r="W41" s="15">
        <f t="shared" si="9"/>
        <v>-53.933893719517272</v>
      </c>
      <c r="X41" s="15">
        <f t="shared" si="10"/>
        <v>21.845520947325603</v>
      </c>
      <c r="Y41" s="15">
        <f t="shared" si="11"/>
        <v>0.6472577515871637</v>
      </c>
      <c r="Z41" s="15">
        <f t="shared" si="12"/>
        <v>-0.1531296145558658</v>
      </c>
      <c r="AA41" s="15">
        <f t="shared" si="13"/>
        <v>-3.1021153464690635E-5</v>
      </c>
      <c r="AB41" s="31">
        <f t="shared" si="29"/>
        <v>-68.192415096919603</v>
      </c>
      <c r="AC41" s="31">
        <f t="shared" si="30"/>
        <v>22.971600143773539</v>
      </c>
      <c r="AD41" s="15">
        <f t="shared" si="14"/>
        <v>2.3608992332389747</v>
      </c>
      <c r="AE41" s="15">
        <f t="shared" si="15"/>
        <v>7.3759316634014124E-3</v>
      </c>
      <c r="AF41" s="15">
        <f t="shared" si="16"/>
        <v>9.7152733210978327E-4</v>
      </c>
      <c r="AG41" s="15">
        <f t="shared" si="17"/>
        <v>1.2486729205613018E-9</v>
      </c>
      <c r="AH41" s="15">
        <f t="shared" si="18"/>
        <v>-0.45233372818130824</v>
      </c>
      <c r="AI41" s="15">
        <f t="shared" si="19"/>
        <v>-2.7068332459994807E-4</v>
      </c>
      <c r="AJ41" s="31">
        <f t="shared" si="31"/>
        <v>1.9095370323897762</v>
      </c>
      <c r="AK41" s="31">
        <f t="shared" si="32"/>
        <v>7.1052495874743844E-3</v>
      </c>
      <c r="AL41" s="15">
        <f t="shared" si="20"/>
        <v>0</v>
      </c>
      <c r="AM41" s="15">
        <f t="shared" si="21"/>
        <v>0</v>
      </c>
      <c r="AN41" s="15">
        <f t="shared" si="22"/>
        <v>0</v>
      </c>
      <c r="AO41" s="15">
        <f t="shared" si="23"/>
        <v>0</v>
      </c>
      <c r="AP41" s="31">
        <f t="shared" si="33"/>
        <v>0</v>
      </c>
      <c r="AQ41" s="31">
        <f t="shared" si="34"/>
        <v>0</v>
      </c>
    </row>
    <row r="42" spans="2:43" x14ac:dyDescent="0.25">
      <c r="B42" s="107">
        <v>1</v>
      </c>
      <c r="C42" s="62">
        <v>100</v>
      </c>
      <c r="D42" s="62">
        <v>0</v>
      </c>
      <c r="E42" s="62">
        <v>1000000</v>
      </c>
      <c r="F42" s="62">
        <v>0</v>
      </c>
      <c r="H42" s="15">
        <v>1.39</v>
      </c>
      <c r="I42" s="45">
        <f t="shared" si="24"/>
        <v>245.47089156850305</v>
      </c>
      <c r="J42" s="32">
        <f t="shared" si="25"/>
        <v>90.113403952323594</v>
      </c>
      <c r="K42" s="32">
        <f t="shared" si="26"/>
        <v>33.780427130717875</v>
      </c>
      <c r="L42" s="15">
        <f t="shared" si="0"/>
        <v>3.8729613733905581</v>
      </c>
      <c r="M42" s="15">
        <f t="shared" si="1"/>
        <v>-5.7685640027477864E-2</v>
      </c>
      <c r="N42" s="15">
        <f t="shared" si="2"/>
        <v>4.402248468110958E-6</v>
      </c>
      <c r="O42" s="15">
        <f t="shared" si="3"/>
        <v>-24.034507048583521</v>
      </c>
      <c r="P42" s="15">
        <f t="shared" si="4"/>
        <v>-0.78772770754409638</v>
      </c>
      <c r="Q42" s="15">
        <f t="shared" si="5"/>
        <v>-9.2064962592090186E-3</v>
      </c>
      <c r="R42" s="15">
        <f t="shared" si="6"/>
        <v>-1.1213154578177397E-7</v>
      </c>
      <c r="S42" s="31">
        <f t="shared" si="27"/>
        <v>-24.10139918487021</v>
      </c>
      <c r="T42" s="31">
        <f t="shared" si="28"/>
        <v>10.973139894837789</v>
      </c>
      <c r="U42" s="15">
        <f t="shared" si="7"/>
        <v>6500</v>
      </c>
      <c r="V42" s="15">
        <f t="shared" si="8"/>
        <v>-89.887428548651087</v>
      </c>
      <c r="W42" s="15">
        <f t="shared" si="9"/>
        <v>-54.133892929422771</v>
      </c>
      <c r="X42" s="15">
        <f t="shared" si="10"/>
        <v>22.30497622699793</v>
      </c>
      <c r="Y42" s="15">
        <f t="shared" si="11"/>
        <v>0.67550571438713769</v>
      </c>
      <c r="Z42" s="15">
        <f t="shared" si="12"/>
        <v>-0.15669644390261275</v>
      </c>
      <c r="AA42" s="15">
        <f t="shared" si="13"/>
        <v>-3.2483129917801974E-5</v>
      </c>
      <c r="AB42" s="31">
        <f t="shared" si="29"/>
        <v>-67.739148765555782</v>
      </c>
      <c r="AC42" s="31">
        <f t="shared" si="30"/>
        <v>22.799847434691564</v>
      </c>
      <c r="AD42" s="15">
        <f t="shared" si="14"/>
        <v>2.4158272266607015</v>
      </c>
      <c r="AE42" s="15">
        <f t="shared" si="15"/>
        <v>7.7232397013921508E-3</v>
      </c>
      <c r="AF42" s="15">
        <f t="shared" si="16"/>
        <v>9.9415711075266752E-4</v>
      </c>
      <c r="AG42" s="15">
        <f t="shared" si="17"/>
        <v>1.3075219685265231E-9</v>
      </c>
      <c r="AH42" s="15">
        <f t="shared" si="18"/>
        <v>-0.46286948102185421</v>
      </c>
      <c r="AI42" s="15">
        <f t="shared" si="19"/>
        <v>-2.8343982039363618E-4</v>
      </c>
      <c r="AJ42" s="31">
        <f t="shared" si="31"/>
        <v>1.9539519027496</v>
      </c>
      <c r="AK42" s="31">
        <f t="shared" si="32"/>
        <v>7.4398011885204833E-3</v>
      </c>
      <c r="AL42" s="15">
        <f t="shared" si="20"/>
        <v>0</v>
      </c>
      <c r="AM42" s="15">
        <f t="shared" si="21"/>
        <v>0</v>
      </c>
      <c r="AN42" s="15">
        <f t="shared" si="22"/>
        <v>0</v>
      </c>
      <c r="AO42" s="15">
        <f t="shared" si="23"/>
        <v>0</v>
      </c>
      <c r="AP42" s="31">
        <f t="shared" si="33"/>
        <v>0</v>
      </c>
      <c r="AQ42" s="31">
        <f t="shared" si="34"/>
        <v>0</v>
      </c>
    </row>
    <row r="43" spans="2:43" x14ac:dyDescent="0.25">
      <c r="B43" s="107"/>
      <c r="C43" s="62">
        <f>fc*1000</f>
        <v>44159.971219556486</v>
      </c>
      <c r="D43" s="62">
        <v>0</v>
      </c>
      <c r="E43" s="62">
        <f>(INDEX(I3:I503, 1+MATCH(0,J3:J503,-1))+INDEX(I3:I503, MATCH(0,J3:J503,-1)))/2</f>
        <v>156685.49056867999</v>
      </c>
      <c r="F43" s="62">
        <v>0</v>
      </c>
      <c r="H43" s="15">
        <v>1.4</v>
      </c>
      <c r="I43" s="45">
        <f t="shared" si="24"/>
        <v>251.188643150958</v>
      </c>
      <c r="J43" s="32">
        <f t="shared" si="25"/>
        <v>90.123615396386384</v>
      </c>
      <c r="K43" s="32">
        <f t="shared" si="26"/>
        <v>33.576340225332011</v>
      </c>
      <c r="L43" s="15">
        <f t="shared" si="0"/>
        <v>3.8729613733905581</v>
      </c>
      <c r="M43" s="15">
        <f t="shared" si="1"/>
        <v>-5.9029310255364002E-2</v>
      </c>
      <c r="N43" s="15">
        <f t="shared" si="2"/>
        <v>4.6097199356162725E-6</v>
      </c>
      <c r="O43" s="15">
        <f t="shared" si="3"/>
        <v>-24.529018330550834</v>
      </c>
      <c r="P43" s="15">
        <f t="shared" si="4"/>
        <v>-0.82154796051252976</v>
      </c>
      <c r="Q43" s="15">
        <f t="shared" si="5"/>
        <v>-9.4209431016863566E-3</v>
      </c>
      <c r="R43" s="15">
        <f t="shared" si="6"/>
        <v>-1.1741614316081836E-7</v>
      </c>
      <c r="S43" s="31">
        <f t="shared" si="27"/>
        <v>-24.597468583907887</v>
      </c>
      <c r="T43" s="31">
        <f t="shared" si="28"/>
        <v>10.939319844056225</v>
      </c>
      <c r="U43" s="15">
        <f t="shared" si="7"/>
        <v>6500</v>
      </c>
      <c r="V43" s="15">
        <f t="shared" si="8"/>
        <v>-89.889990981353904</v>
      </c>
      <c r="W43" s="15">
        <f t="shared" si="9"/>
        <v>-54.333892174888241</v>
      </c>
      <c r="X43" s="15">
        <f t="shared" si="10"/>
        <v>22.772024555094564</v>
      </c>
      <c r="Y43" s="15">
        <f t="shared" si="11"/>
        <v>0.70488934731893116</v>
      </c>
      <c r="Z43" s="15">
        <f t="shared" si="12"/>
        <v>-0.16034635412027998</v>
      </c>
      <c r="AA43" s="15">
        <f t="shared" si="13"/>
        <v>-3.4014006672836861E-5</v>
      </c>
      <c r="AB43" s="31">
        <f t="shared" si="29"/>
        <v>-67.278312780379622</v>
      </c>
      <c r="AC43" s="31">
        <f t="shared" si="30"/>
        <v>22.629230291281132</v>
      </c>
      <c r="AD43" s="15">
        <f t="shared" si="14"/>
        <v>2.4720300573305569</v>
      </c>
      <c r="AE43" s="15">
        <f t="shared" si="15"/>
        <v>8.086886096655475E-3</v>
      </c>
      <c r="AF43" s="15">
        <f t="shared" si="16"/>
        <v>1.0173140046544746E-3</v>
      </c>
      <c r="AG43" s="15">
        <f t="shared" si="17"/>
        <v>1.3691444222847164E-9</v>
      </c>
      <c r="AH43" s="15">
        <f t="shared" si="18"/>
        <v>-0.4736506106613112</v>
      </c>
      <c r="AI43" s="15">
        <f t="shared" si="19"/>
        <v>-2.9679747115208134E-4</v>
      </c>
      <c r="AJ43" s="31">
        <f t="shared" si="31"/>
        <v>1.9993967606739</v>
      </c>
      <c r="AK43" s="31">
        <f t="shared" si="32"/>
        <v>7.7900899946478164E-3</v>
      </c>
      <c r="AL43" s="15">
        <f t="shared" si="20"/>
        <v>0</v>
      </c>
      <c r="AM43" s="15">
        <f t="shared" si="21"/>
        <v>0</v>
      </c>
      <c r="AN43" s="15">
        <f t="shared" si="22"/>
        <v>0</v>
      </c>
      <c r="AO43" s="15">
        <f t="shared" si="23"/>
        <v>0</v>
      </c>
      <c r="AP43" s="31">
        <f t="shared" si="33"/>
        <v>0</v>
      </c>
      <c r="AQ43" s="31">
        <f t="shared" si="34"/>
        <v>0</v>
      </c>
    </row>
    <row r="44" spans="2:43" x14ac:dyDescent="0.25">
      <c r="B44" s="107">
        <v>2</v>
      </c>
      <c r="C44" s="62">
        <f>fc*1000</f>
        <v>44159.971219556486</v>
      </c>
      <c r="D44" s="62">
        <v>0</v>
      </c>
      <c r="E44" s="62">
        <f>(INDEX(I4:I504, 1+MATCH(0,J4:J504,-1))+INDEX(I4:I504, MATCH(0,J4:J504,-1)))/2</f>
        <v>156685.49056867999</v>
      </c>
      <c r="F44" s="62">
        <v>0</v>
      </c>
      <c r="H44" s="15">
        <v>1.41</v>
      </c>
      <c r="I44" s="45">
        <f t="shared" si="24"/>
        <v>257.03957827688646</v>
      </c>
      <c r="J44" s="32">
        <f t="shared" si="25"/>
        <v>90.134892322623941</v>
      </c>
      <c r="K44" s="32">
        <f t="shared" si="26"/>
        <v>33.3721290392794</v>
      </c>
      <c r="L44" s="15">
        <f t="shared" si="0"/>
        <v>3.8729613733905581</v>
      </c>
      <c r="M44" s="15">
        <f t="shared" si="1"/>
        <v>-6.0404278516269207E-2</v>
      </c>
      <c r="N44" s="15">
        <f t="shared" si="2"/>
        <v>4.8269692219432294E-6</v>
      </c>
      <c r="O44" s="15">
        <f t="shared" si="3"/>
        <v>-25.03104715221976</v>
      </c>
      <c r="P44" s="15">
        <f t="shared" si="4"/>
        <v>-0.85668207776090399</v>
      </c>
      <c r="Q44" s="15">
        <f t="shared" si="5"/>
        <v>-9.6403850525368668E-3</v>
      </c>
      <c r="R44" s="15">
        <f t="shared" si="6"/>
        <v>-1.2294979545925748E-7</v>
      </c>
      <c r="S44" s="31">
        <f t="shared" si="27"/>
        <v>-25.101091815788568</v>
      </c>
      <c r="T44" s="31">
        <f t="shared" si="28"/>
        <v>10.904185938523485</v>
      </c>
      <c r="U44" s="15">
        <f t="shared" si="7"/>
        <v>6500</v>
      </c>
      <c r="V44" s="15">
        <f t="shared" si="8"/>
        <v>-89.892495086392529</v>
      </c>
      <c r="W44" s="15">
        <f t="shared" si="9"/>
        <v>-54.533891454313242</v>
      </c>
      <c r="X44" s="15">
        <f t="shared" si="10"/>
        <v>23.246665233321767</v>
      </c>
      <c r="Y44" s="15">
        <f t="shared" si="11"/>
        <v>0.7354461844278648</v>
      </c>
      <c r="Z44" s="15">
        <f t="shared" si="12"/>
        <v>-0.16408128032101654</v>
      </c>
      <c r="AA44" s="15">
        <f t="shared" si="13"/>
        <v>-3.5617030846427458E-5</v>
      </c>
      <c r="AB44" s="31">
        <f t="shared" si="29"/>
        <v>-66.809911133391779</v>
      </c>
      <c r="AC44" s="31">
        <f t="shared" si="30"/>
        <v>22.45978624594089</v>
      </c>
      <c r="AD44" s="15">
        <f t="shared" si="14"/>
        <v>2.5295370918541811</v>
      </c>
      <c r="AE44" s="15">
        <f t="shared" si="15"/>
        <v>8.4676379859164614E-3</v>
      </c>
      <c r="AF44" s="15">
        <f t="shared" si="16"/>
        <v>1.0410102919068394E-3</v>
      </c>
      <c r="AG44" s="15">
        <f t="shared" si="17"/>
        <v>1.4336695017163195E-9</v>
      </c>
      <c r="AH44" s="15">
        <f t="shared" si="18"/>
        <v>-0.48468283034178666</v>
      </c>
      <c r="AI44" s="15">
        <f t="shared" si="19"/>
        <v>-3.1078460456044553E-4</v>
      </c>
      <c r="AJ44" s="31">
        <f t="shared" si="31"/>
        <v>2.0458952718043011</v>
      </c>
      <c r="AK44" s="31">
        <f t="shared" si="32"/>
        <v>8.1568548150255191E-3</v>
      </c>
      <c r="AL44" s="15">
        <f t="shared" si="20"/>
        <v>0</v>
      </c>
      <c r="AM44" s="15">
        <f t="shared" si="21"/>
        <v>0</v>
      </c>
      <c r="AN44" s="15">
        <f t="shared" si="22"/>
        <v>0</v>
      </c>
      <c r="AO44" s="15">
        <f t="shared" si="23"/>
        <v>0</v>
      </c>
      <c r="AP44" s="31">
        <f t="shared" si="33"/>
        <v>0</v>
      </c>
      <c r="AQ44" s="31">
        <f t="shared" si="34"/>
        <v>0</v>
      </c>
    </row>
    <row r="45" spans="2:43" x14ac:dyDescent="0.25">
      <c r="B45" s="107"/>
      <c r="C45" s="62">
        <f>fc*1000</f>
        <v>44159.971219556486</v>
      </c>
      <c r="D45" s="62">
        <f>PM</f>
        <v>79.024480115741682</v>
      </c>
      <c r="E45" s="62">
        <f>(INDEX(I5:I505, 1+MATCH(0,J5:J505,-1))+INDEX(I5:I505, MATCH(0,J5:J505,-1)))/2</f>
        <v>156685.49056867999</v>
      </c>
      <c r="F45" s="62">
        <f>GM</f>
        <v>-13.495789274340506</v>
      </c>
      <c r="H45" s="15">
        <v>1.42</v>
      </c>
      <c r="I45" s="45">
        <f t="shared" si="24"/>
        <v>263.02679918953822</v>
      </c>
      <c r="J45" s="32">
        <f t="shared" si="25"/>
        <v>90.147288009883837</v>
      </c>
      <c r="K45" s="32">
        <f t="shared" si="26"/>
        <v>33.167792630909204</v>
      </c>
      <c r="L45" s="15">
        <f t="shared" si="0"/>
        <v>3.8729613733905581</v>
      </c>
      <c r="M45" s="15">
        <f t="shared" si="1"/>
        <v>-6.1811273830226963E-2</v>
      </c>
      <c r="N45" s="15">
        <f t="shared" si="2"/>
        <v>5.0544571396131723E-6</v>
      </c>
      <c r="O45" s="15">
        <f t="shared" si="3"/>
        <v>-25.540551296622532</v>
      </c>
      <c r="P45" s="15">
        <f t="shared" si="4"/>
        <v>-0.89316989270732383</v>
      </c>
      <c r="Q45" s="15">
        <f t="shared" si="5"/>
        <v>-9.8649384627617701E-3</v>
      </c>
      <c r="R45" s="15">
        <f t="shared" si="6"/>
        <v>-1.2874424047036425E-7</v>
      </c>
      <c r="S45" s="31">
        <f t="shared" si="27"/>
        <v>-25.61222750891552</v>
      </c>
      <c r="T45" s="31">
        <f t="shared" si="28"/>
        <v>10.867698345270538</v>
      </c>
      <c r="U45" s="15">
        <f t="shared" si="7"/>
        <v>6500</v>
      </c>
      <c r="V45" s="15">
        <f t="shared" si="8"/>
        <v>-89.894942191438304</v>
      </c>
      <c r="W45" s="15">
        <f t="shared" si="9"/>
        <v>-54.733890766169353</v>
      </c>
      <c r="X45" s="15">
        <f t="shared" si="10"/>
        <v>23.728889283100823</v>
      </c>
      <c r="Y45" s="15">
        <f t="shared" si="11"/>
        <v>0.76721434555101875</v>
      </c>
      <c r="Z45" s="15">
        <f t="shared" si="12"/>
        <v>-0.16790320268509157</v>
      </c>
      <c r="AA45" s="15">
        <f t="shared" si="13"/>
        <v>-3.7295602589175553E-5</v>
      </c>
      <c r="AB45" s="31">
        <f t="shared" si="29"/>
        <v>-66.333956111022573</v>
      </c>
      <c r="AC45" s="31">
        <f t="shared" si="30"/>
        <v>22.291553416636191</v>
      </c>
      <c r="AD45" s="15">
        <f t="shared" si="14"/>
        <v>2.5883783575034789</v>
      </c>
      <c r="AE45" s="15">
        <f t="shared" si="15"/>
        <v>8.8662983842132167E-3</v>
      </c>
      <c r="AF45" s="15">
        <f t="shared" si="16"/>
        <v>1.0652585365948863E-3</v>
      </c>
      <c r="AG45" s="15">
        <f t="shared" si="17"/>
        <v>1.5012360699764267E-9</v>
      </c>
      <c r="AH45" s="15">
        <f t="shared" si="18"/>
        <v>-0.49597198621815275</v>
      </c>
      <c r="AI45" s="15">
        <f t="shared" si="19"/>
        <v>-3.2543088297663943E-4</v>
      </c>
      <c r="AJ45" s="31">
        <f t="shared" si="31"/>
        <v>2.0934716298219209</v>
      </c>
      <c r="AK45" s="31">
        <f t="shared" si="32"/>
        <v>8.5408690024726466E-3</v>
      </c>
      <c r="AL45" s="15">
        <f t="shared" si="20"/>
        <v>0</v>
      </c>
      <c r="AM45" s="15">
        <f t="shared" si="21"/>
        <v>0</v>
      </c>
      <c r="AN45" s="15">
        <f t="shared" si="22"/>
        <v>0</v>
      </c>
      <c r="AO45" s="15">
        <f t="shared" si="23"/>
        <v>0</v>
      </c>
      <c r="AP45" s="31">
        <f t="shared" si="33"/>
        <v>0</v>
      </c>
      <c r="AQ45" s="31">
        <f t="shared" si="34"/>
        <v>0</v>
      </c>
    </row>
    <row r="46" spans="2:43" x14ac:dyDescent="0.25">
      <c r="B46" s="107">
        <v>3</v>
      </c>
      <c r="C46" s="62">
        <f>fc*1000</f>
        <v>44159.971219556486</v>
      </c>
      <c r="D46" s="62">
        <f>PM</f>
        <v>79.024480115741682</v>
      </c>
      <c r="E46" s="62">
        <f>(INDEX(I4:I504, 1+MATCH(0,J4:J504,-1))+INDEX(I4:I504, MATCH(0,J4:J504,-1)))/2</f>
        <v>156685.49056867999</v>
      </c>
      <c r="F46" s="62">
        <f>GM</f>
        <v>-13.495789274340506</v>
      </c>
      <c r="H46" s="15">
        <v>1.43</v>
      </c>
      <c r="I46" s="45">
        <f t="shared" si="24"/>
        <v>269.15348039269156</v>
      </c>
      <c r="J46" s="32">
        <f t="shared" si="25"/>
        <v>90.160857585844369</v>
      </c>
      <c r="K46" s="32">
        <f t="shared" si="26"/>
        <v>32.963330297147074</v>
      </c>
      <c r="L46" s="15">
        <f t="shared" si="0"/>
        <v>3.8729613733905581</v>
      </c>
      <c r="M46" s="15">
        <f t="shared" si="1"/>
        <v>-6.3251042197984927E-2</v>
      </c>
      <c r="N46" s="15">
        <f t="shared" si="2"/>
        <v>5.2926662215626454E-6</v>
      </c>
      <c r="O46" s="15">
        <f t="shared" si="3"/>
        <v>-26.057478531460966</v>
      </c>
      <c r="P46" s="15">
        <f t="shared" si="4"/>
        <v>-0.9310515771651291</v>
      </c>
      <c r="Q46" s="15">
        <f t="shared" si="5"/>
        <v>-1.0094722393523879E-2</v>
      </c>
      <c r="R46" s="15">
        <f t="shared" si="6"/>
        <v>-1.3481176951131465E-7</v>
      </c>
      <c r="S46" s="31">
        <f t="shared" si="27"/>
        <v>-26.130824296052477</v>
      </c>
      <c r="T46" s="31">
        <f t="shared" si="28"/>
        <v>10.829816892954286</v>
      </c>
      <c r="U46" s="15">
        <f t="shared" si="7"/>
        <v>6500</v>
      </c>
      <c r="V46" s="15">
        <f t="shared" si="8"/>
        <v>-89.897333593942975</v>
      </c>
      <c r="W46" s="15">
        <f t="shared" si="9"/>
        <v>-54.933890108996934</v>
      </c>
      <c r="X46" s="15">
        <f t="shared" si="10"/>
        <v>24.218679056250348</v>
      </c>
      <c r="Y46" s="15">
        <f t="shared" si="11"/>
        <v>0.80023249155988796</v>
      </c>
      <c r="Z46" s="15">
        <f t="shared" si="12"/>
        <v>-0.17181414751020616</v>
      </c>
      <c r="AA46" s="15">
        <f t="shared" si="13"/>
        <v>-3.9053282284858459E-5</v>
      </c>
      <c r="AB46" s="31">
        <f t="shared" si="29"/>
        <v>-65.850468685202827</v>
      </c>
      <c r="AC46" s="31">
        <f t="shared" si="30"/>
        <v>22.124570462137783</v>
      </c>
      <c r="AD46" s="15">
        <f t="shared" si="14"/>
        <v>2.6485845559463499</v>
      </c>
      <c r="AE46" s="15">
        <f t="shared" si="15"/>
        <v>9.2837078493032011E-3</v>
      </c>
      <c r="AF46" s="15">
        <f t="shared" si="16"/>
        <v>1.0900715954588786E-3</v>
      </c>
      <c r="AG46" s="15">
        <f t="shared" si="17"/>
        <v>1.5719887761849245E-9</v>
      </c>
      <c r="AH46" s="15">
        <f t="shared" si="18"/>
        <v>-0.50752406044213239</v>
      </c>
      <c r="AI46" s="15">
        <f t="shared" si="19"/>
        <v>-3.4076736628758941E-4</v>
      </c>
      <c r="AJ46" s="31">
        <f t="shared" si="31"/>
        <v>2.1421505670996766</v>
      </c>
      <c r="AK46" s="31">
        <f t="shared" si="32"/>
        <v>8.9429420550043888E-3</v>
      </c>
      <c r="AL46" s="15">
        <f t="shared" si="20"/>
        <v>0</v>
      </c>
      <c r="AM46" s="15">
        <f t="shared" si="21"/>
        <v>0</v>
      </c>
      <c r="AN46" s="15">
        <f t="shared" si="22"/>
        <v>0</v>
      </c>
      <c r="AO46" s="15">
        <f t="shared" si="23"/>
        <v>0</v>
      </c>
      <c r="AP46" s="31">
        <f t="shared" si="33"/>
        <v>0</v>
      </c>
      <c r="AQ46" s="31">
        <f t="shared" si="34"/>
        <v>0</v>
      </c>
    </row>
    <row r="47" spans="2:43" x14ac:dyDescent="0.25">
      <c r="B47" s="107"/>
      <c r="C47" s="62">
        <v>1000000</v>
      </c>
      <c r="D47" s="62">
        <f>PM</f>
        <v>79.024480115741682</v>
      </c>
      <c r="E47" s="62">
        <v>100</v>
      </c>
      <c r="F47" s="62">
        <f>GM</f>
        <v>-13.495789274340506</v>
      </c>
      <c r="H47" s="15">
        <v>1.44</v>
      </c>
      <c r="I47" s="45">
        <f t="shared" si="24"/>
        <v>275.42287033381666</v>
      </c>
      <c r="J47" s="32">
        <f t="shared" si="25"/>
        <v>90.175657993582888</v>
      </c>
      <c r="K47" s="32">
        <f t="shared" si="26"/>
        <v>32.758741592973863</v>
      </c>
      <c r="L47" s="15">
        <f t="shared" si="0"/>
        <v>3.8729613733905581</v>
      </c>
      <c r="M47" s="15">
        <f t="shared" si="1"/>
        <v>-6.4724346996511972E-2</v>
      </c>
      <c r="N47" s="15">
        <f t="shared" si="2"/>
        <v>5.5421017375352237E-6</v>
      </c>
      <c r="O47" s="15">
        <f t="shared" si="3"/>
        <v>-26.581766267462548</v>
      </c>
      <c r="P47" s="15">
        <f t="shared" si="4"/>
        <v>-0.97036757404455964</v>
      </c>
      <c r="Q47" s="15">
        <f t="shared" si="5"/>
        <v>-1.0329858679275255E-2</v>
      </c>
      <c r="R47" s="15">
        <f t="shared" si="6"/>
        <v>-1.411652524956959E-7</v>
      </c>
      <c r="S47" s="31">
        <f t="shared" si="27"/>
        <v>-26.656820473138335</v>
      </c>
      <c r="T47" s="31">
        <f t="shared" si="28"/>
        <v>10.790501139156889</v>
      </c>
      <c r="U47" s="15">
        <f t="shared" si="7"/>
        <v>6500</v>
      </c>
      <c r="V47" s="15">
        <f t="shared" si="8"/>
        <v>-89.899670561826468</v>
      </c>
      <c r="W47" s="15">
        <f t="shared" si="9"/>
        <v>-55.133889481402051</v>
      </c>
      <c r="X47" s="15">
        <f t="shared" si="10"/>
        <v>24.716007851346536</v>
      </c>
      <c r="Y47" s="15">
        <f t="shared" si="11"/>
        <v>0.83453977486971342</v>
      </c>
      <c r="Z47" s="15">
        <f t="shared" si="12"/>
        <v>-0.17581618828521306</v>
      </c>
      <c r="AA47" s="15">
        <f t="shared" si="13"/>
        <v>-4.0893798110248622E-5</v>
      </c>
      <c r="AB47" s="31">
        <f t="shared" si="29"/>
        <v>-65.359478898765147</v>
      </c>
      <c r="AC47" s="31">
        <f t="shared" si="30"/>
        <v>21.958876532526666</v>
      </c>
      <c r="AD47" s="15">
        <f t="shared" si="14"/>
        <v>2.7101870771790373</v>
      </c>
      <c r="AE47" s="15">
        <f t="shared" si="15"/>
        <v>9.7207462219802837E-3</v>
      </c>
      <c r="AF47" s="15">
        <f t="shared" si="16"/>
        <v>1.1154626247110288E-3</v>
      </c>
      <c r="AG47" s="15">
        <f t="shared" si="17"/>
        <v>1.6460722694616908E-9</v>
      </c>
      <c r="AH47" s="15">
        <f t="shared" si="18"/>
        <v>-0.51934517431737448</v>
      </c>
      <c r="AI47" s="15">
        <f t="shared" si="19"/>
        <v>-3.5682657774380525E-4</v>
      </c>
      <c r="AJ47" s="31">
        <f t="shared" si="31"/>
        <v>2.191957365486374</v>
      </c>
      <c r="AK47" s="31">
        <f t="shared" si="32"/>
        <v>9.3639212903087483E-3</v>
      </c>
      <c r="AL47" s="15">
        <f t="shared" si="20"/>
        <v>0</v>
      </c>
      <c r="AM47" s="15">
        <f t="shared" si="21"/>
        <v>0</v>
      </c>
      <c r="AN47" s="15">
        <f t="shared" si="22"/>
        <v>0</v>
      </c>
      <c r="AO47" s="15">
        <f t="shared" si="23"/>
        <v>0</v>
      </c>
      <c r="AP47" s="31">
        <f t="shared" si="33"/>
        <v>0</v>
      </c>
      <c r="AQ47" s="31">
        <f t="shared" si="34"/>
        <v>0</v>
      </c>
    </row>
    <row r="48" spans="2:43" x14ac:dyDescent="0.25">
      <c r="H48" s="15">
        <v>1.45</v>
      </c>
      <c r="I48" s="45">
        <f t="shared" si="24"/>
        <v>281.83829312644548</v>
      </c>
      <c r="J48" s="32">
        <f t="shared" si="25"/>
        <v>90.191747948270873</v>
      </c>
      <c r="K48" s="32">
        <f t="shared" si="26"/>
        <v>32.554026351098948</v>
      </c>
      <c r="L48" s="15">
        <f t="shared" si="0"/>
        <v>3.8729613733905581</v>
      </c>
      <c r="M48" s="15">
        <f t="shared" si="1"/>
        <v>-6.6231969383715936E-2</v>
      </c>
      <c r="N48" s="15">
        <f t="shared" si="2"/>
        <v>5.8032927702607369E-6</v>
      </c>
      <c r="O48" s="15">
        <f t="shared" si="3"/>
        <v>-27.113341234817533</v>
      </c>
      <c r="P48" s="15">
        <f t="shared" si="4"/>
        <v>-1.0111585251005453</v>
      </c>
      <c r="Q48" s="15">
        <f t="shared" si="5"/>
        <v>-1.0570471992355298E-2</v>
      </c>
      <c r="R48" s="15">
        <f t="shared" si="6"/>
        <v>-1.4781816493466874E-7</v>
      </c>
      <c r="S48" s="31">
        <f t="shared" si="27"/>
        <v>-27.190143676193603</v>
      </c>
      <c r="T48" s="31">
        <f t="shared" si="28"/>
        <v>10.749710442639023</v>
      </c>
      <c r="U48" s="15">
        <f t="shared" si="7"/>
        <v>6500</v>
      </c>
      <c r="V48" s="15">
        <f t="shared" si="8"/>
        <v>-89.901954334148982</v>
      </c>
      <c r="W48" s="15">
        <f t="shared" si="9"/>
        <v>-55.333888882053515</v>
      </c>
      <c r="X48" s="15">
        <f t="shared" si="10"/>
        <v>25.220839538184737</v>
      </c>
      <c r="Y48" s="15">
        <f t="shared" si="11"/>
        <v>0.87017578511385296</v>
      </c>
      <c r="Z48" s="15">
        <f t="shared" si="12"/>
        <v>-0.17991144678881177</v>
      </c>
      <c r="AA48" s="15">
        <f t="shared" si="13"/>
        <v>-4.2821053938184874E-5</v>
      </c>
      <c r="AB48" s="31">
        <f t="shared" si="29"/>
        <v>-64.861026242753056</v>
      </c>
      <c r="AC48" s="31">
        <f t="shared" si="30"/>
        <v>21.794511214863515</v>
      </c>
      <c r="AD48" s="15">
        <f t="shared" si="14"/>
        <v>2.7732180136576292</v>
      </c>
      <c r="AE48" s="15">
        <f t="shared" si="15"/>
        <v>1.0178334445629433E-2</v>
      </c>
      <c r="AF48" s="15">
        <f t="shared" si="16"/>
        <v>1.1414450870110967E-3</v>
      </c>
      <c r="AG48" s="15">
        <f t="shared" si="17"/>
        <v>1.7236504854759212E-9</v>
      </c>
      <c r="AH48" s="15">
        <f t="shared" si="18"/>
        <v>-0.53144159152711412</v>
      </c>
      <c r="AI48" s="15">
        <f t="shared" si="19"/>
        <v>-3.7364257287028342E-4</v>
      </c>
      <c r="AJ48" s="31">
        <f t="shared" si="31"/>
        <v>2.2429178672175265</v>
      </c>
      <c r="AK48" s="31">
        <f t="shared" si="32"/>
        <v>9.8046935964096367E-3</v>
      </c>
      <c r="AL48" s="15">
        <f t="shared" si="20"/>
        <v>0</v>
      </c>
      <c r="AM48" s="15">
        <f t="shared" si="21"/>
        <v>0</v>
      </c>
      <c r="AN48" s="15">
        <f t="shared" si="22"/>
        <v>0</v>
      </c>
      <c r="AO48" s="15">
        <f t="shared" si="23"/>
        <v>0</v>
      </c>
      <c r="AP48" s="31">
        <f t="shared" si="33"/>
        <v>0</v>
      </c>
      <c r="AQ48" s="31">
        <f t="shared" si="34"/>
        <v>0</v>
      </c>
    </row>
    <row r="49" spans="8:43" x14ac:dyDescent="0.25">
      <c r="H49" s="15">
        <v>1.46</v>
      </c>
      <c r="I49" s="45">
        <f t="shared" si="24"/>
        <v>288.40315031266067</v>
      </c>
      <c r="J49" s="32">
        <f t="shared" si="25"/>
        <v>90.209187883546122</v>
      </c>
      <c r="K49" s="32">
        <f t="shared" si="26"/>
        <v>32.349184701705816</v>
      </c>
      <c r="L49" s="15">
        <f t="shared" si="0"/>
        <v>3.8729613733905581</v>
      </c>
      <c r="M49" s="15">
        <f t="shared" si="1"/>
        <v>-6.7774708712586784E-2</v>
      </c>
      <c r="N49" s="15">
        <f t="shared" si="2"/>
        <v>6.0767933417785362E-6</v>
      </c>
      <c r="O49" s="15">
        <f t="shared" si="3"/>
        <v>-27.652119180715868</v>
      </c>
      <c r="P49" s="15">
        <f t="shared" si="4"/>
        <v>-1.0534651937773556</v>
      </c>
      <c r="Q49" s="15">
        <f t="shared" si="5"/>
        <v>-1.0816689909093524E-2</v>
      </c>
      <c r="R49" s="15">
        <f t="shared" si="6"/>
        <v>-1.5478462072409413E-7</v>
      </c>
      <c r="S49" s="31">
        <f t="shared" si="27"/>
        <v>-27.730710579337547</v>
      </c>
      <c r="T49" s="31">
        <f t="shared" si="28"/>
        <v>10.707404040496328</v>
      </c>
      <c r="U49" s="15">
        <f t="shared" si="7"/>
        <v>6500</v>
      </c>
      <c r="V49" s="15">
        <f t="shared" si="8"/>
        <v>-89.904186121767765</v>
      </c>
      <c r="W49" s="15">
        <f t="shared" si="9"/>
        <v>-55.533888309680023</v>
      </c>
      <c r="X49" s="15">
        <f t="shared" si="10"/>
        <v>25.73312819291808</v>
      </c>
      <c r="Y49" s="15">
        <f t="shared" si="11"/>
        <v>0.90718048990830003</v>
      </c>
      <c r="Z49" s="15">
        <f t="shared" si="12"/>
        <v>-0.18410209421379756</v>
      </c>
      <c r="AA49" s="15">
        <f t="shared" si="13"/>
        <v>-4.4839137618606366E-5</v>
      </c>
      <c r="AB49" s="31">
        <f t="shared" si="29"/>
        <v>-64.355160023063476</v>
      </c>
      <c r="AC49" s="31">
        <f t="shared" si="30"/>
        <v>21.631514473947771</v>
      </c>
      <c r="AD49" s="15">
        <f t="shared" si="14"/>
        <v>2.8377101746245761</v>
      </c>
      <c r="AE49" s="15">
        <f t="shared" si="15"/>
        <v>1.0657436468477815E-2</v>
      </c>
      <c r="AF49" s="15">
        <f t="shared" si="16"/>
        <v>1.1680327586044681E-3</v>
      </c>
      <c r="AG49" s="15">
        <f t="shared" si="17"/>
        <v>1.804883502586937E-9</v>
      </c>
      <c r="AH49" s="15">
        <f t="shared" si="18"/>
        <v>-0.54381972143604063</v>
      </c>
      <c r="AI49" s="15">
        <f t="shared" si="19"/>
        <v>-3.9125101164625082E-4</v>
      </c>
      <c r="AJ49" s="31">
        <f t="shared" si="31"/>
        <v>2.2950584859471399</v>
      </c>
      <c r="AK49" s="31">
        <f t="shared" si="32"/>
        <v>1.0266187261715068E-2</v>
      </c>
      <c r="AL49" s="15">
        <f t="shared" si="20"/>
        <v>0</v>
      </c>
      <c r="AM49" s="15">
        <f t="shared" si="21"/>
        <v>0</v>
      </c>
      <c r="AN49" s="15">
        <f t="shared" si="22"/>
        <v>0</v>
      </c>
      <c r="AO49" s="15">
        <f t="shared" si="23"/>
        <v>0</v>
      </c>
      <c r="AP49" s="31">
        <f t="shared" si="33"/>
        <v>0</v>
      </c>
      <c r="AQ49" s="31">
        <f t="shared" si="34"/>
        <v>0</v>
      </c>
    </row>
    <row r="50" spans="8:43" x14ac:dyDescent="0.25">
      <c r="H50" s="15">
        <v>1.47</v>
      </c>
      <c r="I50" s="45">
        <f t="shared" si="24"/>
        <v>295.12092266663865</v>
      </c>
      <c r="J50" s="32">
        <f t="shared" si="25"/>
        <v>90.228039887174305</v>
      </c>
      <c r="K50" s="32">
        <f t="shared" si="26"/>
        <v>32.144217092135904</v>
      </c>
      <c r="L50" s="15">
        <f t="shared" si="0"/>
        <v>3.8729613733905581</v>
      </c>
      <c r="M50" s="15">
        <f t="shared" si="1"/>
        <v>-6.9353382954984152E-2</v>
      </c>
      <c r="N50" s="15">
        <f t="shared" si="2"/>
        <v>6.3631835783327898E-6</v>
      </c>
      <c r="O50" s="15">
        <f t="shared" si="3"/>
        <v>-28.198004591081617</v>
      </c>
      <c r="P50" s="15">
        <f t="shared" si="4"/>
        <v>-1.0973283832429894</v>
      </c>
      <c r="Q50" s="15">
        <f t="shared" si="5"/>
        <v>-1.1068642977452078E-2</v>
      </c>
      <c r="R50" s="15">
        <f t="shared" si="6"/>
        <v>-1.620793952883845E-7</v>
      </c>
      <c r="S50" s="31">
        <f t="shared" si="27"/>
        <v>-28.278426617014052</v>
      </c>
      <c r="T50" s="31">
        <f t="shared" si="28"/>
        <v>10.663541130126156</v>
      </c>
      <c r="U50" s="15">
        <f t="shared" si="7"/>
        <v>6500</v>
      </c>
      <c r="V50" s="15">
        <f t="shared" si="8"/>
        <v>-89.906367107979051</v>
      </c>
      <c r="W50" s="15">
        <f t="shared" si="9"/>
        <v>-55.733887763067507</v>
      </c>
      <c r="X50" s="15">
        <f t="shared" si="10"/>
        <v>26.252817746590846</v>
      </c>
      <c r="Y50" s="15">
        <f t="shared" si="11"/>
        <v>0.94559417066171481</v>
      </c>
      <c r="Z50" s="15">
        <f t="shared" si="12"/>
        <v>-0.18839035231745746</v>
      </c>
      <c r="AA50" s="15">
        <f t="shared" si="13"/>
        <v>-4.695232964718724E-5</v>
      </c>
      <c r="AB50" s="31">
        <f t="shared" si="29"/>
        <v>-63.841939713705656</v>
      </c>
      <c r="AC50" s="31">
        <f t="shared" si="30"/>
        <v>21.469926588121673</v>
      </c>
      <c r="AD50" s="15">
        <f t="shared" si="14"/>
        <v>2.9036971006254113</v>
      </c>
      <c r="AE50" s="15">
        <f t="shared" si="15"/>
        <v>1.1159061232184575E-2</v>
      </c>
      <c r="AF50" s="15">
        <f t="shared" si="16"/>
        <v>1.1952397366265066E-3</v>
      </c>
      <c r="AG50" s="15">
        <f t="shared" si="17"/>
        <v>1.8899448997385775E-9</v>
      </c>
      <c r="AH50" s="15">
        <f t="shared" si="18"/>
        <v>-0.55648612246803575</v>
      </c>
      <c r="AI50" s="15">
        <f t="shared" si="19"/>
        <v>-4.0968923405364542E-4</v>
      </c>
      <c r="AJ50" s="31">
        <f t="shared" si="31"/>
        <v>2.3484062178940022</v>
      </c>
      <c r="AK50" s="31">
        <f t="shared" si="32"/>
        <v>1.0749373888075829E-2</v>
      </c>
      <c r="AL50" s="15">
        <f t="shared" si="20"/>
        <v>0</v>
      </c>
      <c r="AM50" s="15">
        <f t="shared" si="21"/>
        <v>0</v>
      </c>
      <c r="AN50" s="15">
        <f t="shared" si="22"/>
        <v>0</v>
      </c>
      <c r="AO50" s="15">
        <f t="shared" si="23"/>
        <v>0</v>
      </c>
      <c r="AP50" s="31">
        <f t="shared" si="33"/>
        <v>0</v>
      </c>
      <c r="AQ50" s="31">
        <f t="shared" si="34"/>
        <v>0</v>
      </c>
    </row>
    <row r="51" spans="8:43" x14ac:dyDescent="0.25">
      <c r="H51" s="15">
        <v>1.48</v>
      </c>
      <c r="I51" s="45">
        <f t="shared" si="24"/>
        <v>301.99517204020162</v>
      </c>
      <c r="J51" s="32">
        <f t="shared" si="25"/>
        <v>90.248367625687877</v>
      </c>
      <c r="K51" s="32">
        <f t="shared" si="26"/>
        <v>31.939124306365244</v>
      </c>
      <c r="L51" s="15">
        <f t="shared" si="0"/>
        <v>3.8729613733905581</v>
      </c>
      <c r="M51" s="15">
        <f t="shared" si="1"/>
        <v>-7.0968829135294231E-2</v>
      </c>
      <c r="N51" s="15">
        <f t="shared" si="2"/>
        <v>6.6630709504841188E-6</v>
      </c>
      <c r="O51" s="15">
        <f t="shared" si="3"/>
        <v>-28.750890439655034</v>
      </c>
      <c r="P51" s="15">
        <f t="shared" si="4"/>
        <v>-1.1427888497511645</v>
      </c>
      <c r="Q51" s="15">
        <f t="shared" si="5"/>
        <v>-1.132646478624379E-2</v>
      </c>
      <c r="R51" s="15">
        <f t="shared" si="6"/>
        <v>-1.6971796222493855E-7</v>
      </c>
      <c r="S51" s="31">
        <f t="shared" si="27"/>
        <v>-28.83318573357657</v>
      </c>
      <c r="T51" s="31">
        <f t="shared" si="28"/>
        <v>10.618080955866786</v>
      </c>
      <c r="U51" s="15">
        <f t="shared" si="7"/>
        <v>6500</v>
      </c>
      <c r="V51" s="15">
        <f t="shared" si="8"/>
        <v>-89.908498449145299</v>
      </c>
      <c r="W51" s="15">
        <f t="shared" si="9"/>
        <v>-55.933887241056546</v>
      </c>
      <c r="X51" s="15">
        <f t="shared" si="10"/>
        <v>26.779841649913266</v>
      </c>
      <c r="Y51" s="15">
        <f t="shared" si="11"/>
        <v>0.98545735341985874</v>
      </c>
      <c r="Z51" s="15">
        <f t="shared" si="12"/>
        <v>-0.19277849459871854</v>
      </c>
      <c r="AA51" s="15">
        <f t="shared" si="13"/>
        <v>-4.9165112246638804E-5</v>
      </c>
      <c r="AB51" s="31">
        <f t="shared" si="29"/>
        <v>-63.321435293830753</v>
      </c>
      <c r="AC51" s="31">
        <f t="shared" si="30"/>
        <v>21.309788080108177</v>
      </c>
      <c r="AD51" s="15">
        <f t="shared" si="14"/>
        <v>2.9712130782100772</v>
      </c>
      <c r="AE51" s="15">
        <f t="shared" si="15"/>
        <v>1.1684264750475366E-2</v>
      </c>
      <c r="AF51" s="15">
        <f t="shared" si="16"/>
        <v>1.2230804465770365E-3</v>
      </c>
      <c r="AG51" s="15">
        <f t="shared" si="17"/>
        <v>1.979015970494401E-9</v>
      </c>
      <c r="AH51" s="15">
        <f t="shared" si="18"/>
        <v>-0.56944750556147083</v>
      </c>
      <c r="AI51" s="15">
        <f t="shared" si="19"/>
        <v>-4.2899633921183924E-4</v>
      </c>
      <c r="AJ51" s="31">
        <f t="shared" si="31"/>
        <v>2.4029886530951834</v>
      </c>
      <c r="AK51" s="31">
        <f t="shared" si="32"/>
        <v>1.1255270390279497E-2</v>
      </c>
      <c r="AL51" s="15">
        <f t="shared" si="20"/>
        <v>0</v>
      </c>
      <c r="AM51" s="15">
        <f t="shared" si="21"/>
        <v>0</v>
      </c>
      <c r="AN51" s="15">
        <f t="shared" si="22"/>
        <v>0</v>
      </c>
      <c r="AO51" s="15">
        <f t="shared" si="23"/>
        <v>0</v>
      </c>
      <c r="AP51" s="31">
        <f t="shared" si="33"/>
        <v>0</v>
      </c>
      <c r="AQ51" s="31">
        <f t="shared" si="34"/>
        <v>0</v>
      </c>
    </row>
    <row r="52" spans="8:43" x14ac:dyDescent="0.25">
      <c r="H52" s="15">
        <v>1.49</v>
      </c>
      <c r="I52" s="45">
        <f t="shared" si="24"/>
        <v>309.0295432513592</v>
      </c>
      <c r="J52" s="32">
        <f t="shared" si="25"/>
        <v>90.270236257776247</v>
      </c>
      <c r="K52" s="32">
        <f t="shared" si="26"/>
        <v>31.733907484118184</v>
      </c>
      <c r="L52" s="15">
        <f t="shared" si="0"/>
        <v>3.8729613733905581</v>
      </c>
      <c r="M52" s="15">
        <f t="shared" si="1"/>
        <v>-7.2621903774185328E-2</v>
      </c>
      <c r="N52" s="15">
        <f t="shared" si="2"/>
        <v>6.9770915595076591E-6</v>
      </c>
      <c r="O52" s="15">
        <f t="shared" si="3"/>
        <v>-29.31065796759767</v>
      </c>
      <c r="P52" s="15">
        <f t="shared" si="4"/>
        <v>-1.1898872115164179</v>
      </c>
      <c r="Q52" s="15">
        <f t="shared" si="5"/>
        <v>-1.1590292035962584E-2</v>
      </c>
      <c r="R52" s="15">
        <f t="shared" si="6"/>
        <v>-1.7771652223395597E-7</v>
      </c>
      <c r="S52" s="31">
        <f t="shared" si="27"/>
        <v>-29.394870163407816</v>
      </c>
      <c r="T52" s="31">
        <f t="shared" si="28"/>
        <v>10.570982900123582</v>
      </c>
      <c r="U52" s="15">
        <f t="shared" si="7"/>
        <v>6500</v>
      </c>
      <c r="V52" s="15">
        <f t="shared" si="8"/>
        <v>-89.910581275308218</v>
      </c>
      <c r="W52" s="15">
        <f t="shared" si="9"/>
        <v>-56.1338867425399</v>
      </c>
      <c r="X52" s="15">
        <f t="shared" si="10"/>
        <v>27.314122557236267</v>
      </c>
      <c r="Y52" s="15">
        <f t="shared" si="11"/>
        <v>1.0268107347704254</v>
      </c>
      <c r="Z52" s="15">
        <f t="shared" si="12"/>
        <v>-0.19726884750266965</v>
      </c>
      <c r="AA52" s="15">
        <f t="shared" si="13"/>
        <v>-5.1482178868387881E-5</v>
      </c>
      <c r="AB52" s="31">
        <f t="shared" si="29"/>
        <v>-62.793727565574621</v>
      </c>
      <c r="AC52" s="31">
        <f t="shared" si="30"/>
        <v>21.15113964290877</v>
      </c>
      <c r="AD52" s="15">
        <f t="shared" si="14"/>
        <v>3.0402931548124816</v>
      </c>
      <c r="AE52" s="15">
        <f t="shared" si="15"/>
        <v>1.2234152281756583E-2</v>
      </c>
      <c r="AF52" s="15">
        <f t="shared" si="16"/>
        <v>1.2515696499689379E-3</v>
      </c>
      <c r="AG52" s="15">
        <f t="shared" si="17"/>
        <v>2.0722818657278182E-9</v>
      </c>
      <c r="AH52" s="15">
        <f t="shared" si="18"/>
        <v>-0.58271073770379478</v>
      </c>
      <c r="AI52" s="15">
        <f t="shared" si="19"/>
        <v>-4.492132682080646E-4</v>
      </c>
      <c r="AJ52" s="31">
        <f t="shared" si="31"/>
        <v>2.4588339867586555</v>
      </c>
      <c r="AK52" s="31">
        <f t="shared" si="32"/>
        <v>1.1784941085830385E-2</v>
      </c>
      <c r="AL52" s="15">
        <f t="shared" si="20"/>
        <v>0</v>
      </c>
      <c r="AM52" s="15">
        <f t="shared" si="21"/>
        <v>0</v>
      </c>
      <c r="AN52" s="15">
        <f t="shared" si="22"/>
        <v>0</v>
      </c>
      <c r="AO52" s="15">
        <f t="shared" si="23"/>
        <v>0</v>
      </c>
      <c r="AP52" s="31">
        <f t="shared" si="33"/>
        <v>0</v>
      </c>
      <c r="AQ52" s="31">
        <f t="shared" si="34"/>
        <v>0</v>
      </c>
    </row>
    <row r="53" spans="8:43" x14ac:dyDescent="0.25">
      <c r="H53" s="15">
        <v>1.5</v>
      </c>
      <c r="I53" s="45">
        <f t="shared" si="24"/>
        <v>316.22776601683802</v>
      </c>
      <c r="J53" s="32">
        <f t="shared" si="25"/>
        <v>90.293712336300246</v>
      </c>
      <c r="K53" s="32">
        <f t="shared" si="26"/>
        <v>31.52856813945289</v>
      </c>
      <c r="L53" s="15">
        <f t="shared" si="0"/>
        <v>3.8729613733905581</v>
      </c>
      <c r="M53" s="15">
        <f t="shared" si="1"/>
        <v>-7.4313483342697259E-2</v>
      </c>
      <c r="N53" s="15">
        <f t="shared" si="2"/>
        <v>7.3059114777920417E-6</v>
      </c>
      <c r="O53" s="15">
        <f t="shared" si="3"/>
        <v>-29.877176496788312</v>
      </c>
      <c r="P53" s="15">
        <f t="shared" si="4"/>
        <v>-1.2386638533375229</v>
      </c>
      <c r="Q53" s="15">
        <f t="shared" si="5"/>
        <v>-1.1860264611263632E-2</v>
      </c>
      <c r="R53" s="15">
        <f t="shared" si="6"/>
        <v>-1.8609204362018018E-7</v>
      </c>
      <c r="S53" s="31">
        <f t="shared" si="27"/>
        <v>-29.963350244742273</v>
      </c>
      <c r="T53" s="31">
        <f t="shared" si="28"/>
        <v>10.522206578746875</v>
      </c>
      <c r="U53" s="15">
        <f t="shared" si="7"/>
        <v>6500</v>
      </c>
      <c r="V53" s="15">
        <f t="shared" si="8"/>
        <v>-89.912616690787758</v>
      </c>
      <c r="W53" s="15">
        <f t="shared" si="9"/>
        <v>-56.333886266460134</v>
      </c>
      <c r="X53" s="15">
        <f t="shared" si="10"/>
        <v>27.855572032777403</v>
      </c>
      <c r="Y53" s="15">
        <f t="shared" si="11"/>
        <v>1.0696951028743646</v>
      </c>
      <c r="Z53" s="15">
        <f t="shared" si="12"/>
        <v>-0.20186379165308938</v>
      </c>
      <c r="AA53" s="15">
        <f t="shared" si="13"/>
        <v>-5.3908444149339919E-5</v>
      </c>
      <c r="AB53" s="31">
        <f t="shared" si="29"/>
        <v>-62.258908449663444</v>
      </c>
      <c r="AC53" s="31">
        <f t="shared" si="30"/>
        <v>20.994022060827199</v>
      </c>
      <c r="AD53" s="15">
        <f t="shared" si="14"/>
        <v>3.1109731538009782</v>
      </c>
      <c r="AE53" s="15">
        <f t="shared" si="15"/>
        <v>1.2809880599714137E-2</v>
      </c>
      <c r="AF53" s="15">
        <f t="shared" si="16"/>
        <v>1.2807224521548903E-3</v>
      </c>
      <c r="AG53" s="15">
        <f t="shared" si="17"/>
        <v>2.1699470228615518E-9</v>
      </c>
      <c r="AH53" s="15">
        <f t="shared" si="18"/>
        <v>-0.59628284554716648</v>
      </c>
      <c r="AI53" s="15">
        <f t="shared" si="19"/>
        <v>-4.7038289084481771E-4</v>
      </c>
      <c r="AJ53" s="31">
        <f t="shared" si="31"/>
        <v>2.5159710307059666</v>
      </c>
      <c r="AK53" s="31">
        <f t="shared" si="32"/>
        <v>1.2339499878816341E-2</v>
      </c>
      <c r="AL53" s="15">
        <f t="shared" si="20"/>
        <v>0</v>
      </c>
      <c r="AM53" s="15">
        <f t="shared" si="21"/>
        <v>0</v>
      </c>
      <c r="AN53" s="15">
        <f t="shared" si="22"/>
        <v>0</v>
      </c>
      <c r="AO53" s="15">
        <f t="shared" si="23"/>
        <v>0</v>
      </c>
      <c r="AP53" s="31">
        <f t="shared" si="33"/>
        <v>0</v>
      </c>
      <c r="AQ53" s="31">
        <f t="shared" si="34"/>
        <v>0</v>
      </c>
    </row>
    <row r="54" spans="8:43" x14ac:dyDescent="0.25">
      <c r="H54" s="15">
        <v>1.51</v>
      </c>
      <c r="I54" s="45">
        <f t="shared" si="24"/>
        <v>323.59365692962831</v>
      </c>
      <c r="J54" s="32">
        <f t="shared" si="25"/>
        <v>90.318863698913788</v>
      </c>
      <c r="K54" s="32">
        <f t="shared" si="26"/>
        <v>31.323108178645377</v>
      </c>
      <c r="L54" s="15">
        <f t="shared" si="0"/>
        <v>3.8729613733905581</v>
      </c>
      <c r="M54" s="15">
        <f t="shared" si="1"/>
        <v>-7.6044464726905556E-2</v>
      </c>
      <c r="N54" s="15">
        <f t="shared" si="2"/>
        <v>7.6502281740976137E-6</v>
      </c>
      <c r="O54" s="15">
        <f t="shared" si="3"/>
        <v>-30.450303279936371</v>
      </c>
      <c r="P54" s="15">
        <f t="shared" si="4"/>
        <v>-1.2891588272558754</v>
      </c>
      <c r="Q54" s="15">
        <f t="shared" si="5"/>
        <v>-1.2136525655131897E-2</v>
      </c>
      <c r="R54" s="15">
        <f t="shared" si="6"/>
        <v>-1.9486229122271099E-7</v>
      </c>
      <c r="S54" s="31">
        <f t="shared" si="27"/>
        <v>-30.53848427031841</v>
      </c>
      <c r="T54" s="31">
        <f t="shared" si="28"/>
        <v>10.47171194037497</v>
      </c>
      <c r="U54" s="15">
        <f t="shared" si="7"/>
        <v>6500</v>
      </c>
      <c r="V54" s="15">
        <f t="shared" si="8"/>
        <v>-89.914605774767594</v>
      </c>
      <c r="W54" s="15">
        <f t="shared" si="9"/>
        <v>-56.533885811807437</v>
      </c>
      <c r="X54" s="15">
        <f t="shared" si="10"/>
        <v>28.40409028221843</v>
      </c>
      <c r="Y54" s="15">
        <f t="shared" si="11"/>
        <v>1.1141512537331473</v>
      </c>
      <c r="Z54" s="15">
        <f t="shared" si="12"/>
        <v>-0.20656576311363117</v>
      </c>
      <c r="AA54" s="15">
        <f t="shared" si="13"/>
        <v>-5.6449054339148816E-5</v>
      </c>
      <c r="AB54" s="31">
        <f t="shared" si="29"/>
        <v>-61.717081255662791</v>
      </c>
      <c r="AC54" s="31">
        <f t="shared" si="30"/>
        <v>20.838476125728487</v>
      </c>
      <c r="AD54" s="15">
        <f t="shared" si="14"/>
        <v>3.1832896896915948</v>
      </c>
      <c r="AE54" s="15">
        <f t="shared" si="15"/>
        <v>1.3412660366165306E-2</v>
      </c>
      <c r="AF54" s="15">
        <f t="shared" si="16"/>
        <v>1.3105543103364356E-3</v>
      </c>
      <c r="AG54" s="15">
        <f t="shared" si="17"/>
        <v>2.2722139506633773E-9</v>
      </c>
      <c r="AH54" s="15">
        <f t="shared" si="18"/>
        <v>-0.61017101910693994</v>
      </c>
      <c r="AI54" s="15">
        <f t="shared" si="19"/>
        <v>-4.9255009645989174E-4</v>
      </c>
      <c r="AJ54" s="31">
        <f t="shared" si="31"/>
        <v>2.5744292248949914</v>
      </c>
      <c r="AK54" s="31">
        <f t="shared" si="32"/>
        <v>1.2920112541919365E-2</v>
      </c>
      <c r="AL54" s="15">
        <f t="shared" si="20"/>
        <v>0</v>
      </c>
      <c r="AM54" s="15">
        <f t="shared" si="21"/>
        <v>0</v>
      </c>
      <c r="AN54" s="15">
        <f t="shared" si="22"/>
        <v>0</v>
      </c>
      <c r="AO54" s="15">
        <f t="shared" si="23"/>
        <v>0</v>
      </c>
      <c r="AP54" s="31">
        <f t="shared" si="33"/>
        <v>0</v>
      </c>
      <c r="AQ54" s="31">
        <f t="shared" si="34"/>
        <v>0</v>
      </c>
    </row>
    <row r="55" spans="8:43" x14ac:dyDescent="0.25">
      <c r="H55" s="15">
        <v>1.52</v>
      </c>
      <c r="I55" s="45">
        <f t="shared" si="24"/>
        <v>331.13112148259125</v>
      </c>
      <c r="J55" s="32">
        <f t="shared" si="25"/>
        <v>90.345759347395585</v>
      </c>
      <c r="K55" s="32">
        <f t="shared" si="26"/>
        <v>31.117529917192538</v>
      </c>
      <c r="L55" s="15">
        <f t="shared" si="0"/>
        <v>3.8729613733905581</v>
      </c>
      <c r="M55" s="15">
        <f t="shared" si="1"/>
        <v>-7.7815765703405884E-2</v>
      </c>
      <c r="N55" s="15">
        <f t="shared" si="2"/>
        <v>8.0107719870293249E-6</v>
      </c>
      <c r="O55" s="15">
        <f t="shared" si="3"/>
        <v>-31.029883390559824</v>
      </c>
      <c r="P55" s="15">
        <f t="shared" si="4"/>
        <v>-1.3414117495880604</v>
      </c>
      <c r="Q55" s="15">
        <f t="shared" si="5"/>
        <v>-1.2419221644778182E-2</v>
      </c>
      <c r="R55" s="15">
        <f t="shared" si="6"/>
        <v>-2.0404586884540047E-7</v>
      </c>
      <c r="S55" s="31">
        <f t="shared" si="27"/>
        <v>-31.120118377908007</v>
      </c>
      <c r="T55" s="31">
        <f t="shared" si="28"/>
        <v>10.419459369403022</v>
      </c>
      <c r="U55" s="15">
        <f t="shared" si="7"/>
        <v>6500</v>
      </c>
      <c r="V55" s="15">
        <f t="shared" si="8"/>
        <v>-89.916549581867201</v>
      </c>
      <c r="W55" s="15">
        <f t="shared" si="9"/>
        <v>-56.733885377617447</v>
      </c>
      <c r="X55" s="15">
        <f t="shared" si="10"/>
        <v>28.959565912837459</v>
      </c>
      <c r="Y55" s="15">
        <f t="shared" si="11"/>
        <v>1.1602199028473372</v>
      </c>
      <c r="Z55" s="15">
        <f t="shared" si="12"/>
        <v>-0.21137725467832713</v>
      </c>
      <c r="AA55" s="15">
        <f t="shared" si="13"/>
        <v>-5.9109398203771341E-5</v>
      </c>
      <c r="AB55" s="31">
        <f t="shared" si="29"/>
        <v>-61.168360923708065</v>
      </c>
      <c r="AC55" s="31">
        <f t="shared" si="30"/>
        <v>20.6845425486888</v>
      </c>
      <c r="AD55" s="15">
        <f t="shared" si="14"/>
        <v>3.2572801835147094</v>
      </c>
      <c r="AE55" s="15">
        <f t="shared" si="15"/>
        <v>1.4043758610437966E-2</v>
      </c>
      <c r="AF55" s="15">
        <f t="shared" si="16"/>
        <v>1.3410810417595891E-3</v>
      </c>
      <c r="AG55" s="15">
        <f t="shared" si="17"/>
        <v>2.3793005871405125E-9</v>
      </c>
      <c r="AH55" s="15">
        <f t="shared" si="18"/>
        <v>-0.62438261554482011</v>
      </c>
      <c r="AI55" s="15">
        <f t="shared" si="19"/>
        <v>-5.1576188902092512E-4</v>
      </c>
      <c r="AJ55" s="31">
        <f t="shared" si="31"/>
        <v>2.6342386490116487</v>
      </c>
      <c r="AK55" s="31">
        <f t="shared" si="32"/>
        <v>1.3527999100717628E-2</v>
      </c>
      <c r="AL55" s="15">
        <f t="shared" si="20"/>
        <v>0</v>
      </c>
      <c r="AM55" s="15">
        <f t="shared" si="21"/>
        <v>0</v>
      </c>
      <c r="AN55" s="15">
        <f t="shared" si="22"/>
        <v>0</v>
      </c>
      <c r="AO55" s="15">
        <f t="shared" si="23"/>
        <v>0</v>
      </c>
      <c r="AP55" s="31">
        <f t="shared" si="33"/>
        <v>0</v>
      </c>
      <c r="AQ55" s="31">
        <f t="shared" si="34"/>
        <v>0</v>
      </c>
    </row>
    <row r="56" spans="8:43" x14ac:dyDescent="0.25">
      <c r="H56" s="15">
        <v>1.53</v>
      </c>
      <c r="I56" s="45">
        <f t="shared" si="24"/>
        <v>338.84415613920271</v>
      </c>
      <c r="J56" s="32">
        <f t="shared" si="25"/>
        <v>90.374469315926007</v>
      </c>
      <c r="K56" s="32">
        <f t="shared" si="26"/>
        <v>30.911836095749965</v>
      </c>
      <c r="L56" s="15">
        <f t="shared" si="0"/>
        <v>3.8729613733905581</v>
      </c>
      <c r="M56" s="15">
        <f t="shared" si="1"/>
        <v>-7.962832542587088E-2</v>
      </c>
      <c r="N56" s="15">
        <f t="shared" si="2"/>
        <v>8.3883076756539313E-6</v>
      </c>
      <c r="O56" s="15">
        <f t="shared" si="3"/>
        <v>-31.615749655756435</v>
      </c>
      <c r="P56" s="15">
        <f t="shared" si="4"/>
        <v>-1.3954616947248684</v>
      </c>
      <c r="Q56" s="15">
        <f t="shared" si="5"/>
        <v>-1.2708502469303022E-2</v>
      </c>
      <c r="R56" s="15">
        <f t="shared" si="6"/>
        <v>-2.1366225397262794E-7</v>
      </c>
      <c r="S56" s="31">
        <f t="shared" si="27"/>
        <v>-31.708086483651609</v>
      </c>
      <c r="T56" s="31">
        <f t="shared" si="28"/>
        <v>10.365409792185515</v>
      </c>
      <c r="U56" s="15">
        <f t="shared" si="7"/>
        <v>6500</v>
      </c>
      <c r="V56" s="15">
        <f t="shared" si="8"/>
        <v>-89.918449142700908</v>
      </c>
      <c r="W56" s="15">
        <f t="shared" si="9"/>
        <v>-56.933884962969181</v>
      </c>
      <c r="X56" s="15">
        <f t="shared" si="10"/>
        <v>29.52187572535221</v>
      </c>
      <c r="Y56" s="15">
        <f t="shared" si="11"/>
        <v>1.2079415924703687</v>
      </c>
      <c r="Z56" s="15">
        <f t="shared" si="12"/>
        <v>-0.21630081719209002</v>
      </c>
      <c r="AA56" s="15">
        <f t="shared" si="13"/>
        <v>-6.1895118467013695E-5</v>
      </c>
      <c r="AB56" s="31">
        <f t="shared" si="29"/>
        <v>-60.61287423454079</v>
      </c>
      <c r="AC56" s="31">
        <f t="shared" si="30"/>
        <v>20.532261867239836</v>
      </c>
      <c r="AD56" s="15">
        <f t="shared" si="14"/>
        <v>3.3329828783248634</v>
      </c>
      <c r="AE56" s="15">
        <f t="shared" si="15"/>
        <v>1.4704501319879501E-2</v>
      </c>
      <c r="AF56" s="15">
        <f t="shared" si="16"/>
        <v>1.3723188321013498E-3</v>
      </c>
      <c r="AG56" s="15">
        <f t="shared" si="17"/>
        <v>2.491432584919889E-9</v>
      </c>
      <c r="AH56" s="15">
        <f t="shared" si="18"/>
        <v>-0.63892516303856606</v>
      </c>
      <c r="AI56" s="15">
        <f t="shared" si="19"/>
        <v>-5.4006748669435819E-4</v>
      </c>
      <c r="AJ56" s="31">
        <f t="shared" si="31"/>
        <v>2.6954300341183988</v>
      </c>
      <c r="AK56" s="31">
        <f t="shared" si="32"/>
        <v>1.4164436324617728E-2</v>
      </c>
      <c r="AL56" s="15">
        <f t="shared" si="20"/>
        <v>0</v>
      </c>
      <c r="AM56" s="15">
        <f t="shared" si="21"/>
        <v>0</v>
      </c>
      <c r="AN56" s="15">
        <f t="shared" si="22"/>
        <v>0</v>
      </c>
      <c r="AO56" s="15">
        <f t="shared" si="23"/>
        <v>0</v>
      </c>
      <c r="AP56" s="31">
        <f t="shared" si="33"/>
        <v>0</v>
      </c>
      <c r="AQ56" s="31">
        <f t="shared" si="34"/>
        <v>0</v>
      </c>
    </row>
    <row r="57" spans="8:43" x14ac:dyDescent="0.25">
      <c r="H57" s="15">
        <v>1.54</v>
      </c>
      <c r="I57" s="45">
        <f t="shared" si="24"/>
        <v>346.73685045253183</v>
      </c>
      <c r="J57" s="32">
        <f t="shared" si="25"/>
        <v>90.405064528681748</v>
      </c>
      <c r="K57" s="32">
        <f t="shared" si="26"/>
        <v>30.706029894818229</v>
      </c>
      <c r="L57" s="15">
        <f t="shared" si="0"/>
        <v>3.8729613733905581</v>
      </c>
      <c r="M57" s="15">
        <f t="shared" si="1"/>
        <v>-8.1483104922937324E-2</v>
      </c>
      <c r="N57" s="15">
        <f t="shared" si="2"/>
        <v>8.7836360376180649E-6</v>
      </c>
      <c r="O57" s="15">
        <f t="shared" si="3"/>
        <v>-32.207722634537113</v>
      </c>
      <c r="P57" s="15">
        <f t="shared" si="4"/>
        <v>-1.4513470861418685</v>
      </c>
      <c r="Q57" s="15">
        <f t="shared" si="5"/>
        <v>-1.3004521509169642E-2</v>
      </c>
      <c r="R57" s="15">
        <f t="shared" si="6"/>
        <v>-2.2373184598565791E-7</v>
      </c>
      <c r="S57" s="31">
        <f t="shared" si="27"/>
        <v>-32.302210260969218</v>
      </c>
      <c r="T57" s="31">
        <f t="shared" si="28"/>
        <v>10.309524786027286</v>
      </c>
      <c r="U57" s="15">
        <f t="shared" si="7"/>
        <v>6500</v>
      </c>
      <c r="V57" s="15">
        <f t="shared" si="8"/>
        <v>-89.920305464424317</v>
      </c>
      <c r="W57" s="15">
        <f t="shared" si="9"/>
        <v>-57.13388456698312</v>
      </c>
      <c r="X57" s="15">
        <f t="shared" si="10"/>
        <v>30.090884540631112</v>
      </c>
      <c r="Y57" s="15">
        <f t="shared" si="11"/>
        <v>1.2573565947118217</v>
      </c>
      <c r="Z57" s="15">
        <f t="shared" si="12"/>
        <v>-0.2213390609019093</v>
      </c>
      <c r="AA57" s="15">
        <f t="shared" si="13"/>
        <v>-6.4812123764988359E-5</v>
      </c>
      <c r="AB57" s="31">
        <f t="shared" si="29"/>
        <v>-60.050759984695119</v>
      </c>
      <c r="AC57" s="31">
        <f t="shared" si="30"/>
        <v>20.381674348462052</v>
      </c>
      <c r="AD57" s="15">
        <f t="shared" si="14"/>
        <v>3.410436854842184</v>
      </c>
      <c r="AE57" s="15">
        <f t="shared" si="15"/>
        <v>1.5396276146144148E-2</v>
      </c>
      <c r="AF57" s="15">
        <f t="shared" si="16"/>
        <v>1.4042842440515648E-3</v>
      </c>
      <c r="AG57" s="15">
        <f t="shared" si="17"/>
        <v>2.6088490972129447E-9</v>
      </c>
      <c r="AH57" s="15">
        <f t="shared" si="18"/>
        <v>-0.65380636474014342</v>
      </c>
      <c r="AI57" s="15">
        <f t="shared" si="19"/>
        <v>-5.6551842610212991E-4</v>
      </c>
      <c r="AJ57" s="31">
        <f t="shared" si="31"/>
        <v>2.758034774346092</v>
      </c>
      <c r="AK57" s="31">
        <f t="shared" si="32"/>
        <v>1.4830760328891114E-2</v>
      </c>
      <c r="AL57" s="15">
        <f t="shared" si="20"/>
        <v>0</v>
      </c>
      <c r="AM57" s="15">
        <f t="shared" si="21"/>
        <v>0</v>
      </c>
      <c r="AN57" s="15">
        <f t="shared" si="22"/>
        <v>0</v>
      </c>
      <c r="AO57" s="15">
        <f t="shared" si="23"/>
        <v>0</v>
      </c>
      <c r="AP57" s="31">
        <f t="shared" si="33"/>
        <v>0</v>
      </c>
      <c r="AQ57" s="31">
        <f t="shared" si="34"/>
        <v>0</v>
      </c>
    </row>
    <row r="58" spans="8:43" x14ac:dyDescent="0.25">
      <c r="H58" s="15">
        <v>1.55</v>
      </c>
      <c r="I58" s="45">
        <f t="shared" si="24"/>
        <v>354.81338923357555</v>
      </c>
      <c r="J58" s="32">
        <f t="shared" si="25"/>
        <v>90.437616647268158</v>
      </c>
      <c r="K58" s="32">
        <f t="shared" si="26"/>
        <v>30.50011494799152</v>
      </c>
      <c r="L58" s="15">
        <f t="shared" si="0"/>
        <v>3.8729613733905581</v>
      </c>
      <c r="M58" s="15">
        <f t="shared" si="1"/>
        <v>-8.338108760768681E-2</v>
      </c>
      <c r="N58" s="15">
        <f t="shared" si="2"/>
        <v>9.1975956121248573E-6</v>
      </c>
      <c r="O58" s="15">
        <f t="shared" si="3"/>
        <v>-32.805610644286659</v>
      </c>
      <c r="P58" s="15">
        <f t="shared" si="4"/>
        <v>-1.5091055851184907</v>
      </c>
      <c r="Q58" s="15">
        <f t="shared" si="5"/>
        <v>-1.3307435717528E-2</v>
      </c>
      <c r="R58" s="15">
        <f t="shared" si="6"/>
        <v>-2.3427600280706737E-7</v>
      </c>
      <c r="S58" s="31">
        <f t="shared" si="27"/>
        <v>-32.902299167611872</v>
      </c>
      <c r="T58" s="31">
        <f t="shared" si="28"/>
        <v>10.251766690466081</v>
      </c>
      <c r="U58" s="15">
        <f t="shared" si="7"/>
        <v>6500</v>
      </c>
      <c r="V58" s="15">
        <f t="shared" si="8"/>
        <v>-89.922119531268166</v>
      </c>
      <c r="W58" s="15">
        <f t="shared" si="9"/>
        <v>-57.333884188819333</v>
      </c>
      <c r="X58" s="15">
        <f t="shared" si="10"/>
        <v>30.666445064373239</v>
      </c>
      <c r="Y58" s="15">
        <f t="shared" si="11"/>
        <v>1.3085048107963995</v>
      </c>
      <c r="Z58" s="15">
        <f t="shared" si="12"/>
        <v>-0.226494656839449</v>
      </c>
      <c r="AA58" s="15">
        <f t="shared" si="13"/>
        <v>-6.7866601188687405E-5</v>
      </c>
      <c r="AB58" s="31">
        <f t="shared" si="29"/>
        <v>-59.48216912373438</v>
      </c>
      <c r="AC58" s="31">
        <f t="shared" si="30"/>
        <v>20.232819888232992</v>
      </c>
      <c r="AD58" s="15">
        <f t="shared" si="14"/>
        <v>3.4896820472125945</v>
      </c>
      <c r="AE58" s="15">
        <f t="shared" si="15"/>
        <v>1.6120535232117508E-2</v>
      </c>
      <c r="AF58" s="15">
        <f t="shared" si="16"/>
        <v>1.4369942260946814E-3</v>
      </c>
      <c r="AG58" s="15">
        <f t="shared" si="17"/>
        <v>2.7318008491606891E-9</v>
      </c>
      <c r="AH58" s="15">
        <f t="shared" si="18"/>
        <v>-0.66903410282426024</v>
      </c>
      <c r="AI58" s="15">
        <f t="shared" si="19"/>
        <v>-5.9216867147165726E-4</v>
      </c>
      <c r="AJ58" s="31">
        <f t="shared" si="31"/>
        <v>2.8220849386144291</v>
      </c>
      <c r="AK58" s="31">
        <f t="shared" si="32"/>
        <v>1.5528369292446699E-2</v>
      </c>
      <c r="AL58" s="15">
        <f t="shared" si="20"/>
        <v>0</v>
      </c>
      <c r="AM58" s="15">
        <f t="shared" si="21"/>
        <v>0</v>
      </c>
      <c r="AN58" s="15">
        <f t="shared" si="22"/>
        <v>0</v>
      </c>
      <c r="AO58" s="15">
        <f t="shared" si="23"/>
        <v>0</v>
      </c>
      <c r="AP58" s="31">
        <f t="shared" si="33"/>
        <v>0</v>
      </c>
      <c r="AQ58" s="31">
        <f t="shared" si="34"/>
        <v>0</v>
      </c>
    </row>
    <row r="59" spans="8:43" x14ac:dyDescent="0.25">
      <c r="H59" s="15">
        <v>1.56</v>
      </c>
      <c r="I59" s="45">
        <f t="shared" si="24"/>
        <v>363.07805477010157</v>
      </c>
      <c r="J59" s="32">
        <f t="shared" si="25"/>
        <v>90.472197908659751</v>
      </c>
      <c r="K59" s="32">
        <f t="shared" si="26"/>
        <v>30.294095353585575</v>
      </c>
      <c r="L59" s="15">
        <f t="shared" si="0"/>
        <v>3.8729613733905581</v>
      </c>
      <c r="M59" s="15">
        <f t="shared" si="1"/>
        <v>-8.5323279798990306E-2</v>
      </c>
      <c r="N59" s="15">
        <f t="shared" si="2"/>
        <v>9.631064458125618E-6</v>
      </c>
      <c r="O59" s="15">
        <f t="shared" si="3"/>
        <v>-33.409209837671831</v>
      </c>
      <c r="P59" s="15">
        <f t="shared" si="4"/>
        <v>-1.568773977712594</v>
      </c>
      <c r="Q59" s="15">
        <f t="shared" si="5"/>
        <v>-1.3617405703433155E-2</v>
      </c>
      <c r="R59" s="15">
        <f t="shared" si="6"/>
        <v>-2.4531708911710067E-7</v>
      </c>
      <c r="S59" s="31">
        <f t="shared" si="27"/>
        <v>-33.508150523174258</v>
      </c>
      <c r="T59" s="31">
        <f t="shared" si="28"/>
        <v>10.192098720299738</v>
      </c>
      <c r="U59" s="15">
        <f t="shared" si="7"/>
        <v>6500</v>
      </c>
      <c r="V59" s="15">
        <f t="shared" si="8"/>
        <v>-89.923892305060136</v>
      </c>
      <c r="W59" s="15">
        <f t="shared" si="9"/>
        <v>-57.533883827675695</v>
      </c>
      <c r="X59" s="15">
        <f t="shared" si="10"/>
        <v>31.24839779276504</v>
      </c>
      <c r="Y59" s="15">
        <f t="shared" si="11"/>
        <v>1.3614256668376794</v>
      </c>
      <c r="Z59" s="15">
        <f t="shared" si="12"/>
        <v>-0.23177033823577597</v>
      </c>
      <c r="AA59" s="15">
        <f t="shared" si="13"/>
        <v>-7.1065029395374384E-5</v>
      </c>
      <c r="AB59" s="31">
        <f t="shared" si="29"/>
        <v>-58.907264850530872</v>
      </c>
      <c r="AC59" s="31">
        <f t="shared" si="30"/>
        <v>20.085737906989703</v>
      </c>
      <c r="AD59" s="15">
        <f t="shared" si="14"/>
        <v>3.5707592588726706</v>
      </c>
      <c r="AE59" s="15">
        <f t="shared" si="15"/>
        <v>1.6878798164520859E-2</v>
      </c>
      <c r="AF59" s="15">
        <f t="shared" si="16"/>
        <v>1.4704661214960629E-3</v>
      </c>
      <c r="AG59" s="15">
        <f t="shared" si="17"/>
        <v>2.860546280523839E-9</v>
      </c>
      <c r="AH59" s="15">
        <f t="shared" si="18"/>
        <v>-0.6846164426292709</v>
      </c>
      <c r="AI59" s="15">
        <f t="shared" si="19"/>
        <v>-6.200747289308487E-4</v>
      </c>
      <c r="AJ59" s="31">
        <f t="shared" si="31"/>
        <v>2.8876132823648959</v>
      </c>
      <c r="AK59" s="31">
        <f t="shared" si="32"/>
        <v>1.625872629613629E-2</v>
      </c>
      <c r="AL59" s="15">
        <f t="shared" si="20"/>
        <v>0</v>
      </c>
      <c r="AM59" s="15">
        <f t="shared" si="21"/>
        <v>0</v>
      </c>
      <c r="AN59" s="15">
        <f t="shared" si="22"/>
        <v>0</v>
      </c>
      <c r="AO59" s="15">
        <f t="shared" si="23"/>
        <v>0</v>
      </c>
      <c r="AP59" s="31">
        <f t="shared" si="33"/>
        <v>0</v>
      </c>
      <c r="AQ59" s="31">
        <f t="shared" si="34"/>
        <v>0</v>
      </c>
    </row>
    <row r="60" spans="8:43" x14ac:dyDescent="0.25">
      <c r="H60" s="15">
        <v>1.57</v>
      </c>
      <c r="I60" s="45">
        <f t="shared" si="24"/>
        <v>371.53522909717276</v>
      </c>
      <c r="J60" s="32">
        <f t="shared" si="25"/>
        <v>90.508880954473796</v>
      </c>
      <c r="K60" s="32">
        <f t="shared" si="26"/>
        <v>30.087975684467491</v>
      </c>
      <c r="L60" s="15">
        <f t="shared" si="0"/>
        <v>3.8729613733905581</v>
      </c>
      <c r="M60" s="15">
        <f t="shared" si="1"/>
        <v>-8.7310711254991819E-2</v>
      </c>
      <c r="N60" s="15">
        <f t="shared" si="2"/>
        <v>1.0084962015440979E-5</v>
      </c>
      <c r="O60" s="15">
        <f t="shared" si="3"/>
        <v>-34.018304332026375</v>
      </c>
      <c r="P60" s="15">
        <f t="shared" si="4"/>
        <v>-1.6303880605848533</v>
      </c>
      <c r="Q60" s="15">
        <f t="shared" si="5"/>
        <v>-1.3934595817001932E-2</v>
      </c>
      <c r="R60" s="15">
        <f t="shared" si="6"/>
        <v>-2.5687852842733274E-7</v>
      </c>
      <c r="S60" s="31">
        <f t="shared" si="27"/>
        <v>-34.119549639098373</v>
      </c>
      <c r="T60" s="31">
        <f t="shared" si="28"/>
        <v>10.130485079763597</v>
      </c>
      <c r="U60" s="15">
        <f t="shared" si="7"/>
        <v>6500</v>
      </c>
      <c r="V60" s="15">
        <f t="shared" si="8"/>
        <v>-89.925624725734821</v>
      </c>
      <c r="W60" s="15">
        <f t="shared" si="9"/>
        <v>-57.733883482786169</v>
      </c>
      <c r="X60" s="15">
        <f t="shared" si="10"/>
        <v>31.836570961987412</v>
      </c>
      <c r="Y60" s="15">
        <f t="shared" si="11"/>
        <v>1.4161580065387023</v>
      </c>
      <c r="Z60" s="15">
        <f t="shared" si="12"/>
        <v>-0.23716890196895976</v>
      </c>
      <c r="AA60" s="15">
        <f t="shared" si="13"/>
        <v>-7.4414192354355544E-5</v>
      </c>
      <c r="AB60" s="31">
        <f t="shared" si="29"/>
        <v>-58.326222665716365</v>
      </c>
      <c r="AC60" s="31">
        <f t="shared" si="30"/>
        <v>19.940467242417292</v>
      </c>
      <c r="AD60" s="15">
        <f t="shared" si="14"/>
        <v>3.6537101785034918</v>
      </c>
      <c r="AE60" s="15">
        <f t="shared" si="15"/>
        <v>1.7672655057418704E-2</v>
      </c>
      <c r="AF60" s="15">
        <f t="shared" si="16"/>
        <v>1.5047176774976112E-3</v>
      </c>
      <c r="AG60" s="15">
        <f t="shared" si="17"/>
        <v>2.9953592603025445E-9</v>
      </c>
      <c r="AH60" s="15">
        <f t="shared" si="18"/>
        <v>-0.70056163689245177</v>
      </c>
      <c r="AI60" s="15">
        <f t="shared" si="19"/>
        <v>-6.4929576617281512E-4</v>
      </c>
      <c r="AJ60" s="31">
        <f t="shared" si="31"/>
        <v>2.9546532592885377</v>
      </c>
      <c r="AK60" s="31">
        <f t="shared" si="32"/>
        <v>1.702336228660515E-2</v>
      </c>
      <c r="AL60" s="15">
        <f t="shared" si="20"/>
        <v>0</v>
      </c>
      <c r="AM60" s="15">
        <f t="shared" si="21"/>
        <v>0</v>
      </c>
      <c r="AN60" s="15">
        <f t="shared" si="22"/>
        <v>0</v>
      </c>
      <c r="AO60" s="15">
        <f t="shared" si="23"/>
        <v>0</v>
      </c>
      <c r="AP60" s="31">
        <f t="shared" si="33"/>
        <v>0</v>
      </c>
      <c r="AQ60" s="31">
        <f t="shared" si="34"/>
        <v>0</v>
      </c>
    </row>
    <row r="61" spans="8:43" x14ac:dyDescent="0.25">
      <c r="H61" s="15">
        <v>1.58</v>
      </c>
      <c r="I61" s="45">
        <f t="shared" si="24"/>
        <v>380.1893963205614</v>
      </c>
      <c r="J61" s="32">
        <f t="shared" si="25"/>
        <v>90.547738652556276</v>
      </c>
      <c r="K61" s="32">
        <f t="shared" si="26"/>
        <v>29.881760995919187</v>
      </c>
      <c r="L61" s="15">
        <f t="shared" si="0"/>
        <v>3.8729613733905581</v>
      </c>
      <c r="M61" s="15">
        <f t="shared" si="1"/>
        <v>-8.9344435719014889E-2</v>
      </c>
      <c r="N61" s="15">
        <f t="shared" si="2"/>
        <v>1.0560251052668507E-5</v>
      </c>
      <c r="O61" s="15">
        <f t="shared" si="3"/>
        <v>-34.632666392911325</v>
      </c>
      <c r="P61" s="15">
        <f t="shared" si="4"/>
        <v>-1.6939825263110393</v>
      </c>
      <c r="Q61" s="15">
        <f t="shared" si="5"/>
        <v>-1.425917423655325E-2</v>
      </c>
      <c r="R61" s="15">
        <f t="shared" si="6"/>
        <v>-2.6898483972509096E-7</v>
      </c>
      <c r="S61" s="31">
        <f t="shared" si="27"/>
        <v>-34.736270002866895</v>
      </c>
      <c r="T61" s="31">
        <f t="shared" si="28"/>
        <v>10.066891077220136</v>
      </c>
      <c r="U61" s="15">
        <f t="shared" si="7"/>
        <v>6500</v>
      </c>
      <c r="V61" s="15">
        <f t="shared" si="8"/>
        <v>-89.927317711831876</v>
      </c>
      <c r="W61" s="15">
        <f t="shared" si="9"/>
        <v>-57.93388315341921</v>
      </c>
      <c r="X61" s="15">
        <f t="shared" si="10"/>
        <v>32.430780544271016</v>
      </c>
      <c r="Y61" s="15">
        <f t="shared" si="11"/>
        <v>1.4727399812841266</v>
      </c>
      <c r="Z61" s="15">
        <f t="shared" si="12"/>
        <v>-0.24269321004530581</v>
      </c>
      <c r="AA61" s="15">
        <f t="shared" si="13"/>
        <v>-7.792119373290247E-5</v>
      </c>
      <c r="AB61" s="31">
        <f t="shared" si="29"/>
        <v>-57.739230377606162</v>
      </c>
      <c r="AC61" s="31">
        <f t="shared" si="30"/>
        <v>19.797046039528301</v>
      </c>
      <c r="AD61" s="15">
        <f t="shared" si="14"/>
        <v>3.7385773960563129</v>
      </c>
      <c r="AE61" s="15">
        <f t="shared" si="15"/>
        <v>1.8503769771968579E-2</v>
      </c>
      <c r="AF61" s="15">
        <f t="shared" si="16"/>
        <v>1.539767054727594E-3</v>
      </c>
      <c r="AG61" s="15">
        <f t="shared" si="17"/>
        <v>3.1365271580814504E-9</v>
      </c>
      <c r="AH61" s="15">
        <f t="shared" si="18"/>
        <v>-0.71687813008170709</v>
      </c>
      <c r="AI61" s="15">
        <f t="shared" si="19"/>
        <v>-6.7989373774763392E-4</v>
      </c>
      <c r="AJ61" s="31">
        <f t="shared" si="31"/>
        <v>3.0232390330293333</v>
      </c>
      <c r="AK61" s="31">
        <f t="shared" si="32"/>
        <v>1.7823879170748104E-2</v>
      </c>
      <c r="AL61" s="15">
        <f t="shared" si="20"/>
        <v>0</v>
      </c>
      <c r="AM61" s="15">
        <f t="shared" si="21"/>
        <v>0</v>
      </c>
      <c r="AN61" s="15">
        <f t="shared" si="22"/>
        <v>0</v>
      </c>
      <c r="AO61" s="15">
        <f t="shared" si="23"/>
        <v>0</v>
      </c>
      <c r="AP61" s="31">
        <f t="shared" si="33"/>
        <v>0</v>
      </c>
      <c r="AQ61" s="31">
        <f t="shared" si="34"/>
        <v>0</v>
      </c>
    </row>
    <row r="62" spans="8:43" x14ac:dyDescent="0.25">
      <c r="H62" s="15">
        <v>1.59</v>
      </c>
      <c r="I62" s="45">
        <f t="shared" si="24"/>
        <v>389.04514499428075</v>
      </c>
      <c r="J62" s="32">
        <f t="shared" si="25"/>
        <v>90.588843912010233</v>
      </c>
      <c r="K62" s="32">
        <f t="shared" si="26"/>
        <v>29.675456831378401</v>
      </c>
      <c r="L62" s="15">
        <f t="shared" si="0"/>
        <v>3.8729613733905581</v>
      </c>
      <c r="M62" s="15">
        <f t="shared" si="1"/>
        <v>-9.1425531478179584E-2</v>
      </c>
      <c r="N62" s="15">
        <f t="shared" si="2"/>
        <v>1.1057939719234444E-5</v>
      </c>
      <c r="O62" s="15">
        <f t="shared" si="3"/>
        <v>-35.252056673176128</v>
      </c>
      <c r="P62" s="15">
        <f t="shared" si="4"/>
        <v>-1.7595908488595295</v>
      </c>
      <c r="Q62" s="15">
        <f t="shared" si="5"/>
        <v>-1.4591313057778079E-2</v>
      </c>
      <c r="R62" s="15">
        <f t="shared" si="6"/>
        <v>-2.8166170304769868E-7</v>
      </c>
      <c r="S62" s="31">
        <f t="shared" si="27"/>
        <v>-35.358073517712086</v>
      </c>
      <c r="T62" s="31">
        <f t="shared" si="28"/>
        <v>10.001283239683449</v>
      </c>
      <c r="U62" s="15">
        <f t="shared" si="7"/>
        <v>6500</v>
      </c>
      <c r="V62" s="15">
        <f t="shared" si="8"/>
        <v>-89.928972160983108</v>
      </c>
      <c r="W62" s="15">
        <f t="shared" si="9"/>
        <v>-58.133882838876175</v>
      </c>
      <c r="X62" s="15">
        <f t="shared" si="10"/>
        <v>33.030830292978251</v>
      </c>
      <c r="Y62" s="15">
        <f t="shared" si="11"/>
        <v>1.5312089381398253</v>
      </c>
      <c r="Z62" s="15">
        <f t="shared" si="12"/>
        <v>-0.24834619111499767</v>
      </c>
      <c r="AA62" s="15">
        <f t="shared" si="13"/>
        <v>-8.1593471960883342E-5</v>
      </c>
      <c r="AB62" s="31">
        <f t="shared" si="29"/>
        <v>-57.146488059119854</v>
      </c>
      <c r="AC62" s="31">
        <f t="shared" si="30"/>
        <v>19.655511638648804</v>
      </c>
      <c r="AD62" s="15">
        <f t="shared" si="14"/>
        <v>3.8254044188311394</v>
      </c>
      <c r="AE62" s="15">
        <f t="shared" si="15"/>
        <v>1.9373883278042549E-2</v>
      </c>
      <c r="AF62" s="15">
        <f t="shared" si="16"/>
        <v>1.5756328368296466E-3</v>
      </c>
      <c r="AG62" s="15">
        <f t="shared" si="17"/>
        <v>3.2843469867198349E-9</v>
      </c>
      <c r="AH62" s="15">
        <f t="shared" si="18"/>
        <v>-0.73357456282578581</v>
      </c>
      <c r="AI62" s="15">
        <f t="shared" si="19"/>
        <v>-7.1193351624034473E-4</v>
      </c>
      <c r="AJ62" s="31">
        <f t="shared" si="31"/>
        <v>3.0934054888421829</v>
      </c>
      <c r="AK62" s="31">
        <f t="shared" si="32"/>
        <v>1.8661953046149191E-2</v>
      </c>
      <c r="AL62" s="15">
        <f t="shared" si="20"/>
        <v>0</v>
      </c>
      <c r="AM62" s="15">
        <f t="shared" si="21"/>
        <v>0</v>
      </c>
      <c r="AN62" s="15">
        <f t="shared" si="22"/>
        <v>0</v>
      </c>
      <c r="AO62" s="15">
        <f t="shared" si="23"/>
        <v>0</v>
      </c>
      <c r="AP62" s="31">
        <f t="shared" si="33"/>
        <v>0</v>
      </c>
      <c r="AQ62" s="31">
        <f t="shared" si="34"/>
        <v>0</v>
      </c>
    </row>
    <row r="63" spans="8:43" x14ac:dyDescent="0.25">
      <c r="H63" s="15">
        <v>1.6</v>
      </c>
      <c r="I63" s="45">
        <f t="shared" si="24"/>
        <v>398.10717055349755</v>
      </c>
      <c r="J63" s="32">
        <f t="shared" si="25"/>
        <v>90.632269492944133</v>
      </c>
      <c r="K63" s="32">
        <f t="shared" si="26"/>
        <v>29.469069225916517</v>
      </c>
      <c r="L63" s="15">
        <f t="shared" si="0"/>
        <v>3.8729613733905581</v>
      </c>
      <c r="M63" s="15">
        <f t="shared" si="1"/>
        <v>-9.3555101935026946E-2</v>
      </c>
      <c r="N63" s="15">
        <f t="shared" si="2"/>
        <v>1.1579083668802073E-5</v>
      </c>
      <c r="O63" s="15">
        <f t="shared" si="3"/>
        <v>-35.876224508435598</v>
      </c>
      <c r="P63" s="15">
        <f t="shared" si="4"/>
        <v>-1.8272451699452452</v>
      </c>
      <c r="Q63" s="15">
        <f t="shared" si="5"/>
        <v>-1.4931188384986476E-2</v>
      </c>
      <c r="R63" s="15">
        <f t="shared" si="6"/>
        <v>-2.9493600962747703E-7</v>
      </c>
      <c r="S63" s="31">
        <f t="shared" si="27"/>
        <v>-35.984710798755607</v>
      </c>
      <c r="T63" s="31">
        <f t="shared" si="28"/>
        <v>9.9336294264673768</v>
      </c>
      <c r="U63" s="15">
        <f t="shared" si="7"/>
        <v>6500</v>
      </c>
      <c r="V63" s="15">
        <f t="shared" si="8"/>
        <v>-89.930588950388326</v>
      </c>
      <c r="W63" s="15">
        <f t="shared" si="9"/>
        <v>-58.333882538489888</v>
      </c>
      <c r="X63" s="15">
        <f t="shared" si="10"/>
        <v>33.636511838928286</v>
      </c>
      <c r="Y63" s="15">
        <f t="shared" si="11"/>
        <v>1.5916013063250098</v>
      </c>
      <c r="Z63" s="15">
        <f t="shared" si="12"/>
        <v>-0.25413084202294406</v>
      </c>
      <c r="AA63" s="15">
        <f t="shared" si="13"/>
        <v>-8.5438815999158371E-5</v>
      </c>
      <c r="AB63" s="31">
        <f t="shared" si="29"/>
        <v>-56.548207953482986</v>
      </c>
      <c r="AC63" s="31">
        <f t="shared" si="30"/>
        <v>19.515900461876235</v>
      </c>
      <c r="AD63" s="15">
        <f t="shared" si="14"/>
        <v>3.9142356875875368</v>
      </c>
      <c r="AE63" s="15">
        <f t="shared" si="15"/>
        <v>2.0284817163404571E-2</v>
      </c>
      <c r="AF63" s="15">
        <f t="shared" si="16"/>
        <v>1.612334040316068E-3</v>
      </c>
      <c r="AG63" s="15">
        <f t="shared" si="17"/>
        <v>3.4391331169713284E-9</v>
      </c>
      <c r="AH63" s="15">
        <f t="shared" si="18"/>
        <v>-0.75065977644513848</v>
      </c>
      <c r="AI63" s="15">
        <f t="shared" si="19"/>
        <v>-7.4548302963281369E-4</v>
      </c>
      <c r="AJ63" s="31">
        <f t="shared" si="31"/>
        <v>3.1651882451827142</v>
      </c>
      <c r="AK63" s="31">
        <f t="shared" si="32"/>
        <v>1.9539337572904873E-2</v>
      </c>
      <c r="AL63" s="15">
        <f t="shared" si="20"/>
        <v>0</v>
      </c>
      <c r="AM63" s="15">
        <f t="shared" si="21"/>
        <v>0</v>
      </c>
      <c r="AN63" s="15">
        <f t="shared" si="22"/>
        <v>0</v>
      </c>
      <c r="AO63" s="15">
        <f t="shared" si="23"/>
        <v>0</v>
      </c>
      <c r="AP63" s="31">
        <f t="shared" si="33"/>
        <v>0</v>
      </c>
      <c r="AQ63" s="31">
        <f t="shared" si="34"/>
        <v>0</v>
      </c>
    </row>
    <row r="64" spans="8:43" x14ac:dyDescent="0.25">
      <c r="H64" s="15">
        <v>1.61</v>
      </c>
      <c r="I64" s="45">
        <f t="shared" si="24"/>
        <v>407.38027780411301</v>
      </c>
      <c r="J64" s="32">
        <f t="shared" si="25"/>
        <v>90.678087812353752</v>
      </c>
      <c r="K64" s="32">
        <f t="shared" si="26"/>
        <v>29.26260470733121</v>
      </c>
      <c r="L64" s="15">
        <f t="shared" si="0"/>
        <v>3.8729613733905581</v>
      </c>
      <c r="M64" s="15">
        <f t="shared" si="1"/>
        <v>-9.5734276192452464E-2</v>
      </c>
      <c r="N64" s="15">
        <f t="shared" si="2"/>
        <v>1.2124788308038742E-5</v>
      </c>
      <c r="O64" s="15">
        <f t="shared" si="3"/>
        <v>-36.504908269433116</v>
      </c>
      <c r="P64" s="15">
        <f t="shared" si="4"/>
        <v>-1.8969761869988084</v>
      </c>
      <c r="Q64" s="15">
        <f t="shared" si="5"/>
        <v>-1.5278980424479957E-2</v>
      </c>
      <c r="R64" s="15">
        <f t="shared" si="6"/>
        <v>-3.0883591589405408E-7</v>
      </c>
      <c r="S64" s="31">
        <f t="shared" si="27"/>
        <v>-36.615921526050052</v>
      </c>
      <c r="T64" s="31">
        <f t="shared" si="28"/>
        <v>9.8638989412185474</v>
      </c>
      <c r="U64" s="15">
        <f t="shared" si="7"/>
        <v>6500</v>
      </c>
      <c r="V64" s="15">
        <f t="shared" si="8"/>
        <v>-89.932168937280366</v>
      </c>
      <c r="W64" s="15">
        <f t="shared" si="9"/>
        <v>-58.53388225162319</v>
      </c>
      <c r="X64" s="15">
        <f t="shared" si="10"/>
        <v>34.247604839875692</v>
      </c>
      <c r="Y64" s="15">
        <f t="shared" si="11"/>
        <v>1.6539524827680543</v>
      </c>
      <c r="Z64" s="15">
        <f t="shared" si="12"/>
        <v>-0.26005022939564298</v>
      </c>
      <c r="AA64" s="15">
        <f t="shared" si="13"/>
        <v>-8.946538186958005E-5</v>
      </c>
      <c r="AB64" s="31">
        <f t="shared" si="29"/>
        <v>-55.94461432680032</v>
      </c>
      <c r="AC64" s="31">
        <f t="shared" si="30"/>
        <v>19.37824789862011</v>
      </c>
      <c r="AD64" s="15">
        <f t="shared" si="14"/>
        <v>4.0051165926650327</v>
      </c>
      <c r="AE64" s="15">
        <f t="shared" si="15"/>
        <v>2.1238477296439091E-2</v>
      </c>
      <c r="AF64" s="15">
        <f t="shared" si="16"/>
        <v>1.6498901246506221E-3</v>
      </c>
      <c r="AG64" s="15">
        <f t="shared" si="17"/>
        <v>3.6012153488289838E-9</v>
      </c>
      <c r="AH64" s="15">
        <f t="shared" si="18"/>
        <v>-0.76814281758556902</v>
      </c>
      <c r="AI64" s="15">
        <f t="shared" si="19"/>
        <v>-7.8061340510069354E-4</v>
      </c>
      <c r="AJ64" s="31">
        <f t="shared" si="31"/>
        <v>3.2386236652041145</v>
      </c>
      <c r="AK64" s="31">
        <f t="shared" si="32"/>
        <v>2.0457867492553749E-2</v>
      </c>
      <c r="AL64" s="15">
        <f t="shared" si="20"/>
        <v>0</v>
      </c>
      <c r="AM64" s="15">
        <f t="shared" si="21"/>
        <v>0</v>
      </c>
      <c r="AN64" s="15">
        <f t="shared" si="22"/>
        <v>0</v>
      </c>
      <c r="AO64" s="15">
        <f t="shared" si="23"/>
        <v>0</v>
      </c>
      <c r="AP64" s="31">
        <f t="shared" si="33"/>
        <v>0</v>
      </c>
      <c r="AQ64" s="31">
        <f t="shared" si="34"/>
        <v>0</v>
      </c>
    </row>
    <row r="65" spans="8:43" x14ac:dyDescent="0.25">
      <c r="H65" s="15">
        <v>1.62</v>
      </c>
      <c r="I65" s="45">
        <f t="shared" si="24"/>
        <v>416.86938347033561</v>
      </c>
      <c r="J65" s="32">
        <f t="shared" si="25"/>
        <v>90.726370747677862</v>
      </c>
      <c r="K65" s="32">
        <f t="shared" si="26"/>
        <v>29.056070294753695</v>
      </c>
      <c r="L65" s="15">
        <f t="shared" si="0"/>
        <v>3.8729613733905581</v>
      </c>
      <c r="M65" s="15">
        <f t="shared" si="1"/>
        <v>-9.7964209652259104E-2</v>
      </c>
      <c r="N65" s="15">
        <f t="shared" si="2"/>
        <v>1.2696211139882677E-5</v>
      </c>
      <c r="O65" s="15">
        <f t="shared" si="3"/>
        <v>-37.137835771285509</v>
      </c>
      <c r="P65" s="15">
        <f t="shared" si="4"/>
        <v>-1.9688130435102855</v>
      </c>
      <c r="Q65" s="15">
        <f t="shared" si="5"/>
        <v>-1.5634873580098872E-2</v>
      </c>
      <c r="R65" s="15">
        <f t="shared" si="6"/>
        <v>-3.2339090326263641E-7</v>
      </c>
      <c r="S65" s="31">
        <f t="shared" si="27"/>
        <v>-37.251434854517868</v>
      </c>
      <c r="T65" s="31">
        <f t="shared" si="28"/>
        <v>9.7920626415749137</v>
      </c>
      <c r="U65" s="15">
        <f t="shared" si="7"/>
        <v>6500</v>
      </c>
      <c r="V65" s="15">
        <f t="shared" si="8"/>
        <v>-89.933712959379591</v>
      </c>
      <c r="W65" s="15">
        <f t="shared" si="9"/>
        <v>-58.733881977667608</v>
      </c>
      <c r="X65" s="15">
        <f t="shared" si="10"/>
        <v>34.863877184706098</v>
      </c>
      <c r="Y65" s="15">
        <f t="shared" si="11"/>
        <v>1.7182967173993624</v>
      </c>
      <c r="Z65" s="15">
        <f t="shared" si="12"/>
        <v>-0.26610749126489514</v>
      </c>
      <c r="AA65" s="15">
        <f t="shared" si="13"/>
        <v>-9.3681709942720361E-5</v>
      </c>
      <c r="AB65" s="31">
        <f t="shared" si="29"/>
        <v>-55.33594326593839</v>
      </c>
      <c r="AC65" s="31">
        <f t="shared" si="30"/>
        <v>19.242588190878926</v>
      </c>
      <c r="AD65" s="15">
        <f t="shared" si="14"/>
        <v>4.098093490088452</v>
      </c>
      <c r="AE65" s="15">
        <f t="shared" si="15"/>
        <v>2.223685764850062E-2</v>
      </c>
      <c r="AF65" s="15">
        <f t="shared" si="16"/>
        <v>1.6883210025662081E-3</v>
      </c>
      <c r="AG65" s="15">
        <f t="shared" si="17"/>
        <v>3.7709350542154045E-9</v>
      </c>
      <c r="AH65" s="15">
        <f t="shared" si="18"/>
        <v>-0.78603294295689141</v>
      </c>
      <c r="AI65" s="15">
        <f t="shared" si="19"/>
        <v>-8.1739911958142431E-4</v>
      </c>
      <c r="AJ65" s="31">
        <f t="shared" si="31"/>
        <v>3.3137488681341272</v>
      </c>
      <c r="AK65" s="31">
        <f t="shared" si="32"/>
        <v>2.1419462299854249E-2</v>
      </c>
      <c r="AL65" s="15">
        <f t="shared" si="20"/>
        <v>0</v>
      </c>
      <c r="AM65" s="15">
        <f t="shared" si="21"/>
        <v>0</v>
      </c>
      <c r="AN65" s="15">
        <f t="shared" si="22"/>
        <v>0</v>
      </c>
      <c r="AO65" s="15">
        <f t="shared" si="23"/>
        <v>0</v>
      </c>
      <c r="AP65" s="31">
        <f t="shared" si="33"/>
        <v>0</v>
      </c>
      <c r="AQ65" s="31">
        <f t="shared" si="34"/>
        <v>0</v>
      </c>
    </row>
    <row r="66" spans="8:43" x14ac:dyDescent="0.25">
      <c r="H66" s="15">
        <v>1.63</v>
      </c>
      <c r="I66" s="45">
        <f t="shared" si="24"/>
        <v>426.57951880159266</v>
      </c>
      <c r="J66" s="32">
        <f t="shared" si="25"/>
        <v>90.77718943967696</v>
      </c>
      <c r="K66" s="32">
        <f t="shared" si="26"/>
        <v>28.849473494695239</v>
      </c>
      <c r="L66" s="15">
        <f t="shared" si="0"/>
        <v>3.8729613733905581</v>
      </c>
      <c r="M66" s="15">
        <f t="shared" si="1"/>
        <v>-0.10024608462764624</v>
      </c>
      <c r="N66" s="15">
        <f t="shared" si="2"/>
        <v>1.3294564222524342E-5</v>
      </c>
      <c r="O66" s="15">
        <f t="shared" si="3"/>
        <v>-37.774724739105331</v>
      </c>
      <c r="P66" s="15">
        <f t="shared" si="4"/>
        <v>-2.0427832225195228</v>
      </c>
      <c r="Q66" s="15">
        <f t="shared" si="5"/>
        <v>-1.5999056550995202E-2</v>
      </c>
      <c r="R66" s="15">
        <f t="shared" si="6"/>
        <v>-3.3863184756555128E-7</v>
      </c>
      <c r="S66" s="31">
        <f t="shared" si="27"/>
        <v>-37.890969880283976</v>
      </c>
      <c r="T66" s="31">
        <f t="shared" si="28"/>
        <v>9.718093045677815</v>
      </c>
      <c r="U66" s="15">
        <f t="shared" si="7"/>
        <v>6500</v>
      </c>
      <c r="V66" s="15">
        <f t="shared" si="8"/>
        <v>-89.935221835337941</v>
      </c>
      <c r="W66" s="15">
        <f t="shared" si="9"/>
        <v>-58.933881716042023</v>
      </c>
      <c r="X66" s="15">
        <f t="shared" si="10"/>
        <v>35.485085253525064</v>
      </c>
      <c r="Y66" s="15">
        <f t="shared" si="11"/>
        <v>1.7846669988719435</v>
      </c>
      <c r="Z66" s="15">
        <f t="shared" si="12"/>
        <v>-0.27230583872921599</v>
      </c>
      <c r="AA66" s="15">
        <f t="shared" si="13"/>
        <v>-9.809674304887684E-5</v>
      </c>
      <c r="AB66" s="31">
        <f t="shared" si="29"/>
        <v>-54.722442420542095</v>
      </c>
      <c r="AC66" s="31">
        <f t="shared" si="30"/>
        <v>19.108954318943987</v>
      </c>
      <c r="AD66" s="15">
        <f t="shared" si="14"/>
        <v>4.1932137176312425</v>
      </c>
      <c r="AE66" s="15">
        <f t="shared" si="15"/>
        <v>2.3282044282206395E-2</v>
      </c>
      <c r="AF66" s="15">
        <f t="shared" si="16"/>
        <v>1.7276470506228513E-3</v>
      </c>
      <c r="AG66" s="15">
        <f t="shared" si="17"/>
        <v>3.9486528916024696E-9</v>
      </c>
      <c r="AH66" s="15">
        <f t="shared" si="18"/>
        <v>-0.80433962417881666</v>
      </c>
      <c r="AI66" s="15">
        <f t="shared" si="19"/>
        <v>-8.5591815742207017E-4</v>
      </c>
      <c r="AJ66" s="31">
        <f t="shared" si="31"/>
        <v>3.3906017405030484</v>
      </c>
      <c r="AK66" s="31">
        <f t="shared" si="32"/>
        <v>2.2426130073437217E-2</v>
      </c>
      <c r="AL66" s="15">
        <f t="shared" si="20"/>
        <v>0</v>
      </c>
      <c r="AM66" s="15">
        <f t="shared" si="21"/>
        <v>0</v>
      </c>
      <c r="AN66" s="15">
        <f t="shared" si="22"/>
        <v>0</v>
      </c>
      <c r="AO66" s="15">
        <f t="shared" si="23"/>
        <v>0</v>
      </c>
      <c r="AP66" s="31">
        <f t="shared" si="33"/>
        <v>0</v>
      </c>
      <c r="AQ66" s="31">
        <f t="shared" si="34"/>
        <v>0</v>
      </c>
    </row>
    <row r="67" spans="8:43" x14ac:dyDescent="0.25">
      <c r="H67" s="15">
        <v>1.64</v>
      </c>
      <c r="I67" s="45">
        <f t="shared" si="24"/>
        <v>436.51583224016611</v>
      </c>
      <c r="J67" s="32">
        <f t="shared" si="25"/>
        <v>90.830614096376436</v>
      </c>
      <c r="K67" s="32">
        <f t="shared" si="26"/>
        <v>28.642822294484809</v>
      </c>
      <c r="L67" s="15">
        <f t="shared" ref="L67:L130" si="35">A_PS</f>
        <v>3.8729613733905581</v>
      </c>
      <c r="M67" s="15">
        <f t="shared" ref="M67:M130" si="36">-180/PI()*ATAN($I67/z_RHP/1000)</f>
        <v>-0.10258111096995869</v>
      </c>
      <c r="N67" s="15">
        <f t="shared" ref="N67:N130" si="37">20*LOG(SQRT(($I67/z_RHP/1000)^2+1))</f>
        <v>1.3921116726744072E-5</v>
      </c>
      <c r="O67" s="15">
        <f t="shared" ref="O67:O130" si="38">-180/PI()*ATAN($I67/p_small)</f>
        <v>-38.415283328978973</v>
      </c>
      <c r="P67" s="15">
        <f t="shared" ref="P67:P130" si="39">-20*LOG(SQRT(($I67/p_small)^2+1))</f>
        <v>-2.1189124440294544</v>
      </c>
      <c r="Q67" s="15">
        <f t="shared" ref="Q67:Q130" si="40">-180/PI()*ATAN($I67/p_large/1000)</f>
        <v>-1.6371722431682906E-2</v>
      </c>
      <c r="R67" s="15">
        <f t="shared" ref="R67:R130" si="41">-20*LOG(SQRT(($I67/p_large/1000)^2+1))</f>
        <v>-3.5459107305454704E-7</v>
      </c>
      <c r="S67" s="31">
        <f t="shared" si="27"/>
        <v>-38.534236162380616</v>
      </c>
      <c r="T67" s="31">
        <f t="shared" si="28"/>
        <v>9.6419644347611619</v>
      </c>
      <c r="U67" s="15">
        <f t="shared" ref="U67:U130" si="42">A_EA</f>
        <v>6500</v>
      </c>
      <c r="V67" s="15">
        <f t="shared" ref="V67:V130" si="43">-180/PI()*ATAN($I67/p_EA)</f>
        <v>-89.936696365173077</v>
      </c>
      <c r="W67" s="15">
        <f t="shared" ref="W67:W130" si="44">-20*LOG(SQRT(($I67/p_EA)^2+1))</f>
        <v>-59.133881466191539</v>
      </c>
      <c r="X67" s="15">
        <f t="shared" ref="X67:X130" si="45">180/PI()*ATAN($I67/z_comp)</f>
        <v>36.1109742343927</v>
      </c>
      <c r="Y67" s="15">
        <f t="shared" ref="Y67:Y130" si="46">20*LOG(SQRT(($I67/z_comp)^2+1))</f>
        <v>1.853094941432031</v>
      </c>
      <c r="Z67" s="15">
        <f t="shared" ref="Z67:Z130" si="47">IF(p_comp="",0,-180/PI()*ATAN($I67/p_comp/1000))</f>
        <v>-0.27864855765381624</v>
      </c>
      <c r="AA67" s="15">
        <f t="shared" ref="AA67:AA130" si="48">IF(p_comp="",0,-20*LOG(SQRT(($I67/p_comp/1000)^2+1)))</f>
        <v>-1.0271984544319067E-4</v>
      </c>
      <c r="AB67" s="31">
        <f t="shared" si="29"/>
        <v>-54.104370688434194</v>
      </c>
      <c r="AC67" s="31">
        <f t="shared" si="30"/>
        <v>18.97737788825216</v>
      </c>
      <c r="AD67" s="15">
        <f t="shared" ref="AD67:AD130" si="49">IF(z_esr_1="",0,180/PI()*ATAN($I67/z_esr_1/1000))</f>
        <v>4.2905256108075776</v>
      </c>
      <c r="AE67" s="15">
        <f t="shared" ref="AE67:AE130" si="50">IF(z_esr_1="",0,20*LOG(SQRT(($I67/z_esr_1/1000)^2+1)))</f>
        <v>2.4376219512162251E-2</v>
      </c>
      <c r="AF67" s="15">
        <f t="shared" ref="AF67:AF130" si="51">180/PI()*ATAN($I67/z_esr_2/1000)</f>
        <v>1.7678891200116269E-3</v>
      </c>
      <c r="AG67" s="15">
        <f t="shared" ref="AG67:AG130" si="52">20*LOG(SQRT(($I67/z_esr_2/1000)^2+1))</f>
        <v>4.1347488060113288E-9</v>
      </c>
      <c r="AH67" s="15">
        <f t="shared" ref="AH67:AH130" si="53">IF(p_esr="",0,-180/PI()*ATAN($I67/p_esr/1000))</f>
        <v>-0.82307255273635027</v>
      </c>
      <c r="AI67" s="15">
        <f t="shared" ref="AI67:AI130" si="54">IF(p_esr="",0,-20*LOG(SQRT(($I67/p_esr/1000)^2+1)))</f>
        <v>-8.9625217542333834E-4</v>
      </c>
      <c r="AJ67" s="31">
        <f t="shared" si="31"/>
        <v>3.4692209471912387</v>
      </c>
      <c r="AK67" s="31">
        <f t="shared" si="32"/>
        <v>2.3479971471487719E-2</v>
      </c>
      <c r="AL67" s="15">
        <f t="shared" ref="AL67:AL130" si="55">IF(z_ff="",0,180/PI()*ATAN($I67/z_ff/1000))</f>
        <v>0</v>
      </c>
      <c r="AM67" s="15">
        <f t="shared" ref="AM67:AM130" si="56">IF(z_ff="",0,20*LOG(SQRT(($I67/z_ff/1000)^2+1)))</f>
        <v>0</v>
      </c>
      <c r="AN67" s="15">
        <f t="shared" ref="AN67:AN130" si="57">IF(p_ff="",0,-180/PI()*ATAN($I67/p_ff/1000))</f>
        <v>0</v>
      </c>
      <c r="AO67" s="15">
        <f t="shared" ref="AO67:AO130" si="58">IF(p_ff="",0,-20*LOG(SQRT(($I67/p_ff/1000)^2+1)))</f>
        <v>0</v>
      </c>
      <c r="AP67" s="31">
        <f t="shared" si="33"/>
        <v>0</v>
      </c>
      <c r="AQ67" s="31">
        <f t="shared" si="34"/>
        <v>0</v>
      </c>
    </row>
    <row r="68" spans="8:43" x14ac:dyDescent="0.25">
      <c r="H68" s="15">
        <v>1.65</v>
      </c>
      <c r="I68" s="45">
        <f t="shared" ref="I68:I131" si="59">10*10^H68</f>
        <v>446.68359215096325</v>
      </c>
      <c r="J68" s="32">
        <f t="shared" ref="J68:J131" si="60">180+S68+AB68+AJ68+AP68</f>
        <v>90.886713799886351</v>
      </c>
      <c r="K68" s="32">
        <f t="shared" ref="K68:K131" si="61">T68+AC68+AK68+AQ68</f>
        <v>28.436125153080301</v>
      </c>
      <c r="L68" s="15">
        <f t="shared" si="35"/>
        <v>3.8729613733905581</v>
      </c>
      <c r="M68" s="15">
        <f t="shared" si="36"/>
        <v>-0.10497052671002734</v>
      </c>
      <c r="N68" s="15">
        <f t="shared" si="37"/>
        <v>1.4577197643679061E-5</v>
      </c>
      <c r="O68" s="15">
        <f t="shared" si="38"/>
        <v>-39.059210702748452</v>
      </c>
      <c r="P68" s="15">
        <f t="shared" si="39"/>
        <v>-2.1972245671139907</v>
      </c>
      <c r="Q68" s="15">
        <f t="shared" si="40"/>
        <v>-1.6753068814418515E-2</v>
      </c>
      <c r="R68" s="15">
        <f t="shared" si="41"/>
        <v>-3.71302435332913E-7</v>
      </c>
      <c r="S68" s="31">
        <f t="shared" ref="S68:S131" si="62">M68+O68+Q68</f>
        <v>-39.180934298272895</v>
      </c>
      <c r="T68" s="31">
        <f t="shared" ref="T68:T131" si="63">20*LOG(L68)+N68+P68+R68</f>
        <v>9.5636529510461816</v>
      </c>
      <c r="U68" s="15">
        <f t="shared" si="42"/>
        <v>6500</v>
      </c>
      <c r="V68" s="15">
        <f t="shared" si="43"/>
        <v>-89.938137330692399</v>
      </c>
      <c r="W68" s="15">
        <f t="shared" si="44"/>
        <v>-59.333881227586154</v>
      </c>
      <c r="X68" s="15">
        <f t="shared" si="45"/>
        <v>36.741278496999669</v>
      </c>
      <c r="Y68" s="15">
        <f t="shared" si="46"/>
        <v>1.9236106736870726</v>
      </c>
      <c r="Z68" s="15">
        <f t="shared" si="47"/>
        <v>-0.28513901041003875</v>
      </c>
      <c r="AA68" s="15">
        <f t="shared" si="48"/>
        <v>-1.0756082266728044E-4</v>
      </c>
      <c r="AB68" s="31">
        <f t="shared" ref="AB68:AB131" si="64">V68+X68+Z68</f>
        <v>-53.481997844102771</v>
      </c>
      <c r="AC68" s="31">
        <f t="shared" ref="AC68:AC131" si="65">20*LOG(U68)+W68+Y68+AA68</f>
        <v>18.847889018135366</v>
      </c>
      <c r="AD68" s="15">
        <f t="shared" si="49"/>
        <v>4.3900785187614142</v>
      </c>
      <c r="AE68" s="15">
        <f t="shared" si="50"/>
        <v>2.5521666244783317E-2</v>
      </c>
      <c r="AF68" s="15">
        <f t="shared" si="51"/>
        <v>1.8090685476102293E-3</v>
      </c>
      <c r="AG68" s="15">
        <f t="shared" si="52"/>
        <v>4.3296123857377381E-9</v>
      </c>
      <c r="AH68" s="15">
        <f t="shared" si="53"/>
        <v>-0.84224164504700527</v>
      </c>
      <c r="AI68" s="15">
        <f t="shared" si="54"/>
        <v>-9.3848667564415747E-4</v>
      </c>
      <c r="AJ68" s="31">
        <f t="shared" ref="AJ68:AJ131" si="66">AD68+AF68+AH68</f>
        <v>3.549645942262019</v>
      </c>
      <c r="AK68" s="31">
        <f t="shared" ref="AK68:AK131" si="67">AE68+AG68+AI68</f>
        <v>2.4583183898751547E-2</v>
      </c>
      <c r="AL68" s="15">
        <f t="shared" si="55"/>
        <v>0</v>
      </c>
      <c r="AM68" s="15">
        <f t="shared" si="56"/>
        <v>0</v>
      </c>
      <c r="AN68" s="15">
        <f t="shared" si="57"/>
        <v>0</v>
      </c>
      <c r="AO68" s="15">
        <f t="shared" si="58"/>
        <v>0</v>
      </c>
      <c r="AP68" s="31">
        <f t="shared" ref="AP68:AP131" si="68">AL68+AN68</f>
        <v>0</v>
      </c>
      <c r="AQ68" s="31">
        <f t="shared" ref="AQ68:AQ131" si="69">AM68+AO68</f>
        <v>0</v>
      </c>
    </row>
    <row r="69" spans="8:43" x14ac:dyDescent="0.25">
      <c r="H69" s="15">
        <v>1.66</v>
      </c>
      <c r="I69" s="45">
        <f t="shared" si="59"/>
        <v>457.08818961487509</v>
      </c>
      <c r="J69" s="32">
        <f t="shared" si="60"/>
        <v>90.945556317955564</v>
      </c>
      <c r="K69" s="32">
        <f t="shared" si="61"/>
        <v>28.22939098926658</v>
      </c>
      <c r="L69" s="15">
        <f t="shared" si="35"/>
        <v>3.8729613733905581</v>
      </c>
      <c r="M69" s="15">
        <f t="shared" si="36"/>
        <v>-0.10741559871444166</v>
      </c>
      <c r="N69" s="15">
        <f t="shared" si="37"/>
        <v>1.5264198596731537E-5</v>
      </c>
      <c r="O69" s="15">
        <f t="shared" si="38"/>
        <v>-39.706197654512515</v>
      </c>
      <c r="P69" s="15">
        <f t="shared" si="39"/>
        <v>-2.2777414974781576</v>
      </c>
      <c r="Q69" s="15">
        <f t="shared" si="40"/>
        <v>-1.7143297893966652E-2</v>
      </c>
      <c r="R69" s="15">
        <f t="shared" si="41"/>
        <v>-3.8880137921508201E-7</v>
      </c>
      <c r="S69" s="31">
        <f t="shared" si="62"/>
        <v>-39.830756551120921</v>
      </c>
      <c r="T69" s="31">
        <f t="shared" si="63"/>
        <v>9.4831366901840237</v>
      </c>
      <c r="U69" s="15">
        <f t="shared" si="42"/>
        <v>6500</v>
      </c>
      <c r="V69" s="15">
        <f t="shared" si="43"/>
        <v>-89.939545495907623</v>
      </c>
      <c r="W69" s="15">
        <f t="shared" si="44"/>
        <v>-59.53388099971977</v>
      </c>
      <c r="X69" s="15">
        <f t="shared" si="45"/>
        <v>37.37572202309606</v>
      </c>
      <c r="Y69" s="15">
        <f t="shared" si="46"/>
        <v>1.9962427300361674</v>
      </c>
      <c r="Z69" s="15">
        <f t="shared" si="47"/>
        <v>-0.29178063765516365</v>
      </c>
      <c r="AA69" s="15">
        <f t="shared" si="48"/>
        <v>-1.1262994233436296E-4</v>
      </c>
      <c r="AB69" s="31">
        <f t="shared" si="64"/>
        <v>-52.855604110466729</v>
      </c>
      <c r="AC69" s="31">
        <f t="shared" si="65"/>
        <v>18.72051623323118</v>
      </c>
      <c r="AD69" s="15">
        <f t="shared" si="49"/>
        <v>4.4919228200180923</v>
      </c>
      <c r="AE69" s="15">
        <f t="shared" si="50"/>
        <v>2.6720772504040854E-2</v>
      </c>
      <c r="AF69" s="15">
        <f t="shared" si="51"/>
        <v>1.8512071672960771E-3</v>
      </c>
      <c r="AG69" s="15">
        <f t="shared" si="52"/>
        <v>4.5336602202464402E-9</v>
      </c>
      <c r="AH69" s="15">
        <f t="shared" si="53"/>
        <v>-0.86185704764218618</v>
      </c>
      <c r="AI69" s="15">
        <f t="shared" si="54"/>
        <v>-9.8271118632521116E-4</v>
      </c>
      <c r="AJ69" s="31">
        <f t="shared" si="66"/>
        <v>3.631916979543202</v>
      </c>
      <c r="AK69" s="31">
        <f t="shared" si="67"/>
        <v>2.5738065851375863E-2</v>
      </c>
      <c r="AL69" s="15">
        <f t="shared" si="55"/>
        <v>0</v>
      </c>
      <c r="AM69" s="15">
        <f t="shared" si="56"/>
        <v>0</v>
      </c>
      <c r="AN69" s="15">
        <f t="shared" si="57"/>
        <v>0</v>
      </c>
      <c r="AO69" s="15">
        <f t="shared" si="58"/>
        <v>0</v>
      </c>
      <c r="AP69" s="31">
        <f t="shared" si="68"/>
        <v>0</v>
      </c>
      <c r="AQ69" s="31">
        <f t="shared" si="69"/>
        <v>0</v>
      </c>
    </row>
    <row r="70" spans="8:43" x14ac:dyDescent="0.25">
      <c r="H70" s="15">
        <v>1.67</v>
      </c>
      <c r="I70" s="45">
        <f t="shared" si="59"/>
        <v>467.73514128719819</v>
      </c>
      <c r="J70" s="32">
        <f t="shared" si="60"/>
        <v>91.007207922137667</v>
      </c>
      <c r="K70" s="32">
        <f t="shared" si="61"/>
        <v>28.022629167288159</v>
      </c>
      <c r="L70" s="15">
        <f t="shared" si="35"/>
        <v>3.8729613733905581</v>
      </c>
      <c r="M70" s="15">
        <f t="shared" si="36"/>
        <v>-0.10991762335710016</v>
      </c>
      <c r="N70" s="15">
        <f t="shared" si="37"/>
        <v>1.5983576788475932E-5</v>
      </c>
      <c r="O70" s="15">
        <f t="shared" si="38"/>
        <v>-40.355927286231186</v>
      </c>
      <c r="P70" s="15">
        <f t="shared" si="39"/>
        <v>-2.3604831012045158</v>
      </c>
      <c r="Q70" s="15">
        <f t="shared" si="40"/>
        <v>-1.7542616574805697E-2</v>
      </c>
      <c r="R70" s="15">
        <f t="shared" si="41"/>
        <v>-4.0712502358739693E-7</v>
      </c>
      <c r="S70" s="31">
        <f t="shared" si="62"/>
        <v>-40.483387526163092</v>
      </c>
      <c r="T70" s="31">
        <f t="shared" si="63"/>
        <v>9.4003957875122133</v>
      </c>
      <c r="U70" s="15">
        <f t="shared" si="42"/>
        <v>6500</v>
      </c>
      <c r="V70" s="15">
        <f t="shared" si="43"/>
        <v>-89.940921607439762</v>
      </c>
      <c r="W70" s="15">
        <f t="shared" si="44"/>
        <v>-59.733880782109054</v>
      </c>
      <c r="X70" s="15">
        <f t="shared" si="45"/>
        <v>38.014018892976523</v>
      </c>
      <c r="Y70" s="15">
        <f t="shared" si="46"/>
        <v>2.071017945537597</v>
      </c>
      <c r="Z70" s="15">
        <f t="shared" si="47"/>
        <v>-0.29857696015350788</v>
      </c>
      <c r="AA70" s="15">
        <f t="shared" si="48"/>
        <v>-1.1793795591111687E-4</v>
      </c>
      <c r="AB70" s="31">
        <f t="shared" si="64"/>
        <v>-52.22547967461675</v>
      </c>
      <c r="AC70" s="31">
        <f t="shared" si="65"/>
        <v>18.595286358329748</v>
      </c>
      <c r="AD70" s="15">
        <f t="shared" si="49"/>
        <v>4.5961099380610921</v>
      </c>
      <c r="AE70" s="15">
        <f t="shared" si="50"/>
        <v>2.7976036150182373E-2</v>
      </c>
      <c r="AF70" s="15">
        <f t="shared" si="51"/>
        <v>1.894327321522915E-3</v>
      </c>
      <c r="AG70" s="15">
        <f t="shared" si="52"/>
        <v>4.7473262568964993E-9</v>
      </c>
      <c r="AH70" s="15">
        <f t="shared" si="53"/>
        <v>-0.88192914246511867</v>
      </c>
      <c r="AI70" s="15">
        <f t="shared" si="54"/>
        <v>-1.0290194513127447E-3</v>
      </c>
      <c r="AJ70" s="31">
        <f t="shared" si="66"/>
        <v>3.7160751229174962</v>
      </c>
      <c r="AK70" s="31">
        <f t="shared" si="67"/>
        <v>2.6947021446195887E-2</v>
      </c>
      <c r="AL70" s="15">
        <f t="shared" si="55"/>
        <v>0</v>
      </c>
      <c r="AM70" s="15">
        <f t="shared" si="56"/>
        <v>0</v>
      </c>
      <c r="AN70" s="15">
        <f t="shared" si="57"/>
        <v>0</v>
      </c>
      <c r="AO70" s="15">
        <f t="shared" si="58"/>
        <v>0</v>
      </c>
      <c r="AP70" s="31">
        <f t="shared" si="68"/>
        <v>0</v>
      </c>
      <c r="AQ70" s="31">
        <f t="shared" si="69"/>
        <v>0</v>
      </c>
    </row>
    <row r="71" spans="8:43" x14ac:dyDescent="0.25">
      <c r="H71" s="15">
        <v>1.68</v>
      </c>
      <c r="I71" s="45">
        <f t="shared" si="59"/>
        <v>478.63009232263857</v>
      </c>
      <c r="J71" s="32">
        <f t="shared" si="60"/>
        <v>91.071733214438481</v>
      </c>
      <c r="K71" s="32">
        <f t="shared" si="61"/>
        <v>27.815849479997684</v>
      </c>
      <c r="L71" s="15">
        <f t="shared" si="35"/>
        <v>3.8729613733905581</v>
      </c>
      <c r="M71" s="15">
        <f t="shared" si="36"/>
        <v>-0.11247792720639498</v>
      </c>
      <c r="N71" s="15">
        <f t="shared" si="37"/>
        <v>1.6736858103779616E-5</v>
      </c>
      <c r="O71" s="15">
        <f t="shared" si="38"/>
        <v>-41.008075729301531</v>
      </c>
      <c r="P71" s="15">
        <f t="shared" si="39"/>
        <v>-2.4454671253867621</v>
      </c>
      <c r="Q71" s="15">
        <f t="shared" si="40"/>
        <v>-1.7951236580830584E-2</v>
      </c>
      <c r="R71" s="15">
        <f t="shared" si="41"/>
        <v>-4.2631223276828785E-7</v>
      </c>
      <c r="S71" s="31">
        <f t="shared" si="62"/>
        <v>-41.138504893088751</v>
      </c>
      <c r="T71" s="31">
        <f t="shared" si="63"/>
        <v>9.3154124974240702</v>
      </c>
      <c r="U71" s="15">
        <f t="shared" si="42"/>
        <v>6500</v>
      </c>
      <c r="V71" s="15">
        <f t="shared" si="43"/>
        <v>-89.942266394915023</v>
      </c>
      <c r="W71" s="15">
        <f t="shared" si="44"/>
        <v>-59.933880574292424</v>
      </c>
      <c r="X71" s="15">
        <f t="shared" si="45"/>
        <v>38.655873826802996</v>
      </c>
      <c r="Y71" s="15">
        <f t="shared" si="46"/>
        <v>2.1479613549891123</v>
      </c>
      <c r="Z71" s="15">
        <f t="shared" si="47"/>
        <v>-0.30553158063977159</v>
      </c>
      <c r="AA71" s="15">
        <f t="shared" si="48"/>
        <v>-1.234961215078257E-4</v>
      </c>
      <c r="AB71" s="31">
        <f t="shared" si="64"/>
        <v>-51.591924148751801</v>
      </c>
      <c r="AC71" s="31">
        <f t="shared" si="65"/>
        <v>18.472224417432297</v>
      </c>
      <c r="AD71" s="15">
        <f t="shared" si="49"/>
        <v>4.7026923566936052</v>
      </c>
      <c r="AE71" s="15">
        <f t="shared" si="50"/>
        <v>2.9290069798620543E-2</v>
      </c>
      <c r="AF71" s="15">
        <f t="shared" si="51"/>
        <v>1.9384518731670832E-3</v>
      </c>
      <c r="AG71" s="15">
        <f t="shared" si="52"/>
        <v>4.9710598722863628E-9</v>
      </c>
      <c r="AH71" s="15">
        <f t="shared" si="53"/>
        <v>-0.9024685522877498</v>
      </c>
      <c r="AI71" s="15">
        <f t="shared" si="54"/>
        <v>-1.0775096283637295E-3</v>
      </c>
      <c r="AJ71" s="31">
        <f t="shared" si="66"/>
        <v>3.8021622562790229</v>
      </c>
      <c r="AK71" s="31">
        <f t="shared" si="67"/>
        <v>2.8212565141316686E-2</v>
      </c>
      <c r="AL71" s="15">
        <f t="shared" si="55"/>
        <v>0</v>
      </c>
      <c r="AM71" s="15">
        <f t="shared" si="56"/>
        <v>0</v>
      </c>
      <c r="AN71" s="15">
        <f t="shared" si="57"/>
        <v>0</v>
      </c>
      <c r="AO71" s="15">
        <f t="shared" si="58"/>
        <v>0</v>
      </c>
      <c r="AP71" s="31">
        <f t="shared" si="68"/>
        <v>0</v>
      </c>
      <c r="AQ71" s="31">
        <f t="shared" si="69"/>
        <v>0</v>
      </c>
    </row>
    <row r="72" spans="8:43" x14ac:dyDescent="0.25">
      <c r="H72" s="15">
        <v>1.69</v>
      </c>
      <c r="I72" s="45">
        <f t="shared" si="59"/>
        <v>489.77881936844631</v>
      </c>
      <c r="J72" s="32">
        <f t="shared" si="60"/>
        <v>91.139194964275646</v>
      </c>
      <c r="K72" s="32">
        <f t="shared" si="61"/>
        <v>27.609062129636463</v>
      </c>
      <c r="L72" s="15">
        <f t="shared" si="35"/>
        <v>3.8729613733905581</v>
      </c>
      <c r="M72" s="15">
        <f t="shared" si="36"/>
        <v>-0.11509786772839337</v>
      </c>
      <c r="N72" s="15">
        <f t="shared" si="37"/>
        <v>1.7525640334420713E-5</v>
      </c>
      <c r="O72" s="15">
        <f t="shared" si="38"/>
        <v>-41.662312908474426</v>
      </c>
      <c r="P72" s="15">
        <f t="shared" si="39"/>
        <v>-2.532709126308776</v>
      </c>
      <c r="Q72" s="15">
        <f t="shared" si="40"/>
        <v>-1.8369374567610855E-2</v>
      </c>
      <c r="R72" s="15">
        <f t="shared" si="41"/>
        <v>-4.4640370908364856E-7</v>
      </c>
      <c r="S72" s="31">
        <f t="shared" si="62"/>
        <v>-41.795780150770433</v>
      </c>
      <c r="T72" s="31">
        <f t="shared" si="63"/>
        <v>9.2281712651928132</v>
      </c>
      <c r="U72" s="15">
        <f t="shared" si="42"/>
        <v>6500</v>
      </c>
      <c r="V72" s="15">
        <f t="shared" si="43"/>
        <v>-89.943580571351575</v>
      </c>
      <c r="W72" s="15">
        <f t="shared" si="44"/>
        <v>-60.133880375829065</v>
      </c>
      <c r="X72" s="15">
        <f t="shared" si="45"/>
        <v>39.300982779013438</v>
      </c>
      <c r="Y72" s="15">
        <f t="shared" si="46"/>
        <v>2.2270960969884972</v>
      </c>
      <c r="Z72" s="15">
        <f t="shared" si="47"/>
        <v>-0.31264818572560149</v>
      </c>
      <c r="AA72" s="15">
        <f t="shared" si="48"/>
        <v>-1.2931622775197836E-4</v>
      </c>
      <c r="AB72" s="31">
        <f t="shared" si="64"/>
        <v>-50.955245978063736</v>
      </c>
      <c r="AC72" s="31">
        <f t="shared" si="65"/>
        <v>18.351353537788793</v>
      </c>
      <c r="AD72" s="15">
        <f t="shared" si="49"/>
        <v>4.8117236351412513</v>
      </c>
      <c r="AE72" s="15">
        <f t="shared" si="50"/>
        <v>3.0665605946298163E-2</v>
      </c>
      <c r="AF72" s="15">
        <f t="shared" si="51"/>
        <v>1.9836042176497085E-3</v>
      </c>
      <c r="AG72" s="15">
        <f t="shared" si="52"/>
        <v>5.2053393728383764E-9</v>
      </c>
      <c r="AH72" s="15">
        <f t="shared" si="53"/>
        <v>-0.92348614624906822</v>
      </c>
      <c r="AI72" s="15">
        <f t="shared" si="54"/>
        <v>-1.1282844967787742E-3</v>
      </c>
      <c r="AJ72" s="31">
        <f t="shared" si="66"/>
        <v>3.8902210931098322</v>
      </c>
      <c r="AK72" s="31">
        <f t="shared" si="67"/>
        <v>2.953732665485876E-2</v>
      </c>
      <c r="AL72" s="15">
        <f t="shared" si="55"/>
        <v>0</v>
      </c>
      <c r="AM72" s="15">
        <f t="shared" si="56"/>
        <v>0</v>
      </c>
      <c r="AN72" s="15">
        <f t="shared" si="57"/>
        <v>0</v>
      </c>
      <c r="AO72" s="15">
        <f t="shared" si="58"/>
        <v>0</v>
      </c>
      <c r="AP72" s="31">
        <f t="shared" si="68"/>
        <v>0</v>
      </c>
      <c r="AQ72" s="31">
        <f t="shared" si="69"/>
        <v>0</v>
      </c>
    </row>
    <row r="73" spans="8:43" x14ac:dyDescent="0.25">
      <c r="H73" s="15">
        <v>1.7</v>
      </c>
      <c r="I73" s="45">
        <f t="shared" si="59"/>
        <v>501.18723362727235</v>
      </c>
      <c r="J73" s="32">
        <f t="shared" si="60"/>
        <v>91.209653957513297</v>
      </c>
      <c r="K73" s="32">
        <f t="shared" si="61"/>
        <v>27.402277706397442</v>
      </c>
      <c r="L73" s="15">
        <f t="shared" si="35"/>
        <v>3.8729613733905581</v>
      </c>
      <c r="M73" s="15">
        <f t="shared" si="36"/>
        <v>-0.1177788340063893</v>
      </c>
      <c r="N73" s="15">
        <f t="shared" si="37"/>
        <v>1.8351596571489885E-5</v>
      </c>
      <c r="O73" s="15">
        <f t="shared" si="38"/>
        <v>-42.318303344014538</v>
      </c>
      <c r="P73" s="15">
        <f t="shared" si="39"/>
        <v>-2.6222224057756587</v>
      </c>
      <c r="Q73" s="15">
        <f t="shared" si="40"/>
        <v>-1.8797252237263563E-2</v>
      </c>
      <c r="R73" s="15">
        <f t="shared" si="41"/>
        <v>-4.674420661556578E-7</v>
      </c>
      <c r="S73" s="31">
        <f t="shared" si="62"/>
        <v>-42.454879430258188</v>
      </c>
      <c r="T73" s="31">
        <f t="shared" si="63"/>
        <v>9.1386587906438095</v>
      </c>
      <c r="U73" s="15">
        <f t="shared" si="42"/>
        <v>6500</v>
      </c>
      <c r="V73" s="15">
        <f t="shared" si="43"/>
        <v>-89.94486483353765</v>
      </c>
      <c r="W73" s="15">
        <f t="shared" si="44"/>
        <v>-60.333880186298032</v>
      </c>
      <c r="X73" s="15">
        <f t="shared" si="45"/>
        <v>39.949033583532589</v>
      </c>
      <c r="Y73" s="15">
        <f t="shared" si="46"/>
        <v>2.3084433237243402</v>
      </c>
      <c r="Z73" s="15">
        <f t="shared" si="47"/>
        <v>-0.31993054785036795</v>
      </c>
      <c r="AA73" s="15">
        <f t="shared" si="48"/>
        <v>-1.3541061879542878E-4</v>
      </c>
      <c r="AB73" s="31">
        <f t="shared" si="64"/>
        <v>-50.31576179785543</v>
      </c>
      <c r="AC73" s="31">
        <f t="shared" si="65"/>
        <v>18.232694859664626</v>
      </c>
      <c r="AD73" s="15">
        <f t="shared" si="49"/>
        <v>4.9232584228489147</v>
      </c>
      <c r="AE73" s="15">
        <f t="shared" si="50"/>
        <v>3.2105502313120378E-2</v>
      </c>
      <c r="AF73" s="15">
        <f t="shared" si="51"/>
        <v>2.0298082953412746E-3</v>
      </c>
      <c r="AG73" s="15">
        <f t="shared" si="52"/>
        <v>5.4506604228691844E-9</v>
      </c>
      <c r="AH73" s="15">
        <f t="shared" si="53"/>
        <v>-0.94499304551734387</v>
      </c>
      <c r="AI73" s="15">
        <f t="shared" si="54"/>
        <v>-1.1814516747761024E-3</v>
      </c>
      <c r="AJ73" s="31">
        <f t="shared" si="66"/>
        <v>3.980295185626912</v>
      </c>
      <c r="AK73" s="31">
        <f t="shared" si="67"/>
        <v>3.0924056089004698E-2</v>
      </c>
      <c r="AL73" s="15">
        <f t="shared" si="55"/>
        <v>0</v>
      </c>
      <c r="AM73" s="15">
        <f t="shared" si="56"/>
        <v>0</v>
      </c>
      <c r="AN73" s="15">
        <f t="shared" si="57"/>
        <v>0</v>
      </c>
      <c r="AO73" s="15">
        <f t="shared" si="58"/>
        <v>0</v>
      </c>
      <c r="AP73" s="31">
        <f t="shared" si="68"/>
        <v>0</v>
      </c>
      <c r="AQ73" s="31">
        <f t="shared" si="69"/>
        <v>0</v>
      </c>
    </row>
    <row r="74" spans="8:43" x14ac:dyDescent="0.25">
      <c r="H74" s="15">
        <v>1.71</v>
      </c>
      <c r="I74" s="45">
        <f t="shared" si="59"/>
        <v>512.86138399136485</v>
      </c>
      <c r="J74" s="32">
        <f t="shared" si="60"/>
        <v>91.283168859235218</v>
      </c>
      <c r="K74" s="32">
        <f t="shared" si="61"/>
        <v>27.195507164954581</v>
      </c>
      <c r="L74" s="15">
        <f t="shared" si="35"/>
        <v>3.8729613733905581</v>
      </c>
      <c r="M74" s="15">
        <f t="shared" si="36"/>
        <v>-0.12052224747720422</v>
      </c>
      <c r="N74" s="15">
        <f t="shared" si="37"/>
        <v>1.9216478759789239E-5</v>
      </c>
      <c r="O74" s="15">
        <f t="shared" si="38"/>
        <v>-42.975706987573581</v>
      </c>
      <c r="P74" s="15">
        <f t="shared" si="39"/>
        <v>-2.7140179561428406</v>
      </c>
      <c r="Q74" s="15">
        <f t="shared" si="40"/>
        <v>-1.9235096456001775E-2</v>
      </c>
      <c r="R74" s="15">
        <f t="shared" si="41"/>
        <v>-4.8947193112141748E-7</v>
      </c>
      <c r="S74" s="31">
        <f t="shared" si="62"/>
        <v>-43.115464331506786</v>
      </c>
      <c r="T74" s="31">
        <f t="shared" si="63"/>
        <v>9.0468640831289502</v>
      </c>
      <c r="U74" s="15">
        <f t="shared" si="42"/>
        <v>6500</v>
      </c>
      <c r="V74" s="15">
        <f t="shared" si="43"/>
        <v>-89.946119862400877</v>
      </c>
      <c r="W74" s="15">
        <f t="shared" si="44"/>
        <v>-60.533880005297284</v>
      </c>
      <c r="X74" s="15">
        <f t="shared" si="45"/>
        <v>40.599706646973743</v>
      </c>
      <c r="Y74" s="15">
        <f t="shared" si="46"/>
        <v>2.392022117219756</v>
      </c>
      <c r="Z74" s="15">
        <f t="shared" si="47"/>
        <v>-0.32738252727716644</v>
      </c>
      <c r="AA74" s="15">
        <f t="shared" si="48"/>
        <v>-1.4179222047435458E-4</v>
      </c>
      <c r="AB74" s="31">
        <f t="shared" si="64"/>
        <v>-49.6737957427043</v>
      </c>
      <c r="AC74" s="31">
        <f t="shared" si="65"/>
        <v>18.116267452559111</v>
      </c>
      <c r="AD74" s="15">
        <f t="shared" si="49"/>
        <v>5.0373524739208406</v>
      </c>
      <c r="AE74" s="15">
        <f t="shared" si="50"/>
        <v>3.3612747406048062E-2</v>
      </c>
      <c r="AF74" s="15">
        <f t="shared" si="51"/>
        <v>2.0770886042551172E-3</v>
      </c>
      <c r="AG74" s="15">
        <f t="shared" si="52"/>
        <v>5.7075418305545158E-9</v>
      </c>
      <c r="AH74" s="15">
        <f t="shared" si="53"/>
        <v>-0.96700062907879503</v>
      </c>
      <c r="AI74" s="15">
        <f t="shared" si="54"/>
        <v>-1.2371238470678186E-3</v>
      </c>
      <c r="AJ74" s="31">
        <f t="shared" si="66"/>
        <v>4.0724289334463011</v>
      </c>
      <c r="AK74" s="31">
        <f t="shared" si="67"/>
        <v>3.2375629266522071E-2</v>
      </c>
      <c r="AL74" s="15">
        <f t="shared" si="55"/>
        <v>0</v>
      </c>
      <c r="AM74" s="15">
        <f t="shared" si="56"/>
        <v>0</v>
      </c>
      <c r="AN74" s="15">
        <f t="shared" si="57"/>
        <v>0</v>
      </c>
      <c r="AO74" s="15">
        <f t="shared" si="58"/>
        <v>0</v>
      </c>
      <c r="AP74" s="31">
        <f t="shared" si="68"/>
        <v>0</v>
      </c>
      <c r="AQ74" s="31">
        <f t="shared" si="69"/>
        <v>0</v>
      </c>
    </row>
    <row r="75" spans="8:43" x14ac:dyDescent="0.25">
      <c r="H75" s="15">
        <v>1.72</v>
      </c>
      <c r="I75" s="45">
        <f t="shared" si="59"/>
        <v>524.80746024977282</v>
      </c>
      <c r="J75" s="32">
        <f t="shared" si="60"/>
        <v>91.359796091792347</v>
      </c>
      <c r="K75" s="32">
        <f t="shared" si="61"/>
        <v>26.988761799173879</v>
      </c>
      <c r="L75" s="15">
        <f t="shared" si="35"/>
        <v>3.8729613733905581</v>
      </c>
      <c r="M75" s="15">
        <f t="shared" si="36"/>
        <v>-0.1233295626846274</v>
      </c>
      <c r="N75" s="15">
        <f t="shared" si="37"/>
        <v>2.0122121402655566E-5</v>
      </c>
      <c r="O75" s="15">
        <f t="shared" si="38"/>
        <v>-43.634180086861491</v>
      </c>
      <c r="P75" s="15">
        <f t="shared" si="39"/>
        <v>-2.8081044145211775</v>
      </c>
      <c r="Q75" s="15">
        <f t="shared" si="40"/>
        <v>-1.968313937442117E-2</v>
      </c>
      <c r="R75" s="15">
        <f t="shared" si="41"/>
        <v>-5.1254003142234557E-7</v>
      </c>
      <c r="S75" s="31">
        <f t="shared" si="62"/>
        <v>-43.777192788920537</v>
      </c>
      <c r="T75" s="31">
        <f t="shared" si="63"/>
        <v>8.9527785073251547</v>
      </c>
      <c r="U75" s="15">
        <f t="shared" si="42"/>
        <v>6500</v>
      </c>
      <c r="V75" s="15">
        <f t="shared" si="43"/>
        <v>-89.947346323369359</v>
      </c>
      <c r="W75" s="15">
        <f t="shared" si="44"/>
        <v>-60.733879832442909</v>
      </c>
      <c r="X75" s="15">
        <f t="shared" si="45"/>
        <v>41.252675686510116</v>
      </c>
      <c r="Y75" s="15">
        <f t="shared" si="46"/>
        <v>2.4778494127151434</v>
      </c>
      <c r="Z75" s="15">
        <f t="shared" si="47"/>
        <v>-0.33500807413508632</v>
      </c>
      <c r="AA75" s="15">
        <f t="shared" si="48"/>
        <v>-1.4847456772225254E-4</v>
      </c>
      <c r="AB75" s="31">
        <f t="shared" si="64"/>
        <v>-49.029678710994332</v>
      </c>
      <c r="AC75" s="31">
        <f t="shared" si="65"/>
        <v>18.002088238561626</v>
      </c>
      <c r="AD75" s="15">
        <f t="shared" si="49"/>
        <v>5.1540626611494256</v>
      </c>
      <c r="AE75" s="15">
        <f t="shared" si="50"/>
        <v>3.519046631367978E-2</v>
      </c>
      <c r="AF75" s="15">
        <f t="shared" si="51"/>
        <v>2.1254702130365935E-3</v>
      </c>
      <c r="AG75" s="15">
        <f t="shared" si="52"/>
        <v>5.9765294052390395E-9</v>
      </c>
      <c r="AH75" s="15">
        <f t="shared" si="53"/>
        <v>-0.98952053965525466</v>
      </c>
      <c r="AI75" s="15">
        <f t="shared" si="54"/>
        <v>-1.2954190031128354E-3</v>
      </c>
      <c r="AJ75" s="31">
        <f t="shared" si="66"/>
        <v>4.166667591707208</v>
      </c>
      <c r="AK75" s="31">
        <f t="shared" si="67"/>
        <v>3.3895053287096348E-2</v>
      </c>
      <c r="AL75" s="15">
        <f t="shared" si="55"/>
        <v>0</v>
      </c>
      <c r="AM75" s="15">
        <f t="shared" si="56"/>
        <v>0</v>
      </c>
      <c r="AN75" s="15">
        <f t="shared" si="57"/>
        <v>0</v>
      </c>
      <c r="AO75" s="15">
        <f t="shared" si="58"/>
        <v>0</v>
      </c>
      <c r="AP75" s="31">
        <f t="shared" si="68"/>
        <v>0</v>
      </c>
      <c r="AQ75" s="31">
        <f t="shared" si="69"/>
        <v>0</v>
      </c>
    </row>
    <row r="76" spans="8:43" x14ac:dyDescent="0.25">
      <c r="H76" s="15">
        <v>1.73</v>
      </c>
      <c r="I76" s="45">
        <f t="shared" si="59"/>
        <v>537.03179637025289</v>
      </c>
      <c r="J76" s="32">
        <f t="shared" si="60"/>
        <v>91.439589729502586</v>
      </c>
      <c r="K76" s="32">
        <f t="shared" si="61"/>
        <v>26.782053215251008</v>
      </c>
      <c r="L76" s="15">
        <f t="shared" si="35"/>
        <v>3.8729613733905581</v>
      </c>
      <c r="M76" s="15">
        <f t="shared" si="36"/>
        <v>-0.12620226805039386</v>
      </c>
      <c r="N76" s="15">
        <f t="shared" si="37"/>
        <v>2.1070445467351757E-5</v>
      </c>
      <c r="O76" s="15">
        <f t="shared" si="38"/>
        <v>-44.293376073864565</v>
      </c>
      <c r="P76" s="15">
        <f t="shared" si="39"/>
        <v>-2.9044880265604562</v>
      </c>
      <c r="Q76" s="15">
        <f t="shared" si="40"/>
        <v>-2.0141618550588301E-2</v>
      </c>
      <c r="R76" s="15">
        <f t="shared" si="41"/>
        <v>-5.3669529702279987E-7</v>
      </c>
      <c r="S76" s="31">
        <f t="shared" si="62"/>
        <v>-44.439719960465546</v>
      </c>
      <c r="T76" s="31">
        <f t="shared" si="63"/>
        <v>8.8563958194546775</v>
      </c>
      <c r="U76" s="15">
        <f t="shared" si="42"/>
        <v>6500</v>
      </c>
      <c r="V76" s="15">
        <f t="shared" si="43"/>
        <v>-89.948544866724433</v>
      </c>
      <c r="W76" s="15">
        <f t="shared" si="44"/>
        <v>-60.933879667368259</v>
      </c>
      <c r="X76" s="15">
        <f t="shared" si="45"/>
        <v>41.907608508606693</v>
      </c>
      <c r="Y76" s="15">
        <f t="shared" si="46"/>
        <v>2.5659399298298746</v>
      </c>
      <c r="Z76" s="15">
        <f t="shared" si="47"/>
        <v>-0.34281123050880463</v>
      </c>
      <c r="AA76" s="15">
        <f t="shared" si="48"/>
        <v>-1.5547183327448724E-4</v>
      </c>
      <c r="AB76" s="31">
        <f t="shared" si="64"/>
        <v>-48.383747588626548</v>
      </c>
      <c r="AC76" s="31">
        <f t="shared" si="65"/>
        <v>17.890171923485454</v>
      </c>
      <c r="AD76" s="15">
        <f t="shared" si="49"/>
        <v>5.2734469895738201</v>
      </c>
      <c r="AE76" s="15">
        <f t="shared" si="50"/>
        <v>3.6841926739233768E-2</v>
      </c>
      <c r="AF76" s="15">
        <f t="shared" si="51"/>
        <v>2.1749787742548076E-3</v>
      </c>
      <c r="AG76" s="15">
        <f t="shared" si="52"/>
        <v>6.2581940287814156E-9</v>
      </c>
      <c r="AH76" s="15">
        <f t="shared" si="53"/>
        <v>-1.0125646897534084</v>
      </c>
      <c r="AI76" s="15">
        <f t="shared" si="54"/>
        <v>-1.3564606865513181E-3</v>
      </c>
      <c r="AJ76" s="31">
        <f t="shared" si="66"/>
        <v>4.2630572785946663</v>
      </c>
      <c r="AK76" s="31">
        <f t="shared" si="67"/>
        <v>3.5485472310876474E-2</v>
      </c>
      <c r="AL76" s="15">
        <f t="shared" si="55"/>
        <v>0</v>
      </c>
      <c r="AM76" s="15">
        <f t="shared" si="56"/>
        <v>0</v>
      </c>
      <c r="AN76" s="15">
        <f t="shared" si="57"/>
        <v>0</v>
      </c>
      <c r="AO76" s="15">
        <f t="shared" si="58"/>
        <v>0</v>
      </c>
      <c r="AP76" s="31">
        <f t="shared" si="68"/>
        <v>0</v>
      </c>
      <c r="AQ76" s="31">
        <f t="shared" si="69"/>
        <v>0</v>
      </c>
    </row>
    <row r="77" spans="8:43" x14ac:dyDescent="0.25">
      <c r="H77" s="15">
        <v>1.74</v>
      </c>
      <c r="I77" s="45">
        <f t="shared" si="59"/>
        <v>549.54087385762466</v>
      </c>
      <c r="J77" s="32">
        <f t="shared" si="60"/>
        <v>91.522601411198892</v>
      </c>
      <c r="K77" s="32">
        <f t="shared" si="61"/>
        <v>26.575393303546743</v>
      </c>
      <c r="L77" s="15">
        <f t="shared" si="35"/>
        <v>3.8729613733905581</v>
      </c>
      <c r="M77" s="15">
        <f t="shared" si="36"/>
        <v>-0.12914188666310814</v>
      </c>
      <c r="N77" s="15">
        <f t="shared" si="37"/>
        <v>2.2063462448594991E-5</v>
      </c>
      <c r="O77" s="15">
        <f t="shared" si="38"/>
        <v>-44.952946471083365</v>
      </c>
      <c r="P77" s="15">
        <f t="shared" si="39"/>
        <v>-3.0031726201325393</v>
      </c>
      <c r="Q77" s="15">
        <f t="shared" si="40"/>
        <v>-2.0610777075996092E-2</v>
      </c>
      <c r="R77" s="15">
        <f t="shared" si="41"/>
        <v>-5.6198896455734775E-7</v>
      </c>
      <c r="S77" s="31">
        <f t="shared" si="62"/>
        <v>-45.102699134822466</v>
      </c>
      <c r="T77" s="31">
        <f t="shared" si="63"/>
        <v>8.7577121936059097</v>
      </c>
      <c r="U77" s="15">
        <f t="shared" si="42"/>
        <v>6500</v>
      </c>
      <c r="V77" s="15">
        <f t="shared" si="43"/>
        <v>-89.94971612794545</v>
      </c>
      <c r="W77" s="15">
        <f t="shared" si="44"/>
        <v>-61.133879509723172</v>
      </c>
      <c r="X77" s="15">
        <f t="shared" si="45"/>
        <v>42.564167824348431</v>
      </c>
      <c r="Y77" s="15">
        <f t="shared" si="46"/>
        <v>2.6563061120878508</v>
      </c>
      <c r="Z77" s="15">
        <f t="shared" si="47"/>
        <v>-0.35079613257659392</v>
      </c>
      <c r="AA77" s="15">
        <f t="shared" si="48"/>
        <v>-1.6279885770868996E-4</v>
      </c>
      <c r="AB77" s="31">
        <f t="shared" si="64"/>
        <v>-47.73634443617361</v>
      </c>
      <c r="AC77" s="31">
        <f t="shared" si="65"/>
        <v>17.780530936364084</v>
      </c>
      <c r="AD77" s="15">
        <f t="shared" si="49"/>
        <v>5.3955646095052119</v>
      </c>
      <c r="AE77" s="15">
        <f t="shared" si="50"/>
        <v>3.8570545279964605E-2</v>
      </c>
      <c r="AF77" s="15">
        <f t="shared" si="51"/>
        <v>2.2256405380039457E-3</v>
      </c>
      <c r="AG77" s="15">
        <f t="shared" si="52"/>
        <v>6.5531335842092267E-9</v>
      </c>
      <c r="AH77" s="15">
        <f t="shared" si="53"/>
        <v>-1.0361452678482401</v>
      </c>
      <c r="AI77" s="15">
        <f t="shared" si="54"/>
        <v>-1.4203782563462996E-3</v>
      </c>
      <c r="AJ77" s="31">
        <f t="shared" si="66"/>
        <v>4.3616449821949761</v>
      </c>
      <c r="AK77" s="31">
        <f t="shared" si="67"/>
        <v>3.7150173576751891E-2</v>
      </c>
      <c r="AL77" s="15">
        <f t="shared" si="55"/>
        <v>0</v>
      </c>
      <c r="AM77" s="15">
        <f t="shared" si="56"/>
        <v>0</v>
      </c>
      <c r="AN77" s="15">
        <f t="shared" si="57"/>
        <v>0</v>
      </c>
      <c r="AO77" s="15">
        <f t="shared" si="58"/>
        <v>0</v>
      </c>
      <c r="AP77" s="31">
        <f t="shared" si="68"/>
        <v>0</v>
      </c>
      <c r="AQ77" s="31">
        <f t="shared" si="69"/>
        <v>0</v>
      </c>
    </row>
    <row r="78" spans="8:43" x14ac:dyDescent="0.25">
      <c r="H78" s="15">
        <v>1.75</v>
      </c>
      <c r="I78" s="45">
        <f t="shared" si="59"/>
        <v>562.34132519034915</v>
      </c>
      <c r="J78" s="32">
        <f t="shared" si="60"/>
        <v>91.608880271614851</v>
      </c>
      <c r="K78" s="32">
        <f t="shared" si="61"/>
        <v>26.368794209414141</v>
      </c>
      <c r="L78" s="15">
        <f t="shared" si="35"/>
        <v>3.8729613733905581</v>
      </c>
      <c r="M78" s="15">
        <f t="shared" si="36"/>
        <v>-0.13214997708552959</v>
      </c>
      <c r="N78" s="15">
        <f t="shared" si="37"/>
        <v>2.3103278632650737E-5</v>
      </c>
      <c r="O78" s="15">
        <f t="shared" si="38"/>
        <v>-45.612541810048953</v>
      </c>
      <c r="P78" s="15">
        <f t="shared" si="39"/>
        <v>-3.1041595891489577</v>
      </c>
      <c r="Q78" s="15">
        <f t="shared" si="40"/>
        <v>-2.1090863704452956E-2</v>
      </c>
      <c r="R78" s="15">
        <f t="shared" si="41"/>
        <v>-5.8847468726399374E-7</v>
      </c>
      <c r="S78" s="31">
        <f t="shared" si="62"/>
        <v>-45.765782650838936</v>
      </c>
      <c r="T78" s="31">
        <f t="shared" si="63"/>
        <v>8.6567262379199494</v>
      </c>
      <c r="U78" s="15">
        <f t="shared" si="42"/>
        <v>6500</v>
      </c>
      <c r="V78" s="15">
        <f t="shared" si="43"/>
        <v>-89.950860728046692</v>
      </c>
      <c r="W78" s="15">
        <f t="shared" si="44"/>
        <v>-61.333879359173295</v>
      </c>
      <c r="X78" s="15">
        <f t="shared" si="45"/>
        <v>43.222012096684942</v>
      </c>
      <c r="Y78" s="15">
        <f t="shared" si="46"/>
        <v>2.7489580753283689</v>
      </c>
      <c r="Z78" s="15">
        <f t="shared" si="47"/>
        <v>-0.35896701279784854</v>
      </c>
      <c r="AA78" s="15">
        <f t="shared" si="48"/>
        <v>-1.7047118091737207E-4</v>
      </c>
      <c r="AB78" s="31">
        <f t="shared" si="64"/>
        <v>-47.087815644159598</v>
      </c>
      <c r="AC78" s="31">
        <f t="shared" si="65"/>
        <v>17.673175377831267</v>
      </c>
      <c r="AD78" s="15">
        <f t="shared" si="49"/>
        <v>5.5204758289508771</v>
      </c>
      <c r="AE78" s="15">
        <f t="shared" si="50"/>
        <v>4.0379893961107513E-2</v>
      </c>
      <c r="AF78" s="15">
        <f t="shared" si="51"/>
        <v>2.2774823658214187E-3</v>
      </c>
      <c r="AG78" s="15">
        <f t="shared" si="52"/>
        <v>6.8619729557189524E-9</v>
      </c>
      <c r="AH78" s="15">
        <f t="shared" si="53"/>
        <v>-1.0602747447033141</v>
      </c>
      <c r="AI78" s="15">
        <f t="shared" si="54"/>
        <v>-1.4873071601596015E-3</v>
      </c>
      <c r="AJ78" s="31">
        <f t="shared" si="66"/>
        <v>4.4624785666133846</v>
      </c>
      <c r="AK78" s="31">
        <f t="shared" si="67"/>
        <v>3.8892593662920867E-2</v>
      </c>
      <c r="AL78" s="15">
        <f t="shared" si="55"/>
        <v>0</v>
      </c>
      <c r="AM78" s="15">
        <f t="shared" si="56"/>
        <v>0</v>
      </c>
      <c r="AN78" s="15">
        <f t="shared" si="57"/>
        <v>0</v>
      </c>
      <c r="AO78" s="15">
        <f t="shared" si="58"/>
        <v>0</v>
      </c>
      <c r="AP78" s="31">
        <f t="shared" si="68"/>
        <v>0</v>
      </c>
      <c r="AQ78" s="31">
        <f t="shared" si="69"/>
        <v>0</v>
      </c>
    </row>
    <row r="79" spans="8:43" x14ac:dyDescent="0.25">
      <c r="H79" s="15">
        <v>1.76</v>
      </c>
      <c r="I79" s="45">
        <f t="shared" si="59"/>
        <v>575.43993733715695</v>
      </c>
      <c r="J79" s="32">
        <f t="shared" si="60"/>
        <v>91.698472892370489</v>
      </c>
      <c r="K79" s="32">
        <f t="shared" si="61"/>
        <v>26.162268303330695</v>
      </c>
      <c r="L79" s="15">
        <f t="shared" si="35"/>
        <v>3.8729613733905581</v>
      </c>
      <c r="M79" s="15">
        <f t="shared" si="36"/>
        <v>-0.13522813418064783</v>
      </c>
      <c r="N79" s="15">
        <f t="shared" si="37"/>
        <v>2.4192099577420468E-5</v>
      </c>
      <c r="O79" s="15">
        <f t="shared" si="38"/>
        <v>-46.271812556229918</v>
      </c>
      <c r="P79" s="15">
        <f t="shared" si="39"/>
        <v>-3.2074478876580992</v>
      </c>
      <c r="Q79" s="15">
        <f t="shared" si="40"/>
        <v>-2.1582132983974198E-2</v>
      </c>
      <c r="R79" s="15">
        <f t="shared" si="41"/>
        <v>-6.1620864298873895E-7</v>
      </c>
      <c r="S79" s="31">
        <f t="shared" si="62"/>
        <v>-46.428622823394541</v>
      </c>
      <c r="T79" s="31">
        <f t="shared" si="63"/>
        <v>8.5534390004977983</v>
      </c>
      <c r="U79" s="15">
        <f t="shared" si="42"/>
        <v>6500</v>
      </c>
      <c r="V79" s="15">
        <f t="shared" si="43"/>
        <v>-89.951979273906645</v>
      </c>
      <c r="W79" s="15">
        <f t="shared" si="44"/>
        <v>-61.533879215399253</v>
      </c>
      <c r="X79" s="15">
        <f t="shared" si="45"/>
        <v>43.880796414544307</v>
      </c>
      <c r="Y79" s="15">
        <f t="shared" si="46"/>
        <v>2.8439035654527407</v>
      </c>
      <c r="Z79" s="15">
        <f t="shared" si="47"/>
        <v>-0.36732820215126594</v>
      </c>
      <c r="AA79" s="15">
        <f t="shared" si="48"/>
        <v>-1.7850507505125105E-4</v>
      </c>
      <c r="AB79" s="31">
        <f t="shared" si="64"/>
        <v>-46.438511061513601</v>
      </c>
      <c r="AC79" s="31">
        <f t="shared" si="65"/>
        <v>17.56811297783555</v>
      </c>
      <c r="AD79" s="15">
        <f t="shared" si="49"/>
        <v>5.6482421253642769</v>
      </c>
      <c r="AE79" s="15">
        <f t="shared" si="50"/>
        <v>4.2273707032528217E-2</v>
      </c>
      <c r="AF79" s="15">
        <f t="shared" si="51"/>
        <v>2.3305317449302029E-3</v>
      </c>
      <c r="AG79" s="15">
        <f t="shared" si="52"/>
        <v>7.1853678859858226E-9</v>
      </c>
      <c r="AH79" s="15">
        <f t="shared" si="53"/>
        <v>-1.0849658798305843</v>
      </c>
      <c r="AI79" s="15">
        <f t="shared" si="54"/>
        <v>-1.5573892205523261E-3</v>
      </c>
      <c r="AJ79" s="31">
        <f t="shared" si="66"/>
        <v>4.5656067772786226</v>
      </c>
      <c r="AK79" s="31">
        <f t="shared" si="67"/>
        <v>4.0716324997343775E-2</v>
      </c>
      <c r="AL79" s="15">
        <f t="shared" si="55"/>
        <v>0</v>
      </c>
      <c r="AM79" s="15">
        <f t="shared" si="56"/>
        <v>0</v>
      </c>
      <c r="AN79" s="15">
        <f t="shared" si="57"/>
        <v>0</v>
      </c>
      <c r="AO79" s="15">
        <f t="shared" si="58"/>
        <v>0</v>
      </c>
      <c r="AP79" s="31">
        <f t="shared" si="68"/>
        <v>0</v>
      </c>
      <c r="AQ79" s="31">
        <f t="shared" si="69"/>
        <v>0</v>
      </c>
    </row>
    <row r="80" spans="8:43" x14ac:dyDescent="0.25">
      <c r="H80" s="15">
        <v>1.77</v>
      </c>
      <c r="I80" s="45">
        <f t="shared" si="59"/>
        <v>588.84365535558948</v>
      </c>
      <c r="J80" s="32">
        <f t="shared" si="60"/>
        <v>91.791423273078991</v>
      </c>
      <c r="K80" s="32">
        <f t="shared" si="61"/>
        <v>25.955828150662107</v>
      </c>
      <c r="L80" s="15">
        <f t="shared" si="35"/>
        <v>3.8729613733905581</v>
      </c>
      <c r="M80" s="15">
        <f t="shared" si="36"/>
        <v>-0.13837798995698317</v>
      </c>
      <c r="N80" s="15">
        <f t="shared" si="37"/>
        <v>2.5332234779591799E-5</v>
      </c>
      <c r="O80" s="15">
        <f t="shared" si="38"/>
        <v>-46.930410034365941</v>
      </c>
      <c r="P80" s="15">
        <f t="shared" si="39"/>
        <v>-3.3130340342750202</v>
      </c>
      <c r="Q80" s="15">
        <f t="shared" si="40"/>
        <v>-2.2084845391745447E-2</v>
      </c>
      <c r="R80" s="15">
        <f t="shared" si="41"/>
        <v>-6.4524965954802642E-7</v>
      </c>
      <c r="S80" s="31">
        <f t="shared" si="62"/>
        <v>-47.090872869714673</v>
      </c>
      <c r="T80" s="31">
        <f t="shared" si="63"/>
        <v>8.4478539649750619</v>
      </c>
      <c r="U80" s="15">
        <f t="shared" si="42"/>
        <v>6500</v>
      </c>
      <c r="V80" s="15">
        <f t="shared" si="43"/>
        <v>-89.953072358589722</v>
      </c>
      <c r="W80" s="15">
        <f t="shared" si="44"/>
        <v>-61.73387907809613</v>
      </c>
      <c r="X80" s="15">
        <f t="shared" si="45"/>
        <v>44.540173388454619</v>
      </c>
      <c r="Y80" s="15">
        <f t="shared" si="46"/>
        <v>2.941147925879342</v>
      </c>
      <c r="Z80" s="15">
        <f t="shared" si="47"/>
        <v>-0.37588413242484148</v>
      </c>
      <c r="AA80" s="15">
        <f t="shared" si="48"/>
        <v>-1.8691757902385397E-4</v>
      </c>
      <c r="AB80" s="31">
        <f t="shared" si="64"/>
        <v>-45.788783102559947</v>
      </c>
      <c r="AC80" s="31">
        <f t="shared" si="65"/>
        <v>17.4653490630613</v>
      </c>
      <c r="AD80" s="15">
        <f t="shared" si="49"/>
        <v>5.7789261566432195</v>
      </c>
      <c r="AE80" s="15">
        <f t="shared" si="50"/>
        <v>4.4255888036334887E-2</v>
      </c>
      <c r="AF80" s="15">
        <f t="shared" si="51"/>
        <v>2.3848168028129326E-3</v>
      </c>
      <c r="AG80" s="15">
        <f t="shared" si="52"/>
        <v>7.5240049761638047E-9</v>
      </c>
      <c r="AH80" s="15">
        <f t="shared" si="53"/>
        <v>-1.110231728092425</v>
      </c>
      <c r="AI80" s="15">
        <f t="shared" si="54"/>
        <v>-1.6307729345958061E-3</v>
      </c>
      <c r="AJ80" s="31">
        <f t="shared" si="66"/>
        <v>4.6710792453536074</v>
      </c>
      <c r="AK80" s="31">
        <f t="shared" si="67"/>
        <v>4.2625122625744055E-2</v>
      </c>
      <c r="AL80" s="15">
        <f t="shared" si="55"/>
        <v>0</v>
      </c>
      <c r="AM80" s="15">
        <f t="shared" si="56"/>
        <v>0</v>
      </c>
      <c r="AN80" s="15">
        <f t="shared" si="57"/>
        <v>0</v>
      </c>
      <c r="AO80" s="15">
        <f t="shared" si="58"/>
        <v>0</v>
      </c>
      <c r="AP80" s="31">
        <f t="shared" si="68"/>
        <v>0</v>
      </c>
      <c r="AQ80" s="31">
        <f t="shared" si="69"/>
        <v>0</v>
      </c>
    </row>
    <row r="81" spans="8:43" x14ac:dyDescent="0.25">
      <c r="H81" s="15">
        <v>1.78</v>
      </c>
      <c r="I81" s="45">
        <f t="shared" si="59"/>
        <v>602.55958607435821</v>
      </c>
      <c r="J81" s="32">
        <f t="shared" si="60"/>
        <v>91.887772822840603</v>
      </c>
      <c r="K81" s="32">
        <f t="shared" si="61"/>
        <v>25.74948648139517</v>
      </c>
      <c r="L81" s="15">
        <f t="shared" si="35"/>
        <v>3.8729613733905581</v>
      </c>
      <c r="M81" s="15">
        <f t="shared" si="36"/>
        <v>-0.14160121443355925</v>
      </c>
      <c r="N81" s="15">
        <f t="shared" si="37"/>
        <v>2.6526102577065704E-5</v>
      </c>
      <c r="O81" s="15">
        <f t="shared" si="38"/>
        <v>-47.587987348258309</v>
      </c>
      <c r="P81" s="15">
        <f t="shared" si="39"/>
        <v>-3.4209121269040392</v>
      </c>
      <c r="Q81" s="15">
        <f t="shared" si="40"/>
        <v>-2.2599267472229675E-2</v>
      </c>
      <c r="R81" s="15">
        <f t="shared" si="41"/>
        <v>-6.7565933623386276E-7</v>
      </c>
      <c r="S81" s="31">
        <f t="shared" si="62"/>
        <v>-47.752187830164097</v>
      </c>
      <c r="T81" s="31">
        <f t="shared" si="63"/>
        <v>8.3399770358041643</v>
      </c>
      <c r="U81" s="15">
        <f t="shared" si="42"/>
        <v>6500</v>
      </c>
      <c r="V81" s="15">
        <f t="shared" si="43"/>
        <v>-89.954140561660665</v>
      </c>
      <c r="W81" s="15">
        <f t="shared" si="44"/>
        <v>-61.933878946972655</v>
      </c>
      <c r="X81" s="15">
        <f t="shared" si="45"/>
        <v>45.199794062058118</v>
      </c>
      <c r="Y81" s="15">
        <f t="shared" si="46"/>
        <v>3.0406940749964702</v>
      </c>
      <c r="Z81" s="15">
        <f t="shared" si="47"/>
        <v>-0.38463933855885696</v>
      </c>
      <c r="AA81" s="15">
        <f t="shared" si="48"/>
        <v>-1.9572653462552534E-4</v>
      </c>
      <c r="AB81" s="31">
        <f t="shared" si="64"/>
        <v>-45.138985838161403</v>
      </c>
      <c r="AC81" s="31">
        <f t="shared" si="65"/>
        <v>17.364886534346304</v>
      </c>
      <c r="AD81" s="15">
        <f t="shared" si="49"/>
        <v>5.9125917712925808</v>
      </c>
      <c r="AE81" s="15">
        <f t="shared" si="50"/>
        <v>4.6330517153645071E-2</v>
      </c>
      <c r="AF81" s="15">
        <f t="shared" si="51"/>
        <v>2.4403663221254489E-3</v>
      </c>
      <c r="AG81" s="15">
        <f t="shared" si="52"/>
        <v>7.8785997572306467E-9</v>
      </c>
      <c r="AH81" s="15">
        <f t="shared" si="53"/>
        <v>-1.1360856464486013</v>
      </c>
      <c r="AI81" s="15">
        <f t="shared" si="54"/>
        <v>-1.7076137875419134E-3</v>
      </c>
      <c r="AJ81" s="31">
        <f t="shared" si="66"/>
        <v>4.7789464911661046</v>
      </c>
      <c r="AK81" s="31">
        <f t="shared" si="67"/>
        <v>4.4622911244702919E-2</v>
      </c>
      <c r="AL81" s="15">
        <f t="shared" si="55"/>
        <v>0</v>
      </c>
      <c r="AM81" s="15">
        <f t="shared" si="56"/>
        <v>0</v>
      </c>
      <c r="AN81" s="15">
        <f t="shared" si="57"/>
        <v>0</v>
      </c>
      <c r="AO81" s="15">
        <f t="shared" si="58"/>
        <v>0</v>
      </c>
      <c r="AP81" s="31">
        <f t="shared" si="68"/>
        <v>0</v>
      </c>
      <c r="AQ81" s="31">
        <f t="shared" si="69"/>
        <v>0</v>
      </c>
    </row>
    <row r="82" spans="8:43" x14ac:dyDescent="0.25">
      <c r="H82" s="15">
        <v>1.79</v>
      </c>
      <c r="I82" s="45">
        <f t="shared" si="59"/>
        <v>616.59500186148261</v>
      </c>
      <c r="J82" s="32">
        <f t="shared" si="60"/>
        <v>91.987560372128215</v>
      </c>
      <c r="K82" s="32">
        <f t="shared" si="61"/>
        <v>25.543256160180167</v>
      </c>
      <c r="L82" s="15">
        <f t="shared" si="35"/>
        <v>3.8729613733905581</v>
      </c>
      <c r="M82" s="15">
        <f t="shared" si="36"/>
        <v>-0.14489951652500635</v>
      </c>
      <c r="N82" s="15">
        <f t="shared" si="37"/>
        <v>2.7776235278944408E-5</v>
      </c>
      <c r="O82" s="15">
        <f t="shared" si="38"/>
        <v>-48.244200289114843</v>
      </c>
      <c r="P82" s="15">
        <f t="shared" si="39"/>
        <v>-3.5310738676221276</v>
      </c>
      <c r="Q82" s="15">
        <f t="shared" si="40"/>
        <v>-2.3125671978491216E-2</v>
      </c>
      <c r="R82" s="15">
        <f t="shared" si="41"/>
        <v>-7.075021768908568E-7</v>
      </c>
      <c r="S82" s="31">
        <f t="shared" si="62"/>
        <v>-48.412225477618342</v>
      </c>
      <c r="T82" s="31">
        <f t="shared" si="63"/>
        <v>8.2298165133759369</v>
      </c>
      <c r="U82" s="15">
        <f t="shared" si="42"/>
        <v>6500</v>
      </c>
      <c r="V82" s="15">
        <f t="shared" si="43"/>
        <v>-89.955184449491952</v>
      </c>
      <c r="W82" s="15">
        <f t="shared" si="44"/>
        <v>-62.133878821750692</v>
      </c>
      <c r="X82" s="15">
        <f t="shared" si="45"/>
        <v>45.859308833714195</v>
      </c>
      <c r="Y82" s="15">
        <f t="shared" si="46"/>
        <v>3.1425424938146702</v>
      </c>
      <c r="Z82" s="15">
        <f t="shared" si="47"/>
        <v>-0.39359846104307961</v>
      </c>
      <c r="AA82" s="15">
        <f t="shared" si="48"/>
        <v>-2.0495062436631567E-4</v>
      </c>
      <c r="AB82" s="31">
        <f t="shared" si="64"/>
        <v>-44.489474076820834</v>
      </c>
      <c r="AC82" s="31">
        <f t="shared" si="65"/>
        <v>17.266725854296727</v>
      </c>
      <c r="AD82" s="15">
        <f t="shared" si="49"/>
        <v>6.0493040176623811</v>
      </c>
      <c r="AE82" s="15">
        <f t="shared" si="50"/>
        <v>4.8501858838756143E-2</v>
      </c>
      <c r="AF82" s="15">
        <f t="shared" si="51"/>
        <v>2.4972097559577619E-3</v>
      </c>
      <c r="AG82" s="15">
        <f t="shared" si="52"/>
        <v>8.2499063332625249E-9</v>
      </c>
      <c r="AH82" s="15">
        <f t="shared" si="53"/>
        <v>-1.1625413008509502</v>
      </c>
      <c r="AI82" s="15">
        <f t="shared" si="54"/>
        <v>-1.7880745811605055E-3</v>
      </c>
      <c r="AJ82" s="31">
        <f t="shared" si="66"/>
        <v>4.8892599265673882</v>
      </c>
      <c r="AK82" s="31">
        <f t="shared" si="67"/>
        <v>4.6713792507501975E-2</v>
      </c>
      <c r="AL82" s="15">
        <f t="shared" si="55"/>
        <v>0</v>
      </c>
      <c r="AM82" s="15">
        <f t="shared" si="56"/>
        <v>0</v>
      </c>
      <c r="AN82" s="15">
        <f t="shared" si="57"/>
        <v>0</v>
      </c>
      <c r="AO82" s="15">
        <f t="shared" si="58"/>
        <v>0</v>
      </c>
      <c r="AP82" s="31">
        <f t="shared" si="68"/>
        <v>0</v>
      </c>
      <c r="AQ82" s="31">
        <f t="shared" si="69"/>
        <v>0</v>
      </c>
    </row>
    <row r="83" spans="8:43" x14ac:dyDescent="0.25">
      <c r="H83" s="15">
        <v>1.8</v>
      </c>
      <c r="I83" s="45">
        <f t="shared" si="59"/>
        <v>630.95734448019368</v>
      </c>
      <c r="J83" s="32">
        <f t="shared" si="60"/>
        <v>92.090822204806926</v>
      </c>
      <c r="K83" s="32">
        <f t="shared" si="61"/>
        <v>25.337150157023903</v>
      </c>
      <c r="L83" s="15">
        <f t="shared" si="35"/>
        <v>3.8729613733905581</v>
      </c>
      <c r="M83" s="15">
        <f t="shared" si="36"/>
        <v>-0.14827464494726009</v>
      </c>
      <c r="N83" s="15">
        <f t="shared" si="37"/>
        <v>2.9085284534649887E-5</v>
      </c>
      <c r="O83" s="15">
        <f t="shared" si="38"/>
        <v>-48.898708226682466</v>
      </c>
      <c r="P83" s="15">
        <f t="shared" si="39"/>
        <v>-3.6435085975007282</v>
      </c>
      <c r="Q83" s="15">
        <f t="shared" si="40"/>
        <v>-2.3664338016811406E-2</v>
      </c>
      <c r="R83" s="15">
        <f t="shared" si="41"/>
        <v>-7.4084572492189776E-7</v>
      </c>
      <c r="S83" s="31">
        <f t="shared" si="62"/>
        <v>-49.070647209646538</v>
      </c>
      <c r="T83" s="31">
        <f t="shared" si="63"/>
        <v>8.1173830592030445</v>
      </c>
      <c r="U83" s="15">
        <f t="shared" si="42"/>
        <v>6500</v>
      </c>
      <c r="V83" s="15">
        <f t="shared" si="43"/>
        <v>-89.95620457556393</v>
      </c>
      <c r="W83" s="15">
        <f t="shared" si="44"/>
        <v>-62.333878702164647</v>
      </c>
      <c r="X83" s="15">
        <f t="shared" si="45"/>
        <v>46.518368382266111</v>
      </c>
      <c r="Y83" s="15">
        <f t="shared" si="46"/>
        <v>3.2466912239293313</v>
      </c>
      <c r="Z83" s="15">
        <f t="shared" si="47"/>
        <v>-0.40276624836940023</v>
      </c>
      <c r="AA83" s="15">
        <f t="shared" si="48"/>
        <v>-2.1460941106500269E-4</v>
      </c>
      <c r="AB83" s="31">
        <f t="shared" si="64"/>
        <v>-43.840602441667222</v>
      </c>
      <c r="AC83" s="31">
        <f t="shared" si="65"/>
        <v>17.170865045210736</v>
      </c>
      <c r="AD83" s="15">
        <f t="shared" si="49"/>
        <v>6.1891291521657434</v>
      </c>
      <c r="AE83" s="15">
        <f t="shared" si="50"/>
        <v>5.0774369748874754E-2</v>
      </c>
      <c r="AF83" s="15">
        <f t="shared" si="51"/>
        <v>2.5553772434504522E-3</v>
      </c>
      <c r="AG83" s="15">
        <f t="shared" si="52"/>
        <v>8.6387135241241519E-9</v>
      </c>
      <c r="AH83" s="15">
        <f t="shared" si="53"/>
        <v>-1.1896126732885048</v>
      </c>
      <c r="AI83" s="15">
        <f t="shared" si="54"/>
        <v>-1.8723257774686877E-3</v>
      </c>
      <c r="AJ83" s="31">
        <f t="shared" si="66"/>
        <v>5.0020718561206898</v>
      </c>
      <c r="AK83" s="31">
        <f t="shared" si="67"/>
        <v>4.8902052610119588E-2</v>
      </c>
      <c r="AL83" s="15">
        <f t="shared" si="55"/>
        <v>0</v>
      </c>
      <c r="AM83" s="15">
        <f t="shared" si="56"/>
        <v>0</v>
      </c>
      <c r="AN83" s="15">
        <f t="shared" si="57"/>
        <v>0</v>
      </c>
      <c r="AO83" s="15">
        <f t="shared" si="58"/>
        <v>0</v>
      </c>
      <c r="AP83" s="31">
        <f t="shared" si="68"/>
        <v>0</v>
      </c>
      <c r="AQ83" s="31">
        <f t="shared" si="69"/>
        <v>0</v>
      </c>
    </row>
    <row r="84" spans="8:43" x14ac:dyDescent="0.25">
      <c r="H84" s="15">
        <v>1.81</v>
      </c>
      <c r="I84" s="45">
        <f t="shared" si="59"/>
        <v>645.65422903465583</v>
      </c>
      <c r="J84" s="32">
        <f t="shared" si="60"/>
        <v>92.19759210976774</v>
      </c>
      <c r="K84" s="32">
        <f t="shared" si="61"/>
        <v>25.131181518967807</v>
      </c>
      <c r="L84" s="15">
        <f t="shared" si="35"/>
        <v>3.8729613733905581</v>
      </c>
      <c r="M84" s="15">
        <f t="shared" si="36"/>
        <v>-0.15172838914433637</v>
      </c>
      <c r="N84" s="15">
        <f t="shared" si="37"/>
        <v>3.0456026957600087E-5</v>
      </c>
      <c r="O84" s="15">
        <f t="shared" si="38"/>
        <v>-49.551174977605832</v>
      </c>
      <c r="P84" s="15">
        <f t="shared" si="39"/>
        <v>-3.7582033410569533</v>
      </c>
      <c r="Q84" s="15">
        <f t="shared" si="40"/>
        <v>-2.4215551194672738E-2</v>
      </c>
      <c r="R84" s="15">
        <f t="shared" si="41"/>
        <v>-7.7576070600843859E-7</v>
      </c>
      <c r="S84" s="31">
        <f t="shared" si="62"/>
        <v>-49.727118917944843</v>
      </c>
      <c r="T84" s="31">
        <f t="shared" si="63"/>
        <v>8.0026896514742614</v>
      </c>
      <c r="U84" s="15">
        <f t="shared" si="42"/>
        <v>6500</v>
      </c>
      <c r="V84" s="15">
        <f t="shared" si="43"/>
        <v>-89.957201480758357</v>
      </c>
      <c r="W84" s="15">
        <f t="shared" si="44"/>
        <v>-62.533878587960857</v>
      </c>
      <c r="X84" s="15">
        <f t="shared" si="45"/>
        <v>47.176624590997207</v>
      </c>
      <c r="Y84" s="15">
        <f t="shared" si="46"/>
        <v>3.3531358758118541</v>
      </c>
      <c r="Z84" s="15">
        <f t="shared" si="47"/>
        <v>-0.41214755954117821</v>
      </c>
      <c r="AA84" s="15">
        <f t="shared" si="48"/>
        <v>-2.247233793345595E-4</v>
      </c>
      <c r="AB84" s="31">
        <f t="shared" si="64"/>
        <v>-43.192724449302325</v>
      </c>
      <c r="AC84" s="31">
        <f t="shared" si="65"/>
        <v>17.077299697328776</v>
      </c>
      <c r="AD84" s="15">
        <f t="shared" si="49"/>
        <v>6.3321346463749943</v>
      </c>
      <c r="AE84" s="15">
        <f t="shared" si="50"/>
        <v>5.3152706977498861E-2</v>
      </c>
      <c r="AF84" s="15">
        <f t="shared" si="51"/>
        <v>2.6148996257748464E-3</v>
      </c>
      <c r="AG84" s="15">
        <f t="shared" si="52"/>
        <v>9.0458429368138237E-9</v>
      </c>
      <c r="AH84" s="15">
        <f t="shared" si="53"/>
        <v>-1.2173140689858721</v>
      </c>
      <c r="AI84" s="15">
        <f t="shared" si="54"/>
        <v>-1.960545858573855E-3</v>
      </c>
      <c r="AJ84" s="31">
        <f t="shared" si="66"/>
        <v>5.1174354770148973</v>
      </c>
      <c r="AK84" s="31">
        <f t="shared" si="67"/>
        <v>5.1192170164767944E-2</v>
      </c>
      <c r="AL84" s="15">
        <f t="shared" si="55"/>
        <v>0</v>
      </c>
      <c r="AM84" s="15">
        <f t="shared" si="56"/>
        <v>0</v>
      </c>
      <c r="AN84" s="15">
        <f t="shared" si="57"/>
        <v>0</v>
      </c>
      <c r="AO84" s="15">
        <f t="shared" si="58"/>
        <v>0</v>
      </c>
      <c r="AP84" s="31">
        <f t="shared" si="68"/>
        <v>0</v>
      </c>
      <c r="AQ84" s="31">
        <f t="shared" si="69"/>
        <v>0</v>
      </c>
    </row>
    <row r="85" spans="8:43" x14ac:dyDescent="0.25">
      <c r="H85" s="15">
        <v>1.82</v>
      </c>
      <c r="I85" s="45">
        <f t="shared" si="59"/>
        <v>660.6934480075962</v>
      </c>
      <c r="J85" s="32">
        <f t="shared" si="60"/>
        <v>92.307901451402984</v>
      </c>
      <c r="K85" s="32">
        <f t="shared" si="61"/>
        <v>24.925363343075098</v>
      </c>
      <c r="L85" s="15">
        <f t="shared" si="35"/>
        <v>3.8729613733905581</v>
      </c>
      <c r="M85" s="15">
        <f t="shared" si="36"/>
        <v>-0.15526258023667081</v>
      </c>
      <c r="N85" s="15">
        <f t="shared" si="37"/>
        <v>3.1891370018869572E-5</v>
      </c>
      <c r="O85" s="15">
        <f t="shared" si="38"/>
        <v>-50.20126964571822</v>
      </c>
      <c r="P85" s="15">
        <f t="shared" si="39"/>
        <v>-3.8751428599429323</v>
      </c>
      <c r="Q85" s="15">
        <f t="shared" si="40"/>
        <v>-2.477960377218991E-2</v>
      </c>
      <c r="R85" s="15">
        <f t="shared" si="41"/>
        <v>-8.1232117661672478E-7</v>
      </c>
      <c r="S85" s="31">
        <f t="shared" si="62"/>
        <v>-50.381311829727082</v>
      </c>
      <c r="T85" s="31">
        <f t="shared" si="63"/>
        <v>7.8857515313708735</v>
      </c>
      <c r="U85" s="15">
        <f t="shared" si="42"/>
        <v>6500</v>
      </c>
      <c r="V85" s="15">
        <f t="shared" si="43"/>
        <v>-89.958175693645174</v>
      </c>
      <c r="W85" s="15">
        <f t="shared" si="44"/>
        <v>-62.73387847889709</v>
      </c>
      <c r="X85" s="15">
        <f t="shared" si="45"/>
        <v>47.833731463823703</v>
      </c>
      <c r="Y85" s="15">
        <f t="shared" si="46"/>
        <v>3.4618696473549693</v>
      </c>
      <c r="Z85" s="15">
        <f t="shared" si="47"/>
        <v>-0.42174736664058349</v>
      </c>
      <c r="AA85" s="15">
        <f t="shared" si="48"/>
        <v>-2.3531397899672845E-4</v>
      </c>
      <c r="AB85" s="31">
        <f t="shared" si="64"/>
        <v>-42.546191596462052</v>
      </c>
      <c r="AC85" s="31">
        <f t="shared" si="65"/>
        <v>16.986022987335996</v>
      </c>
      <c r="AD85" s="15">
        <f t="shared" si="49"/>
        <v>6.4783891928872741</v>
      </c>
      <c r="AE85" s="15">
        <f t="shared" si="50"/>
        <v>5.5641736599387211E-2</v>
      </c>
      <c r="AF85" s="15">
        <f t="shared" si="51"/>
        <v>2.6758084624854102E-3</v>
      </c>
      <c r="AG85" s="15">
        <f t="shared" si="52"/>
        <v>9.4721605373929861E-9</v>
      </c>
      <c r="AH85" s="15">
        <f t="shared" si="53"/>
        <v>-1.245660123757647</v>
      </c>
      <c r="AI85" s="15">
        <f t="shared" si="54"/>
        <v>-2.0529217033227127E-3</v>
      </c>
      <c r="AJ85" s="31">
        <f t="shared" si="66"/>
        <v>5.2354048775921127</v>
      </c>
      <c r="AK85" s="31">
        <f t="shared" si="67"/>
        <v>5.3588824368225034E-2</v>
      </c>
      <c r="AL85" s="15">
        <f t="shared" si="55"/>
        <v>0</v>
      </c>
      <c r="AM85" s="15">
        <f t="shared" si="56"/>
        <v>0</v>
      </c>
      <c r="AN85" s="15">
        <f t="shared" si="57"/>
        <v>0</v>
      </c>
      <c r="AO85" s="15">
        <f t="shared" si="58"/>
        <v>0</v>
      </c>
      <c r="AP85" s="31">
        <f t="shared" si="68"/>
        <v>0</v>
      </c>
      <c r="AQ85" s="31">
        <f t="shared" si="69"/>
        <v>0</v>
      </c>
    </row>
    <row r="86" spans="8:43" x14ac:dyDescent="0.25">
      <c r="H86" s="15">
        <v>1.83</v>
      </c>
      <c r="I86" s="45">
        <f t="shared" si="59"/>
        <v>676.0829753919819</v>
      </c>
      <c r="J86" s="32">
        <f t="shared" si="60"/>
        <v>92.421779257910615</v>
      </c>
      <c r="K86" s="32">
        <f t="shared" si="61"/>
        <v>24.719708751035125</v>
      </c>
      <c r="L86" s="15">
        <f t="shared" si="35"/>
        <v>3.8729613733905581</v>
      </c>
      <c r="M86" s="15">
        <f t="shared" si="36"/>
        <v>-0.15887909199152347</v>
      </c>
      <c r="N86" s="15">
        <f t="shared" si="37"/>
        <v>3.3394358203117605E-5</v>
      </c>
      <c r="O86" s="15">
        <f t="shared" si="38"/>
        <v>-50.848667429297478</v>
      </c>
      <c r="P86" s="15">
        <f t="shared" si="39"/>
        <v>-3.9943097154057683</v>
      </c>
      <c r="Q86" s="15">
        <f t="shared" si="40"/>
        <v>-2.5356794817068064E-2</v>
      </c>
      <c r="R86" s="15">
        <f t="shared" si="41"/>
        <v>-8.506046898618985E-7</v>
      </c>
      <c r="S86" s="31">
        <f t="shared" si="62"/>
        <v>-51.032903316106072</v>
      </c>
      <c r="T86" s="31">
        <f t="shared" si="63"/>
        <v>7.7665861406127084</v>
      </c>
      <c r="U86" s="15">
        <f t="shared" si="42"/>
        <v>6500</v>
      </c>
      <c r="V86" s="15">
        <f t="shared" si="43"/>
        <v>-89.95912773076266</v>
      </c>
      <c r="W86" s="15">
        <f t="shared" si="44"/>
        <v>-62.933878374741994</v>
      </c>
      <c r="X86" s="15">
        <f t="shared" si="45"/>
        <v>48.489346027864023</v>
      </c>
      <c r="Y86" s="15">
        <f t="shared" si="46"/>
        <v>3.5728833525060102</v>
      </c>
      <c r="Z86" s="15">
        <f t="shared" si="47"/>
        <v>-0.43157075745525242</v>
      </c>
      <c r="AA86" s="15">
        <f t="shared" si="48"/>
        <v>-2.4640367056441993E-4</v>
      </c>
      <c r="AB86" s="31">
        <f t="shared" si="64"/>
        <v>-41.901352460353891</v>
      </c>
      <c r="AC86" s="31">
        <f t="shared" si="65"/>
        <v>16.897025706950565</v>
      </c>
      <c r="AD86" s="15">
        <f t="shared" si="49"/>
        <v>6.6279627098439757</v>
      </c>
      <c r="AE86" s="15">
        <f t="shared" si="50"/>
        <v>5.8246542534885634E-2</v>
      </c>
      <c r="AF86" s="15">
        <f t="shared" si="51"/>
        <v>2.7381360482530426E-3</v>
      </c>
      <c r="AG86" s="15">
        <f t="shared" si="52"/>
        <v>9.9185708650214087E-9</v>
      </c>
      <c r="AH86" s="15">
        <f t="shared" si="53"/>
        <v>-1.2746658115216716</v>
      </c>
      <c r="AI86" s="15">
        <f t="shared" si="54"/>
        <v>-2.1496489816075571E-3</v>
      </c>
      <c r="AJ86" s="31">
        <f t="shared" si="66"/>
        <v>5.3560350343705574</v>
      </c>
      <c r="AK86" s="31">
        <f t="shared" si="67"/>
        <v>5.6096903471848945E-2</v>
      </c>
      <c r="AL86" s="15">
        <f t="shared" si="55"/>
        <v>0</v>
      </c>
      <c r="AM86" s="15">
        <f t="shared" si="56"/>
        <v>0</v>
      </c>
      <c r="AN86" s="15">
        <f t="shared" si="57"/>
        <v>0</v>
      </c>
      <c r="AO86" s="15">
        <f t="shared" si="58"/>
        <v>0</v>
      </c>
      <c r="AP86" s="31">
        <f t="shared" si="68"/>
        <v>0</v>
      </c>
      <c r="AQ86" s="31">
        <f t="shared" si="69"/>
        <v>0</v>
      </c>
    </row>
    <row r="87" spans="8:43" x14ac:dyDescent="0.25">
      <c r="H87" s="15">
        <v>1.84</v>
      </c>
      <c r="I87" s="45">
        <f t="shared" si="59"/>
        <v>691.8309709189366</v>
      </c>
      <c r="J87" s="32">
        <f t="shared" si="60"/>
        <v>92.539252326188077</v>
      </c>
      <c r="K87" s="32">
        <f t="shared" si="61"/>
        <v>24.514230865673323</v>
      </c>
      <c r="L87" s="15">
        <f t="shared" si="35"/>
        <v>3.8729613733905581</v>
      </c>
      <c r="M87" s="15">
        <f t="shared" si="36"/>
        <v>-0.16257984181596127</v>
      </c>
      <c r="N87" s="15">
        <f t="shared" si="37"/>
        <v>3.4968179482711423E-5</v>
      </c>
      <c r="O87" s="15">
        <f t="shared" si="38"/>
        <v>-51.493050390699921</v>
      </c>
      <c r="P87" s="15">
        <f t="shared" si="39"/>
        <v>-4.1156843389812723</v>
      </c>
      <c r="Q87" s="15">
        <f t="shared" si="40"/>
        <v>-2.5947430363170366E-2</v>
      </c>
      <c r="R87" s="15">
        <f t="shared" si="41"/>
        <v>-8.9069245172880815E-7</v>
      </c>
      <c r="S87" s="31">
        <f t="shared" si="62"/>
        <v>-51.68157766287905</v>
      </c>
      <c r="T87" s="31">
        <f t="shared" si="63"/>
        <v>7.6452130507707219</v>
      </c>
      <c r="U87" s="15">
        <f t="shared" si="42"/>
        <v>6500</v>
      </c>
      <c r="V87" s="15">
        <f t="shared" si="43"/>
        <v>-89.960058096891416</v>
      </c>
      <c r="W87" s="15">
        <f t="shared" si="44"/>
        <v>-63.13387827527464</v>
      </c>
      <c r="X87" s="15">
        <f t="shared" si="45"/>
        <v>49.143129216687228</v>
      </c>
      <c r="Y87" s="15">
        <f t="shared" si="46"/>
        <v>3.6861654597329196</v>
      </c>
      <c r="Z87" s="15">
        <f t="shared" si="47"/>
        <v>-0.44162293816560549</v>
      </c>
      <c r="AA87" s="15">
        <f t="shared" si="48"/>
        <v>-2.580159728438543E-4</v>
      </c>
      <c r="AB87" s="31">
        <f t="shared" si="64"/>
        <v>-41.258551818369796</v>
      </c>
      <c r="AC87" s="31">
        <f t="shared" si="65"/>
        <v>16.81029630134255</v>
      </c>
      <c r="AD87" s="15">
        <f t="shared" si="49"/>
        <v>6.7809263439808865</v>
      </c>
      <c r="AE87" s="15">
        <f t="shared" si="50"/>
        <v>6.0972435741136762E-2</v>
      </c>
      <c r="AF87" s="15">
        <f t="shared" si="51"/>
        <v>2.8019154299881279E-3</v>
      </c>
      <c r="AG87" s="15">
        <f t="shared" si="52"/>
        <v>1.0386018960612082E-8</v>
      </c>
      <c r="AH87" s="15">
        <f t="shared" si="53"/>
        <v>-1.3043464519739534</v>
      </c>
      <c r="AI87" s="15">
        <f t="shared" si="54"/>
        <v>-2.2509325671029568E-3</v>
      </c>
      <c r="AJ87" s="31">
        <f t="shared" si="66"/>
        <v>5.4793818074369218</v>
      </c>
      <c r="AK87" s="31">
        <f t="shared" si="67"/>
        <v>5.8721513560052764E-2</v>
      </c>
      <c r="AL87" s="15">
        <f t="shared" si="55"/>
        <v>0</v>
      </c>
      <c r="AM87" s="15">
        <f t="shared" si="56"/>
        <v>0</v>
      </c>
      <c r="AN87" s="15">
        <f t="shared" si="57"/>
        <v>0</v>
      </c>
      <c r="AO87" s="15">
        <f t="shared" si="58"/>
        <v>0</v>
      </c>
      <c r="AP87" s="31">
        <f t="shared" si="68"/>
        <v>0</v>
      </c>
      <c r="AQ87" s="31">
        <f t="shared" si="69"/>
        <v>0</v>
      </c>
    </row>
    <row r="88" spans="8:43" x14ac:dyDescent="0.25">
      <c r="H88" s="15">
        <v>1.85</v>
      </c>
      <c r="I88" s="45">
        <f t="shared" si="59"/>
        <v>707.94578438413862</v>
      </c>
      <c r="J88" s="32">
        <f t="shared" si="60"/>
        <v>92.660345341874503</v>
      </c>
      <c r="K88" s="32">
        <f t="shared" si="61"/>
        <v>24.308942789630908</v>
      </c>
      <c r="L88" s="15">
        <f t="shared" si="35"/>
        <v>3.8729613733905581</v>
      </c>
      <c r="M88" s="15">
        <f t="shared" si="36"/>
        <v>-0.16636679177294214</v>
      </c>
      <c r="N88" s="15">
        <f t="shared" si="37"/>
        <v>3.6616172063754246E-5</v>
      </c>
      <c r="O88" s="15">
        <f t="shared" si="38"/>
        <v>-52.134108184209879</v>
      </c>
      <c r="P88" s="15">
        <f t="shared" si="39"/>
        <v>-4.2392451108230436</v>
      </c>
      <c r="Q88" s="15">
        <f t="shared" si="40"/>
        <v>-2.6551823572778945E-2</v>
      </c>
      <c r="R88" s="15">
        <f t="shared" si="41"/>
        <v>-9.3266948886472413E-7</v>
      </c>
      <c r="S88" s="31">
        <f t="shared" si="62"/>
        <v>-52.327026799555604</v>
      </c>
      <c r="T88" s="31">
        <f t="shared" si="63"/>
        <v>7.5216538849444943</v>
      </c>
      <c r="U88" s="15">
        <f t="shared" si="42"/>
        <v>6500</v>
      </c>
      <c r="V88" s="15">
        <f t="shared" si="43"/>
        <v>-89.9609672853219</v>
      </c>
      <c r="W88" s="15">
        <f t="shared" si="44"/>
        <v>-63.333878180284067</v>
      </c>
      <c r="X88" s="15">
        <f t="shared" si="45"/>
        <v>49.794746728771806</v>
      </c>
      <c r="Y88" s="15">
        <f t="shared" si="46"/>
        <v>3.801702139982583</v>
      </c>
      <c r="Z88" s="15">
        <f t="shared" si="47"/>
        <v>-0.45190923609420325</v>
      </c>
      <c r="AA88" s="15">
        <f t="shared" si="48"/>
        <v>-2.7017551278935253E-4</v>
      </c>
      <c r="AB88" s="31">
        <f t="shared" si="64"/>
        <v>-40.618129792644297</v>
      </c>
      <c r="AC88" s="31">
        <f t="shared" si="65"/>
        <v>16.725820917042842</v>
      </c>
      <c r="AD88" s="15">
        <f t="shared" si="49"/>
        <v>6.937352472078091</v>
      </c>
      <c r="AE88" s="15">
        <f t="shared" si="50"/>
        <v>6.3824963737379059E-2</v>
      </c>
      <c r="AF88" s="15">
        <f t="shared" si="51"/>
        <v>2.8671804243624536E-3</v>
      </c>
      <c r="AG88" s="15">
        <f t="shared" si="52"/>
        <v>1.087549615279599E-8</v>
      </c>
      <c r="AH88" s="15">
        <f t="shared" si="53"/>
        <v>-1.334717718428059</v>
      </c>
      <c r="AI88" s="15">
        <f t="shared" si="54"/>
        <v>-2.3569869693050964E-3</v>
      </c>
      <c r="AJ88" s="31">
        <f t="shared" si="66"/>
        <v>5.605501934074395</v>
      </c>
      <c r="AK88" s="31">
        <f t="shared" si="67"/>
        <v>6.1467987643570116E-2</v>
      </c>
      <c r="AL88" s="15">
        <f t="shared" si="55"/>
        <v>0</v>
      </c>
      <c r="AM88" s="15">
        <f t="shared" si="56"/>
        <v>0</v>
      </c>
      <c r="AN88" s="15">
        <f t="shared" si="57"/>
        <v>0</v>
      </c>
      <c r="AO88" s="15">
        <f t="shared" si="58"/>
        <v>0</v>
      </c>
      <c r="AP88" s="31">
        <f t="shared" si="68"/>
        <v>0</v>
      </c>
      <c r="AQ88" s="31">
        <f t="shared" si="69"/>
        <v>0</v>
      </c>
    </row>
    <row r="89" spans="8:43" x14ac:dyDescent="0.25">
      <c r="H89" s="15">
        <v>1.86</v>
      </c>
      <c r="I89" s="45">
        <f t="shared" si="59"/>
        <v>724.4359600749907</v>
      </c>
      <c r="J89" s="32">
        <f t="shared" si="60"/>
        <v>92.785081012916564</v>
      </c>
      <c r="K89" s="32">
        <f t="shared" si="61"/>
        <v>24.103857586451181</v>
      </c>
      <c r="L89" s="15">
        <f t="shared" si="35"/>
        <v>3.8729613733905581</v>
      </c>
      <c r="M89" s="15">
        <f t="shared" si="36"/>
        <v>-0.17024194962103642</v>
      </c>
      <c r="N89" s="15">
        <f t="shared" si="37"/>
        <v>3.8341831469588531E-5</v>
      </c>
      <c r="O89" s="15">
        <f t="shared" si="38"/>
        <v>-52.771538738406115</v>
      </c>
      <c r="P89" s="15">
        <f t="shared" si="39"/>
        <v>-4.3649684450154576</v>
      </c>
      <c r="Q89" s="15">
        <f t="shared" si="40"/>
        <v>-2.7170294902635252E-2</v>
      </c>
      <c r="R89" s="15">
        <f t="shared" si="41"/>
        <v>-9.76624843373195E-7</v>
      </c>
      <c r="S89" s="31">
        <f t="shared" si="62"/>
        <v>-52.968950982929783</v>
      </c>
      <c r="T89" s="31">
        <f t="shared" si="63"/>
        <v>7.3959322324561318</v>
      </c>
      <c r="U89" s="15">
        <f t="shared" si="42"/>
        <v>6500</v>
      </c>
      <c r="V89" s="15">
        <f t="shared" si="43"/>
        <v>-89.961855778116018</v>
      </c>
      <c r="W89" s="15">
        <f t="shared" si="44"/>
        <v>-63.533878089568759</v>
      </c>
      <c r="X89" s="15">
        <f t="shared" si="45"/>
        <v>50.443869855996439</v>
      </c>
      <c r="Y89" s="15">
        <f t="shared" si="46"/>
        <v>3.9194773237108649</v>
      </c>
      <c r="Z89" s="15">
        <f t="shared" si="47"/>
        <v>-0.46243510251854253</v>
      </c>
      <c r="AA89" s="15">
        <f t="shared" si="48"/>
        <v>-2.8290807770894823E-4</v>
      </c>
      <c r="AB89" s="31">
        <f t="shared" si="64"/>
        <v>-39.980421024638119</v>
      </c>
      <c r="AC89" s="31">
        <f t="shared" si="65"/>
        <v>16.643583458921512</v>
      </c>
      <c r="AD89" s="15">
        <f t="shared" si="49"/>
        <v>7.0973147006705242</v>
      </c>
      <c r="AE89" s="15">
        <f t="shared" si="50"/>
        <v>6.6809920471258388E-2</v>
      </c>
      <c r="AF89" s="15">
        <f t="shared" si="51"/>
        <v>2.9339656357392366E-3</v>
      </c>
      <c r="AG89" s="15">
        <f t="shared" si="52"/>
        <v>1.1388041986576985E-8</v>
      </c>
      <c r="AH89" s="15">
        <f t="shared" si="53"/>
        <v>-1.3657956458217919</v>
      </c>
      <c r="AI89" s="15">
        <f t="shared" si="54"/>
        <v>-2.4680367857660341E-3</v>
      </c>
      <c r="AJ89" s="31">
        <f t="shared" si="66"/>
        <v>5.7344530204844713</v>
      </c>
      <c r="AK89" s="31">
        <f t="shared" si="67"/>
        <v>6.4341895073534341E-2</v>
      </c>
      <c r="AL89" s="15">
        <f t="shared" si="55"/>
        <v>0</v>
      </c>
      <c r="AM89" s="15">
        <f t="shared" si="56"/>
        <v>0</v>
      </c>
      <c r="AN89" s="15">
        <f t="shared" si="57"/>
        <v>0</v>
      </c>
      <c r="AO89" s="15">
        <f t="shared" si="58"/>
        <v>0</v>
      </c>
      <c r="AP89" s="31">
        <f t="shared" si="68"/>
        <v>0</v>
      </c>
      <c r="AQ89" s="31">
        <f t="shared" si="69"/>
        <v>0</v>
      </c>
    </row>
    <row r="90" spans="8:43" x14ac:dyDescent="0.25">
      <c r="H90" s="15">
        <v>1.87</v>
      </c>
      <c r="I90" s="45">
        <f t="shared" si="59"/>
        <v>741.31024130091816</v>
      </c>
      <c r="J90" s="32">
        <f t="shared" si="60"/>
        <v>92.91348021488092</v>
      </c>
      <c r="K90" s="32">
        <f t="shared" si="61"/>
        <v>23.898988264278771</v>
      </c>
      <c r="L90" s="15">
        <f t="shared" si="35"/>
        <v>3.8729613733905581</v>
      </c>
      <c r="M90" s="15">
        <f t="shared" si="36"/>
        <v>-0.1742073698783356</v>
      </c>
      <c r="N90" s="15">
        <f t="shared" si="37"/>
        <v>4.014881796562806E-5</v>
      </c>
      <c r="O90" s="15">
        <f t="shared" si="38"/>
        <v>-53.405048889840302</v>
      </c>
      <c r="P90" s="15">
        <f t="shared" si="39"/>
        <v>-4.4928288811752228</v>
      </c>
      <c r="Q90" s="15">
        <f t="shared" si="40"/>
        <v>-2.7803172273848004E-2</v>
      </c>
      <c r="R90" s="15">
        <f t="shared" si="41"/>
        <v>-1.0226517483213317E-6</v>
      </c>
      <c r="S90" s="31">
        <f t="shared" si="62"/>
        <v>-53.607059431992489</v>
      </c>
      <c r="T90" s="31">
        <f t="shared" si="63"/>
        <v>7.2680735572559581</v>
      </c>
      <c r="U90" s="15">
        <f t="shared" si="42"/>
        <v>6500</v>
      </c>
      <c r="V90" s="15">
        <f t="shared" si="43"/>
        <v>-89.962724046362723</v>
      </c>
      <c r="W90" s="15">
        <f t="shared" si="44"/>
        <v>-63.733878002936315</v>
      </c>
      <c r="X90" s="15">
        <f t="shared" si="45"/>
        <v>51.090176277332652</v>
      </c>
      <c r="Y90" s="15">
        <f t="shared" si="46"/>
        <v>4.0394727664901726</v>
      </c>
      <c r="Z90" s="15">
        <f t="shared" si="47"/>
        <v>-0.47320611554873371</v>
      </c>
      <c r="AA90" s="15">
        <f t="shared" si="48"/>
        <v>-2.9624066991704889E-4</v>
      </c>
      <c r="AB90" s="31">
        <f t="shared" si="64"/>
        <v>-39.345753884578805</v>
      </c>
      <c r="AC90" s="31">
        <f t="shared" si="65"/>
        <v>16.563565655741051</v>
      </c>
      <c r="AD90" s="15">
        <f t="shared" si="49"/>
        <v>7.2608878638716803</v>
      </c>
      <c r="AE90" s="15">
        <f t="shared" si="50"/>
        <v>6.9933356532482449E-2</v>
      </c>
      <c r="AF90" s="15">
        <f t="shared" si="51"/>
        <v>3.0023064745208334E-3</v>
      </c>
      <c r="AG90" s="15">
        <f t="shared" si="52"/>
        <v>1.1924744223331768E-8</v>
      </c>
      <c r="AH90" s="15">
        <f t="shared" si="53"/>
        <v>-1.3975966388939745</v>
      </c>
      <c r="AI90" s="15">
        <f t="shared" si="54"/>
        <v>-2.5843171754658103E-3</v>
      </c>
      <c r="AJ90" s="31">
        <f t="shared" si="66"/>
        <v>5.8662935314522269</v>
      </c>
      <c r="AK90" s="31">
        <f t="shared" si="67"/>
        <v>6.7349051281760858E-2</v>
      </c>
      <c r="AL90" s="15">
        <f t="shared" si="55"/>
        <v>0</v>
      </c>
      <c r="AM90" s="15">
        <f t="shared" si="56"/>
        <v>0</v>
      </c>
      <c r="AN90" s="15">
        <f t="shared" si="57"/>
        <v>0</v>
      </c>
      <c r="AO90" s="15">
        <f t="shared" si="58"/>
        <v>0</v>
      </c>
      <c r="AP90" s="31">
        <f t="shared" si="68"/>
        <v>0</v>
      </c>
      <c r="AQ90" s="31">
        <f t="shared" si="69"/>
        <v>0</v>
      </c>
    </row>
    <row r="91" spans="8:43" x14ac:dyDescent="0.25">
      <c r="H91" s="15">
        <v>1.88</v>
      </c>
      <c r="I91" s="45">
        <f t="shared" si="59"/>
        <v>758.57757502918366</v>
      </c>
      <c r="J91" s="32">
        <f t="shared" si="60"/>
        <v>93.045562146107628</v>
      </c>
      <c r="K91" s="32">
        <f t="shared" si="61"/>
        <v>23.694347762345917</v>
      </c>
      <c r="L91" s="15">
        <f t="shared" si="35"/>
        <v>3.8729613733905581</v>
      </c>
      <c r="M91" s="15">
        <f t="shared" si="36"/>
        <v>-0.17826515491110709</v>
      </c>
      <c r="N91" s="15">
        <f t="shared" si="37"/>
        <v>4.2040964302370983E-5</v>
      </c>
      <c r="O91" s="15">
        <f t="shared" si="38"/>
        <v>-54.034354965337293</v>
      </c>
      <c r="P91" s="15">
        <f t="shared" si="39"/>
        <v>-4.622799181611505</v>
      </c>
      <c r="Q91" s="15">
        <f t="shared" si="40"/>
        <v>-2.8450791245758413E-2</v>
      </c>
      <c r="R91" s="15">
        <f t="shared" si="41"/>
        <v>-1.0708478341055355E-6</v>
      </c>
      <c r="S91" s="31">
        <f t="shared" si="62"/>
        <v>-54.241070911494162</v>
      </c>
      <c r="T91" s="31">
        <f t="shared" si="63"/>
        <v>7.1381051007699261</v>
      </c>
      <c r="U91" s="15">
        <f t="shared" si="42"/>
        <v>6500</v>
      </c>
      <c r="V91" s="15">
        <f t="shared" si="43"/>
        <v>-89.963572550427713</v>
      </c>
      <c r="W91" s="15">
        <f t="shared" si="44"/>
        <v>-63.93387792020296</v>
      </c>
      <c r="X91" s="15">
        <f t="shared" si="45"/>
        <v>51.733350813305321</v>
      </c>
      <c r="Y91" s="15">
        <f t="shared" si="46"/>
        <v>4.1616681226335315</v>
      </c>
      <c r="Z91" s="15">
        <f t="shared" si="47"/>
        <v>-0.48422798307151738</v>
      </c>
      <c r="AA91" s="15">
        <f t="shared" si="48"/>
        <v>-3.1020156396892518E-4</v>
      </c>
      <c r="AB91" s="31">
        <f t="shared" si="64"/>
        <v>-38.714449720193912</v>
      </c>
      <c r="AC91" s="31">
        <f t="shared" si="65"/>
        <v>16.485747133723716</v>
      </c>
      <c r="AD91" s="15">
        <f t="shared" si="49"/>
        <v>7.4281480191538813</v>
      </c>
      <c r="AE91" s="15">
        <f t="shared" si="50"/>
        <v>7.3201589719820576E-2</v>
      </c>
      <c r="AF91" s="15">
        <f t="shared" si="51"/>
        <v>3.0722391759237817E-3</v>
      </c>
      <c r="AG91" s="15">
        <f t="shared" si="52"/>
        <v>1.2486740769464753E-8</v>
      </c>
      <c r="AH91" s="15">
        <f t="shared" si="53"/>
        <v>-1.4301374805341096</v>
      </c>
      <c r="AI91" s="15">
        <f t="shared" si="54"/>
        <v>-2.7060743542870044E-3</v>
      </c>
      <c r="AJ91" s="31">
        <f t="shared" si="66"/>
        <v>6.0010827777956957</v>
      </c>
      <c r="AK91" s="31">
        <f t="shared" si="67"/>
        <v>7.0495527852274337E-2</v>
      </c>
      <c r="AL91" s="15">
        <f t="shared" si="55"/>
        <v>0</v>
      </c>
      <c r="AM91" s="15">
        <f t="shared" si="56"/>
        <v>0</v>
      </c>
      <c r="AN91" s="15">
        <f t="shared" si="57"/>
        <v>0</v>
      </c>
      <c r="AO91" s="15">
        <f t="shared" si="58"/>
        <v>0</v>
      </c>
      <c r="AP91" s="31">
        <f t="shared" si="68"/>
        <v>0</v>
      </c>
      <c r="AQ91" s="31">
        <f t="shared" si="69"/>
        <v>0</v>
      </c>
    </row>
    <row r="92" spans="8:43" x14ac:dyDescent="0.25">
      <c r="H92" s="15">
        <v>1.89</v>
      </c>
      <c r="I92" s="45">
        <f t="shared" si="59"/>
        <v>776.2471166286922</v>
      </c>
      <c r="J92" s="32">
        <f t="shared" si="60"/>
        <v>93.181344490702358</v>
      </c>
      <c r="K92" s="32">
        <f t="shared" si="61"/>
        <v>23.489948940385222</v>
      </c>
      <c r="L92" s="15">
        <f t="shared" si="35"/>
        <v>3.8729613733905581</v>
      </c>
      <c r="M92" s="15">
        <f t="shared" si="36"/>
        <v>-0.18241745604777185</v>
      </c>
      <c r="N92" s="15">
        <f t="shared" si="37"/>
        <v>4.4022283867235822E-5</v>
      </c>
      <c r="O92" s="15">
        <f t="shared" si="38"/>
        <v>-54.659183310756461</v>
      </c>
      <c r="P92" s="15">
        <f t="shared" si="39"/>
        <v>-4.7548504332898851</v>
      </c>
      <c r="Q92" s="15">
        <f t="shared" si="40"/>
        <v>-2.9113495193855414E-2</v>
      </c>
      <c r="R92" s="15">
        <f t="shared" si="41"/>
        <v>-1.1213153309598845E-6</v>
      </c>
      <c r="S92" s="31">
        <f t="shared" si="62"/>
        <v>-54.870714261998089</v>
      </c>
      <c r="T92" s="31">
        <f t="shared" si="63"/>
        <v>7.0060557799436145</v>
      </c>
      <c r="U92" s="15">
        <f t="shared" si="42"/>
        <v>6500</v>
      </c>
      <c r="V92" s="15">
        <f t="shared" si="43"/>
        <v>-89.964401740197601</v>
      </c>
      <c r="W92" s="15">
        <f t="shared" si="44"/>
        <v>-64.13387784119324</v>
      </c>
      <c r="X92" s="15">
        <f t="shared" si="45"/>
        <v>52.373086137229052</v>
      </c>
      <c r="Y92" s="15">
        <f t="shared" si="46"/>
        <v>4.2860410262160444</v>
      </c>
      <c r="Z92" s="15">
        <f t="shared" si="47"/>
        <v>-0.49550654576212416</v>
      </c>
      <c r="AA92" s="15">
        <f t="shared" si="48"/>
        <v>-3.2482036658478593E-4</v>
      </c>
      <c r="AB92" s="31">
        <f t="shared" si="64"/>
        <v>-38.086822148730676</v>
      </c>
      <c r="AC92" s="31">
        <f t="shared" si="65"/>
        <v>16.410105497513332</v>
      </c>
      <c r="AD92" s="15">
        <f t="shared" si="49"/>
        <v>7.5991724409196495</v>
      </c>
      <c r="AE92" s="15">
        <f t="shared" si="50"/>
        <v>7.6621215966679007E-2</v>
      </c>
      <c r="AF92" s="15">
        <f t="shared" si="51"/>
        <v>3.1438008191912092E-3</v>
      </c>
      <c r="AG92" s="15">
        <f t="shared" si="52"/>
        <v>1.3075221605062968E-8</v>
      </c>
      <c r="AH92" s="15">
        <f t="shared" si="53"/>
        <v>-1.4634353403077247</v>
      </c>
      <c r="AI92" s="15">
        <f t="shared" si="54"/>
        <v>-2.833566113624124E-3</v>
      </c>
      <c r="AJ92" s="31">
        <f t="shared" si="66"/>
        <v>6.1388809014311159</v>
      </c>
      <c r="AK92" s="31">
        <f t="shared" si="67"/>
        <v>7.3787662928276487E-2</v>
      </c>
      <c r="AL92" s="15">
        <f t="shared" si="55"/>
        <v>0</v>
      </c>
      <c r="AM92" s="15">
        <f t="shared" si="56"/>
        <v>0</v>
      </c>
      <c r="AN92" s="15">
        <f t="shared" si="57"/>
        <v>0</v>
      </c>
      <c r="AO92" s="15">
        <f t="shared" si="58"/>
        <v>0</v>
      </c>
      <c r="AP92" s="31">
        <f t="shared" si="68"/>
        <v>0</v>
      </c>
      <c r="AQ92" s="31">
        <f t="shared" si="69"/>
        <v>0</v>
      </c>
    </row>
    <row r="93" spans="8:43" x14ac:dyDescent="0.25">
      <c r="H93" s="15">
        <v>1.9</v>
      </c>
      <c r="I93" s="45">
        <f t="shared" si="59"/>
        <v>794.32823472428197</v>
      </c>
      <c r="J93" s="32">
        <f t="shared" si="60"/>
        <v>93.320843587298128</v>
      </c>
      <c r="K93" s="32">
        <f t="shared" si="61"/>
        <v>23.285804571073982</v>
      </c>
      <c r="L93" s="15">
        <f t="shared" si="35"/>
        <v>3.8729613733905581</v>
      </c>
      <c r="M93" s="15">
        <f t="shared" si="36"/>
        <v>-0.18666647471878786</v>
      </c>
      <c r="N93" s="15">
        <f t="shared" si="37"/>
        <v>4.6096979177712769E-5</v>
      </c>
      <c r="O93" s="15">
        <f t="shared" si="38"/>
        <v>-55.279270764585789</v>
      </c>
      <c r="P93" s="15">
        <f t="shared" si="39"/>
        <v>-4.8889521538297576</v>
      </c>
      <c r="Q93" s="15">
        <f t="shared" si="40"/>
        <v>-2.9791635491834494E-2</v>
      </c>
      <c r="R93" s="15">
        <f t="shared" si="41"/>
        <v>-1.1741612868937234E-6</v>
      </c>
      <c r="S93" s="31">
        <f t="shared" si="62"/>
        <v>-55.495728874796413</v>
      </c>
      <c r="T93" s="31">
        <f t="shared" si="63"/>
        <v>6.8719560812530958</v>
      </c>
      <c r="U93" s="15">
        <f t="shared" si="42"/>
        <v>6500</v>
      </c>
      <c r="V93" s="15">
        <f t="shared" si="43"/>
        <v>-89.965212055318375</v>
      </c>
      <c r="W93" s="15">
        <f t="shared" si="44"/>
        <v>-64.33387776573953</v>
      </c>
      <c r="X93" s="15">
        <f t="shared" si="45"/>
        <v>53.009083439702501</v>
      </c>
      <c r="Y93" s="15">
        <f t="shared" si="46"/>
        <v>4.4125671788245873</v>
      </c>
      <c r="Z93" s="15">
        <f t="shared" si="47"/>
        <v>-0.50704778016549445</v>
      </c>
      <c r="AA93" s="15">
        <f t="shared" si="48"/>
        <v>-3.4012807940010068E-4</v>
      </c>
      <c r="AB93" s="31">
        <f t="shared" si="64"/>
        <v>-37.463176395781367</v>
      </c>
      <c r="AC93" s="31">
        <f t="shared" si="65"/>
        <v>16.336616417862771</v>
      </c>
      <c r="AD93" s="15">
        <f t="shared" si="49"/>
        <v>7.7740396116887789</v>
      </c>
      <c r="AE93" s="15">
        <f t="shared" si="50"/>
        <v>8.0199120629872583E-2</v>
      </c>
      <c r="AF93" s="15">
        <f t="shared" si="51"/>
        <v>3.2170293472527046E-3</v>
      </c>
      <c r="AG93" s="15">
        <f t="shared" si="52"/>
        <v>1.3691438427170642E-8</v>
      </c>
      <c r="AH93" s="15">
        <f t="shared" si="53"/>
        <v>-1.4975077831601185</v>
      </c>
      <c r="AI93" s="15">
        <f t="shared" si="54"/>
        <v>-2.9670623631969763E-3</v>
      </c>
      <c r="AJ93" s="31">
        <f t="shared" si="66"/>
        <v>6.2797488578759131</v>
      </c>
      <c r="AK93" s="31">
        <f t="shared" si="67"/>
        <v>7.7232071958114032E-2</v>
      </c>
      <c r="AL93" s="15">
        <f t="shared" si="55"/>
        <v>0</v>
      </c>
      <c r="AM93" s="15">
        <f t="shared" si="56"/>
        <v>0</v>
      </c>
      <c r="AN93" s="15">
        <f t="shared" si="57"/>
        <v>0</v>
      </c>
      <c r="AO93" s="15">
        <f t="shared" si="58"/>
        <v>0</v>
      </c>
      <c r="AP93" s="31">
        <f t="shared" si="68"/>
        <v>0</v>
      </c>
      <c r="AQ93" s="31">
        <f t="shared" si="69"/>
        <v>0</v>
      </c>
    </row>
    <row r="94" spans="8:43" x14ac:dyDescent="0.25">
      <c r="H94" s="15">
        <v>1.91</v>
      </c>
      <c r="I94" s="45">
        <f t="shared" si="59"/>
        <v>812.83051616409966</v>
      </c>
      <c r="J94" s="32">
        <f t="shared" si="60"/>
        <v>93.464074601478586</v>
      </c>
      <c r="K94" s="32">
        <f t="shared" si="61"/>
        <v>23.0819273355789</v>
      </c>
      <c r="L94" s="15">
        <f t="shared" si="35"/>
        <v>3.8729613733905581</v>
      </c>
      <c r="M94" s="15">
        <f t="shared" si="36"/>
        <v>-0.191014463623046</v>
      </c>
      <c r="N94" s="15">
        <f t="shared" si="37"/>
        <v>4.826945080261401E-5</v>
      </c>
      <c r="O94" s="15">
        <f t="shared" si="38"/>
        <v>-55.894365075272653</v>
      </c>
      <c r="P94" s="15">
        <f t="shared" si="39"/>
        <v>-5.0250724007591474</v>
      </c>
      <c r="Q94" s="15">
        <f t="shared" si="40"/>
        <v>-3.0485571697897472E-2</v>
      </c>
      <c r="R94" s="15">
        <f t="shared" si="41"/>
        <v>-1.2294977952724856E-6</v>
      </c>
      <c r="S94" s="31">
        <f t="shared" si="62"/>
        <v>-56.115865110593596</v>
      </c>
      <c r="T94" s="31">
        <f t="shared" si="63"/>
        <v>6.7358379514588229</v>
      </c>
      <c r="U94" s="15">
        <f t="shared" si="42"/>
        <v>6500</v>
      </c>
      <c r="V94" s="15">
        <f t="shared" si="43"/>
        <v>-89.966003925428538</v>
      </c>
      <c r="W94" s="15">
        <f t="shared" si="44"/>
        <v>-64.533877693681802</v>
      </c>
      <c r="X94" s="15">
        <f t="shared" si="45"/>
        <v>53.641053043347306</v>
      </c>
      <c r="Y94" s="15">
        <f t="shared" si="46"/>
        <v>4.5412204433265426</v>
      </c>
      <c r="Z94" s="15">
        <f t="shared" si="47"/>
        <v>-0.51885780184843344</v>
      </c>
      <c r="AA94" s="15">
        <f t="shared" si="48"/>
        <v>-3.5615716466723553E-4</v>
      </c>
      <c r="AB94" s="31">
        <f t="shared" si="64"/>
        <v>-36.843808683929666</v>
      </c>
      <c r="AC94" s="31">
        <f t="shared" si="65"/>
        <v>16.265253725337189</v>
      </c>
      <c r="AD94" s="15">
        <f t="shared" si="49"/>
        <v>7.9528292107162892</v>
      </c>
      <c r="AE94" s="15">
        <f t="shared" si="50"/>
        <v>8.3942490145375415E-2</v>
      </c>
      <c r="AF94" s="15">
        <f t="shared" si="51"/>
        <v>3.2919635868421857E-3</v>
      </c>
      <c r="AG94" s="15">
        <f t="shared" si="52"/>
        <v>1.4336696935169429E-8</v>
      </c>
      <c r="AH94" s="15">
        <f t="shared" si="53"/>
        <v>-1.5323727783012793</v>
      </c>
      <c r="AI94" s="15">
        <f t="shared" si="54"/>
        <v>-3.1068456991834208E-3</v>
      </c>
      <c r="AJ94" s="31">
        <f t="shared" si="66"/>
        <v>6.4237483960018524</v>
      </c>
      <c r="AK94" s="31">
        <f t="shared" si="67"/>
        <v>8.0835658782888939E-2</v>
      </c>
      <c r="AL94" s="15">
        <f t="shared" si="55"/>
        <v>0</v>
      </c>
      <c r="AM94" s="15">
        <f t="shared" si="56"/>
        <v>0</v>
      </c>
      <c r="AN94" s="15">
        <f t="shared" si="57"/>
        <v>0</v>
      </c>
      <c r="AO94" s="15">
        <f t="shared" si="58"/>
        <v>0</v>
      </c>
      <c r="AP94" s="31">
        <f t="shared" si="68"/>
        <v>0</v>
      </c>
      <c r="AQ94" s="31">
        <f t="shared" si="69"/>
        <v>0</v>
      </c>
    </row>
    <row r="95" spans="8:43" x14ac:dyDescent="0.25">
      <c r="H95" s="15">
        <v>1.92</v>
      </c>
      <c r="I95" s="45">
        <f t="shared" si="59"/>
        <v>831.76377110267129</v>
      </c>
      <c r="J95" s="32">
        <f t="shared" si="60"/>
        <v>93.611051699746184</v>
      </c>
      <c r="K95" s="32">
        <f t="shared" si="61"/>
        <v>22.878329822236129</v>
      </c>
      <c r="L95" s="15">
        <f t="shared" si="35"/>
        <v>3.8729613733905581</v>
      </c>
      <c r="M95" s="15">
        <f t="shared" si="36"/>
        <v>-0.1954637279213873</v>
      </c>
      <c r="N95" s="15">
        <f t="shared" si="37"/>
        <v>5.054430669598808E-5</v>
      </c>
      <c r="O95" s="15">
        <f t="shared" si="38"/>
        <v>-56.504225261713607</v>
      </c>
      <c r="P95" s="15">
        <f t="shared" si="39"/>
        <v>-5.163177883253586</v>
      </c>
      <c r="Q95" s="15">
        <f t="shared" si="40"/>
        <v>-3.1195671745391333E-2</v>
      </c>
      <c r="R95" s="15">
        <f t="shared" si="41"/>
        <v>-1.2874422339704018E-6</v>
      </c>
      <c r="S95" s="31">
        <f t="shared" si="62"/>
        <v>-56.730884661380387</v>
      </c>
      <c r="T95" s="31">
        <f t="shared" si="63"/>
        <v>6.5977346858758388</v>
      </c>
      <c r="U95" s="15">
        <f t="shared" si="42"/>
        <v>6500</v>
      </c>
      <c r="V95" s="15">
        <f t="shared" si="43"/>
        <v>-89.966777770386912</v>
      </c>
      <c r="W95" s="15">
        <f t="shared" si="44"/>
        <v>-64.733877624867191</v>
      </c>
      <c r="X95" s="15">
        <f t="shared" si="45"/>
        <v>54.268714965297498</v>
      </c>
      <c r="Y95" s="15">
        <f t="shared" si="46"/>
        <v>4.6719729429169874</v>
      </c>
      <c r="Z95" s="15">
        <f t="shared" si="47"/>
        <v>-0.53094286862427609</v>
      </c>
      <c r="AA95" s="15">
        <f t="shared" si="48"/>
        <v>-3.7294161403922399E-4</v>
      </c>
      <c r="AB95" s="31">
        <f t="shared" si="64"/>
        <v>-36.229005673713687</v>
      </c>
      <c r="AC95" s="31">
        <f t="shared" si="65"/>
        <v>16.195989509292872</v>
      </c>
      <c r="AD95" s="15">
        <f t="shared" si="49"/>
        <v>8.1356220998457882</v>
      </c>
      <c r="AE95" s="15">
        <f t="shared" si="50"/>
        <v>8.7858824053888812E-2</v>
      </c>
      <c r="AF95" s="15">
        <f t="shared" si="51"/>
        <v>3.3686432690843279E-3</v>
      </c>
      <c r="AG95" s="15">
        <f t="shared" si="52"/>
        <v>1.5012364545398072E-8</v>
      </c>
      <c r="AH95" s="15">
        <f t="shared" si="53"/>
        <v>-1.5680487082746184</v>
      </c>
      <c r="AI95" s="15">
        <f t="shared" si="54"/>
        <v>-3.2532119988368208E-3</v>
      </c>
      <c r="AJ95" s="31">
        <f t="shared" si="66"/>
        <v>6.5709420348402539</v>
      </c>
      <c r="AK95" s="31">
        <f t="shared" si="67"/>
        <v>8.4605627067416533E-2</v>
      </c>
      <c r="AL95" s="15">
        <f t="shared" si="55"/>
        <v>0</v>
      </c>
      <c r="AM95" s="15">
        <f t="shared" si="56"/>
        <v>0</v>
      </c>
      <c r="AN95" s="15">
        <f t="shared" si="57"/>
        <v>0</v>
      </c>
      <c r="AO95" s="15">
        <f t="shared" si="58"/>
        <v>0</v>
      </c>
      <c r="AP95" s="31">
        <f t="shared" si="68"/>
        <v>0</v>
      </c>
      <c r="AQ95" s="31">
        <f t="shared" si="69"/>
        <v>0</v>
      </c>
    </row>
    <row r="96" spans="8:43" x14ac:dyDescent="0.25">
      <c r="H96" s="15">
        <v>1.93</v>
      </c>
      <c r="I96" s="45">
        <f t="shared" si="59"/>
        <v>851.13803820237661</v>
      </c>
      <c r="J96" s="32">
        <f t="shared" si="60"/>
        <v>93.761788222937724</v>
      </c>
      <c r="K96" s="32">
        <f t="shared" si="61"/>
        <v>22.675024528366549</v>
      </c>
      <c r="L96" s="15">
        <f t="shared" si="35"/>
        <v>3.8729613733905581</v>
      </c>
      <c r="M96" s="15">
        <f t="shared" si="36"/>
        <v>-0.20001662645787308</v>
      </c>
      <c r="N96" s="15">
        <f t="shared" si="37"/>
        <v>5.2926371966835305E-5</v>
      </c>
      <c r="O96" s="15">
        <f t="shared" si="38"/>
        <v>-57.108621916828973</v>
      </c>
      <c r="P96" s="15">
        <f t="shared" si="39"/>
        <v>-5.3032340755974827</v>
      </c>
      <c r="Q96" s="15">
        <f t="shared" si="40"/>
        <v>-3.1922312137887474E-2</v>
      </c>
      <c r="R96" s="15">
        <f t="shared" si="41"/>
        <v>-1.3481175064518161E-6</v>
      </c>
      <c r="S96" s="31">
        <f t="shared" si="62"/>
        <v>-57.340560855424734</v>
      </c>
      <c r="T96" s="31">
        <f t="shared" si="63"/>
        <v>6.4576808149219396</v>
      </c>
      <c r="U96" s="15">
        <f t="shared" si="42"/>
        <v>6500</v>
      </c>
      <c r="V96" s="15">
        <f t="shared" si="43"/>
        <v>-89.967534000495178</v>
      </c>
      <c r="W96" s="15">
        <f t="shared" si="44"/>
        <v>-64.933877559149749</v>
      </c>
      <c r="X96" s="15">
        <f t="shared" si="45"/>
        <v>54.891799425478304</v>
      </c>
      <c r="Y96" s="15">
        <f t="shared" si="46"/>
        <v>4.804795164682746</v>
      </c>
      <c r="Z96" s="15">
        <f t="shared" si="47"/>
        <v>-0.54330938385169969</v>
      </c>
      <c r="AA96" s="15">
        <f t="shared" si="48"/>
        <v>-3.9051702061467837E-4</v>
      </c>
      <c r="AB96" s="31">
        <f t="shared" si="64"/>
        <v>-35.619043958868573</v>
      </c>
      <c r="AC96" s="31">
        <f t="shared" si="65"/>
        <v>16.128794221369493</v>
      </c>
      <c r="AD96" s="15">
        <f t="shared" si="49"/>
        <v>8.3225003063926533</v>
      </c>
      <c r="AE96" s="15">
        <f t="shared" si="50"/>
        <v>9.1955947398056417E-2</v>
      </c>
      <c r="AF96" s="15">
        <f t="shared" si="51"/>
        <v>3.4471090505605326E-3</v>
      </c>
      <c r="AG96" s="15">
        <f t="shared" si="52"/>
        <v>1.5719874248462174E-8</v>
      </c>
      <c r="AH96" s="15">
        <f t="shared" si="53"/>
        <v>-1.6045543782121821</v>
      </c>
      <c r="AI96" s="15">
        <f t="shared" si="54"/>
        <v>-3.4064710428147742E-3</v>
      </c>
      <c r="AJ96" s="31">
        <f t="shared" si="66"/>
        <v>6.7213930372310315</v>
      </c>
      <c r="AK96" s="31">
        <f t="shared" si="67"/>
        <v>8.8549492075115893E-2</v>
      </c>
      <c r="AL96" s="15">
        <f t="shared" si="55"/>
        <v>0</v>
      </c>
      <c r="AM96" s="15">
        <f t="shared" si="56"/>
        <v>0</v>
      </c>
      <c r="AN96" s="15">
        <f t="shared" si="57"/>
        <v>0</v>
      </c>
      <c r="AO96" s="15">
        <f t="shared" si="58"/>
        <v>0</v>
      </c>
      <c r="AP96" s="31">
        <f t="shared" si="68"/>
        <v>0</v>
      </c>
      <c r="AQ96" s="31">
        <f t="shared" si="69"/>
        <v>0</v>
      </c>
    </row>
    <row r="97" spans="8:43" x14ac:dyDescent="0.25">
      <c r="H97" s="15">
        <v>1.94</v>
      </c>
      <c r="I97" s="45">
        <f t="shared" si="59"/>
        <v>870.96358995608068</v>
      </c>
      <c r="J97" s="32">
        <f t="shared" si="60"/>
        <v>93.916296857032719</v>
      </c>
      <c r="K97" s="32">
        <f t="shared" si="61"/>
        <v>22.472023865194497</v>
      </c>
      <c r="L97" s="15">
        <f t="shared" si="35"/>
        <v>3.8729613733905581</v>
      </c>
      <c r="M97" s="15">
        <f t="shared" si="36"/>
        <v>-0.20467557300945019</v>
      </c>
      <c r="N97" s="15">
        <f t="shared" si="37"/>
        <v>5.5420699117404445E-5</v>
      </c>
      <c r="O97" s="15">
        <f t="shared" si="38"/>
        <v>-57.70733745462649</v>
      </c>
      <c r="P97" s="15">
        <f t="shared" si="39"/>
        <v>-5.4452053316257834</v>
      </c>
      <c r="Q97" s="15">
        <f t="shared" si="40"/>
        <v>-3.26658781488047E-2</v>
      </c>
      <c r="R97" s="15">
        <f t="shared" si="41"/>
        <v>-1.4116523175682343E-6</v>
      </c>
      <c r="S97" s="31">
        <f t="shared" si="62"/>
        <v>-57.944678905784748</v>
      </c>
      <c r="T97" s="31">
        <f t="shared" si="63"/>
        <v>6.3157119896859797</v>
      </c>
      <c r="U97" s="15">
        <f t="shared" si="42"/>
        <v>6500</v>
      </c>
      <c r="V97" s="15">
        <f t="shared" si="43"/>
        <v>-89.968273016715543</v>
      </c>
      <c r="W97" s="15">
        <f t="shared" si="44"/>
        <v>-65.133877496390085</v>
      </c>
      <c r="X97" s="15">
        <f t="shared" si="45"/>
        <v>55.510047299245933</v>
      </c>
      <c r="Y97" s="15">
        <f t="shared" si="46"/>
        <v>4.9396560669097074</v>
      </c>
      <c r="Z97" s="15">
        <f t="shared" si="47"/>
        <v>-0.55596389980933336</v>
      </c>
      <c r="AA97" s="15">
        <f t="shared" si="48"/>
        <v>-4.0892065435338453E-4</v>
      </c>
      <c r="AB97" s="31">
        <f t="shared" si="64"/>
        <v>-35.014189617278944</v>
      </c>
      <c r="AC97" s="31">
        <f t="shared" si="65"/>
        <v>16.06363678272238</v>
      </c>
      <c r="AD97" s="15">
        <f t="shared" si="49"/>
        <v>8.5135470028404665</v>
      </c>
      <c r="AE97" s="15">
        <f t="shared" si="50"/>
        <v>9.6242023491903847E-2</v>
      </c>
      <c r="AF97" s="15">
        <f t="shared" si="51"/>
        <v>3.5274025348655796E-3</v>
      </c>
      <c r="AG97" s="15">
        <f t="shared" si="52"/>
        <v>1.6460730395198922E-8</v>
      </c>
      <c r="AH97" s="15">
        <f t="shared" si="53"/>
        <v>-1.6419090252789232</v>
      </c>
      <c r="AI97" s="15">
        <f t="shared" si="54"/>
        <v>-3.5669471664951892E-3</v>
      </c>
      <c r="AJ97" s="31">
        <f t="shared" si="66"/>
        <v>6.8751653800964094</v>
      </c>
      <c r="AK97" s="31">
        <f t="shared" si="67"/>
        <v>9.2675092786139043E-2</v>
      </c>
      <c r="AL97" s="15">
        <f t="shared" si="55"/>
        <v>0</v>
      </c>
      <c r="AM97" s="15">
        <f t="shared" si="56"/>
        <v>0</v>
      </c>
      <c r="AN97" s="15">
        <f t="shared" si="57"/>
        <v>0</v>
      </c>
      <c r="AO97" s="15">
        <f t="shared" si="58"/>
        <v>0</v>
      </c>
      <c r="AP97" s="31">
        <f t="shared" si="68"/>
        <v>0</v>
      </c>
      <c r="AQ97" s="31">
        <f t="shared" si="69"/>
        <v>0</v>
      </c>
    </row>
    <row r="98" spans="8:43" x14ac:dyDescent="0.25">
      <c r="H98" s="15">
        <v>1.95</v>
      </c>
      <c r="I98" s="45">
        <f t="shared" si="59"/>
        <v>891.25093813374565</v>
      </c>
      <c r="J98" s="32">
        <f t="shared" si="60"/>
        <v>94.074589799367786</v>
      </c>
      <c r="K98" s="32">
        <f t="shared" si="61"/>
        <v>22.269340165806909</v>
      </c>
      <c r="L98" s="15">
        <f t="shared" si="35"/>
        <v>3.8729613733905581</v>
      </c>
      <c r="M98" s="15">
        <f t="shared" si="36"/>
        <v>-0.209443037564669</v>
      </c>
      <c r="N98" s="15">
        <f t="shared" si="37"/>
        <v>5.8032578748133838E-5</v>
      </c>
      <c r="O98" s="15">
        <f t="shared" si="38"/>
        <v>-58.300166301607682</v>
      </c>
      <c r="P98" s="15">
        <f t="shared" si="39"/>
        <v>-5.5890549994303971</v>
      </c>
      <c r="Q98" s="15">
        <f t="shared" si="40"/>
        <v>-3.3426764025681829E-2</v>
      </c>
      <c r="R98" s="15">
        <f t="shared" si="41"/>
        <v>-1.4781814300687692E-6</v>
      </c>
      <c r="S98" s="31">
        <f t="shared" si="62"/>
        <v>-58.543036103198034</v>
      </c>
      <c r="T98" s="31">
        <f t="shared" si="63"/>
        <v>6.1718648672318839</v>
      </c>
      <c r="U98" s="15">
        <f t="shared" si="42"/>
        <v>6500</v>
      </c>
      <c r="V98" s="15">
        <f t="shared" si="43"/>
        <v>-89.968995210883151</v>
      </c>
      <c r="W98" s="15">
        <f t="shared" si="44"/>
        <v>-65.333877436455069</v>
      </c>
      <c r="X98" s="15">
        <f t="shared" si="45"/>
        <v>56.123210513487479</v>
      </c>
      <c r="Y98" s="15">
        <f t="shared" si="46"/>
        <v>5.0765231893572862</v>
      </c>
      <c r="Z98" s="15">
        <f t="shared" si="47"/>
        <v>-0.56891312114786008</v>
      </c>
      <c r="AA98" s="15">
        <f t="shared" si="48"/>
        <v>-4.2819154103958452E-4</v>
      </c>
      <c r="AB98" s="31">
        <f t="shared" si="64"/>
        <v>-34.41469781854353</v>
      </c>
      <c r="AC98" s="31">
        <f t="shared" si="65"/>
        <v>16.00048469421829</v>
      </c>
      <c r="AD98" s="15">
        <f t="shared" si="49"/>
        <v>8.7088464831232404</v>
      </c>
      <c r="AE98" s="15">
        <f t="shared" si="50"/>
        <v>0.1007255670618268</v>
      </c>
      <c r="AF98" s="15">
        <f t="shared" si="51"/>
        <v>3.6095662946663931E-3</v>
      </c>
      <c r="AG98" s="15">
        <f t="shared" si="52"/>
        <v>1.7236499053402367E-8</v>
      </c>
      <c r="AH98" s="15">
        <f t="shared" si="53"/>
        <v>-1.6801323283085512</v>
      </c>
      <c r="AI98" s="15">
        <f t="shared" si="54"/>
        <v>-3.7349799415915216E-3</v>
      </c>
      <c r="AJ98" s="31">
        <f t="shared" si="66"/>
        <v>7.0323237211093561</v>
      </c>
      <c r="AK98" s="31">
        <f t="shared" si="67"/>
        <v>9.6990604356734317E-2</v>
      </c>
      <c r="AL98" s="15">
        <f t="shared" si="55"/>
        <v>0</v>
      </c>
      <c r="AM98" s="15">
        <f t="shared" si="56"/>
        <v>0</v>
      </c>
      <c r="AN98" s="15">
        <f t="shared" si="57"/>
        <v>0</v>
      </c>
      <c r="AO98" s="15">
        <f t="shared" si="58"/>
        <v>0</v>
      </c>
      <c r="AP98" s="31">
        <f t="shared" si="68"/>
        <v>0</v>
      </c>
      <c r="AQ98" s="31">
        <f t="shared" si="69"/>
        <v>0</v>
      </c>
    </row>
    <row r="99" spans="8:43" x14ac:dyDescent="0.25">
      <c r="H99" s="15">
        <v>1.96</v>
      </c>
      <c r="I99" s="45">
        <f t="shared" si="59"/>
        <v>912.01083935590975</v>
      </c>
      <c r="J99" s="32">
        <f t="shared" si="60"/>
        <v>94.236678918357413</v>
      </c>
      <c r="K99" s="32">
        <f t="shared" si="61"/>
        <v>22.066985696061892</v>
      </c>
      <c r="L99" s="15">
        <f t="shared" si="35"/>
        <v>3.8729613733905581</v>
      </c>
      <c r="M99" s="15">
        <f t="shared" si="36"/>
        <v>-0.21432154763212705</v>
      </c>
      <c r="N99" s="15">
        <f t="shared" si="37"/>
        <v>6.0767550789016687E-5</v>
      </c>
      <c r="O99" s="15">
        <f t="shared" si="38"/>
        <v>-58.886915033786117</v>
      </c>
      <c r="P99" s="15">
        <f t="shared" si="39"/>
        <v>-5.734745535648857</v>
      </c>
      <c r="Q99" s="15">
        <f t="shared" si="40"/>
        <v>-3.4205373199208189E-2</v>
      </c>
      <c r="R99" s="15">
        <f t="shared" si="41"/>
        <v>-1.547845961612271E-6</v>
      </c>
      <c r="S99" s="31">
        <f t="shared" si="62"/>
        <v>-59.135441954617448</v>
      </c>
      <c r="T99" s="31">
        <f t="shared" si="63"/>
        <v>6.0261769963209328</v>
      </c>
      <c r="U99" s="15">
        <f t="shared" si="42"/>
        <v>6500</v>
      </c>
      <c r="V99" s="15">
        <f t="shared" si="43"/>
        <v>-89.969700965914029</v>
      </c>
      <c r="W99" s="15">
        <f t="shared" si="44"/>
        <v>-65.533877379217572</v>
      </c>
      <c r="X99" s="15">
        <f t="shared" si="45"/>
        <v>56.731052385794605</v>
      </c>
      <c r="Y99" s="15">
        <f t="shared" si="46"/>
        <v>5.2153627657301964</v>
      </c>
      <c r="Z99" s="15">
        <f t="shared" si="47"/>
        <v>-0.58216390842133625</v>
      </c>
      <c r="AA99" s="15">
        <f t="shared" si="48"/>
        <v>-4.4837054498533975E-4</v>
      </c>
      <c r="AB99" s="31">
        <f t="shared" si="64"/>
        <v>-33.82081248854076</v>
      </c>
      <c r="AC99" s="31">
        <f t="shared" si="65"/>
        <v>15.939304148824753</v>
      </c>
      <c r="AD99" s="15">
        <f t="shared" si="49"/>
        <v>8.9084841352547439</v>
      </c>
      <c r="AE99" s="15">
        <f t="shared" si="50"/>
        <v>0.10541545775688348</v>
      </c>
      <c r="AF99" s="15">
        <f t="shared" si="51"/>
        <v>3.693643894274633E-3</v>
      </c>
      <c r="AG99" s="15">
        <f t="shared" si="52"/>
        <v>1.8048831151682459E-8</v>
      </c>
      <c r="AH99" s="15">
        <f t="shared" si="53"/>
        <v>-1.7192444176334087</v>
      </c>
      <c r="AI99" s="15">
        <f t="shared" si="54"/>
        <v>-3.9109248895127461E-3</v>
      </c>
      <c r="AJ99" s="31">
        <f t="shared" si="66"/>
        <v>7.1929333615156104</v>
      </c>
      <c r="AK99" s="31">
        <f t="shared" si="67"/>
        <v>0.10150455091620188</v>
      </c>
      <c r="AL99" s="15">
        <f t="shared" si="55"/>
        <v>0</v>
      </c>
      <c r="AM99" s="15">
        <f t="shared" si="56"/>
        <v>0</v>
      </c>
      <c r="AN99" s="15">
        <f t="shared" si="57"/>
        <v>0</v>
      </c>
      <c r="AO99" s="15">
        <f t="shared" si="58"/>
        <v>0</v>
      </c>
      <c r="AP99" s="31">
        <f t="shared" si="68"/>
        <v>0</v>
      </c>
      <c r="AQ99" s="31">
        <f t="shared" si="69"/>
        <v>0</v>
      </c>
    </row>
    <row r="100" spans="8:43" x14ac:dyDescent="0.25">
      <c r="H100" s="15">
        <v>1.97</v>
      </c>
      <c r="I100" s="45">
        <f t="shared" si="59"/>
        <v>933.25430079699174</v>
      </c>
      <c r="J100" s="32">
        <f t="shared" si="60"/>
        <v>94.402575904926451</v>
      </c>
      <c r="K100" s="32">
        <f t="shared" si="61"/>
        <v>21.864972668330001</v>
      </c>
      <c r="L100" s="15">
        <f t="shared" si="35"/>
        <v>3.8729613733905581</v>
      </c>
      <c r="M100" s="15">
        <f t="shared" si="36"/>
        <v>-0.21931368957932668</v>
      </c>
      <c r="N100" s="15">
        <f t="shared" si="37"/>
        <v>6.3631416245809035E-5</v>
      </c>
      <c r="O100" s="15">
        <f t="shared" si="38"/>
        <v>-59.467402460965239</v>
      </c>
      <c r="P100" s="15">
        <f t="shared" si="39"/>
        <v>-5.8822386186912539</v>
      </c>
      <c r="Q100" s="15">
        <f t="shared" si="40"/>
        <v>-3.5002118497122758E-2</v>
      </c>
      <c r="R100" s="15">
        <f t="shared" si="41"/>
        <v>-1.6207936817793894E-6</v>
      </c>
      <c r="S100" s="31">
        <f t="shared" si="62"/>
        <v>-59.721718269041695</v>
      </c>
      <c r="T100" s="31">
        <f t="shared" si="63"/>
        <v>5.8786867041962738</v>
      </c>
      <c r="U100" s="15">
        <f t="shared" si="42"/>
        <v>6500</v>
      </c>
      <c r="V100" s="15">
        <f t="shared" si="43"/>
        <v>-89.97039065600795</v>
      </c>
      <c r="W100" s="15">
        <f t="shared" si="44"/>
        <v>-65.733877324556204</v>
      </c>
      <c r="X100" s="15">
        <f t="shared" si="45"/>
        <v>57.333347906818695</v>
      </c>
      <c r="Y100" s="15">
        <f t="shared" si="46"/>
        <v>5.3561398375922895</v>
      </c>
      <c r="Z100" s="15">
        <f t="shared" si="47"/>
        <v>-0.59572328169948718</v>
      </c>
      <c r="AA100" s="15">
        <f t="shared" si="48"/>
        <v>-4.6950045559882183E-4</v>
      </c>
      <c r="AB100" s="31">
        <f t="shared" si="64"/>
        <v>-33.23276603088874</v>
      </c>
      <c r="AC100" s="31">
        <f t="shared" si="65"/>
        <v>15.8800601454376</v>
      </c>
      <c r="AD100" s="15">
        <f t="shared" si="49"/>
        <v>9.1125464100548967</v>
      </c>
      <c r="AE100" s="15">
        <f t="shared" si="50"/>
        <v>0.11032095402452424</v>
      </c>
      <c r="AF100" s="15">
        <f t="shared" si="51"/>
        <v>3.7796799127450646E-3</v>
      </c>
      <c r="AG100" s="15">
        <f t="shared" si="52"/>
        <v>1.889944705022553E-8</v>
      </c>
      <c r="AH100" s="15">
        <f t="shared" si="53"/>
        <v>-1.7592658851107437</v>
      </c>
      <c r="AI100" s="15">
        <f t="shared" si="54"/>
        <v>-4.0951542278428186E-3</v>
      </c>
      <c r="AJ100" s="31">
        <f t="shared" si="66"/>
        <v>7.3570602048568974</v>
      </c>
      <c r="AK100" s="31">
        <f t="shared" si="67"/>
        <v>0.10622581869612847</v>
      </c>
      <c r="AL100" s="15">
        <f t="shared" si="55"/>
        <v>0</v>
      </c>
      <c r="AM100" s="15">
        <f t="shared" si="56"/>
        <v>0</v>
      </c>
      <c r="AN100" s="15">
        <f t="shared" si="57"/>
        <v>0</v>
      </c>
      <c r="AO100" s="15">
        <f t="shared" si="58"/>
        <v>0</v>
      </c>
      <c r="AP100" s="31">
        <f t="shared" si="68"/>
        <v>0</v>
      </c>
      <c r="AQ100" s="31">
        <f t="shared" si="69"/>
        <v>0</v>
      </c>
    </row>
    <row r="101" spans="8:43" x14ac:dyDescent="0.25">
      <c r="H101" s="15">
        <v>1.98</v>
      </c>
      <c r="I101" s="45">
        <f t="shared" si="59"/>
        <v>954.99258602143652</v>
      </c>
      <c r="J101" s="32">
        <f t="shared" si="60"/>
        <v>94.572292413979071</v>
      </c>
      <c r="K101" s="32">
        <f t="shared" si="61"/>
        <v>21.663313257928724</v>
      </c>
      <c r="L101" s="15">
        <f t="shared" si="35"/>
        <v>3.8729613733905581</v>
      </c>
      <c r="M101" s="15">
        <f t="shared" si="36"/>
        <v>-0.22442211000264914</v>
      </c>
      <c r="N101" s="15">
        <f t="shared" si="37"/>
        <v>6.663024949964324E-5</v>
      </c>
      <c r="O101" s="15">
        <f t="shared" si="38"/>
        <v>-60.041459660260493</v>
      </c>
      <c r="P101" s="15">
        <f t="shared" si="39"/>
        <v>-6.0314952603045944</v>
      </c>
      <c r="Q101" s="15">
        <f t="shared" si="40"/>
        <v>-3.5817422363095368E-2</v>
      </c>
      <c r="R101" s="15">
        <f t="shared" si="41"/>
        <v>-1.6971793206564895E-6</v>
      </c>
      <c r="S101" s="31">
        <f t="shared" si="62"/>
        <v>-60.301699192626238</v>
      </c>
      <c r="T101" s="31">
        <f t="shared" si="63"/>
        <v>5.729432985030547</v>
      </c>
      <c r="U101" s="15">
        <f t="shared" si="42"/>
        <v>6500</v>
      </c>
      <c r="V101" s="15">
        <f t="shared" si="43"/>
        <v>-89.971064646846955</v>
      </c>
      <c r="W101" s="15">
        <f t="shared" si="44"/>
        <v>-65.933877272354977</v>
      </c>
      <c r="X101" s="15">
        <f t="shared" si="45"/>
        <v>57.929883966383478</v>
      </c>
      <c r="Y101" s="15">
        <f t="shared" si="46"/>
        <v>5.4988183689894203</v>
      </c>
      <c r="Z101" s="15">
        <f t="shared" si="47"/>
        <v>-0.60959842426277333</v>
      </c>
      <c r="AA101" s="15">
        <f t="shared" si="48"/>
        <v>-4.9162607803297234E-4</v>
      </c>
      <c r="AB101" s="31">
        <f t="shared" si="64"/>
        <v>-32.650779104726247</v>
      </c>
      <c r="AC101" s="31">
        <f t="shared" si="65"/>
        <v>15.822716603413525</v>
      </c>
      <c r="AD101" s="15">
        <f t="shared" si="49"/>
        <v>9.3211207857116651</v>
      </c>
      <c r="AE101" s="15">
        <f t="shared" si="50"/>
        <v>0.11545170734603535</v>
      </c>
      <c r="AF101" s="15">
        <f t="shared" si="51"/>
        <v>3.8677199675119438E-3</v>
      </c>
      <c r="AG101" s="15">
        <f t="shared" si="52"/>
        <v>1.9790150041378677E-8</v>
      </c>
      <c r="AH101" s="15">
        <f t="shared" si="53"/>
        <v>-1.8002177943476261</v>
      </c>
      <c r="AI101" s="15">
        <f t="shared" si="54"/>
        <v>-4.2880576515361797E-3</v>
      </c>
      <c r="AJ101" s="31">
        <f t="shared" si="66"/>
        <v>7.5247707113315521</v>
      </c>
      <c r="AK101" s="31">
        <f t="shared" si="67"/>
        <v>0.11116366948464922</v>
      </c>
      <c r="AL101" s="15">
        <f t="shared" si="55"/>
        <v>0</v>
      </c>
      <c r="AM101" s="15">
        <f t="shared" si="56"/>
        <v>0</v>
      </c>
      <c r="AN101" s="15">
        <f t="shared" si="57"/>
        <v>0</v>
      </c>
      <c r="AO101" s="15">
        <f t="shared" si="58"/>
        <v>0</v>
      </c>
      <c r="AP101" s="31">
        <f t="shared" si="68"/>
        <v>0</v>
      </c>
      <c r="AQ101" s="31">
        <f t="shared" si="69"/>
        <v>0</v>
      </c>
    </row>
    <row r="102" spans="8:43" x14ac:dyDescent="0.25">
      <c r="H102" s="15">
        <v>1.99</v>
      </c>
      <c r="I102" s="45">
        <f t="shared" si="59"/>
        <v>977.23722095581127</v>
      </c>
      <c r="J102" s="32">
        <f t="shared" si="60"/>
        <v>94.745840194358138</v>
      </c>
      <c r="K102" s="32">
        <f t="shared" si="61"/>
        <v>21.462019622090189</v>
      </c>
      <c r="L102" s="15">
        <f t="shared" si="35"/>
        <v>3.8729613733905581</v>
      </c>
      <c r="M102" s="15">
        <f t="shared" si="36"/>
        <v>-0.22964951712916812</v>
      </c>
      <c r="N102" s="15">
        <f t="shared" si="37"/>
        <v>6.9770411192822418E-5</v>
      </c>
      <c r="O102" s="15">
        <f t="shared" si="38"/>
        <v>-60.608929961147069</v>
      </c>
      <c r="P102" s="15">
        <f t="shared" si="39"/>
        <v>-6.1824759149207686</v>
      </c>
      <c r="Q102" s="15">
        <f t="shared" si="40"/>
        <v>-3.6651717080706143E-2</v>
      </c>
      <c r="R102" s="15">
        <f t="shared" si="41"/>
        <v>-1.7771649005633418E-6</v>
      </c>
      <c r="S102" s="31">
        <f t="shared" si="62"/>
        <v>-60.875231195356946</v>
      </c>
      <c r="T102" s="31">
        <f t="shared" si="63"/>
        <v>5.5784553905904861</v>
      </c>
      <c r="U102" s="15">
        <f t="shared" si="42"/>
        <v>6500</v>
      </c>
      <c r="V102" s="15">
        <f t="shared" si="43"/>
        <v>-89.971723295789147</v>
      </c>
      <c r="W102" s="15">
        <f t="shared" si="44"/>
        <v>-66.133877222503202</v>
      </c>
      <c r="X102" s="15">
        <f t="shared" si="45"/>
        <v>58.52045952436881</v>
      </c>
      <c r="Y102" s="15">
        <f t="shared" si="46"/>
        <v>5.6433613610775204</v>
      </c>
      <c r="Z102" s="15">
        <f t="shared" si="47"/>
        <v>-0.62379668638206187</v>
      </c>
      <c r="AA102" s="15">
        <f t="shared" si="48"/>
        <v>-5.1479432811255867E-4</v>
      </c>
      <c r="AB102" s="31">
        <f t="shared" si="64"/>
        <v>-32.075060457802401</v>
      </c>
      <c r="AC102" s="31">
        <f t="shared" si="65"/>
        <v>15.767236477103319</v>
      </c>
      <c r="AD102" s="15">
        <f t="shared" si="49"/>
        <v>9.5342957279056026</v>
      </c>
      <c r="AE102" s="15">
        <f t="shared" si="50"/>
        <v>0.120817776823922</v>
      </c>
      <c r="AF102" s="15">
        <f t="shared" si="51"/>
        <v>3.9578107385759955E-3</v>
      </c>
      <c r="AG102" s="15">
        <f t="shared" si="52"/>
        <v>2.0722830206959502E-8</v>
      </c>
      <c r="AH102" s="15">
        <f t="shared" si="53"/>
        <v>-1.8421216911266936</v>
      </c>
      <c r="AI102" s="15">
        <f t="shared" si="54"/>
        <v>-4.4900431503697904E-3</v>
      </c>
      <c r="AJ102" s="31">
        <f t="shared" si="66"/>
        <v>7.6961318475174858</v>
      </c>
      <c r="AK102" s="31">
        <f t="shared" si="67"/>
        <v>0.11632775439638242</v>
      </c>
      <c r="AL102" s="15">
        <f t="shared" si="55"/>
        <v>0</v>
      </c>
      <c r="AM102" s="15">
        <f t="shared" si="56"/>
        <v>0</v>
      </c>
      <c r="AN102" s="15">
        <f t="shared" si="57"/>
        <v>0</v>
      </c>
      <c r="AO102" s="15">
        <f t="shared" si="58"/>
        <v>0</v>
      </c>
      <c r="AP102" s="31">
        <f t="shared" si="68"/>
        <v>0</v>
      </c>
      <c r="AQ102" s="31">
        <f t="shared" si="69"/>
        <v>0</v>
      </c>
    </row>
    <row r="103" spans="8:43" x14ac:dyDescent="0.25">
      <c r="H103" s="15">
        <v>2</v>
      </c>
      <c r="I103" s="45">
        <f t="shared" si="59"/>
        <v>1000</v>
      </c>
      <c r="J103" s="32">
        <f t="shared" si="60"/>
        <v>94.923231205888555</v>
      </c>
      <c r="K103" s="32">
        <f t="shared" si="61"/>
        <v>21.261103921286612</v>
      </c>
      <c r="L103" s="15">
        <f t="shared" si="35"/>
        <v>3.8729613733905581</v>
      </c>
      <c r="M103" s="15">
        <f t="shared" si="36"/>
        <v>-0.23499868225103507</v>
      </c>
      <c r="N103" s="15">
        <f t="shared" si="37"/>
        <v>7.3058561710426738E-5</v>
      </c>
      <c r="O103" s="15">
        <f t="shared" si="38"/>
        <v>-61.169668884566221</v>
      </c>
      <c r="P103" s="15">
        <f t="shared" si="39"/>
        <v>-6.3351405862837407</v>
      </c>
      <c r="Q103" s="15">
        <f t="shared" si="40"/>
        <v>-3.750544500264158E-2</v>
      </c>
      <c r="R103" s="15">
        <f t="shared" si="41"/>
        <v>-1.8609200832099568E-6</v>
      </c>
      <c r="S103" s="31">
        <f t="shared" si="62"/>
        <v>-61.442173011819897</v>
      </c>
      <c r="T103" s="31">
        <f t="shared" si="63"/>
        <v>5.4257939236228498</v>
      </c>
      <c r="U103" s="15">
        <f t="shared" si="42"/>
        <v>6500</v>
      </c>
      <c r="V103" s="15">
        <f t="shared" si="43"/>
        <v>-89.972366952058223</v>
      </c>
      <c r="W103" s="15">
        <f t="shared" si="44"/>
        <v>-66.333877174895107</v>
      </c>
      <c r="X103" s="15">
        <f t="shared" si="45"/>
        <v>59.104885727780584</v>
      </c>
      <c r="Y103" s="15">
        <f t="shared" si="46"/>
        <v>5.7897309660870979</v>
      </c>
      <c r="Z103" s="15">
        <f t="shared" si="47"/>
        <v>-0.63832558918476134</v>
      </c>
      <c r="AA103" s="15">
        <f t="shared" si="48"/>
        <v>-5.3905433171059808E-4</v>
      </c>
      <c r="AB103" s="31">
        <f t="shared" si="64"/>
        <v>-31.505806813462399</v>
      </c>
      <c r="AC103" s="31">
        <f t="shared" si="65"/>
        <v>15.713581869717395</v>
      </c>
      <c r="AD103" s="15">
        <f t="shared" si="49"/>
        <v>9.7521606452123315</v>
      </c>
      <c r="AE103" s="15">
        <f t="shared" si="50"/>
        <v>0.12642964411122876</v>
      </c>
      <c r="AF103" s="15">
        <f t="shared" si="51"/>
        <v>4.0499999932547418E-3</v>
      </c>
      <c r="AG103" s="15">
        <f t="shared" si="52"/>
        <v>2.1699468275565836E-8</v>
      </c>
      <c r="AH103" s="15">
        <f t="shared" si="53"/>
        <v>-1.8849996140347234</v>
      </c>
      <c r="AI103" s="15">
        <f t="shared" si="54"/>
        <v>-4.701537864328407E-3</v>
      </c>
      <c r="AJ103" s="31">
        <f t="shared" si="66"/>
        <v>7.871211031170863</v>
      </c>
      <c r="AK103" s="31">
        <f t="shared" si="67"/>
        <v>0.12172812794636863</v>
      </c>
      <c r="AL103" s="15">
        <f t="shared" si="55"/>
        <v>0</v>
      </c>
      <c r="AM103" s="15">
        <f t="shared" si="56"/>
        <v>0</v>
      </c>
      <c r="AN103" s="15">
        <f t="shared" si="57"/>
        <v>0</v>
      </c>
      <c r="AO103" s="15">
        <f t="shared" si="58"/>
        <v>0</v>
      </c>
      <c r="AP103" s="31">
        <f t="shared" si="68"/>
        <v>0</v>
      </c>
      <c r="AQ103" s="31">
        <f t="shared" si="69"/>
        <v>0</v>
      </c>
    </row>
    <row r="104" spans="8:43" x14ac:dyDescent="0.25">
      <c r="H104" s="15">
        <v>2.0099999999999998</v>
      </c>
      <c r="I104" s="45">
        <f t="shared" si="59"/>
        <v>1023.2929922807544</v>
      </c>
      <c r="J104" s="32">
        <f t="shared" si="60"/>
        <v>95.104477722239864</v>
      </c>
      <c r="K104" s="32">
        <f t="shared" si="61"/>
        <v>21.060578342722469</v>
      </c>
      <c r="L104" s="15">
        <f t="shared" si="35"/>
        <v>3.8729613733905581</v>
      </c>
      <c r="M104" s="15">
        <f t="shared" si="36"/>
        <v>-0.24047244119319358</v>
      </c>
      <c r="N104" s="15">
        <f t="shared" si="37"/>
        <v>7.6501675321363329E-5</v>
      </c>
      <c r="O104" s="15">
        <f t="shared" si="38"/>
        <v>-61.723544038832422</v>
      </c>
      <c r="P104" s="15">
        <f t="shared" si="39"/>
        <v>-6.4894489309035608</v>
      </c>
      <c r="Q104" s="15">
        <f t="shared" si="40"/>
        <v>-3.8379058785229132E-2</v>
      </c>
      <c r="R104" s="15">
        <f t="shared" si="41"/>
        <v>-1.948622526496596E-6</v>
      </c>
      <c r="S104" s="31">
        <f t="shared" si="62"/>
        <v>-62.002395538810845</v>
      </c>
      <c r="T104" s="31">
        <f t="shared" si="63"/>
        <v>5.2714889344141973</v>
      </c>
      <c r="U104" s="15">
        <f t="shared" si="42"/>
        <v>6500</v>
      </c>
      <c r="V104" s="15">
        <f t="shared" si="43"/>
        <v>-89.972995956928614</v>
      </c>
      <c r="W104" s="15">
        <f t="shared" si="44"/>
        <v>-66.533877129429754</v>
      </c>
      <c r="X104" s="15">
        <f t="shared" si="45"/>
        <v>59.682985975785726</v>
      </c>
      <c r="Y104" s="15">
        <f t="shared" si="46"/>
        <v>5.937888599995941</v>
      </c>
      <c r="Z104" s="15">
        <f t="shared" si="47"/>
        <v>-0.65319282860933092</v>
      </c>
      <c r="AA104" s="15">
        <f t="shared" si="48"/>
        <v>-5.6445752880676637E-4</v>
      </c>
      <c r="AB104" s="31">
        <f t="shared" si="64"/>
        <v>-30.943202809752218</v>
      </c>
      <c r="AC104" s="31">
        <f t="shared" si="65"/>
        <v>15.661714145894493</v>
      </c>
      <c r="AD104" s="15">
        <f t="shared" si="49"/>
        <v>9.9748058394873826</v>
      </c>
      <c r="AE104" s="15">
        <f t="shared" si="50"/>
        <v>0.13229822867027236</v>
      </c>
      <c r="AF104" s="15">
        <f t="shared" si="51"/>
        <v>4.1443366115093815E-3</v>
      </c>
      <c r="AG104" s="15">
        <f t="shared" si="52"/>
        <v>2.2722131765265732E-8</v>
      </c>
      <c r="AH104" s="15">
        <f t="shared" si="53"/>
        <v>-1.928874105295955</v>
      </c>
      <c r="AI104" s="15">
        <f t="shared" si="54"/>
        <v>-4.9229889786258068E-3</v>
      </c>
      <c r="AJ104" s="31">
        <f t="shared" si="66"/>
        <v>8.0500760708029357</v>
      </c>
      <c r="AK104" s="31">
        <f t="shared" si="67"/>
        <v>0.12737526241377831</v>
      </c>
      <c r="AL104" s="15">
        <f t="shared" si="55"/>
        <v>0</v>
      </c>
      <c r="AM104" s="15">
        <f t="shared" si="56"/>
        <v>0</v>
      </c>
      <c r="AN104" s="15">
        <f t="shared" si="57"/>
        <v>0</v>
      </c>
      <c r="AO104" s="15">
        <f t="shared" si="58"/>
        <v>0</v>
      </c>
      <c r="AP104" s="31">
        <f t="shared" si="68"/>
        <v>0</v>
      </c>
      <c r="AQ104" s="31">
        <f t="shared" si="69"/>
        <v>0</v>
      </c>
    </row>
    <row r="105" spans="8:43" x14ac:dyDescent="0.25">
      <c r="H105" s="15">
        <v>2.02</v>
      </c>
      <c r="I105" s="45">
        <f t="shared" si="59"/>
        <v>1047.1285480508998</v>
      </c>
      <c r="J105" s="32">
        <f t="shared" si="60"/>
        <v>95.289592418488965</v>
      </c>
      <c r="K105" s="32">
        <f t="shared" si="61"/>
        <v>20.860455125793145</v>
      </c>
      <c r="L105" s="15">
        <f t="shared" si="35"/>
        <v>3.8729613733905581</v>
      </c>
      <c r="M105" s="15">
        <f t="shared" si="36"/>
        <v>-0.24607369581518843</v>
      </c>
      <c r="N105" s="15">
        <f t="shared" si="37"/>
        <v>8.0107054951843718E-5</v>
      </c>
      <c r="O105" s="15">
        <f t="shared" si="38"/>
        <v>-62.270434975249813</v>
      </c>
      <c r="P105" s="15">
        <f t="shared" si="39"/>
        <v>-6.6453603579371805</v>
      </c>
      <c r="Q105" s="15">
        <f t="shared" si="40"/>
        <v>-3.9273021628434171E-2</v>
      </c>
      <c r="R105" s="15">
        <f t="shared" si="41"/>
        <v>-2.0404582548142555E-6</v>
      </c>
      <c r="S105" s="31">
        <f t="shared" si="62"/>
        <v>-62.555781692693436</v>
      </c>
      <c r="T105" s="31">
        <f t="shared" si="63"/>
        <v>5.1155810209244796</v>
      </c>
      <c r="U105" s="15">
        <f t="shared" si="42"/>
        <v>6500</v>
      </c>
      <c r="V105" s="15">
        <f t="shared" si="43"/>
        <v>-89.973610643906397</v>
      </c>
      <c r="W105" s="15">
        <f t="shared" si="44"/>
        <v>-66.733877086010665</v>
      </c>
      <c r="X105" s="15">
        <f t="shared" si="45"/>
        <v>60.254595934812798</v>
      </c>
      <c r="Y105" s="15">
        <f t="shared" si="46"/>
        <v>6.0877950533262748</v>
      </c>
      <c r="Z105" s="15">
        <f t="shared" si="47"/>
        <v>-0.6684062794500909</v>
      </c>
      <c r="AA105" s="15">
        <f t="shared" si="48"/>
        <v>-5.9105778243719585E-4</v>
      </c>
      <c r="AB105" s="31">
        <f t="shared" si="64"/>
        <v>-30.387420988543692</v>
      </c>
      <c r="AC105" s="31">
        <f t="shared" si="65"/>
        <v>15.611594042390287</v>
      </c>
      <c r="AD105" s="15">
        <f t="shared" si="49"/>
        <v>10.202322450926125</v>
      </c>
      <c r="AE105" s="15">
        <f t="shared" si="50"/>
        <v>0.13843490334560288</v>
      </c>
      <c r="AF105" s="15">
        <f t="shared" si="51"/>
        <v>4.2408706118615509E-3</v>
      </c>
      <c r="AG105" s="15">
        <f t="shared" si="52"/>
        <v>2.3792994270146588E-8</v>
      </c>
      <c r="AH105" s="15">
        <f t="shared" si="53"/>
        <v>-1.9737682218118773</v>
      </c>
      <c r="AI105" s="15">
        <f t="shared" si="54"/>
        <v>-5.1548646602212408E-3</v>
      </c>
      <c r="AJ105" s="31">
        <f t="shared" si="66"/>
        <v>8.2327950997261095</v>
      </c>
      <c r="AK105" s="31">
        <f t="shared" si="67"/>
        <v>0.1332800624783759</v>
      </c>
      <c r="AL105" s="15">
        <f t="shared" si="55"/>
        <v>0</v>
      </c>
      <c r="AM105" s="15">
        <f t="shared" si="56"/>
        <v>0</v>
      </c>
      <c r="AN105" s="15">
        <f t="shared" si="57"/>
        <v>0</v>
      </c>
      <c r="AO105" s="15">
        <f t="shared" si="58"/>
        <v>0</v>
      </c>
      <c r="AP105" s="31">
        <f t="shared" si="68"/>
        <v>0</v>
      </c>
      <c r="AQ105" s="31">
        <f t="shared" si="69"/>
        <v>0</v>
      </c>
    </row>
    <row r="106" spans="8:43" x14ac:dyDescent="0.25">
      <c r="H106" s="15">
        <v>2.0299999999999998</v>
      </c>
      <c r="I106" s="45">
        <f t="shared" si="59"/>
        <v>1071.5193052376067</v>
      </c>
      <c r="J106" s="32">
        <f t="shared" si="60"/>
        <v>95.478588442408139</v>
      </c>
      <c r="K106" s="32">
        <f t="shared" si="61"/>
        <v>20.660746589300228</v>
      </c>
      <c r="L106" s="15">
        <f t="shared" si="35"/>
        <v>3.8729613733905581</v>
      </c>
      <c r="M106" s="15">
        <f t="shared" si="36"/>
        <v>-0.25180541554786251</v>
      </c>
      <c r="N106" s="15">
        <f t="shared" si="37"/>
        <v>8.3882347679990139E-5</v>
      </c>
      <c r="O106" s="15">
        <f t="shared" si="38"/>
        <v>-62.810233006471059</v>
      </c>
      <c r="P106" s="15">
        <f t="shared" si="39"/>
        <v>-6.8028341251494915</v>
      </c>
      <c r="Q106" s="15">
        <f t="shared" si="40"/>
        <v>-4.0187807521447169E-2</v>
      </c>
      <c r="R106" s="15">
        <f t="shared" si="41"/>
        <v>-2.1366220659894708E-6</v>
      </c>
      <c r="S106" s="31">
        <f t="shared" si="62"/>
        <v>-63.102226229540371</v>
      </c>
      <c r="T106" s="31">
        <f t="shared" si="63"/>
        <v>4.9581109328410848</v>
      </c>
      <c r="U106" s="15">
        <f t="shared" si="42"/>
        <v>6500</v>
      </c>
      <c r="V106" s="15">
        <f t="shared" si="43"/>
        <v>-89.974211338906201</v>
      </c>
      <c r="W106" s="15">
        <f t="shared" si="44"/>
        <v>-66.933877044545767</v>
      </c>
      <c r="X106" s="15">
        <f t="shared" si="45"/>
        <v>60.81956350609893</v>
      </c>
      <c r="Y106" s="15">
        <f t="shared" si="46"/>
        <v>6.2394105995308982</v>
      </c>
      <c r="Z106" s="15">
        <f t="shared" si="47"/>
        <v>-0.68397399949432136</v>
      </c>
      <c r="AA106" s="15">
        <f t="shared" si="48"/>
        <v>-6.1891149277777343E-4</v>
      </c>
      <c r="AB106" s="31">
        <f t="shared" si="64"/>
        <v>-29.838621832301591</v>
      </c>
      <c r="AC106" s="31">
        <f t="shared" si="65"/>
        <v>15.563181776349468</v>
      </c>
      <c r="AD106" s="15">
        <f t="shared" si="49"/>
        <v>10.434802397481249</v>
      </c>
      <c r="AE106" s="15">
        <f t="shared" si="50"/>
        <v>0.14485151023300966</v>
      </c>
      <c r="AF106" s="15">
        <f t="shared" si="51"/>
        <v>4.3396531779138258E-3</v>
      </c>
      <c r="AG106" s="15">
        <f t="shared" si="52"/>
        <v>2.4914321959730483E-8</v>
      </c>
      <c r="AH106" s="15">
        <f t="shared" si="53"/>
        <v>-2.019705546409067</v>
      </c>
      <c r="AI106" s="15">
        <f t="shared" si="54"/>
        <v>-5.3976550376575432E-3</v>
      </c>
      <c r="AJ106" s="31">
        <f t="shared" si="66"/>
        <v>8.4194365042500952</v>
      </c>
      <c r="AK106" s="31">
        <f t="shared" si="67"/>
        <v>0.13945388010967408</v>
      </c>
      <c r="AL106" s="15">
        <f t="shared" si="55"/>
        <v>0</v>
      </c>
      <c r="AM106" s="15">
        <f t="shared" si="56"/>
        <v>0</v>
      </c>
      <c r="AN106" s="15">
        <f t="shared" si="57"/>
        <v>0</v>
      </c>
      <c r="AO106" s="15">
        <f t="shared" si="58"/>
        <v>0</v>
      </c>
      <c r="AP106" s="31">
        <f t="shared" si="68"/>
        <v>0</v>
      </c>
      <c r="AQ106" s="31">
        <f t="shared" si="69"/>
        <v>0</v>
      </c>
    </row>
    <row r="107" spans="8:43" x14ac:dyDescent="0.25">
      <c r="H107" s="15">
        <v>2.04</v>
      </c>
      <c r="I107" s="45">
        <f t="shared" si="59"/>
        <v>1096.4781961431861</v>
      </c>
      <c r="J107" s="32">
        <f t="shared" si="60"/>
        <v>95.671479468644776</v>
      </c>
      <c r="K107" s="32">
        <f t="shared" si="61"/>
        <v>20.461465160209634</v>
      </c>
      <c r="L107" s="15">
        <f t="shared" si="35"/>
        <v>3.8729613733905581</v>
      </c>
      <c r="M107" s="15">
        <f t="shared" si="36"/>
        <v>-0.25767063896574244</v>
      </c>
      <c r="N107" s="15">
        <f t="shared" si="37"/>
        <v>8.7835560957338769E-5</v>
      </c>
      <c r="O107" s="15">
        <f t="shared" si="38"/>
        <v>-63.342840990715686</v>
      </c>
      <c r="P107" s="15">
        <f t="shared" si="39"/>
        <v>-6.9618294306603437</v>
      </c>
      <c r="Q107" s="15">
        <f t="shared" si="40"/>
        <v>-4.1123901493990644E-2</v>
      </c>
      <c r="R107" s="15">
        <f t="shared" si="41"/>
        <v>-2.2373179363003316E-6</v>
      </c>
      <c r="S107" s="31">
        <f t="shared" si="62"/>
        <v>-63.641635531175417</v>
      </c>
      <c r="T107" s="31">
        <f t="shared" si="63"/>
        <v>4.7991194798476409</v>
      </c>
      <c r="U107" s="15">
        <f t="shared" si="42"/>
        <v>6500</v>
      </c>
      <c r="V107" s="15">
        <f t="shared" si="43"/>
        <v>-89.974798360423932</v>
      </c>
      <c r="W107" s="15">
        <f t="shared" si="44"/>
        <v>-67.133877004947095</v>
      </c>
      <c r="X107" s="15">
        <f t="shared" si="45"/>
        <v>61.377748748299368</v>
      </c>
      <c r="Y107" s="15">
        <f t="shared" si="46"/>
        <v>6.3926951004830856</v>
      </c>
      <c r="Z107" s="15">
        <f t="shared" si="47"/>
        <v>-0.69990423375365129</v>
      </c>
      <c r="AA107" s="15">
        <f t="shared" si="48"/>
        <v>-6.4807771657596485E-4</v>
      </c>
      <c r="AB107" s="31">
        <f t="shared" si="64"/>
        <v>-29.296953845878217</v>
      </c>
      <c r="AC107" s="31">
        <f t="shared" si="65"/>
        <v>15.516437150676527</v>
      </c>
      <c r="AD107" s="15">
        <f t="shared" si="49"/>
        <v>10.672338308309367</v>
      </c>
      <c r="AE107" s="15">
        <f t="shared" si="50"/>
        <v>0.15156037682319135</v>
      </c>
      <c r="AF107" s="15">
        <f t="shared" si="51"/>
        <v>4.4407366854879214E-3</v>
      </c>
      <c r="AG107" s="15">
        <f t="shared" si="52"/>
        <v>2.6088498651488031E-8</v>
      </c>
      <c r="AH107" s="15">
        <f t="shared" si="53"/>
        <v>-2.0667101992964412</v>
      </c>
      <c r="AI107" s="15">
        <f t="shared" si="54"/>
        <v>-5.6518732262221157E-3</v>
      </c>
      <c r="AJ107" s="31">
        <f t="shared" si="66"/>
        <v>8.6100688456984145</v>
      </c>
      <c r="AK107" s="31">
        <f t="shared" si="67"/>
        <v>0.14590852968546786</v>
      </c>
      <c r="AL107" s="15">
        <f t="shared" si="55"/>
        <v>0</v>
      </c>
      <c r="AM107" s="15">
        <f t="shared" si="56"/>
        <v>0</v>
      </c>
      <c r="AN107" s="15">
        <f t="shared" si="57"/>
        <v>0</v>
      </c>
      <c r="AO107" s="15">
        <f t="shared" si="58"/>
        <v>0</v>
      </c>
      <c r="AP107" s="31">
        <f t="shared" si="68"/>
        <v>0</v>
      </c>
      <c r="AQ107" s="31">
        <f t="shared" si="69"/>
        <v>0</v>
      </c>
    </row>
    <row r="108" spans="8:43" x14ac:dyDescent="0.25">
      <c r="H108" s="15">
        <v>2.0499999999999998</v>
      </c>
      <c r="I108" s="45">
        <f t="shared" si="59"/>
        <v>1122.0184543019634</v>
      </c>
      <c r="J108" s="32">
        <f t="shared" si="60"/>
        <v>95.868279735095769</v>
      </c>
      <c r="K108" s="32">
        <f t="shared" si="61"/>
        <v>20.26262340373431</v>
      </c>
      <c r="L108" s="15">
        <f t="shared" si="35"/>
        <v>3.8729613733905581</v>
      </c>
      <c r="M108" s="15">
        <f t="shared" si="36"/>
        <v>-0.26367247539593858</v>
      </c>
      <c r="N108" s="15">
        <f t="shared" si="37"/>
        <v>9.1975079578435177E-5</v>
      </c>
      <c r="O108" s="15">
        <f t="shared" si="38"/>
        <v>-63.868173085012295</v>
      </c>
      <c r="P108" s="15">
        <f t="shared" si="39"/>
        <v>-7.1223055002351208</v>
      </c>
      <c r="Q108" s="15">
        <f t="shared" si="40"/>
        <v>-4.2081799873479299E-2</v>
      </c>
      <c r="R108" s="15">
        <f t="shared" si="41"/>
        <v>-2.3427594524935226E-6</v>
      </c>
      <c r="S108" s="31">
        <f t="shared" si="62"/>
        <v>-64.173927360281724</v>
      </c>
      <c r="T108" s="31">
        <f t="shared" si="63"/>
        <v>4.638647444349969</v>
      </c>
      <c r="U108" s="15">
        <f t="shared" si="42"/>
        <v>6500</v>
      </c>
      <c r="V108" s="15">
        <f t="shared" si="43"/>
        <v>-89.975372019705674</v>
      </c>
      <c r="W108" s="15">
        <f t="shared" si="44"/>
        <v>-67.333876967130649</v>
      </c>
      <c r="X108" s="15">
        <f t="shared" si="45"/>
        <v>61.929023757968906</v>
      </c>
      <c r="Y108" s="15">
        <f t="shared" si="46"/>
        <v>6.5476081086373963</v>
      </c>
      <c r="Z108" s="15">
        <f t="shared" si="47"/>
        <v>-0.71620541879178856</v>
      </c>
      <c r="AA108" s="15">
        <f t="shared" si="48"/>
        <v>-6.7861829221937823E-4</v>
      </c>
      <c r="AB108" s="31">
        <f t="shared" si="64"/>
        <v>-28.762553680528555</v>
      </c>
      <c r="AC108" s="31">
        <f t="shared" si="65"/>
        <v>15.471319656071641</v>
      </c>
      <c r="AD108" s="15">
        <f t="shared" si="49"/>
        <v>10.915023450908743</v>
      </c>
      <c r="AE108" s="15">
        <f t="shared" si="50"/>
        <v>0.15857433239516203</v>
      </c>
      <c r="AF108" s="15">
        <f t="shared" si="51"/>
        <v>4.5441747303950212E-3</v>
      </c>
      <c r="AG108" s="15">
        <f t="shared" si="52"/>
        <v>2.731801231025368E-8</v>
      </c>
      <c r="AH108" s="15">
        <f t="shared" si="53"/>
        <v>-2.1148068497330854</v>
      </c>
      <c r="AI108" s="15">
        <f t="shared" si="54"/>
        <v>-5.9180564004750842E-3</v>
      </c>
      <c r="AJ108" s="31">
        <f t="shared" si="66"/>
        <v>8.8047607759060522</v>
      </c>
      <c r="AK108" s="31">
        <f t="shared" si="67"/>
        <v>0.15265630331269925</v>
      </c>
      <c r="AL108" s="15">
        <f t="shared" si="55"/>
        <v>0</v>
      </c>
      <c r="AM108" s="15">
        <f t="shared" si="56"/>
        <v>0</v>
      </c>
      <c r="AN108" s="15">
        <f t="shared" si="57"/>
        <v>0</v>
      </c>
      <c r="AO108" s="15">
        <f t="shared" si="58"/>
        <v>0</v>
      </c>
      <c r="AP108" s="31">
        <f t="shared" si="68"/>
        <v>0</v>
      </c>
      <c r="AQ108" s="31">
        <f t="shared" si="69"/>
        <v>0</v>
      </c>
    </row>
    <row r="109" spans="8:43" x14ac:dyDescent="0.25">
      <c r="H109" s="15">
        <v>2.06</v>
      </c>
      <c r="I109" s="45">
        <f t="shared" si="59"/>
        <v>1148.1536214968835</v>
      </c>
      <c r="J109" s="32">
        <f t="shared" si="60"/>
        <v>96.069004060909236</v>
      </c>
      <c r="K109" s="32">
        <f t="shared" si="61"/>
        <v>20.064234054523254</v>
      </c>
      <c r="L109" s="15">
        <f t="shared" si="35"/>
        <v>3.8729613733905581</v>
      </c>
      <c r="M109" s="15">
        <f t="shared" si="36"/>
        <v>-0.26981410656440596</v>
      </c>
      <c r="N109" s="15">
        <f t="shared" si="37"/>
        <v>9.6309683473717512E-5</v>
      </c>
      <c r="O109" s="15">
        <f t="shared" si="38"/>
        <v>-64.386154470641046</v>
      </c>
      <c r="P109" s="15">
        <f t="shared" si="39"/>
        <v>-7.284221669926513</v>
      </c>
      <c r="Q109" s="15">
        <f t="shared" si="40"/>
        <v>-4.3062010548170215E-2</v>
      </c>
      <c r="R109" s="15">
        <f t="shared" si="41"/>
        <v>-2.4531702727310235E-6</v>
      </c>
      <c r="S109" s="31">
        <f t="shared" si="62"/>
        <v>-64.699030587753626</v>
      </c>
      <c r="T109" s="31">
        <f t="shared" si="63"/>
        <v>4.4767354988516512</v>
      </c>
      <c r="U109" s="15">
        <f t="shared" si="42"/>
        <v>6500</v>
      </c>
      <c r="V109" s="15">
        <f t="shared" si="43"/>
        <v>-89.975932620912701</v>
      </c>
      <c r="W109" s="15">
        <f t="shared" si="44"/>
        <v>-67.533876931016238</v>
      </c>
      <c r="X109" s="15">
        <f t="shared" si="45"/>
        <v>62.473272510875802</v>
      </c>
      <c r="Y109" s="15">
        <f t="shared" si="46"/>
        <v>6.7041089654814714</v>
      </c>
      <c r="Z109" s="15">
        <f t="shared" si="47"/>
        <v>-0.7328861871506841</v>
      </c>
      <c r="AA109" s="15">
        <f t="shared" si="48"/>
        <v>-7.1059797065975514E-4</v>
      </c>
      <c r="AB109" s="31">
        <f t="shared" si="64"/>
        <v>-28.235546297187582</v>
      </c>
      <c r="AC109" s="31">
        <f t="shared" si="65"/>
        <v>15.427788569351687</v>
      </c>
      <c r="AD109" s="15">
        <f t="shared" si="49"/>
        <v>11.16295165160121</v>
      </c>
      <c r="AE109" s="15">
        <f t="shared" si="50"/>
        <v>0.16590672463073883</v>
      </c>
      <c r="AF109" s="15">
        <f t="shared" si="51"/>
        <v>4.6500221568530169E-3</v>
      </c>
      <c r="AG109" s="15">
        <f t="shared" si="52"/>
        <v>2.8605470477464907E-8</v>
      </c>
      <c r="AH109" s="15">
        <f t="shared" si="53"/>
        <v>-2.1640207279076198</v>
      </c>
      <c r="AI109" s="15">
        <f t="shared" si="54"/>
        <v>-6.1967669162911205E-3</v>
      </c>
      <c r="AJ109" s="31">
        <f t="shared" si="66"/>
        <v>9.0035809458504428</v>
      </c>
      <c r="AK109" s="31">
        <f t="shared" si="67"/>
        <v>0.15970998631991817</v>
      </c>
      <c r="AL109" s="15">
        <f t="shared" si="55"/>
        <v>0</v>
      </c>
      <c r="AM109" s="15">
        <f t="shared" si="56"/>
        <v>0</v>
      </c>
      <c r="AN109" s="15">
        <f t="shared" si="57"/>
        <v>0</v>
      </c>
      <c r="AO109" s="15">
        <f t="shared" si="58"/>
        <v>0</v>
      </c>
      <c r="AP109" s="31">
        <f t="shared" si="68"/>
        <v>0</v>
      </c>
      <c r="AQ109" s="31">
        <f t="shared" si="69"/>
        <v>0</v>
      </c>
    </row>
    <row r="110" spans="8:43" x14ac:dyDescent="0.25">
      <c r="H110" s="15">
        <v>2.0699999999999998</v>
      </c>
      <c r="I110" s="45">
        <f t="shared" si="59"/>
        <v>1174.8975549395293</v>
      </c>
      <c r="J110" s="32">
        <f t="shared" si="60"/>
        <v>96.273667845666722</v>
      </c>
      <c r="K110" s="32">
        <f t="shared" si="61"/>
        <v>19.866310048739265</v>
      </c>
      <c r="L110" s="15">
        <f t="shared" si="35"/>
        <v>3.8729613733905581</v>
      </c>
      <c r="M110" s="15">
        <f t="shared" si="36"/>
        <v>-0.27609878828041745</v>
      </c>
      <c r="N110" s="15">
        <f t="shared" si="37"/>
        <v>1.0084856631987798E-4</v>
      </c>
      <c r="O110" s="15">
        <f t="shared" si="38"/>
        <v>-64.896721053931614</v>
      </c>
      <c r="P110" s="15">
        <f t="shared" si="39"/>
        <v>-7.4475374639227399</v>
      </c>
      <c r="Q110" s="15">
        <f t="shared" si="40"/>
        <v>-4.4065053236441186E-2</v>
      </c>
      <c r="R110" s="15">
        <f t="shared" si="41"/>
        <v>-2.5687845913939461E-6</v>
      </c>
      <c r="S110" s="31">
        <f t="shared" si="62"/>
        <v>-65.216884895448473</v>
      </c>
      <c r="T110" s="31">
        <f t="shared" si="63"/>
        <v>4.3134241281239509</v>
      </c>
      <c r="U110" s="15">
        <f t="shared" si="42"/>
        <v>6500</v>
      </c>
      <c r="V110" s="15">
        <f t="shared" si="43"/>
        <v>-89.976480461282776</v>
      </c>
      <c r="W110" s="15">
        <f t="shared" si="44"/>
        <v>-67.733876896527207</v>
      </c>
      <c r="X110" s="15">
        <f t="shared" si="45"/>
        <v>63.010390667215809</v>
      </c>
      <c r="Y110" s="15">
        <f t="shared" si="46"/>
        <v>6.8621568959516619</v>
      </c>
      <c r="Z110" s="15">
        <f t="shared" si="47"/>
        <v>-0.74995537187723416</v>
      </c>
      <c r="AA110" s="15">
        <f t="shared" si="48"/>
        <v>-7.4408455252281233E-4</v>
      </c>
      <c r="AB110" s="31">
        <f t="shared" si="64"/>
        <v>-27.716045165944202</v>
      </c>
      <c r="AC110" s="31">
        <f t="shared" si="65"/>
        <v>15.385803047729047</v>
      </c>
      <c r="AD110" s="15">
        <f t="shared" si="49"/>
        <v>11.416217209002543</v>
      </c>
      <c r="AE110" s="15">
        <f t="shared" si="50"/>
        <v>0.17357143641729655</v>
      </c>
      <c r="AF110" s="15">
        <f t="shared" si="51"/>
        <v>4.7583350865655653E-3</v>
      </c>
      <c r="AG110" s="15">
        <f t="shared" si="52"/>
        <v>2.9953604128471801E-8</v>
      </c>
      <c r="AH110" s="15">
        <f t="shared" si="53"/>
        <v>-2.2143776370297115</v>
      </c>
      <c r="AI110" s="15">
        <f t="shared" si="54"/>
        <v>-6.4885934846319882E-3</v>
      </c>
      <c r="AJ110" s="31">
        <f t="shared" si="66"/>
        <v>9.2065979070593968</v>
      </c>
      <c r="AK110" s="31">
        <f t="shared" si="67"/>
        <v>0.16708287288626869</v>
      </c>
      <c r="AL110" s="15">
        <f t="shared" si="55"/>
        <v>0</v>
      </c>
      <c r="AM110" s="15">
        <f t="shared" si="56"/>
        <v>0</v>
      </c>
      <c r="AN110" s="15">
        <f t="shared" si="57"/>
        <v>0</v>
      </c>
      <c r="AO110" s="15">
        <f t="shared" si="58"/>
        <v>0</v>
      </c>
      <c r="AP110" s="31">
        <f t="shared" si="68"/>
        <v>0</v>
      </c>
      <c r="AQ110" s="31">
        <f t="shared" si="69"/>
        <v>0</v>
      </c>
    </row>
    <row r="111" spans="8:43" x14ac:dyDescent="0.25">
      <c r="H111" s="15">
        <v>2.08</v>
      </c>
      <c r="I111" s="45">
        <f t="shared" si="59"/>
        <v>1202.2644346174136</v>
      </c>
      <c r="J111" s="32">
        <f t="shared" si="60"/>
        <v>96.482287049414197</v>
      </c>
      <c r="K111" s="32">
        <f t="shared" si="61"/>
        <v>19.668864556809574</v>
      </c>
      <c r="L111" s="15">
        <f t="shared" si="35"/>
        <v>3.8729613733905581</v>
      </c>
      <c r="M111" s="15">
        <f t="shared" si="36"/>
        <v>-0.28252985216014453</v>
      </c>
      <c r="N111" s="15">
        <f t="shared" si="37"/>
        <v>1.0560135503903616E-4</v>
      </c>
      <c r="O111" s="15">
        <f t="shared" si="38"/>
        <v>-65.399819145523892</v>
      </c>
      <c r="P111" s="15">
        <f t="shared" si="39"/>
        <v>-7.6122126675033943</v>
      </c>
      <c r="Q111" s="15">
        <f t="shared" si="40"/>
        <v>-4.5091459762341822E-2</v>
      </c>
      <c r="R111" s="15">
        <f t="shared" si="41"/>
        <v>-2.6898476424592743E-6</v>
      </c>
      <c r="S111" s="31">
        <f t="shared" si="62"/>
        <v>-65.727440457446377</v>
      </c>
      <c r="T111" s="31">
        <f t="shared" si="63"/>
        <v>4.1487535562689644</v>
      </c>
      <c r="U111" s="15">
        <f t="shared" si="42"/>
        <v>6500</v>
      </c>
      <c r="V111" s="15">
        <f t="shared" si="43"/>
        <v>-89.977015831287716</v>
      </c>
      <c r="W111" s="15">
        <f t="shared" si="44"/>
        <v>-67.933876863590484</v>
      </c>
      <c r="X111" s="15">
        <f t="shared" si="45"/>
        <v>63.540285343867311</v>
      </c>
      <c r="Y111" s="15">
        <f t="shared" si="46"/>
        <v>7.0217110985381286</v>
      </c>
      <c r="Z111" s="15">
        <f t="shared" si="47"/>
        <v>-0.76742201115270903</v>
      </c>
      <c r="AA111" s="15">
        <f t="shared" si="48"/>
        <v>-7.7914903162623985E-4</v>
      </c>
      <c r="AB111" s="31">
        <f t="shared" si="64"/>
        <v>-27.204152498573116</v>
      </c>
      <c r="AC111" s="31">
        <f t="shared" si="65"/>
        <v>15.345322218773132</v>
      </c>
      <c r="AD111" s="15">
        <f t="shared" si="49"/>
        <v>11.674914800119435</v>
      </c>
      <c r="AE111" s="15">
        <f t="shared" si="50"/>
        <v>0.18158290280160932</v>
      </c>
      <c r="AF111" s="15">
        <f t="shared" si="51"/>
        <v>4.8691709484786107E-3</v>
      </c>
      <c r="AG111" s="15">
        <f t="shared" si="52"/>
        <v>3.1365273458501582E-8</v>
      </c>
      <c r="AH111" s="15">
        <f t="shared" si="53"/>
        <v>-2.265903965634223</v>
      </c>
      <c r="AI111" s="15">
        <f t="shared" si="54"/>
        <v>-6.7941523994080062E-3</v>
      </c>
      <c r="AJ111" s="31">
        <f t="shared" si="66"/>
        <v>9.4138800054336897</v>
      </c>
      <c r="AK111" s="31">
        <f t="shared" si="67"/>
        <v>0.17478878176747478</v>
      </c>
      <c r="AL111" s="15">
        <f t="shared" si="55"/>
        <v>0</v>
      </c>
      <c r="AM111" s="15">
        <f t="shared" si="56"/>
        <v>0</v>
      </c>
      <c r="AN111" s="15">
        <f t="shared" si="57"/>
        <v>0</v>
      </c>
      <c r="AO111" s="15">
        <f t="shared" si="58"/>
        <v>0</v>
      </c>
      <c r="AP111" s="31">
        <f t="shared" si="68"/>
        <v>0</v>
      </c>
      <c r="AQ111" s="31">
        <f t="shared" si="69"/>
        <v>0</v>
      </c>
    </row>
    <row r="112" spans="8:43" x14ac:dyDescent="0.25">
      <c r="H112" s="15">
        <v>2.09</v>
      </c>
      <c r="I112" s="45">
        <f t="shared" si="59"/>
        <v>1230.2687708123822</v>
      </c>
      <c r="J112" s="32">
        <f t="shared" si="60"/>
        <v>96.69487815330956</v>
      </c>
      <c r="K112" s="32">
        <f t="shared" si="61"/>
        <v>19.471911016638739</v>
      </c>
      <c r="L112" s="15">
        <f t="shared" si="35"/>
        <v>3.8729613733905581</v>
      </c>
      <c r="M112" s="15">
        <f t="shared" si="36"/>
        <v>-0.28911070739023198</v>
      </c>
      <c r="N112" s="15">
        <f t="shared" si="37"/>
        <v>1.1057813021562565E-4</v>
      </c>
      <c r="O112" s="15">
        <f t="shared" si="38"/>
        <v>-65.89540512112238</v>
      </c>
      <c r="P112" s="15">
        <f t="shared" si="39"/>
        <v>-7.7782073950460209</v>
      </c>
      <c r="Q112" s="15">
        <f t="shared" si="40"/>
        <v>-4.6141774337561517E-2</v>
      </c>
      <c r="R112" s="15">
        <f t="shared" si="41"/>
        <v>-2.8166162144483227E-6</v>
      </c>
      <c r="S112" s="31">
        <f t="shared" si="62"/>
        <v>-66.230657602850172</v>
      </c>
      <c r="T112" s="31">
        <f t="shared" si="63"/>
        <v>3.9827636787329426</v>
      </c>
      <c r="U112" s="15">
        <f t="shared" si="42"/>
        <v>6500</v>
      </c>
      <c r="V112" s="15">
        <f t="shared" si="43"/>
        <v>-89.977539014787411</v>
      </c>
      <c r="W112" s="15">
        <f t="shared" si="44"/>
        <v>-68.133876832136139</v>
      </c>
      <c r="X112" s="15">
        <f t="shared" si="45"/>
        <v>64.062874856858656</v>
      </c>
      <c r="Y112" s="15">
        <f t="shared" si="46"/>
        <v>7.1827308308555864</v>
      </c>
      <c r="Z112" s="15">
        <f t="shared" si="47"/>
        <v>-0.78529535302707276</v>
      </c>
      <c r="AA112" s="15">
        <f t="shared" si="48"/>
        <v>-8.1586574528809061E-4</v>
      </c>
      <c r="AB112" s="31">
        <f t="shared" si="64"/>
        <v>-26.699959510955829</v>
      </c>
      <c r="AC112" s="31">
        <f t="shared" si="65"/>
        <v>15.306305265831273</v>
      </c>
      <c r="AD112" s="15">
        <f t="shared" si="49"/>
        <v>11.939139378704303</v>
      </c>
      <c r="AE112" s="15">
        <f t="shared" si="50"/>
        <v>0.18995612805286954</v>
      </c>
      <c r="AF112" s="15">
        <f t="shared" si="51"/>
        <v>4.9825885092298896E-3</v>
      </c>
      <c r="AG112" s="15">
        <f t="shared" si="52"/>
        <v>3.2843473668623066E-8</v>
      </c>
      <c r="AH112" s="15">
        <f t="shared" si="53"/>
        <v>-2.3186267000979752</v>
      </c>
      <c r="AI112" s="15">
        <f t="shared" si="54"/>
        <v>-7.1140888218208208E-3</v>
      </c>
      <c r="AJ112" s="31">
        <f t="shared" si="66"/>
        <v>9.6254952671155571</v>
      </c>
      <c r="AK112" s="31">
        <f t="shared" si="67"/>
        <v>0.18284207207452238</v>
      </c>
      <c r="AL112" s="15">
        <f t="shared" si="55"/>
        <v>0</v>
      </c>
      <c r="AM112" s="15">
        <f t="shared" si="56"/>
        <v>0</v>
      </c>
      <c r="AN112" s="15">
        <f t="shared" si="57"/>
        <v>0</v>
      </c>
      <c r="AO112" s="15">
        <f t="shared" si="58"/>
        <v>0</v>
      </c>
      <c r="AP112" s="31">
        <f t="shared" si="68"/>
        <v>0</v>
      </c>
      <c r="AQ112" s="31">
        <f t="shared" si="69"/>
        <v>0</v>
      </c>
    </row>
    <row r="113" spans="8:43" x14ac:dyDescent="0.25">
      <c r="H113" s="15">
        <v>2.1</v>
      </c>
      <c r="I113" s="45">
        <f t="shared" si="59"/>
        <v>1258.9254117941678</v>
      </c>
      <c r="J113" s="32">
        <f t="shared" si="60"/>
        <v>96.911458100749698</v>
      </c>
      <c r="K113" s="32">
        <f t="shared" si="61"/>
        <v>19.27546316707576</v>
      </c>
      <c r="L113" s="15">
        <f t="shared" si="35"/>
        <v>3.8729613733905581</v>
      </c>
      <c r="M113" s="15">
        <f t="shared" si="36"/>
        <v>-0.29584484253230087</v>
      </c>
      <c r="N113" s="15">
        <f t="shared" si="37"/>
        <v>1.1578944746760679E-4</v>
      </c>
      <c r="O113" s="15">
        <f t="shared" si="38"/>
        <v>-66.3834450666794</v>
      </c>
      <c r="P113" s="15">
        <f t="shared" si="39"/>
        <v>-7.9454821530666635</v>
      </c>
      <c r="Q113" s="15">
        <f t="shared" si="40"/>
        <v>-4.7216553849965412E-2</v>
      </c>
      <c r="R113" s="15">
        <f t="shared" si="41"/>
        <v>-2.9493592020194073E-6</v>
      </c>
      <c r="S113" s="31">
        <f t="shared" si="62"/>
        <v>-66.726506463061668</v>
      </c>
      <c r="T113" s="31">
        <f t="shared" si="63"/>
        <v>3.8154939992865655</v>
      </c>
      <c r="U113" s="15">
        <f t="shared" si="42"/>
        <v>6500</v>
      </c>
      <c r="V113" s="15">
        <f t="shared" si="43"/>
        <v>-89.978050289180302</v>
      </c>
      <c r="W113" s="15">
        <f t="shared" si="44"/>
        <v>-68.33387680209745</v>
      </c>
      <c r="X113" s="15">
        <f t="shared" si="45"/>
        <v>64.578088437220885</v>
      </c>
      <c r="Y113" s="15">
        <f t="shared" si="46"/>
        <v>7.3451754905057287</v>
      </c>
      <c r="Z113" s="15">
        <f t="shared" si="47"/>
        <v>-0.80358486026046205</v>
      </c>
      <c r="AA113" s="15">
        <f t="shared" si="48"/>
        <v>-8.5431253165336736E-4</v>
      </c>
      <c r="AB113" s="31">
        <f t="shared" si="64"/>
        <v>-26.203546712219879</v>
      </c>
      <c r="AC113" s="31">
        <f t="shared" si="65"/>
        <v>15.268711508733738</v>
      </c>
      <c r="AD113" s="15">
        <f t="shared" si="49"/>
        <v>12.208986065495912</v>
      </c>
      <c r="AE113" s="15">
        <f t="shared" si="50"/>
        <v>0.1987067027878828</v>
      </c>
      <c r="AF113" s="15">
        <f t="shared" si="51"/>
        <v>5.0986479043078209E-3</v>
      </c>
      <c r="AG113" s="15">
        <f t="shared" si="52"/>
        <v>3.4391338823056166E-8</v>
      </c>
      <c r="AH113" s="15">
        <f t="shared" si="53"/>
        <v>-2.3725734373689793</v>
      </c>
      <c r="AI113" s="15">
        <f t="shared" si="54"/>
        <v>-7.449078123767371E-3</v>
      </c>
      <c r="AJ113" s="31">
        <f t="shared" si="66"/>
        <v>9.8415112760312411</v>
      </c>
      <c r="AK113" s="31">
        <f t="shared" si="67"/>
        <v>0.19125765905545425</v>
      </c>
      <c r="AL113" s="15">
        <f t="shared" si="55"/>
        <v>0</v>
      </c>
      <c r="AM113" s="15">
        <f t="shared" si="56"/>
        <v>0</v>
      </c>
      <c r="AN113" s="15">
        <f t="shared" si="57"/>
        <v>0</v>
      </c>
      <c r="AO113" s="15">
        <f t="shared" si="58"/>
        <v>0</v>
      </c>
      <c r="AP113" s="31">
        <f t="shared" si="68"/>
        <v>0</v>
      </c>
      <c r="AQ113" s="31">
        <f t="shared" si="69"/>
        <v>0</v>
      </c>
    </row>
    <row r="114" spans="8:43" x14ac:dyDescent="0.25">
      <c r="H114" s="15">
        <v>2.11</v>
      </c>
      <c r="I114" s="45">
        <f t="shared" si="59"/>
        <v>1288.2495516931342</v>
      </c>
      <c r="J114" s="32">
        <f t="shared" si="60"/>
        <v>97.132044218921607</v>
      </c>
      <c r="K114" s="32">
        <f t="shared" si="61"/>
        <v>19.079535081434486</v>
      </c>
      <c r="L114" s="15">
        <f t="shared" si="35"/>
        <v>3.8729613733905581</v>
      </c>
      <c r="M114" s="15">
        <f t="shared" si="36"/>
        <v>-0.30273582736931187</v>
      </c>
      <c r="N114" s="15">
        <f t="shared" si="37"/>
        <v>1.2124635983368787E-4</v>
      </c>
      <c r="O114" s="15">
        <f t="shared" si="38"/>
        <v>-66.863914410824449</v>
      </c>
      <c r="P114" s="15">
        <f t="shared" si="39"/>
        <v>-8.1139978983132917</v>
      </c>
      <c r="Q114" s="15">
        <f t="shared" si="40"/>
        <v>-4.8316368158850084E-2</v>
      </c>
      <c r="R114" s="15">
        <f t="shared" si="41"/>
        <v>-3.0883581710608444E-6</v>
      </c>
      <c r="S114" s="31">
        <f t="shared" si="62"/>
        <v>-67.214966606352618</v>
      </c>
      <c r="T114" s="31">
        <f t="shared" si="63"/>
        <v>3.6469835719533341</v>
      </c>
      <c r="U114" s="15">
        <f t="shared" si="42"/>
        <v>6500</v>
      </c>
      <c r="V114" s="15">
        <f t="shared" si="43"/>
        <v>-89.978549925550553</v>
      </c>
      <c r="W114" s="15">
        <f t="shared" si="44"/>
        <v>-68.533876773410753</v>
      </c>
      <c r="X114" s="15">
        <f t="shared" si="45"/>
        <v>65.08586592336583</v>
      </c>
      <c r="Y114" s="15">
        <f t="shared" si="46"/>
        <v>7.509004691103895</v>
      </c>
      <c r="Z114" s="15">
        <f t="shared" si="47"/>
        <v>-0.82230021527406805</v>
      </c>
      <c r="AA114" s="15">
        <f t="shared" si="48"/>
        <v>-8.945708944419397E-4</v>
      </c>
      <c r="AB114" s="31">
        <f t="shared" si="64"/>
        <v>-25.714984217458792</v>
      </c>
      <c r="AC114" s="31">
        <f t="shared" si="65"/>
        <v>15.232500479655814</v>
      </c>
      <c r="AD114" s="15">
        <f t="shared" si="49"/>
        <v>12.484550029970524</v>
      </c>
      <c r="AE114" s="15">
        <f t="shared" si="50"/>
        <v>0.20785082110606995</v>
      </c>
      <c r="AF114" s="15">
        <f t="shared" si="51"/>
        <v>5.2174106699360871E-3</v>
      </c>
      <c r="AG114" s="15">
        <f t="shared" si="52"/>
        <v>3.601215342110111E-8</v>
      </c>
      <c r="AH114" s="15">
        <f t="shared" si="53"/>
        <v>-2.4277723979074355</v>
      </c>
      <c r="AI114" s="15">
        <f t="shared" si="54"/>
        <v>-7.7998272928842833E-3</v>
      </c>
      <c r="AJ114" s="31">
        <f t="shared" si="66"/>
        <v>10.061995042733024</v>
      </c>
      <c r="AK114" s="31">
        <f t="shared" si="67"/>
        <v>0.20005102982533909</v>
      </c>
      <c r="AL114" s="15">
        <f t="shared" si="55"/>
        <v>0</v>
      </c>
      <c r="AM114" s="15">
        <f t="shared" si="56"/>
        <v>0</v>
      </c>
      <c r="AN114" s="15">
        <f t="shared" si="57"/>
        <v>0</v>
      </c>
      <c r="AO114" s="15">
        <f t="shared" si="58"/>
        <v>0</v>
      </c>
      <c r="AP114" s="31">
        <f t="shared" si="68"/>
        <v>0</v>
      </c>
      <c r="AQ114" s="31">
        <f t="shared" si="69"/>
        <v>0</v>
      </c>
    </row>
    <row r="115" spans="8:43" x14ac:dyDescent="0.25">
      <c r="H115" s="15">
        <v>2.12</v>
      </c>
      <c r="I115" s="45">
        <f t="shared" si="59"/>
        <v>1318.2567385564084</v>
      </c>
      <c r="J115" s="32">
        <f t="shared" si="60"/>
        <v>97.356654120795199</v>
      </c>
      <c r="K115" s="32">
        <f t="shared" si="61"/>
        <v>18.884141200871273</v>
      </c>
      <c r="L115" s="15">
        <f t="shared" si="35"/>
        <v>3.8729613733905581</v>
      </c>
      <c r="M115" s="15">
        <f t="shared" si="36"/>
        <v>-0.30978731479475807</v>
      </c>
      <c r="N115" s="15">
        <f t="shared" si="37"/>
        <v>1.2696044120737548E-4</v>
      </c>
      <c r="O115" s="15">
        <f t="shared" si="38"/>
        <v>-67.336797547226254</v>
      </c>
      <c r="P115" s="15">
        <f t="shared" si="39"/>
        <v>-8.2837160909641945</v>
      </c>
      <c r="Q115" s="15">
        <f t="shared" si="40"/>
        <v>-4.9441800397076158E-2</v>
      </c>
      <c r="R115" s="15">
        <f t="shared" si="41"/>
        <v>-3.2339079527134962E-6</v>
      </c>
      <c r="S115" s="31">
        <f t="shared" si="62"/>
        <v>-67.696026662418092</v>
      </c>
      <c r="T115" s="31">
        <f t="shared" si="63"/>
        <v>3.4772709478340231</v>
      </c>
      <c r="U115" s="15">
        <f t="shared" si="42"/>
        <v>6500</v>
      </c>
      <c r="V115" s="15">
        <f t="shared" si="43"/>
        <v>-89.979038188811643</v>
      </c>
      <c r="W115" s="15">
        <f t="shared" si="44"/>
        <v>-68.733876746015156</v>
      </c>
      <c r="X115" s="15">
        <f t="shared" si="45"/>
        <v>65.586157433071207</v>
      </c>
      <c r="Y115" s="15">
        <f t="shared" si="46"/>
        <v>7.6741783333872409</v>
      </c>
      <c r="Z115" s="15">
        <f t="shared" si="47"/>
        <v>-0.84145132521274901</v>
      </c>
      <c r="AA115" s="15">
        <f t="shared" si="48"/>
        <v>-9.3672617543589566E-4</v>
      </c>
      <c r="AB115" s="31">
        <f t="shared" si="64"/>
        <v>-25.234332080953184</v>
      </c>
      <c r="AC115" s="31">
        <f t="shared" si="65"/>
        <v>15.197631994053763</v>
      </c>
      <c r="AD115" s="15">
        <f t="shared" si="49"/>
        <v>12.765926363228292</v>
      </c>
      <c r="AE115" s="15">
        <f t="shared" si="50"/>
        <v>0.21740529767617253</v>
      </c>
      <c r="AF115" s="15">
        <f t="shared" si="51"/>
        <v>5.3389397757009609E-3</v>
      </c>
      <c r="AG115" s="15">
        <f t="shared" si="52"/>
        <v>3.7709354325792937E-8</v>
      </c>
      <c r="AH115" s="15">
        <f t="shared" si="53"/>
        <v>-2.4842524388375256</v>
      </c>
      <c r="AI115" s="15">
        <f t="shared" si="54"/>
        <v>-8.1670764020396747E-3</v>
      </c>
      <c r="AJ115" s="31">
        <f t="shared" si="66"/>
        <v>10.287012864166467</v>
      </c>
      <c r="AK115" s="31">
        <f t="shared" si="67"/>
        <v>0.20923825898348719</v>
      </c>
      <c r="AL115" s="15">
        <f t="shared" si="55"/>
        <v>0</v>
      </c>
      <c r="AM115" s="15">
        <f t="shared" si="56"/>
        <v>0</v>
      </c>
      <c r="AN115" s="15">
        <f t="shared" si="57"/>
        <v>0</v>
      </c>
      <c r="AO115" s="15">
        <f t="shared" si="58"/>
        <v>0</v>
      </c>
      <c r="AP115" s="31">
        <f t="shared" si="68"/>
        <v>0</v>
      </c>
      <c r="AQ115" s="31">
        <f t="shared" si="69"/>
        <v>0</v>
      </c>
    </row>
    <row r="116" spans="8:43" x14ac:dyDescent="0.25">
      <c r="H116" s="15">
        <v>2.13</v>
      </c>
      <c r="I116" s="45">
        <f t="shared" si="59"/>
        <v>1348.9628825916539</v>
      </c>
      <c r="J116" s="32">
        <f t="shared" si="60"/>
        <v>97.585305587638018</v>
      </c>
      <c r="K116" s="32">
        <f t="shared" si="61"/>
        <v>18.689296367429215</v>
      </c>
      <c r="L116" s="15">
        <f t="shared" si="35"/>
        <v>3.8729613733905581</v>
      </c>
      <c r="M116" s="15">
        <f t="shared" si="36"/>
        <v>-0.31700304274566782</v>
      </c>
      <c r="N116" s="15">
        <f t="shared" si="37"/>
        <v>1.3294381087952949E-4</v>
      </c>
      <c r="O116" s="15">
        <f t="shared" si="38"/>
        <v>-67.802087449428342</v>
      </c>
      <c r="P116" s="15">
        <f t="shared" si="39"/>
        <v>-8.4545987430126512</v>
      </c>
      <c r="Q116" s="15">
        <f t="shared" si="40"/>
        <v>-5.0593447280237278E-2</v>
      </c>
      <c r="R116" s="15">
        <f t="shared" si="41"/>
        <v>-3.386317279823414E-6</v>
      </c>
      <c r="S116" s="31">
        <f t="shared" si="62"/>
        <v>-68.169683939454245</v>
      </c>
      <c r="T116" s="31">
        <f t="shared" si="63"/>
        <v>3.3063941267459107</v>
      </c>
      <c r="U116" s="15">
        <f t="shared" si="42"/>
        <v>6500</v>
      </c>
      <c r="V116" s="15">
        <f t="shared" si="43"/>
        <v>-89.979515337846962</v>
      </c>
      <c r="W116" s="15">
        <f t="shared" si="44"/>
        <v>-68.933876719852577</v>
      </c>
      <c r="X116" s="15">
        <f t="shared" si="45"/>
        <v>66.078923018070256</v>
      </c>
      <c r="Y116" s="15">
        <f t="shared" si="46"/>
        <v>7.8406566713629093</v>
      </c>
      <c r="Z116" s="15">
        <f t="shared" si="47"/>
        <v>-0.86104832712170543</v>
      </c>
      <c r="AA116" s="15">
        <f t="shared" si="48"/>
        <v>-9.8086773505508501E-4</v>
      </c>
      <c r="AB116" s="31">
        <f t="shared" si="64"/>
        <v>-24.76164064689841</v>
      </c>
      <c r="AC116" s="31">
        <f t="shared" si="65"/>
        <v>15.16406621663239</v>
      </c>
      <c r="AD116" s="15">
        <f t="shared" si="49"/>
        <v>13.053209941641255</v>
      </c>
      <c r="AE116" s="15">
        <f t="shared" si="50"/>
        <v>0.22738758471047288</v>
      </c>
      <c r="AF116" s="15">
        <f t="shared" si="51"/>
        <v>5.4632996579385531E-3</v>
      </c>
      <c r="AG116" s="15">
        <f t="shared" si="52"/>
        <v>3.948654040717568E-8</v>
      </c>
      <c r="AH116" s="15">
        <f t="shared" si="53"/>
        <v>-2.5420430673085166</v>
      </c>
      <c r="AI116" s="15">
        <f t="shared" si="54"/>
        <v>-8.5516001460974964E-3</v>
      </c>
      <c r="AJ116" s="31">
        <f t="shared" si="66"/>
        <v>10.516630173990677</v>
      </c>
      <c r="AK116" s="31">
        <f t="shared" si="67"/>
        <v>0.21883602405091579</v>
      </c>
      <c r="AL116" s="15">
        <f t="shared" si="55"/>
        <v>0</v>
      </c>
      <c r="AM116" s="15">
        <f t="shared" si="56"/>
        <v>0</v>
      </c>
      <c r="AN116" s="15">
        <f t="shared" si="57"/>
        <v>0</v>
      </c>
      <c r="AO116" s="15">
        <f t="shared" si="58"/>
        <v>0</v>
      </c>
      <c r="AP116" s="31">
        <f t="shared" si="68"/>
        <v>0</v>
      </c>
      <c r="AQ116" s="31">
        <f t="shared" si="69"/>
        <v>0</v>
      </c>
    </row>
    <row r="117" spans="8:43" x14ac:dyDescent="0.25">
      <c r="H117" s="15">
        <v>2.14</v>
      </c>
      <c r="I117" s="45">
        <f t="shared" si="59"/>
        <v>1380.3842646028861</v>
      </c>
      <c r="J117" s="32">
        <f t="shared" si="60"/>
        <v>97.818016432188585</v>
      </c>
      <c r="K117" s="32">
        <f t="shared" si="61"/>
        <v>18.495015856565281</v>
      </c>
      <c r="L117" s="15">
        <f t="shared" si="35"/>
        <v>3.8729613733905581</v>
      </c>
      <c r="M117" s="15">
        <f t="shared" si="36"/>
        <v>-0.32438683618043063</v>
      </c>
      <c r="N117" s="15">
        <f t="shared" si="37"/>
        <v>1.3920915924337909E-4</v>
      </c>
      <c r="O117" s="15">
        <f t="shared" si="38"/>
        <v>-68.25978528054533</v>
      </c>
      <c r="P117" s="15">
        <f t="shared" si="39"/>
        <v>-8.6266084619453807</v>
      </c>
      <c r="Q117" s="15">
        <f t="shared" si="40"/>
        <v>-5.1771919423030527E-2</v>
      </c>
      <c r="R117" s="15">
        <f t="shared" si="41"/>
        <v>-3.5459094311087732E-6</v>
      </c>
      <c r="S117" s="31">
        <f t="shared" si="62"/>
        <v>-68.6359440361488</v>
      </c>
      <c r="T117" s="31">
        <f t="shared" si="63"/>
        <v>3.1343905135693948</v>
      </c>
      <c r="U117" s="15">
        <f t="shared" si="42"/>
        <v>6500</v>
      </c>
      <c r="V117" s="15">
        <f t="shared" si="43"/>
        <v>-89.979981625646957</v>
      </c>
      <c r="W117" s="15">
        <f t="shared" si="44"/>
        <v>-69.133876694867496</v>
      </c>
      <c r="X117" s="15">
        <f t="shared" si="45"/>
        <v>66.564132304139179</v>
      </c>
      <c r="Y117" s="15">
        <f t="shared" si="46"/>
        <v>8.0084003734932665</v>
      </c>
      <c r="Z117" s="15">
        <f t="shared" si="47"/>
        <v>-0.88110159323961956</v>
      </c>
      <c r="AA117" s="15">
        <f t="shared" si="48"/>
        <v>-1.0270891414234018E-3</v>
      </c>
      <c r="AB117" s="31">
        <f t="shared" si="64"/>
        <v>-24.296950914747399</v>
      </c>
      <c r="AC117" s="31">
        <f t="shared" si="65"/>
        <v>15.131763722341461</v>
      </c>
      <c r="AD117" s="15">
        <f t="shared" si="49"/>
        <v>13.346495280894166</v>
      </c>
      <c r="AE117" s="15">
        <f t="shared" si="50"/>
        <v>0.23781578875590464</v>
      </c>
      <c r="AF117" s="15">
        <f t="shared" si="51"/>
        <v>5.5905562538998534E-3</v>
      </c>
      <c r="AG117" s="15">
        <f t="shared" si="52"/>
        <v>4.1347484114231434E-8</v>
      </c>
      <c r="AH117" s="15">
        <f t="shared" si="53"/>
        <v>-2.6011744540632802</v>
      </c>
      <c r="AI117" s="15">
        <f t="shared" si="54"/>
        <v>-8.9542094489602313E-3</v>
      </c>
      <c r="AJ117" s="31">
        <f t="shared" si="66"/>
        <v>10.750911383084786</v>
      </c>
      <c r="AK117" s="31">
        <f t="shared" si="67"/>
        <v>0.22886162065442853</v>
      </c>
      <c r="AL117" s="15">
        <f t="shared" si="55"/>
        <v>0</v>
      </c>
      <c r="AM117" s="15">
        <f t="shared" si="56"/>
        <v>0</v>
      </c>
      <c r="AN117" s="15">
        <f t="shared" si="57"/>
        <v>0</v>
      </c>
      <c r="AO117" s="15">
        <f t="shared" si="58"/>
        <v>0</v>
      </c>
      <c r="AP117" s="31">
        <f t="shared" si="68"/>
        <v>0</v>
      </c>
      <c r="AQ117" s="31">
        <f t="shared" si="69"/>
        <v>0</v>
      </c>
    </row>
    <row r="118" spans="8:43" x14ac:dyDescent="0.25">
      <c r="H118" s="15">
        <v>2.15</v>
      </c>
      <c r="I118" s="45">
        <f t="shared" si="59"/>
        <v>1412.5375446227542</v>
      </c>
      <c r="J118" s="32">
        <f t="shared" si="60"/>
        <v>98.05480434266903</v>
      </c>
      <c r="K118" s="32">
        <f t="shared" si="61"/>
        <v>18.301315408980678</v>
      </c>
      <c r="L118" s="15">
        <f t="shared" si="35"/>
        <v>3.8729613733905581</v>
      </c>
      <c r="M118" s="15">
        <f t="shared" si="36"/>
        <v>-0.33194260910246465</v>
      </c>
      <c r="N118" s="15">
        <f t="shared" si="37"/>
        <v>1.4576977469088069E-4</v>
      </c>
      <c r="O118" s="15">
        <f t="shared" si="38"/>
        <v>-68.709900000044655</v>
      </c>
      <c r="P118" s="15">
        <f t="shared" si="39"/>
        <v>-8.7997084898444893</v>
      </c>
      <c r="Q118" s="15">
        <f t="shared" si="40"/>
        <v>-5.2977841662994053E-2</v>
      </c>
      <c r="R118" s="15">
        <f t="shared" si="41"/>
        <v>-3.7130229235428051E-6</v>
      </c>
      <c r="S118" s="31">
        <f t="shared" si="62"/>
        <v>-69.094820450810118</v>
      </c>
      <c r="T118" s="31">
        <f t="shared" si="63"/>
        <v>2.9612968791722403</v>
      </c>
      <c r="U118" s="15">
        <f t="shared" si="42"/>
        <v>6500</v>
      </c>
      <c r="V118" s="15">
        <f t="shared" si="43"/>
        <v>-89.980437299443352</v>
      </c>
      <c r="W118" s="15">
        <f t="shared" si="44"/>
        <v>-69.333876671006919</v>
      </c>
      <c r="X118" s="15">
        <f t="shared" si="45"/>
        <v>67.041764119451912</v>
      </c>
      <c r="Y118" s="15">
        <f t="shared" si="46"/>
        <v>8.1773705789496933</v>
      </c>
      <c r="Z118" s="15">
        <f t="shared" si="47"/>
        <v>-0.90162173641064502</v>
      </c>
      <c r="AA118" s="15">
        <f t="shared" si="48"/>
        <v>-1.0754883683184628E-3</v>
      </c>
      <c r="AB118" s="31">
        <f t="shared" si="64"/>
        <v>-23.840294916402087</v>
      </c>
      <c r="AC118" s="31">
        <f t="shared" si="65"/>
        <v>15.100685552431569</v>
      </c>
      <c r="AD118" s="15">
        <f t="shared" si="49"/>
        <v>13.645876380056235</v>
      </c>
      <c r="AE118" s="15">
        <f t="shared" si="50"/>
        <v>0.24870868722472039</v>
      </c>
      <c r="AF118" s="15">
        <f t="shared" si="51"/>
        <v>5.7207770367114349E-3</v>
      </c>
      <c r="AG118" s="15">
        <f t="shared" si="52"/>
        <v>4.3296131474879855E-8</v>
      </c>
      <c r="AH118" s="15">
        <f t="shared" si="53"/>
        <v>-2.6616774472117104</v>
      </c>
      <c r="AI118" s="15">
        <f t="shared" si="54"/>
        <v>-9.3757531439843406E-3</v>
      </c>
      <c r="AJ118" s="31">
        <f t="shared" si="66"/>
        <v>10.989919709881235</v>
      </c>
      <c r="AK118" s="31">
        <f t="shared" si="67"/>
        <v>0.23933297737686754</v>
      </c>
      <c r="AL118" s="15">
        <f t="shared" si="55"/>
        <v>0</v>
      </c>
      <c r="AM118" s="15">
        <f t="shared" si="56"/>
        <v>0</v>
      </c>
      <c r="AN118" s="15">
        <f t="shared" si="57"/>
        <v>0</v>
      </c>
      <c r="AO118" s="15">
        <f t="shared" si="58"/>
        <v>0</v>
      </c>
      <c r="AP118" s="31">
        <f t="shared" si="68"/>
        <v>0</v>
      </c>
      <c r="AQ118" s="31">
        <f t="shared" si="69"/>
        <v>0</v>
      </c>
    </row>
    <row r="119" spans="8:43" x14ac:dyDescent="0.25">
      <c r="H119" s="15">
        <v>2.16</v>
      </c>
      <c r="I119" s="45">
        <f t="shared" si="59"/>
        <v>1445.4397707459284</v>
      </c>
      <c r="J119" s="32">
        <f t="shared" si="60"/>
        <v>98.295686707860654</v>
      </c>
      <c r="K119" s="32">
        <f t="shared" si="61"/>
        <v>18.108211261580987</v>
      </c>
      <c r="L119" s="15">
        <f t="shared" si="35"/>
        <v>3.8729613733905581</v>
      </c>
      <c r="M119" s="15">
        <f t="shared" si="36"/>
        <v>-0.33967436663079253</v>
      </c>
      <c r="N119" s="15">
        <f t="shared" si="37"/>
        <v>1.5263957179679439E-4</v>
      </c>
      <c r="O119" s="15">
        <f t="shared" si="38"/>
        <v>-69.152447969674128</v>
      </c>
      <c r="P119" s="15">
        <f t="shared" si="39"/>
        <v>-8.9738627380626355</v>
      </c>
      <c r="Q119" s="15">
        <f t="shared" si="40"/>
        <v>-5.4211853391785789E-2</v>
      </c>
      <c r="R119" s="15">
        <f t="shared" si="41"/>
        <v>-3.8880122240228802E-6</v>
      </c>
      <c r="S119" s="31">
        <f t="shared" si="62"/>
        <v>-69.546334189696708</v>
      </c>
      <c r="T119" s="31">
        <f t="shared" si="63"/>
        <v>2.7871493257618996</v>
      </c>
      <c r="U119" s="15">
        <f t="shared" si="42"/>
        <v>6500</v>
      </c>
      <c r="V119" s="15">
        <f t="shared" si="43"/>
        <v>-89.980882600840189</v>
      </c>
      <c r="W119" s="15">
        <f t="shared" si="44"/>
        <v>-69.533876648220271</v>
      </c>
      <c r="X119" s="15">
        <f t="shared" si="45"/>
        <v>67.511806113836514</v>
      </c>
      <c r="Y119" s="15">
        <f t="shared" si="46"/>
        <v>8.3475289489987095</v>
      </c>
      <c r="Z119" s="15">
        <f t="shared" si="47"/>
        <v>-0.92261961561774153</v>
      </c>
      <c r="AA119" s="15">
        <f t="shared" si="48"/>
        <v>-1.1261680024048071E-3</v>
      </c>
      <c r="AB119" s="31">
        <f t="shared" si="64"/>
        <v>-23.391696102621417</v>
      </c>
      <c r="AC119" s="31">
        <f t="shared" si="65"/>
        <v>15.070793265633148</v>
      </c>
      <c r="AD119" s="15">
        <f t="shared" si="49"/>
        <v>13.951446555333767</v>
      </c>
      <c r="AE119" s="15">
        <f t="shared" si="50"/>
        <v>0.26008574458032446</v>
      </c>
      <c r="AF119" s="15">
        <f t="shared" si="51"/>
        <v>5.8540310511506566E-3</v>
      </c>
      <c r="AG119" s="15">
        <f t="shared" si="52"/>
        <v>4.5336613667907048E-8</v>
      </c>
      <c r="AH119" s="15">
        <f t="shared" si="53"/>
        <v>-2.7235835862061313</v>
      </c>
      <c r="AI119" s="15">
        <f t="shared" si="54"/>
        <v>-9.8171197309998952E-3</v>
      </c>
      <c r="AJ119" s="31">
        <f t="shared" si="66"/>
        <v>11.233717000178785</v>
      </c>
      <c r="AK119" s="31">
        <f t="shared" si="67"/>
        <v>0.25026867018593824</v>
      </c>
      <c r="AL119" s="15">
        <f t="shared" si="55"/>
        <v>0</v>
      </c>
      <c r="AM119" s="15">
        <f t="shared" si="56"/>
        <v>0</v>
      </c>
      <c r="AN119" s="15">
        <f t="shared" si="57"/>
        <v>0</v>
      </c>
      <c r="AO119" s="15">
        <f t="shared" si="58"/>
        <v>0</v>
      </c>
      <c r="AP119" s="31">
        <f t="shared" si="68"/>
        <v>0</v>
      </c>
      <c r="AQ119" s="31">
        <f t="shared" si="69"/>
        <v>0</v>
      </c>
    </row>
    <row r="120" spans="8:43" x14ac:dyDescent="0.25">
      <c r="H120" s="15">
        <v>2.17</v>
      </c>
      <c r="I120" s="45">
        <f t="shared" si="59"/>
        <v>1479.1083881682084</v>
      </c>
      <c r="J120" s="32">
        <f t="shared" si="60"/>
        <v>98.540680423497889</v>
      </c>
      <c r="K120" s="32">
        <f t="shared" si="61"/>
        <v>17.91572017739643</v>
      </c>
      <c r="L120" s="15">
        <f t="shared" si="35"/>
        <v>3.8729613733905581</v>
      </c>
      <c r="M120" s="15">
        <f t="shared" si="36"/>
        <v>-0.34758620711858423</v>
      </c>
      <c r="N120" s="15">
        <f t="shared" si="37"/>
        <v>1.5983312081742135E-4</v>
      </c>
      <c r="O120" s="15">
        <f t="shared" si="38"/>
        <v>-69.587452560426229</v>
      </c>
      <c r="P120" s="15">
        <f t="shared" si="39"/>
        <v>-9.1490358176365039</v>
      </c>
      <c r="Q120" s="15">
        <f t="shared" si="40"/>
        <v>-5.5474608894176325E-2</v>
      </c>
      <c r="R120" s="15">
        <f t="shared" si="41"/>
        <v>-4.0712485092555166E-6</v>
      </c>
      <c r="S120" s="31">
        <f t="shared" si="62"/>
        <v>-69.990513376438983</v>
      </c>
      <c r="T120" s="31">
        <f t="shared" si="63"/>
        <v>2.6119832565007663</v>
      </c>
      <c r="U120" s="15">
        <f t="shared" si="42"/>
        <v>6500</v>
      </c>
      <c r="V120" s="15">
        <f t="shared" si="43"/>
        <v>-89.981317765941967</v>
      </c>
      <c r="W120" s="15">
        <f t="shared" si="44"/>
        <v>-69.733876626459178</v>
      </c>
      <c r="X120" s="15">
        <f t="shared" si="45"/>
        <v>67.974254371416308</v>
      </c>
      <c r="Y120" s="15">
        <f t="shared" si="46"/>
        <v>8.5188377136115534</v>
      </c>
      <c r="Z120" s="15">
        <f t="shared" si="47"/>
        <v>-0.94410634163979734</v>
      </c>
      <c r="AA120" s="15">
        <f t="shared" si="48"/>
        <v>-1.1792354602005839E-3</v>
      </c>
      <c r="AB120" s="31">
        <f t="shared" si="64"/>
        <v>-22.951169736165458</v>
      </c>
      <c r="AC120" s="31">
        <f t="shared" si="65"/>
        <v>15.042048984549288</v>
      </c>
      <c r="AD120" s="15">
        <f t="shared" si="49"/>
        <v>14.263298263167043</v>
      </c>
      <c r="AE120" s="15">
        <f t="shared" si="50"/>
        <v>0.27196712808641549</v>
      </c>
      <c r="AF120" s="15">
        <f t="shared" si="51"/>
        <v>5.990388950254018E-3</v>
      </c>
      <c r="AG120" s="15">
        <f t="shared" si="52"/>
        <v>4.7473264380859301E-8</v>
      </c>
      <c r="AH120" s="15">
        <f t="shared" si="53"/>
        <v>-2.7869251160149622</v>
      </c>
      <c r="AI120" s="15">
        <f t="shared" si="54"/>
        <v>-1.0279239213304866E-2</v>
      </c>
      <c r="AJ120" s="31">
        <f t="shared" si="66"/>
        <v>11.482363536102334</v>
      </c>
      <c r="AK120" s="31">
        <f t="shared" si="67"/>
        <v>0.26168793634637499</v>
      </c>
      <c r="AL120" s="15">
        <f t="shared" si="55"/>
        <v>0</v>
      </c>
      <c r="AM120" s="15">
        <f t="shared" si="56"/>
        <v>0</v>
      </c>
      <c r="AN120" s="15">
        <f t="shared" si="57"/>
        <v>0</v>
      </c>
      <c r="AO120" s="15">
        <f t="shared" si="58"/>
        <v>0</v>
      </c>
      <c r="AP120" s="31">
        <f t="shared" si="68"/>
        <v>0</v>
      </c>
      <c r="AQ120" s="31">
        <f t="shared" si="69"/>
        <v>0</v>
      </c>
    </row>
    <row r="121" spans="8:43" x14ac:dyDescent="0.25">
      <c r="H121" s="15">
        <v>2.1800000000000002</v>
      </c>
      <c r="I121" s="45">
        <f t="shared" si="59"/>
        <v>1513.5612484362091</v>
      </c>
      <c r="J121" s="32">
        <f t="shared" si="60"/>
        <v>98.789801680267942</v>
      </c>
      <c r="K121" s="32">
        <f t="shared" si="61"/>
        <v>17.723859474296038</v>
      </c>
      <c r="L121" s="15">
        <f t="shared" si="35"/>
        <v>3.8729613733905581</v>
      </c>
      <c r="M121" s="15">
        <f t="shared" si="36"/>
        <v>-0.35568232432078228</v>
      </c>
      <c r="N121" s="15">
        <f t="shared" si="37"/>
        <v>1.6736567858879629E-4</v>
      </c>
      <c r="O121" s="15">
        <f t="shared" si="38"/>
        <v>-70.014943762263371</v>
      </c>
      <c r="P121" s="15">
        <f t="shared" si="39"/>
        <v>-9.3251930656177677</v>
      </c>
      <c r="Q121" s="15">
        <f t="shared" si="40"/>
        <v>-5.6766777694937938E-2</v>
      </c>
      <c r="R121" s="15">
        <f t="shared" si="41"/>
        <v>-4.2631204449274604E-6</v>
      </c>
      <c r="S121" s="31">
        <f t="shared" si="62"/>
        <v>-70.427392864279085</v>
      </c>
      <c r="T121" s="31">
        <f t="shared" si="63"/>
        <v>2.435833349205339</v>
      </c>
      <c r="U121" s="15">
        <f t="shared" si="42"/>
        <v>6500</v>
      </c>
      <c r="V121" s="15">
        <f t="shared" si="43"/>
        <v>-89.981743025478764</v>
      </c>
      <c r="W121" s="15">
        <f t="shared" si="44"/>
        <v>-69.933876605677497</v>
      </c>
      <c r="X121" s="15">
        <f t="shared" si="45"/>
        <v>68.429113018963903</v>
      </c>
      <c r="Y121" s="15">
        <f t="shared" si="46"/>
        <v>8.6912597134137357</v>
      </c>
      <c r="Z121" s="15">
        <f t="shared" si="47"/>
        <v>-0.96609328283510243</v>
      </c>
      <c r="AA121" s="15">
        <f t="shared" si="48"/>
        <v>-1.234803215238966E-3</v>
      </c>
      <c r="AB121" s="31">
        <f t="shared" si="64"/>
        <v>-22.518723289349964</v>
      </c>
      <c r="AC121" s="31">
        <f t="shared" si="65"/>
        <v>15.014415437378114</v>
      </c>
      <c r="AD121" s="15">
        <f t="shared" si="49"/>
        <v>14.581522912354702</v>
      </c>
      <c r="AE121" s="15">
        <f t="shared" si="50"/>
        <v>0.28437372302010988</v>
      </c>
      <c r="AF121" s="15">
        <f t="shared" si="51"/>
        <v>6.1299230327783519E-3</v>
      </c>
      <c r="AG121" s="15">
        <f t="shared" si="52"/>
        <v>4.971061016676774E-8</v>
      </c>
      <c r="AH121" s="15">
        <f t="shared" si="53"/>
        <v>-2.8517350014904821</v>
      </c>
      <c r="AI121" s="15">
        <f t="shared" si="54"/>
        <v>-1.0763085018132062E-2</v>
      </c>
      <c r="AJ121" s="31">
        <f t="shared" si="66"/>
        <v>11.735917833896998</v>
      </c>
      <c r="AK121" s="31">
        <f t="shared" si="67"/>
        <v>0.27361068771258801</v>
      </c>
      <c r="AL121" s="15">
        <f t="shared" si="55"/>
        <v>0</v>
      </c>
      <c r="AM121" s="15">
        <f t="shared" si="56"/>
        <v>0</v>
      </c>
      <c r="AN121" s="15">
        <f t="shared" si="57"/>
        <v>0</v>
      </c>
      <c r="AO121" s="15">
        <f t="shared" si="58"/>
        <v>0</v>
      </c>
      <c r="AP121" s="31">
        <f t="shared" si="68"/>
        <v>0</v>
      </c>
      <c r="AQ121" s="31">
        <f t="shared" si="69"/>
        <v>0</v>
      </c>
    </row>
    <row r="122" spans="8:43" x14ac:dyDescent="0.25">
      <c r="H122" s="15">
        <v>2.19</v>
      </c>
      <c r="I122" s="45">
        <f t="shared" si="59"/>
        <v>1548.816618912482</v>
      </c>
      <c r="J122" s="32">
        <f t="shared" si="60"/>
        <v>99.043065733728014</v>
      </c>
      <c r="K122" s="32">
        <f t="shared" si="61"/>
        <v>17.532647052333271</v>
      </c>
      <c r="L122" s="15">
        <f t="shared" si="35"/>
        <v>3.8729613733905581</v>
      </c>
      <c r="M122" s="15">
        <f t="shared" si="36"/>
        <v>-0.36396700961192113</v>
      </c>
      <c r="N122" s="15">
        <f t="shared" si="37"/>
        <v>1.7525322086669394E-4</v>
      </c>
      <c r="O122" s="15">
        <f t="shared" si="38"/>
        <v>-70.434957798162031</v>
      </c>
      <c r="P122" s="15">
        <f t="shared" si="39"/>
        <v>-9.5023005675104404</v>
      </c>
      <c r="Q122" s="15">
        <f t="shared" si="40"/>
        <v>-5.8089044913811859E-2</v>
      </c>
      <c r="R122" s="15">
        <f t="shared" si="41"/>
        <v>-4.4640350188785601E-6</v>
      </c>
      <c r="S122" s="31">
        <f t="shared" si="62"/>
        <v>-70.857013852687771</v>
      </c>
      <c r="T122" s="31">
        <f t="shared" si="63"/>
        <v>2.2587335339403705</v>
      </c>
      <c r="U122" s="15">
        <f t="shared" si="42"/>
        <v>6500</v>
      </c>
      <c r="V122" s="15">
        <f t="shared" si="43"/>
        <v>-89.982158604928628</v>
      </c>
      <c r="W122" s="15">
        <f t="shared" si="44"/>
        <v>-70.133876585831146</v>
      </c>
      <c r="X122" s="15">
        <f t="shared" si="45"/>
        <v>68.876393832131114</v>
      </c>
      <c r="Y122" s="15">
        <f t="shared" si="46"/>
        <v>8.8647584371120054</v>
      </c>
      <c r="Z122" s="15">
        <f t="shared" si="47"/>
        <v>-0.98859207105369828</v>
      </c>
      <c r="AA122" s="15">
        <f t="shared" si="48"/>
        <v>-1.292989035860107E-3</v>
      </c>
      <c r="AB122" s="31">
        <f t="shared" si="64"/>
        <v>-22.094356843851212</v>
      </c>
      <c r="AC122" s="31">
        <f t="shared" si="65"/>
        <v>14.987855995102112</v>
      </c>
      <c r="AD122" s="15">
        <f t="shared" si="49"/>
        <v>14.906210664911088</v>
      </c>
      <c r="AE122" s="15">
        <f t="shared" si="50"/>
        <v>0.29732714724161141</v>
      </c>
      <c r="AF122" s="15">
        <f t="shared" si="51"/>
        <v>6.2727072815345428E-3</v>
      </c>
      <c r="AG122" s="15">
        <f t="shared" si="52"/>
        <v>5.2053397445316495E-8</v>
      </c>
      <c r="AH122" s="15">
        <f t="shared" si="53"/>
        <v>-2.918046941925625</v>
      </c>
      <c r="AI122" s="15">
        <f t="shared" si="54"/>
        <v>-1.1269676004217759E-2</v>
      </c>
      <c r="AJ122" s="31">
        <f t="shared" si="66"/>
        <v>11.994436430266997</v>
      </c>
      <c r="AK122" s="31">
        <f t="shared" si="67"/>
        <v>0.28605752329079109</v>
      </c>
      <c r="AL122" s="15">
        <f t="shared" si="55"/>
        <v>0</v>
      </c>
      <c r="AM122" s="15">
        <f t="shared" si="56"/>
        <v>0</v>
      </c>
      <c r="AN122" s="15">
        <f t="shared" si="57"/>
        <v>0</v>
      </c>
      <c r="AO122" s="15">
        <f t="shared" si="58"/>
        <v>0</v>
      </c>
      <c r="AP122" s="31">
        <f t="shared" si="68"/>
        <v>0</v>
      </c>
      <c r="AQ122" s="31">
        <f t="shared" si="69"/>
        <v>0</v>
      </c>
    </row>
    <row r="123" spans="8:43" x14ac:dyDescent="0.25">
      <c r="H123" s="15">
        <v>2.2000000000000002</v>
      </c>
      <c r="I123" s="45">
        <f t="shared" si="59"/>
        <v>1584.8931924611154</v>
      </c>
      <c r="J123" s="32">
        <f t="shared" si="60"/>
        <v>99.300486656478782</v>
      </c>
      <c r="K123" s="32">
        <f t="shared" si="61"/>
        <v>17.342101419561875</v>
      </c>
      <c r="L123" s="15">
        <f t="shared" si="35"/>
        <v>3.8729613733905581</v>
      </c>
      <c r="M123" s="15">
        <f t="shared" si="36"/>
        <v>-0.37244465425529616</v>
      </c>
      <c r="N123" s="15">
        <f t="shared" si="37"/>
        <v>1.8351247620865952E-4</v>
      </c>
      <c r="O123" s="15">
        <f t="shared" si="38"/>
        <v>-70.847536743870208</v>
      </c>
      <c r="P123" s="15">
        <f t="shared" si="39"/>
        <v>-9.6803251760117313</v>
      </c>
      <c r="Q123" s="15">
        <f t="shared" si="40"/>
        <v>-5.9442111628742821E-2</v>
      </c>
      <c r="R123" s="15">
        <f t="shared" si="41"/>
        <v>-4.6744183935606204E-6</v>
      </c>
      <c r="S123" s="31">
        <f t="shared" si="62"/>
        <v>-71.279423509754238</v>
      </c>
      <c r="T123" s="31">
        <f t="shared" si="63"/>
        <v>2.0807169743110467</v>
      </c>
      <c r="U123" s="15">
        <f t="shared" si="42"/>
        <v>6500</v>
      </c>
      <c r="V123" s="15">
        <f t="shared" si="43"/>
        <v>-89.982564724637115</v>
      </c>
      <c r="W123" s="15">
        <f t="shared" si="44"/>
        <v>-70.333876566878018</v>
      </c>
      <c r="X123" s="15">
        <f t="shared" si="45"/>
        <v>69.316115841551948</v>
      </c>
      <c r="Y123" s="15">
        <f t="shared" si="46"/>
        <v>9.0392980545545267</v>
      </c>
      <c r="Z123" s="15">
        <f t="shared" si="47"/>
        <v>-1.0116146076812054</v>
      </c>
      <c r="AA123" s="15">
        <f t="shared" si="48"/>
        <v>-1.3539162342021539E-3</v>
      </c>
      <c r="AB123" s="31">
        <f t="shared" si="64"/>
        <v>-21.678063490766373</v>
      </c>
      <c r="AC123" s="31">
        <f t="shared" si="65"/>
        <v>14.962334704299421</v>
      </c>
      <c r="AD123" s="15">
        <f t="shared" si="49"/>
        <v>15.237450225390891</v>
      </c>
      <c r="AE123" s="15">
        <f t="shared" si="50"/>
        <v>0.31084976500507677</v>
      </c>
      <c r="AF123" s="15">
        <f t="shared" si="51"/>
        <v>6.4188174026141619E-3</v>
      </c>
      <c r="AG123" s="15">
        <f t="shared" si="52"/>
        <v>5.4506600217461513E-8</v>
      </c>
      <c r="AH123" s="15">
        <f t="shared" si="53"/>
        <v>-2.9858953857941071</v>
      </c>
      <c r="AI123" s="15">
        <f t="shared" si="54"/>
        <v>-1.1800078560268344E-2</v>
      </c>
      <c r="AJ123" s="31">
        <f t="shared" si="66"/>
        <v>12.257973656999399</v>
      </c>
      <c r="AK123" s="31">
        <f t="shared" si="67"/>
        <v>0.29904974095140868</v>
      </c>
      <c r="AL123" s="15">
        <f t="shared" si="55"/>
        <v>0</v>
      </c>
      <c r="AM123" s="15">
        <f t="shared" si="56"/>
        <v>0</v>
      </c>
      <c r="AN123" s="15">
        <f t="shared" si="57"/>
        <v>0</v>
      </c>
      <c r="AO123" s="15">
        <f t="shared" si="58"/>
        <v>0</v>
      </c>
      <c r="AP123" s="31">
        <f t="shared" si="68"/>
        <v>0</v>
      </c>
      <c r="AQ123" s="31">
        <f t="shared" si="69"/>
        <v>0</v>
      </c>
    </row>
    <row r="124" spans="8:43" x14ac:dyDescent="0.25">
      <c r="H124" s="15">
        <v>2.21</v>
      </c>
      <c r="I124" s="45">
        <f t="shared" si="59"/>
        <v>1621.8100973589303</v>
      </c>
      <c r="J124" s="32">
        <f t="shared" si="60"/>
        <v>99.56207707295485</v>
      </c>
      <c r="K124" s="32">
        <f t="shared" si="61"/>
        <v>17.15224171616229</v>
      </c>
      <c r="L124" s="15">
        <f t="shared" si="35"/>
        <v>3.8729613733905581</v>
      </c>
      <c r="M124" s="15">
        <f t="shared" si="36"/>
        <v>-0.38111975172465007</v>
      </c>
      <c r="N124" s="15">
        <f t="shared" si="37"/>
        <v>1.9216096142690787E-4</v>
      </c>
      <c r="O124" s="15">
        <f t="shared" si="38"/>
        <v>-71.25272815461598</v>
      </c>
      <c r="P124" s="15">
        <f t="shared" si="39"/>
        <v>-9.8592345262587582</v>
      </c>
      <c r="Q124" s="15">
        <f t="shared" si="40"/>
        <v>-6.0826695247572692E-2</v>
      </c>
      <c r="R124" s="15">
        <f t="shared" si="41"/>
        <v>-4.8947168221412149E-6</v>
      </c>
      <c r="S124" s="31">
        <f t="shared" si="62"/>
        <v>-71.694674601588204</v>
      </c>
      <c r="T124" s="31">
        <f t="shared" si="63"/>
        <v>1.9018160522508101</v>
      </c>
      <c r="U124" s="15">
        <f t="shared" si="42"/>
        <v>6500</v>
      </c>
      <c r="V124" s="15">
        <f t="shared" si="43"/>
        <v>-89.9829615999341</v>
      </c>
      <c r="W124" s="15">
        <f t="shared" si="44"/>
        <v>-70.533876548777926</v>
      </c>
      <c r="X124" s="15">
        <f t="shared" si="45"/>
        <v>69.748304940647216</v>
      </c>
      <c r="Y124" s="15">
        <f t="shared" si="46"/>
        <v>9.2148434455950685</v>
      </c>
      <c r="Z124" s="15">
        <f t="shared" si="47"/>
        <v>-1.0351730698167347</v>
      </c>
      <c r="AA124" s="15">
        <f t="shared" si="48"/>
        <v>-1.4177139268282759E-3</v>
      </c>
      <c r="AB124" s="31">
        <f t="shared" si="64"/>
        <v>-21.26982972910362</v>
      </c>
      <c r="AC124" s="31">
        <f t="shared" si="65"/>
        <v>14.937816315747428</v>
      </c>
      <c r="AD124" s="15">
        <f t="shared" si="49"/>
        <v>15.575328618448404</v>
      </c>
      <c r="AE124" s="15">
        <f t="shared" si="50"/>
        <v>0.32496469988686993</v>
      </c>
      <c r="AF124" s="15">
        <f t="shared" si="51"/>
        <v>6.5683308655297796E-3</v>
      </c>
      <c r="AG124" s="15">
        <f t="shared" si="52"/>
        <v>5.707541620811978E-8</v>
      </c>
      <c r="AH124" s="15">
        <f t="shared" si="53"/>
        <v>-3.0553155456672667</v>
      </c>
      <c r="AI124" s="15">
        <f t="shared" si="54"/>
        <v>-1.2355408798233998E-2</v>
      </c>
      <c r="AJ124" s="31">
        <f t="shared" si="66"/>
        <v>12.526581403646668</v>
      </c>
      <c r="AK124" s="31">
        <f t="shared" si="67"/>
        <v>0.31260934816405217</v>
      </c>
      <c r="AL124" s="15">
        <f t="shared" si="55"/>
        <v>0</v>
      </c>
      <c r="AM124" s="15">
        <f t="shared" si="56"/>
        <v>0</v>
      </c>
      <c r="AN124" s="15">
        <f t="shared" si="57"/>
        <v>0</v>
      </c>
      <c r="AO124" s="15">
        <f t="shared" si="58"/>
        <v>0</v>
      </c>
      <c r="AP124" s="31">
        <f t="shared" si="68"/>
        <v>0</v>
      </c>
      <c r="AQ124" s="31">
        <f t="shared" si="69"/>
        <v>0</v>
      </c>
    </row>
    <row r="125" spans="8:43" x14ac:dyDescent="0.25">
      <c r="H125" s="15">
        <v>2.2200000000000002</v>
      </c>
      <c r="I125" s="45">
        <f t="shared" si="59"/>
        <v>1659.5869074375623</v>
      </c>
      <c r="J125" s="32">
        <f t="shared" si="60"/>
        <v>99.827847877219924</v>
      </c>
      <c r="K125" s="32">
        <f t="shared" si="61"/>
        <v>16.963087736719551</v>
      </c>
      <c r="L125" s="15">
        <f t="shared" si="35"/>
        <v>3.8729613733905581</v>
      </c>
      <c r="M125" s="15">
        <f t="shared" si="36"/>
        <v>-0.38999690007958587</v>
      </c>
      <c r="N125" s="15">
        <f t="shared" si="37"/>
        <v>2.0121701873735654E-4</v>
      </c>
      <c r="O125" s="15">
        <f t="shared" si="38"/>
        <v>-71.650584699851933</v>
      </c>
      <c r="P125" s="15">
        <f t="shared" si="39"/>
        <v>-10.038997047786895</v>
      </c>
      <c r="Q125" s="15">
        <f t="shared" si="40"/>
        <v>-6.2243529888391283E-2</v>
      </c>
      <c r="R125" s="15">
        <f t="shared" si="41"/>
        <v>-5.1253975819647041E-6</v>
      </c>
      <c r="S125" s="31">
        <f t="shared" si="62"/>
        <v>-72.102825129819905</v>
      </c>
      <c r="T125" s="31">
        <f t="shared" si="63"/>
        <v>1.7220623560992241</v>
      </c>
      <c r="U125" s="15">
        <f t="shared" si="42"/>
        <v>6500</v>
      </c>
      <c r="V125" s="15">
        <f t="shared" si="43"/>
        <v>-89.983349441247981</v>
      </c>
      <c r="W125" s="15">
        <f t="shared" si="44"/>
        <v>-70.733876531492484</v>
      </c>
      <c r="X125" s="15">
        <f t="shared" si="45"/>
        <v>70.172993496792515</v>
      </c>
      <c r="Y125" s="15">
        <f t="shared" si="46"/>
        <v>9.3913602249443286</v>
      </c>
      <c r="Z125" s="15">
        <f t="shared" si="47"/>
        <v>-1.0592799165875511</v>
      </c>
      <c r="AA125" s="15">
        <f t="shared" si="48"/>
        <v>-1.4845173076132854E-3</v>
      </c>
      <c r="AB125" s="31">
        <f t="shared" si="64"/>
        <v>-20.869635861043019</v>
      </c>
      <c r="AC125" s="31">
        <f t="shared" si="65"/>
        <v>14.914266309001345</v>
      </c>
      <c r="AD125" s="15">
        <f t="shared" si="49"/>
        <v>15.919930954438767</v>
      </c>
      <c r="AE125" s="15">
        <f t="shared" si="50"/>
        <v>0.33969584669917335</v>
      </c>
      <c r="AF125" s="15">
        <f t="shared" si="51"/>
        <v>6.7213269442903513E-3</v>
      </c>
      <c r="AG125" s="15">
        <f t="shared" si="52"/>
        <v>5.976529772464714E-8</v>
      </c>
      <c r="AH125" s="15">
        <f t="shared" si="53"/>
        <v>-3.1263434133002113</v>
      </c>
      <c r="AI125" s="15">
        <f t="shared" si="54"/>
        <v>-1.2936834845491079E-2</v>
      </c>
      <c r="AJ125" s="31">
        <f t="shared" si="66"/>
        <v>12.800308868082848</v>
      </c>
      <c r="AK125" s="31">
        <f t="shared" si="67"/>
        <v>0.32675907161897999</v>
      </c>
      <c r="AL125" s="15">
        <f t="shared" si="55"/>
        <v>0</v>
      </c>
      <c r="AM125" s="15">
        <f t="shared" si="56"/>
        <v>0</v>
      </c>
      <c r="AN125" s="15">
        <f t="shared" si="57"/>
        <v>0</v>
      </c>
      <c r="AO125" s="15">
        <f t="shared" si="58"/>
        <v>0</v>
      </c>
      <c r="AP125" s="31">
        <f t="shared" si="68"/>
        <v>0</v>
      </c>
      <c r="AQ125" s="31">
        <f t="shared" si="69"/>
        <v>0</v>
      </c>
    </row>
    <row r="126" spans="8:43" x14ac:dyDescent="0.25">
      <c r="H126" s="15">
        <v>2.23</v>
      </c>
      <c r="I126" s="45">
        <f t="shared" si="59"/>
        <v>1698.2436524617444</v>
      </c>
      <c r="J126" s="32">
        <f t="shared" si="60"/>
        <v>100.09780793417917</v>
      </c>
      <c r="K126" s="32">
        <f t="shared" si="61"/>
        <v>16.774659950492612</v>
      </c>
      <c r="L126" s="15">
        <f t="shared" si="35"/>
        <v>3.8729613733905581</v>
      </c>
      <c r="M126" s="15">
        <f t="shared" si="36"/>
        <v>-0.39908080439591609</v>
      </c>
      <c r="N126" s="15">
        <f t="shared" si="37"/>
        <v>2.1069985463940648E-4</v>
      </c>
      <c r="O126" s="15">
        <f t="shared" si="38"/>
        <v>-72.041163806974978</v>
      </c>
      <c r="P126" s="15">
        <f t="shared" si="39"/>
        <v>-10.219581973406314</v>
      </c>
      <c r="Q126" s="15">
        <f t="shared" si="40"/>
        <v>-6.3693366768743917E-2</v>
      </c>
      <c r="R126" s="15">
        <f t="shared" si="41"/>
        <v>-5.3669499793727101E-6</v>
      </c>
      <c r="S126" s="31">
        <f t="shared" si="62"/>
        <v>-72.503937978139646</v>
      </c>
      <c r="T126" s="31">
        <f t="shared" si="63"/>
        <v>1.5414866717633091</v>
      </c>
      <c r="U126" s="15">
        <f t="shared" si="42"/>
        <v>6500</v>
      </c>
      <c r="V126" s="15">
        <f t="shared" si="43"/>
        <v>-89.9837284542172</v>
      </c>
      <c r="W126" s="15">
        <f t="shared" si="44"/>
        <v>-70.933876514985002</v>
      </c>
      <c r="X126" s="15">
        <f t="shared" si="45"/>
        <v>70.590219967345433</v>
      </c>
      <c r="Y126" s="15">
        <f t="shared" si="46"/>
        <v>9.5688147632004981</v>
      </c>
      <c r="Z126" s="15">
        <f t="shared" si="47"/>
        <v>-1.0839478956031274</v>
      </c>
      <c r="AA126" s="15">
        <f t="shared" si="48"/>
        <v>-1.5544679334030067E-3</v>
      </c>
      <c r="AB126" s="31">
        <f t="shared" si="64"/>
        <v>-20.477456382474895</v>
      </c>
      <c r="AC126" s="31">
        <f t="shared" si="65"/>
        <v>14.891650913139207</v>
      </c>
      <c r="AD126" s="15">
        <f t="shared" si="49"/>
        <v>16.271340182912997</v>
      </c>
      <c r="AE126" s="15">
        <f t="shared" si="50"/>
        <v>0.35506788224829305</v>
      </c>
      <c r="AF126" s="15">
        <f t="shared" si="51"/>
        <v>6.8778867594332209E-3</v>
      </c>
      <c r="AG126" s="15">
        <f t="shared" si="52"/>
        <v>6.2581949728182126E-8</v>
      </c>
      <c r="AH126" s="15">
        <f t="shared" si="53"/>
        <v>-3.1990157748787178</v>
      </c>
      <c r="AI126" s="15">
        <f t="shared" si="54"/>
        <v>-1.3545579240147508E-2</v>
      </c>
      <c r="AJ126" s="31">
        <f t="shared" si="66"/>
        <v>13.079202294793713</v>
      </c>
      <c r="AK126" s="31">
        <f t="shared" si="67"/>
        <v>0.3415223655900953</v>
      </c>
      <c r="AL126" s="15">
        <f t="shared" si="55"/>
        <v>0</v>
      </c>
      <c r="AM126" s="15">
        <f t="shared" si="56"/>
        <v>0</v>
      </c>
      <c r="AN126" s="15">
        <f t="shared" si="57"/>
        <v>0</v>
      </c>
      <c r="AO126" s="15">
        <f t="shared" si="58"/>
        <v>0</v>
      </c>
      <c r="AP126" s="31">
        <f t="shared" si="68"/>
        <v>0</v>
      </c>
      <c r="AQ126" s="31">
        <f t="shared" si="69"/>
        <v>0</v>
      </c>
    </row>
    <row r="127" spans="8:43" x14ac:dyDescent="0.25">
      <c r="H127" s="15">
        <v>2.2400000000000002</v>
      </c>
      <c r="I127" s="45">
        <f t="shared" si="59"/>
        <v>1737.8008287493767</v>
      </c>
      <c r="J127" s="32">
        <f t="shared" si="60"/>
        <v>100.37196376465297</v>
      </c>
      <c r="K127" s="32">
        <f t="shared" si="61"/>
        <v>16.586979519514262</v>
      </c>
      <c r="L127" s="15">
        <f t="shared" si="35"/>
        <v>3.8729613733905581</v>
      </c>
      <c r="M127" s="15">
        <f t="shared" si="36"/>
        <v>-0.40837627925222159</v>
      </c>
      <c r="N127" s="15">
        <f t="shared" si="37"/>
        <v>2.2062958063628766E-4</v>
      </c>
      <c r="O127" s="15">
        <f t="shared" si="38"/>
        <v>-72.42452731482409</v>
      </c>
      <c r="P127" s="15">
        <f t="shared" si="39"/>
        <v>-10.400959345203514</v>
      </c>
      <c r="Q127" s="15">
        <f t="shared" si="40"/>
        <v>-6.5176974603904522E-2</v>
      </c>
      <c r="R127" s="15">
        <f t="shared" si="41"/>
        <v>-5.6198863757389452E-6</v>
      </c>
      <c r="S127" s="31">
        <f t="shared" si="62"/>
        <v>-72.898080568680214</v>
      </c>
      <c r="T127" s="31">
        <f t="shared" si="63"/>
        <v>1.36011897675571</v>
      </c>
      <c r="U127" s="15">
        <f t="shared" si="42"/>
        <v>6500</v>
      </c>
      <c r="V127" s="15">
        <f t="shared" si="43"/>
        <v>-89.984098839799316</v>
      </c>
      <c r="W127" s="15">
        <f t="shared" si="44"/>
        <v>-71.133876499220491</v>
      </c>
      <c r="X127" s="15">
        <f t="shared" si="45"/>
        <v>71.000028521867932</v>
      </c>
      <c r="Y127" s="15">
        <f t="shared" si="46"/>
        <v>9.7471742042587444</v>
      </c>
      <c r="Z127" s="15">
        <f t="shared" si="47"/>
        <v>-1.1091900495513329</v>
      </c>
      <c r="AA127" s="15">
        <f t="shared" si="48"/>
        <v>-1.627714023065073E-3</v>
      </c>
      <c r="AB127" s="31">
        <f t="shared" si="64"/>
        <v>-20.093260367482717</v>
      </c>
      <c r="AC127" s="31">
        <f t="shared" si="65"/>
        <v>14.869937123872301</v>
      </c>
      <c r="AD127" s="15">
        <f t="shared" si="49"/>
        <v>16.629636833912436</v>
      </c>
      <c r="AE127" s="15">
        <f t="shared" si="50"/>
        <v>0.37110627478879177</v>
      </c>
      <c r="AF127" s="15">
        <f t="shared" si="51"/>
        <v>7.0380933210353594E-3</v>
      </c>
      <c r="AG127" s="15">
        <f t="shared" si="52"/>
        <v>6.5531345262884153E-8</v>
      </c>
      <c r="AH127" s="15">
        <f t="shared" si="53"/>
        <v>-3.2733702264175721</v>
      </c>
      <c r="AI127" s="15">
        <f t="shared" si="54"/>
        <v>-1.4182921433885118E-2</v>
      </c>
      <c r="AJ127" s="31">
        <f t="shared" si="66"/>
        <v>13.363304700815899</v>
      </c>
      <c r="AK127" s="31">
        <f t="shared" si="67"/>
        <v>0.3569234188862519</v>
      </c>
      <c r="AL127" s="15">
        <f t="shared" si="55"/>
        <v>0</v>
      </c>
      <c r="AM127" s="15">
        <f t="shared" si="56"/>
        <v>0</v>
      </c>
      <c r="AN127" s="15">
        <f t="shared" si="57"/>
        <v>0</v>
      </c>
      <c r="AO127" s="15">
        <f t="shared" si="58"/>
        <v>0</v>
      </c>
      <c r="AP127" s="31">
        <f t="shared" si="68"/>
        <v>0</v>
      </c>
      <c r="AQ127" s="31">
        <f t="shared" si="69"/>
        <v>0</v>
      </c>
    </row>
    <row r="128" spans="8:43" x14ac:dyDescent="0.25">
      <c r="H128" s="15">
        <v>2.25</v>
      </c>
      <c r="I128" s="45">
        <f t="shared" si="59"/>
        <v>1778.2794100389242</v>
      </c>
      <c r="J128" s="32">
        <f t="shared" si="60"/>
        <v>100.65031921478933</v>
      </c>
      <c r="K128" s="32">
        <f t="shared" si="61"/>
        <v>16.400068314358847</v>
      </c>
      <c r="L128" s="15">
        <f t="shared" si="35"/>
        <v>3.8729613733905581</v>
      </c>
      <c r="M128" s="15">
        <f t="shared" si="36"/>
        <v>-0.41788825127387691</v>
      </c>
      <c r="N128" s="15">
        <f t="shared" si="37"/>
        <v>2.3102725586913412E-4</v>
      </c>
      <c r="O128" s="15">
        <f t="shared" si="38"/>
        <v>-72.800741137626943</v>
      </c>
      <c r="P128" s="15">
        <f t="shared" si="39"/>
        <v>-10.583100017871702</v>
      </c>
      <c r="Q128" s="15">
        <f t="shared" si="40"/>
        <v>-6.6695140014422533E-2</v>
      </c>
      <c r="R128" s="15">
        <f t="shared" si="41"/>
        <v>-5.884743281006055E-6</v>
      </c>
      <c r="S128" s="31">
        <f t="shared" si="62"/>
        <v>-73.28532452891524</v>
      </c>
      <c r="T128" s="31">
        <f t="shared" si="63"/>
        <v>1.1779884369058493</v>
      </c>
      <c r="U128" s="15">
        <f t="shared" si="42"/>
        <v>6500</v>
      </c>
      <c r="V128" s="15">
        <f t="shared" si="43"/>
        <v>-89.984460794377554</v>
      </c>
      <c r="W128" s="15">
        <f t="shared" si="44"/>
        <v>-71.333876484165486</v>
      </c>
      <c r="X128" s="15">
        <f t="shared" si="45"/>
        <v>71.402468671722644</v>
      </c>
      <c r="Y128" s="15">
        <f t="shared" si="46"/>
        <v>9.926406479303072</v>
      </c>
      <c r="Z128" s="15">
        <f t="shared" si="47"/>
        <v>-1.1350197229394343</v>
      </c>
      <c r="AA128" s="15">
        <f t="shared" si="48"/>
        <v>-1.7044107705704507E-3</v>
      </c>
      <c r="AB128" s="31">
        <f t="shared" si="64"/>
        <v>-19.717011845594342</v>
      </c>
      <c r="AC128" s="31">
        <f t="shared" si="65"/>
        <v>14.84909271722413</v>
      </c>
      <c r="AD128" s="15">
        <f t="shared" si="49"/>
        <v>16.994898747025761</v>
      </c>
      <c r="AE128" s="15">
        <f t="shared" si="50"/>
        <v>0.38783729201602218</v>
      </c>
      <c r="AF128" s="15">
        <f t="shared" si="51"/>
        <v>7.2020315727262712E-3</v>
      </c>
      <c r="AG128" s="15">
        <f t="shared" si="52"/>
        <v>6.8619742813826535E-8</v>
      </c>
      <c r="AH128" s="15">
        <f t="shared" si="53"/>
        <v>-3.349445189299578</v>
      </c>
      <c r="AI128" s="15">
        <f t="shared" si="54"/>
        <v>-1.4850200406899031E-2</v>
      </c>
      <c r="AJ128" s="31">
        <f t="shared" si="66"/>
        <v>13.652655589298911</v>
      </c>
      <c r="AK128" s="31">
        <f t="shared" si="67"/>
        <v>0.37298716022886597</v>
      </c>
      <c r="AL128" s="15">
        <f t="shared" si="55"/>
        <v>0</v>
      </c>
      <c r="AM128" s="15">
        <f t="shared" si="56"/>
        <v>0</v>
      </c>
      <c r="AN128" s="15">
        <f t="shared" si="57"/>
        <v>0</v>
      </c>
      <c r="AO128" s="15">
        <f t="shared" si="58"/>
        <v>0</v>
      </c>
      <c r="AP128" s="31">
        <f t="shared" si="68"/>
        <v>0</v>
      </c>
      <c r="AQ128" s="31">
        <f t="shared" si="69"/>
        <v>0</v>
      </c>
    </row>
    <row r="129" spans="8:43" x14ac:dyDescent="0.25">
      <c r="H129" s="15">
        <v>2.2599999999999998</v>
      </c>
      <c r="I129" s="45">
        <f t="shared" si="59"/>
        <v>1819.700858609983</v>
      </c>
      <c r="J129" s="32">
        <f t="shared" si="60"/>
        <v>100.93287511033367</v>
      </c>
      <c r="K129" s="32">
        <f t="shared" si="61"/>
        <v>16.213948927412385</v>
      </c>
      <c r="L129" s="15">
        <f t="shared" si="35"/>
        <v>3.8729613733905581</v>
      </c>
      <c r="M129" s="15">
        <f t="shared" si="36"/>
        <v>-0.4276217617358688</v>
      </c>
      <c r="N129" s="15">
        <f t="shared" si="37"/>
        <v>2.4191493175722617E-4</v>
      </c>
      <c r="O129" s="15">
        <f t="shared" si="38"/>
        <v>-73.16987493994688</v>
      </c>
      <c r="P129" s="15">
        <f t="shared" si="39"/>
        <v>-10.76597565957125</v>
      </c>
      <c r="Q129" s="15">
        <f t="shared" si="40"/>
        <v>-6.8248667943161812E-2</v>
      </c>
      <c r="R129" s="15">
        <f t="shared" si="41"/>
        <v>-6.1620824915804945E-6</v>
      </c>
      <c r="S129" s="31">
        <f t="shared" si="62"/>
        <v>-73.66574536962591</v>
      </c>
      <c r="T129" s="31">
        <f t="shared" si="63"/>
        <v>0.99512340554297896</v>
      </c>
      <c r="U129" s="15">
        <f t="shared" si="42"/>
        <v>6500</v>
      </c>
      <c r="V129" s="15">
        <f t="shared" si="43"/>
        <v>-89.984814509864904</v>
      </c>
      <c r="W129" s="15">
        <f t="shared" si="44"/>
        <v>-71.533876469788069</v>
      </c>
      <c r="X129" s="15">
        <f t="shared" si="45"/>
        <v>71.797594908073862</v>
      </c>
      <c r="Y129" s="15">
        <f t="shared" si="46"/>
        <v>10.106480317587227</v>
      </c>
      <c r="Z129" s="15">
        <f t="shared" si="47"/>
        <v>-1.1614505689826984</v>
      </c>
      <c r="AA129" s="15">
        <f t="shared" si="48"/>
        <v>-1.784720672726984E-3</v>
      </c>
      <c r="AB129" s="31">
        <f t="shared" si="64"/>
        <v>-19.34867017077374</v>
      </c>
      <c r="AC129" s="31">
        <f t="shared" si="65"/>
        <v>14.829086259983544</v>
      </c>
      <c r="AD129" s="15">
        <f t="shared" si="49"/>
        <v>17.367200788240194</v>
      </c>
      <c r="AE129" s="15">
        <f t="shared" si="50"/>
        <v>0.40528800743179882</v>
      </c>
      <c r="AF129" s="15">
        <f t="shared" si="51"/>
        <v>7.3697884367262345E-3</v>
      </c>
      <c r="AG129" s="15">
        <f t="shared" si="52"/>
        <v>7.1853692092959626E-8</v>
      </c>
      <c r="AH129" s="15">
        <f t="shared" si="53"/>
        <v>-3.4272799259435978</v>
      </c>
      <c r="AI129" s="15">
        <f t="shared" si="54"/>
        <v>-1.554881739962637E-2</v>
      </c>
      <c r="AJ129" s="31">
        <f t="shared" si="66"/>
        <v>13.947290650733322</v>
      </c>
      <c r="AK129" s="31">
        <f t="shared" si="67"/>
        <v>0.38973926188586455</v>
      </c>
      <c r="AL129" s="15">
        <f t="shared" si="55"/>
        <v>0</v>
      </c>
      <c r="AM129" s="15">
        <f t="shared" si="56"/>
        <v>0</v>
      </c>
      <c r="AN129" s="15">
        <f t="shared" si="57"/>
        <v>0</v>
      </c>
      <c r="AO129" s="15">
        <f t="shared" si="58"/>
        <v>0</v>
      </c>
      <c r="AP129" s="31">
        <f t="shared" si="68"/>
        <v>0</v>
      </c>
      <c r="AQ129" s="31">
        <f t="shared" si="69"/>
        <v>0</v>
      </c>
    </row>
    <row r="130" spans="8:43" x14ac:dyDescent="0.25">
      <c r="H130" s="15">
        <v>2.27</v>
      </c>
      <c r="I130" s="45">
        <f t="shared" si="59"/>
        <v>1862.0871366628685</v>
      </c>
      <c r="J130" s="32">
        <f t="shared" si="60"/>
        <v>101.21962889631885</v>
      </c>
      <c r="K130" s="32">
        <f t="shared" si="61"/>
        <v>16.0286446834773</v>
      </c>
      <c r="L130" s="15">
        <f t="shared" si="35"/>
        <v>3.8729613733905581</v>
      </c>
      <c r="M130" s="15">
        <f t="shared" si="36"/>
        <v>-0.43758196922573367</v>
      </c>
      <c r="N130" s="15">
        <f t="shared" si="37"/>
        <v>2.5331569874646731E-4</v>
      </c>
      <c r="O130" s="15">
        <f t="shared" si="38"/>
        <v>-73.532001823067105</v>
      </c>
      <c r="P130" s="15">
        <f t="shared" si="39"/>
        <v>-10.949558750516301</v>
      </c>
      <c r="Q130" s="15">
        <f t="shared" si="40"/>
        <v>-6.9838382082051564E-2</v>
      </c>
      <c r="R130" s="15">
        <f t="shared" si="41"/>
        <v>-6.4524922764426772E-6</v>
      </c>
      <c r="S130" s="31">
        <f t="shared" si="62"/>
        <v>-74.039422174374891</v>
      </c>
      <c r="T130" s="31">
        <f t="shared" si="63"/>
        <v>0.81155142495513122</v>
      </c>
      <c r="U130" s="15">
        <f t="shared" si="42"/>
        <v>6500</v>
      </c>
      <c r="V130" s="15">
        <f t="shared" si="43"/>
        <v>-89.98516017380588</v>
      </c>
      <c r="W130" s="15">
        <f t="shared" si="44"/>
        <v>-71.733876456057743</v>
      </c>
      <c r="X130" s="15">
        <f t="shared" si="45"/>
        <v>72.185466349179578</v>
      </c>
      <c r="Y130" s="15">
        <f t="shared" si="46"/>
        <v>10.287365254211306</v>
      </c>
      <c r="Z130" s="15">
        <f t="shared" si="47"/>
        <v>-1.1884965566433368</v>
      </c>
      <c r="AA130" s="15">
        <f t="shared" si="48"/>
        <v>-1.8688138722684617E-3</v>
      </c>
      <c r="AB130" s="31">
        <f t="shared" si="64"/>
        <v>-18.988190381269639</v>
      </c>
      <c r="AC130" s="31">
        <f t="shared" si="65"/>
        <v>14.809887117138407</v>
      </c>
      <c r="AD130" s="15">
        <f t="shared" si="49"/>
        <v>17.746614554691906</v>
      </c>
      <c r="AE130" s="15">
        <f t="shared" si="50"/>
        <v>0.4234863049099199</v>
      </c>
      <c r="AF130" s="15">
        <f t="shared" si="51"/>
        <v>7.5414528599335754E-3</v>
      </c>
      <c r="AG130" s="15">
        <f t="shared" si="52"/>
        <v>7.5240051397003565E-8</v>
      </c>
      <c r="AH130" s="15">
        <f t="shared" si="53"/>
        <v>-3.5069145555884562</v>
      </c>
      <c r="AI130" s="15">
        <f t="shared" si="54"/>
        <v>-1.6280238766209872E-2</v>
      </c>
      <c r="AJ130" s="31">
        <f t="shared" si="66"/>
        <v>14.247241451963383</v>
      </c>
      <c r="AK130" s="31">
        <f t="shared" si="67"/>
        <v>0.40720614138376143</v>
      </c>
      <c r="AL130" s="15">
        <f t="shared" si="55"/>
        <v>0</v>
      </c>
      <c r="AM130" s="15">
        <f t="shared" si="56"/>
        <v>0</v>
      </c>
      <c r="AN130" s="15">
        <f t="shared" si="57"/>
        <v>0</v>
      </c>
      <c r="AO130" s="15">
        <f t="shared" si="58"/>
        <v>0</v>
      </c>
      <c r="AP130" s="31">
        <f t="shared" si="68"/>
        <v>0</v>
      </c>
      <c r="AQ130" s="31">
        <f t="shared" si="69"/>
        <v>0</v>
      </c>
    </row>
    <row r="131" spans="8:43" x14ac:dyDescent="0.25">
      <c r="H131" s="15">
        <v>2.2799999999999998</v>
      </c>
      <c r="I131" s="45">
        <f t="shared" si="59"/>
        <v>1905.460717963248</v>
      </c>
      <c r="J131" s="32">
        <f t="shared" si="60"/>
        <v>101.5105742627934</v>
      </c>
      <c r="K131" s="32">
        <f t="shared" si="61"/>
        <v>15.844179647540246</v>
      </c>
      <c r="L131" s="15">
        <f t="shared" ref="L131:L194" si="70">A_PS</f>
        <v>3.8729613733905581</v>
      </c>
      <c r="M131" s="15">
        <f t="shared" ref="M131:M194" si="71">-180/PI()*ATAN($I131/z_RHP/1000)</f>
        <v>-0.44777415236797391</v>
      </c>
      <c r="N131" s="15">
        <f t="shared" ref="N131:N194" si="72">20*LOG(SQRT(($I131/z_RHP/1000)^2+1))</f>
        <v>2.6525373525464928E-4</v>
      </c>
      <c r="O131" s="15">
        <f t="shared" ref="O131:O194" si="73">-180/PI()*ATAN($I131/p_small)</f>
        <v>-73.887198023145103</v>
      </c>
      <c r="P131" s="15">
        <f t="shared" ref="P131:P194" si="74">-20*LOG(SQRT(($I131/p_small)^2+1))</f>
        <v>-11.133822579478243</v>
      </c>
      <c r="Q131" s="15">
        <f t="shared" ref="Q131:Q194" si="75">-180/PI()*ATAN($I131/p_large/1000)</f>
        <v>-7.1465125308774344E-2</v>
      </c>
      <c r="R131" s="15">
        <f t="shared" ref="R131:R194" si="76">-20*LOG(SQRT(($I131/p_large/1000)^2+1))</f>
        <v>-6.7565886326874681E-6</v>
      </c>
      <c r="S131" s="31">
        <f t="shared" si="62"/>
        <v>-74.40643730082185</v>
      </c>
      <c r="T131" s="31">
        <f t="shared" si="63"/>
        <v>0.62729922993334053</v>
      </c>
      <c r="U131" s="15">
        <f t="shared" ref="U131:U194" si="77">A_EA</f>
        <v>6500</v>
      </c>
      <c r="V131" s="15">
        <f t="shared" ref="V131:V194" si="78">-180/PI()*ATAN($I131/p_EA)</f>
        <v>-89.985497969476015</v>
      </c>
      <c r="W131" s="15">
        <f t="shared" ref="W131:W194" si="79">-20*LOG(SQRT(($I131/p_EA)^2+1))</f>
        <v>-71.93387644294539</v>
      </c>
      <c r="X131" s="15">
        <f t="shared" ref="X131:X194" si="80">180/PI()*ATAN($I131/z_comp)</f>
        <v>72.566146397727223</v>
      </c>
      <c r="Y131" s="15">
        <f t="shared" ref="Y131:Y194" si="81">20*LOG(SQRT(($I131/z_comp)^2+1))</f>
        <v>10.469031635099839</v>
      </c>
      <c r="Z131" s="15">
        <f t="shared" ref="Z131:Z194" si="82">IF(p_comp="",0,-180/PI()*ATAN($I131/p_comp/1000))</f>
        <v>-1.2161719778225655</v>
      </c>
      <c r="AA131" s="15">
        <f t="shared" ref="AA131:AA194" si="83">IF(p_comp="",0,-20*LOG(SQRT(($I131/p_comp/1000)^2+1)))</f>
        <v>-1.9568685170115677E-3</v>
      </c>
      <c r="AB131" s="31">
        <f t="shared" si="64"/>
        <v>-18.635523549571356</v>
      </c>
      <c r="AC131" s="31">
        <f t="shared" si="65"/>
        <v>14.791465456494551</v>
      </c>
      <c r="AD131" s="15">
        <f t="shared" ref="AD131:AD194" si="84">IF(z_esr_1="",0,180/PI()*ATAN($I131/z_esr_1/1000))</f>
        <v>18.133208067503737</v>
      </c>
      <c r="AE131" s="15">
        <f t="shared" ref="AE131:AE194" si="85">IF(z_esr_1="",0,20*LOG(SQRT(($I131/z_esr_1/1000)^2+1)))</f>
        <v>0.44246088128107519</v>
      </c>
      <c r="AF131" s="15">
        <f t="shared" ref="AF131:AF194" si="86">180/PI()*ATAN($I131/z_esr_2/1000)</f>
        <v>7.7171158610853724E-3</v>
      </c>
      <c r="AG131" s="15">
        <f t="shared" ref="AG131:AG194" si="87">20*LOG(SQRT(($I131/z_esr_2/1000)^2+1))</f>
        <v>7.8786006893995667E-8</v>
      </c>
      <c r="AH131" s="15">
        <f t="shared" ref="AH131:AH194" si="88">IF(p_esr="",0,-180/PI()*ATAN($I131/p_esr/1000))</f>
        <v>-3.5883900701782219</v>
      </c>
      <c r="AI131" s="15">
        <f t="shared" ref="AI131:AI194" si="89">IF(p_esr="",0,-20*LOG(SQRT(($I131/p_esr/1000)^2+1)))</f>
        <v>-1.7045998954728591E-2</v>
      </c>
      <c r="AJ131" s="31">
        <f t="shared" si="66"/>
        <v>14.5525351131866</v>
      </c>
      <c r="AK131" s="31">
        <f t="shared" si="67"/>
        <v>0.4254149611123535</v>
      </c>
      <c r="AL131" s="15">
        <f t="shared" ref="AL131:AL194" si="90">IF(z_ff="",0,180/PI()*ATAN($I131/z_ff/1000))</f>
        <v>0</v>
      </c>
      <c r="AM131" s="15">
        <f t="shared" ref="AM131:AM194" si="91">IF(z_ff="",0,20*LOG(SQRT(($I131/z_ff/1000)^2+1)))</f>
        <v>0</v>
      </c>
      <c r="AN131" s="15">
        <f t="shared" ref="AN131:AN194" si="92">IF(p_ff="",0,-180/PI()*ATAN($I131/p_ff/1000))</f>
        <v>0</v>
      </c>
      <c r="AO131" s="15">
        <f t="shared" ref="AO131:AO194" si="93">IF(p_ff="",0,-20*LOG(SQRT(($I131/p_ff/1000)^2+1)))</f>
        <v>0</v>
      </c>
      <c r="AP131" s="31">
        <f t="shared" si="68"/>
        <v>0</v>
      </c>
      <c r="AQ131" s="31">
        <f t="shared" si="69"/>
        <v>0</v>
      </c>
    </row>
    <row r="132" spans="8:43" x14ac:dyDescent="0.25">
      <c r="H132" s="15">
        <v>2.29</v>
      </c>
      <c r="I132" s="45">
        <f t="shared" ref="I132:I195" si="94">10*10^H132</f>
        <v>1949.8445997580459</v>
      </c>
      <c r="J132" s="32">
        <f t="shared" ref="J132:J195" si="95">180+S132+AB132+AJ132+AP132</f>
        <v>101.80570075726726</v>
      </c>
      <c r="K132" s="32">
        <f t="shared" ref="K132:K195" si="96">T132+AC132+AK132+AQ132</f>
        <v>15.660578629529031</v>
      </c>
      <c r="L132" s="15">
        <f t="shared" si="70"/>
        <v>3.8729613733905581</v>
      </c>
      <c r="M132" s="15">
        <f t="shared" si="71"/>
        <v>-0.45820371261136106</v>
      </c>
      <c r="N132" s="15">
        <f t="shared" si="72"/>
        <v>2.7775435891747128E-4</v>
      </c>
      <c r="O132" s="15">
        <f t="shared" si="73"/>
        <v>-74.235542621375103</v>
      </c>
      <c r="P132" s="15">
        <f t="shared" si="74"/>
        <v>-11.318741238390544</v>
      </c>
      <c r="Q132" s="15">
        <f t="shared" si="75"/>
        <v>-7.3129760133624822E-2</v>
      </c>
      <c r="R132" s="15">
        <f t="shared" si="76"/>
        <v>-7.0750165854224233E-6</v>
      </c>
      <c r="S132" s="31">
        <f t="shared" ref="S132:S195" si="97">M132+O132+Q132</f>
        <v>-74.766876094120093</v>
      </c>
      <c r="T132" s="31">
        <f t="shared" ref="T132:T195" si="98">20*LOG(L132)+N132+P132+R132</f>
        <v>0.4423927532167507</v>
      </c>
      <c r="U132" s="15">
        <f t="shared" si="77"/>
        <v>6500</v>
      </c>
      <c r="V132" s="15">
        <f t="shared" si="78"/>
        <v>-89.985828075978887</v>
      </c>
      <c r="W132" s="15">
        <f t="shared" si="79"/>
        <v>-72.133876430423186</v>
      </c>
      <c r="X132" s="15">
        <f t="shared" si="80"/>
        <v>72.939702408838954</v>
      </c>
      <c r="Y132" s="15">
        <f t="shared" si="81"/>
        <v>10.651450619384697</v>
      </c>
      <c r="Z132" s="15">
        <f t="shared" si="82"/>
        <v>-1.2444914547086123</v>
      </c>
      <c r="AA132" s="15">
        <f t="shared" si="83"/>
        <v>-2.0490711358192152E-3</v>
      </c>
      <c r="AB132" s="31">
        <f t="shared" ref="AB132:AB195" si="99">V132+X132+Z132</f>
        <v>-18.290617121848545</v>
      </c>
      <c r="AC132" s="31">
        <f t="shared" ref="AC132:AC195" si="100">20*LOG(U132)+W132+Y132+AA132</f>
        <v>14.773792250682806</v>
      </c>
      <c r="AD132" s="15">
        <f t="shared" si="84"/>
        <v>18.527045452989874</v>
      </c>
      <c r="AE132" s="15">
        <f t="shared" si="85"/>
        <v>0.46224124674985512</v>
      </c>
      <c r="AF132" s="15">
        <f t="shared" si="86"/>
        <v>7.8968705790167983E-3</v>
      </c>
      <c r="AG132" s="15">
        <f t="shared" si="87"/>
        <v>8.2499076480598329E-8</v>
      </c>
      <c r="AH132" s="15">
        <f t="shared" si="88"/>
        <v>-3.6717483503329982</v>
      </c>
      <c r="AI132" s="15">
        <f t="shared" si="89"/>
        <v>-1.7847703619457561E-2</v>
      </c>
      <c r="AJ132" s="31">
        <f t="shared" ref="AJ132:AJ195" si="101">AD132+AF132+AH132</f>
        <v>14.863193973235894</v>
      </c>
      <c r="AK132" s="31">
        <f t="shared" ref="AK132:AK195" si="102">AE132+AG132+AI132</f>
        <v>0.44439362562947404</v>
      </c>
      <c r="AL132" s="15">
        <f t="shared" si="90"/>
        <v>0</v>
      </c>
      <c r="AM132" s="15">
        <f t="shared" si="91"/>
        <v>0</v>
      </c>
      <c r="AN132" s="15">
        <f t="shared" si="92"/>
        <v>0</v>
      </c>
      <c r="AO132" s="15">
        <f t="shared" si="93"/>
        <v>0</v>
      </c>
      <c r="AP132" s="31">
        <f t="shared" ref="AP132:AP195" si="103">AL132+AN132</f>
        <v>0</v>
      </c>
      <c r="AQ132" s="31">
        <f t="shared" ref="AQ132:AQ195" si="104">AM132+AO132</f>
        <v>0</v>
      </c>
    </row>
    <row r="133" spans="8:43" x14ac:dyDescent="0.25">
      <c r="H133" s="15">
        <v>2.2999999999999998</v>
      </c>
      <c r="I133" s="45">
        <f t="shared" si="94"/>
        <v>1995.2623149688802</v>
      </c>
      <c r="J133" s="32">
        <f t="shared" si="95"/>
        <v>102.10499338462317</v>
      </c>
      <c r="K133" s="32">
        <f t="shared" si="96"/>
        <v>15.477867185880843</v>
      </c>
      <c r="L133" s="15">
        <f t="shared" si="70"/>
        <v>3.8729613733905581</v>
      </c>
      <c r="M133" s="15">
        <f t="shared" si="71"/>
        <v>-0.46887617708053364</v>
      </c>
      <c r="N133" s="15">
        <f t="shared" si="72"/>
        <v>2.908440802585483E-4</v>
      </c>
      <c r="O133" s="15">
        <f t="shared" si="73"/>
        <v>-74.577117266308008</v>
      </c>
      <c r="P133" s="15">
        <f t="shared" si="74"/>
        <v>-11.504289615232073</v>
      </c>
      <c r="Q133" s="15">
        <f t="shared" si="75"/>
        <v>-7.4833169156773849E-2</v>
      </c>
      <c r="R133" s="15">
        <f t="shared" si="76"/>
        <v>-7.4084515590247745E-6</v>
      </c>
      <c r="S133" s="31">
        <f t="shared" si="97"/>
        <v>-75.120826612545315</v>
      </c>
      <c r="T133" s="31">
        <f t="shared" si="98"/>
        <v>0.25685713266158838</v>
      </c>
      <c r="U133" s="15">
        <f t="shared" si="77"/>
        <v>6500</v>
      </c>
      <c r="V133" s="15">
        <f t="shared" si="78"/>
        <v>-89.98615066834131</v>
      </c>
      <c r="W133" s="15">
        <f t="shared" si="79"/>
        <v>-72.333876418464584</v>
      </c>
      <c r="X133" s="15">
        <f t="shared" si="80"/>
        <v>73.306205369252893</v>
      </c>
      <c r="Y133" s="15">
        <f t="shared" si="81"/>
        <v>10.834594179391836</v>
      </c>
      <c r="Z133" s="15">
        <f t="shared" si="82"/>
        <v>-1.2734699472834405</v>
      </c>
      <c r="AA133" s="15">
        <f t="shared" si="83"/>
        <v>-2.1456170321656805E-3</v>
      </c>
      <c r="AB133" s="31">
        <f t="shared" si="99"/>
        <v>-17.953415246371858</v>
      </c>
      <c r="AC133" s="31">
        <f t="shared" si="100"/>
        <v>14.756839276752199</v>
      </c>
      <c r="AD133" s="15">
        <f t="shared" si="84"/>
        <v>18.928186612605877</v>
      </c>
      <c r="AE133" s="15">
        <f t="shared" si="85"/>
        <v>0.48285772295049845</v>
      </c>
      <c r="AF133" s="15">
        <f t="shared" si="86"/>
        <v>8.0808123220444793E-3</v>
      </c>
      <c r="AG133" s="15">
        <f t="shared" si="87"/>
        <v>8.638713871192062E-8</v>
      </c>
      <c r="AH133" s="15">
        <f t="shared" si="88"/>
        <v>-3.7570321813875727</v>
      </c>
      <c r="AI133" s="15">
        <f t="shared" si="89"/>
        <v>-1.8687032870582671E-2</v>
      </c>
      <c r="AJ133" s="31">
        <f t="shared" si="101"/>
        <v>15.179235243540351</v>
      </c>
      <c r="AK133" s="31">
        <f t="shared" si="102"/>
        <v>0.46417077646705451</v>
      </c>
      <c r="AL133" s="15">
        <f t="shared" si="90"/>
        <v>0</v>
      </c>
      <c r="AM133" s="15">
        <f t="shared" si="91"/>
        <v>0</v>
      </c>
      <c r="AN133" s="15">
        <f t="shared" si="92"/>
        <v>0</v>
      </c>
      <c r="AO133" s="15">
        <f t="shared" si="93"/>
        <v>0</v>
      </c>
      <c r="AP133" s="31">
        <f t="shared" si="103"/>
        <v>0</v>
      </c>
      <c r="AQ133" s="31">
        <f t="shared" si="104"/>
        <v>0</v>
      </c>
    </row>
    <row r="134" spans="8:43" x14ac:dyDescent="0.25">
      <c r="H134" s="15">
        <v>2.31</v>
      </c>
      <c r="I134" s="45">
        <f t="shared" si="94"/>
        <v>2041.7379446695315</v>
      </c>
      <c r="J134" s="32">
        <f t="shared" si="95"/>
        <v>102.4084321953228</v>
      </c>
      <c r="K134" s="32">
        <f t="shared" si="96"/>
        <v>15.296071617741982</v>
      </c>
      <c r="L134" s="15">
        <f t="shared" si="70"/>
        <v>3.8729613733905581</v>
      </c>
      <c r="M134" s="15">
        <f t="shared" si="71"/>
        <v>-0.47979720149335198</v>
      </c>
      <c r="N134" s="15">
        <f t="shared" si="72"/>
        <v>3.0455065887383754E-4</v>
      </c>
      <c r="O134" s="15">
        <f t="shared" si="73"/>
        <v>-74.912005908400303</v>
      </c>
      <c r="P134" s="15">
        <f t="shared" si="74"/>
        <v>-11.690443385358694</v>
      </c>
      <c r="Q134" s="15">
        <f t="shared" si="75"/>
        <v>-7.6576255536181026E-2</v>
      </c>
      <c r="R134" s="15">
        <f t="shared" si="76"/>
        <v>-7.7576008139710881E-6</v>
      </c>
      <c r="S134" s="31">
        <f t="shared" si="97"/>
        <v>-75.46837936542984</v>
      </c>
      <c r="T134" s="31">
        <f t="shared" si="98"/>
        <v>7.0716719964327476E-2</v>
      </c>
      <c r="U134" s="15">
        <f t="shared" si="77"/>
        <v>6500</v>
      </c>
      <c r="V134" s="15">
        <f t="shared" si="78"/>
        <v>-89.986465917605898</v>
      </c>
      <c r="W134" s="15">
        <f t="shared" si="79"/>
        <v>-72.533876407044204</v>
      </c>
      <c r="X134" s="15">
        <f t="shared" si="80"/>
        <v>73.665729588078406</v>
      </c>
      <c r="Y134" s="15">
        <f t="shared" si="81"/>
        <v>11.018435098426419</v>
      </c>
      <c r="Z134" s="15">
        <f t="shared" si="82"/>
        <v>-1.3031227609910205</v>
      </c>
      <c r="AA134" s="15">
        <f t="shared" si="83"/>
        <v>-2.2467106961056387E-3</v>
      </c>
      <c r="AB134" s="31">
        <f t="shared" si="99"/>
        <v>-17.623859090518511</v>
      </c>
      <c r="AC134" s="31">
        <f t="shared" si="100"/>
        <v>14.740579113543223</v>
      </c>
      <c r="AD134" s="15">
        <f t="shared" si="84"/>
        <v>19.336686882131378</v>
      </c>
      <c r="AE134" s="15">
        <f t="shared" si="85"/>
        <v>0.50434143844295143</v>
      </c>
      <c r="AF134" s="15">
        <f t="shared" si="86"/>
        <v>8.2690386185001498E-3</v>
      </c>
      <c r="AG134" s="15">
        <f t="shared" si="87"/>
        <v>9.045843858748072E-8</v>
      </c>
      <c r="AH134" s="15">
        <f t="shared" si="88"/>
        <v>-3.8442852694787213</v>
      </c>
      <c r="AI134" s="15">
        <f t="shared" si="89"/>
        <v>-1.9565744666958949E-2</v>
      </c>
      <c r="AJ134" s="31">
        <f t="shared" si="101"/>
        <v>15.500670651271157</v>
      </c>
      <c r="AK134" s="31">
        <f t="shared" si="102"/>
        <v>0.48477578423443113</v>
      </c>
      <c r="AL134" s="15">
        <f t="shared" si="90"/>
        <v>0</v>
      </c>
      <c r="AM134" s="15">
        <f t="shared" si="91"/>
        <v>0</v>
      </c>
      <c r="AN134" s="15">
        <f t="shared" si="92"/>
        <v>0</v>
      </c>
      <c r="AO134" s="15">
        <f t="shared" si="93"/>
        <v>0</v>
      </c>
      <c r="AP134" s="31">
        <f t="shared" si="103"/>
        <v>0</v>
      </c>
      <c r="AQ134" s="31">
        <f t="shared" si="104"/>
        <v>0</v>
      </c>
    </row>
    <row r="135" spans="8:43" x14ac:dyDescent="0.25">
      <c r="H135" s="15">
        <v>2.3199999999999998</v>
      </c>
      <c r="I135" s="45">
        <f t="shared" si="94"/>
        <v>2089.2961308540398</v>
      </c>
      <c r="J135" s="32">
        <f t="shared" si="95"/>
        <v>102.71599186282369</v>
      </c>
      <c r="K135" s="32">
        <f t="shared" si="96"/>
        <v>15.115218965616199</v>
      </c>
      <c r="L135" s="15">
        <f t="shared" si="70"/>
        <v>3.8729613733905581</v>
      </c>
      <c r="M135" s="15">
        <f t="shared" si="71"/>
        <v>-0.49097257314548781</v>
      </c>
      <c r="N135" s="15">
        <f t="shared" si="72"/>
        <v>3.1890316227489398E-4</v>
      </c>
      <c r="O135" s="15">
        <f t="shared" si="73"/>
        <v>-75.240294546791375</v>
      </c>
      <c r="P135" s="15">
        <f t="shared" si="74"/>
        <v>-11.877179001444933</v>
      </c>
      <c r="Q135" s="15">
        <f t="shared" si="75"/>
        <v>-7.835994346640332E-2</v>
      </c>
      <c r="R135" s="15">
        <f t="shared" si="76"/>
        <v>-8.1232049338101849E-6</v>
      </c>
      <c r="S135" s="31">
        <f t="shared" si="97"/>
        <v>-75.809627063403269</v>
      </c>
      <c r="T135" s="31">
        <f t="shared" si="98"/>
        <v>-0.11600490922262828</v>
      </c>
      <c r="U135" s="15">
        <f t="shared" si="77"/>
        <v>6500</v>
      </c>
      <c r="V135" s="15">
        <f t="shared" si="78"/>
        <v>-89.986773990921932</v>
      </c>
      <c r="W135" s="15">
        <f t="shared" si="79"/>
        <v>-72.733876396137816</v>
      </c>
      <c r="X135" s="15">
        <f t="shared" si="80"/>
        <v>74.018352399421161</v>
      </c>
      <c r="Y135" s="15">
        <f t="shared" si="81"/>
        <v>11.202946966544527</v>
      </c>
      <c r="Z135" s="15">
        <f t="shared" si="82"/>
        <v>-1.3334655545699563</v>
      </c>
      <c r="AA135" s="15">
        <f t="shared" si="83"/>
        <v>-2.3525662355116965E-3</v>
      </c>
      <c r="AB135" s="31">
        <f t="shared" si="99"/>
        <v>-17.301887146070726</v>
      </c>
      <c r="AC135" s="31">
        <f t="shared" si="100"/>
        <v>14.724985137028312</v>
      </c>
      <c r="AD135" s="15">
        <f t="shared" si="84"/>
        <v>19.752596680689269</v>
      </c>
      <c r="AE135" s="15">
        <f t="shared" si="85"/>
        <v>0.52672432144663106</v>
      </c>
      <c r="AF135" s="15">
        <f t="shared" si="86"/>
        <v>8.4616492684413801E-3</v>
      </c>
      <c r="AG135" s="15">
        <f t="shared" si="87"/>
        <v>9.4721614552372111E-8</v>
      </c>
      <c r="AH135" s="15">
        <f t="shared" si="88"/>
        <v>-3.9335522576600295</v>
      </c>
      <c r="AI135" s="15">
        <f t="shared" si="89"/>
        <v>-2.0485678357730921E-2</v>
      </c>
      <c r="AJ135" s="31">
        <f t="shared" si="101"/>
        <v>15.82750607229768</v>
      </c>
      <c r="AK135" s="31">
        <f t="shared" si="102"/>
        <v>0.50623873781051465</v>
      </c>
      <c r="AL135" s="15">
        <f t="shared" si="90"/>
        <v>0</v>
      </c>
      <c r="AM135" s="15">
        <f t="shared" si="91"/>
        <v>0</v>
      </c>
      <c r="AN135" s="15">
        <f t="shared" si="92"/>
        <v>0</v>
      </c>
      <c r="AO135" s="15">
        <f t="shared" si="93"/>
        <v>0</v>
      </c>
      <c r="AP135" s="31">
        <f t="shared" si="103"/>
        <v>0</v>
      </c>
      <c r="AQ135" s="31">
        <f t="shared" si="104"/>
        <v>0</v>
      </c>
    </row>
    <row r="136" spans="8:43" x14ac:dyDescent="0.25">
      <c r="H136" s="15">
        <v>2.33</v>
      </c>
      <c r="I136" s="45">
        <f t="shared" si="94"/>
        <v>2137.962089502234</v>
      </c>
      <c r="J136" s="32">
        <f t="shared" si="95"/>
        <v>103.02764125122241</v>
      </c>
      <c r="K136" s="32">
        <f t="shared" si="96"/>
        <v>14.935337000277972</v>
      </c>
      <c r="L136" s="15">
        <f t="shared" si="70"/>
        <v>3.8729613733905581</v>
      </c>
      <c r="M136" s="15">
        <f t="shared" si="71"/>
        <v>-0.50240821396377555</v>
      </c>
      <c r="N136" s="15">
        <f t="shared" si="72"/>
        <v>3.3393202748326745E-4</v>
      </c>
      <c r="O136" s="15">
        <f t="shared" si="73"/>
        <v>-75.562070988246319</v>
      </c>
      <c r="P136" s="15">
        <f t="shared" si="74"/>
        <v>-12.064473682189361</v>
      </c>
      <c r="Q136" s="15">
        <f t="shared" si="75"/>
        <v>-8.0185178668554208E-2</v>
      </c>
      <c r="R136" s="15">
        <f t="shared" si="76"/>
        <v>-8.5060394124241837E-6</v>
      </c>
      <c r="S136" s="31">
        <f t="shared" si="97"/>
        <v>-76.144664380878652</v>
      </c>
      <c r="T136" s="31">
        <f t="shared" si="98"/>
        <v>-0.30328494393632616</v>
      </c>
      <c r="U136" s="15">
        <f t="shared" si="77"/>
        <v>6500</v>
      </c>
      <c r="V136" s="15">
        <f t="shared" si="78"/>
        <v>-89.98707505163388</v>
      </c>
      <c r="W136" s="15">
        <f t="shared" si="79"/>
        <v>-72.9338763857223</v>
      </c>
      <c r="X136" s="15">
        <f t="shared" si="80"/>
        <v>74.364153877082032</v>
      </c>
      <c r="Y136" s="15">
        <f t="shared" si="81"/>
        <v>11.388104174493471</v>
      </c>
      <c r="Z136" s="15">
        <f t="shared" si="82"/>
        <v>-1.364514348053302</v>
      </c>
      <c r="AA136" s="15">
        <f t="shared" si="83"/>
        <v>-2.4634078274611594E-3</v>
      </c>
      <c r="AB136" s="31">
        <f t="shared" si="99"/>
        <v>-16.98743552260515</v>
      </c>
      <c r="AC136" s="31">
        <f t="shared" si="100"/>
        <v>14.710031513800823</v>
      </c>
      <c r="AD136" s="15">
        <f t="shared" si="84"/>
        <v>20.175961150330913</v>
      </c>
      <c r="AE136" s="15">
        <f t="shared" si="85"/>
        <v>0.55003908960653325</v>
      </c>
      <c r="AF136" s="15">
        <f t="shared" si="86"/>
        <v>8.6587463965668784E-3</v>
      </c>
      <c r="AG136" s="15">
        <f t="shared" si="87"/>
        <v>9.9185706211880558E-8</v>
      </c>
      <c r="AH136" s="15">
        <f t="shared" si="88"/>
        <v>-4.0248787420212615</v>
      </c>
      <c r="AI136" s="15">
        <f t="shared" si="89"/>
        <v>-2.144875837876405E-2</v>
      </c>
      <c r="AJ136" s="31">
        <f t="shared" si="101"/>
        <v>16.159741154706218</v>
      </c>
      <c r="AK136" s="31">
        <f t="shared" si="102"/>
        <v>0.52859043041347542</v>
      </c>
      <c r="AL136" s="15">
        <f t="shared" si="90"/>
        <v>0</v>
      </c>
      <c r="AM136" s="15">
        <f t="shared" si="91"/>
        <v>0</v>
      </c>
      <c r="AN136" s="15">
        <f t="shared" si="92"/>
        <v>0</v>
      </c>
      <c r="AO136" s="15">
        <f t="shared" si="93"/>
        <v>0</v>
      </c>
      <c r="AP136" s="31">
        <f t="shared" si="103"/>
        <v>0</v>
      </c>
      <c r="AQ136" s="31">
        <f t="shared" si="104"/>
        <v>0</v>
      </c>
    </row>
    <row r="137" spans="8:43" x14ac:dyDescent="0.25">
      <c r="H137" s="15">
        <v>2.34</v>
      </c>
      <c r="I137" s="45">
        <f t="shared" si="94"/>
        <v>2187.7616239495524</v>
      </c>
      <c r="J137" s="32">
        <f t="shared" si="95"/>
        <v>103.34334297424579</v>
      </c>
      <c r="K137" s="32">
        <f t="shared" si="96"/>
        <v>14.756454209766192</v>
      </c>
      <c r="L137" s="15">
        <f t="shared" si="70"/>
        <v>3.8729613733905581</v>
      </c>
      <c r="M137" s="15">
        <f t="shared" si="71"/>
        <v>-0.51411018362984851</v>
      </c>
      <c r="N137" s="15">
        <f t="shared" si="72"/>
        <v>3.4966912554740471E-4</v>
      </c>
      <c r="O137" s="15">
        <f t="shared" si="73"/>
        <v>-75.877424618144104</v>
      </c>
      <c r="P137" s="15">
        <f t="shared" si="74"/>
        <v>-12.252305399928712</v>
      </c>
      <c r="Q137" s="15">
        <f t="shared" si="75"/>
        <v>-8.205292889167054E-2</v>
      </c>
      <c r="R137" s="15">
        <f t="shared" si="76"/>
        <v>-8.9069162895038011E-6</v>
      </c>
      <c r="S137" s="31">
        <f t="shared" si="97"/>
        <v>-76.473587730665628</v>
      </c>
      <c r="T137" s="31">
        <f t="shared" si="98"/>
        <v>-0.49110132545449103</v>
      </c>
      <c r="U137" s="15">
        <f t="shared" si="77"/>
        <v>6500</v>
      </c>
      <c r="V137" s="15">
        <f t="shared" si="78"/>
        <v>-89.987369259368052</v>
      </c>
      <c r="W137" s="15">
        <f t="shared" si="79"/>
        <v>-73.133876375775557</v>
      </c>
      <c r="X137" s="15">
        <f t="shared" si="80"/>
        <v>74.703216561448883</v>
      </c>
      <c r="Y137" s="15">
        <f t="shared" si="81"/>
        <v>11.57388190599487</v>
      </c>
      <c r="Z137" s="15">
        <f t="shared" si="82"/>
        <v>-1.3962855309383306</v>
      </c>
      <c r="AA137" s="15">
        <f t="shared" si="83"/>
        <v>-2.5794701907343094E-3</v>
      </c>
      <c r="AB137" s="31">
        <f t="shared" si="99"/>
        <v>-16.680438228857501</v>
      </c>
      <c r="AC137" s="31">
        <f t="shared" si="100"/>
        <v>14.695693192885692</v>
      </c>
      <c r="AD137" s="15">
        <f t="shared" si="84"/>
        <v>20.606819787049513</v>
      </c>
      <c r="AE137" s="15">
        <f t="shared" si="85"/>
        <v>0.57431923658484874</v>
      </c>
      <c r="AF137" s="15">
        <f t="shared" si="86"/>
        <v>8.860434506364168E-3</v>
      </c>
      <c r="AG137" s="15">
        <f t="shared" si="87"/>
        <v>1.0386018326130459E-7</v>
      </c>
      <c r="AH137" s="15">
        <f t="shared" si="88"/>
        <v>-4.1183112877869643</v>
      </c>
      <c r="AI137" s="15">
        <f t="shared" si="89"/>
        <v>-2.2456998110041943E-2</v>
      </c>
      <c r="AJ137" s="31">
        <f t="shared" si="101"/>
        <v>16.497368933768911</v>
      </c>
      <c r="AK137" s="31">
        <f t="shared" si="102"/>
        <v>0.55186234233498999</v>
      </c>
      <c r="AL137" s="15">
        <f t="shared" si="90"/>
        <v>0</v>
      </c>
      <c r="AM137" s="15">
        <f t="shared" si="91"/>
        <v>0</v>
      </c>
      <c r="AN137" s="15">
        <f t="shared" si="92"/>
        <v>0</v>
      </c>
      <c r="AO137" s="15">
        <f t="shared" si="93"/>
        <v>0</v>
      </c>
      <c r="AP137" s="31">
        <f t="shared" si="103"/>
        <v>0</v>
      </c>
      <c r="AQ137" s="31">
        <f t="shared" si="104"/>
        <v>0</v>
      </c>
    </row>
    <row r="138" spans="8:43" x14ac:dyDescent="0.25">
      <c r="H138" s="15">
        <v>2.35</v>
      </c>
      <c r="I138" s="45">
        <f t="shared" si="94"/>
        <v>2238.7211385683413</v>
      </c>
      <c r="J138" s="32">
        <f t="shared" si="95"/>
        <v>103.66305294682945</v>
      </c>
      <c r="K138" s="32">
        <f t="shared" si="96"/>
        <v>14.578599782274472</v>
      </c>
      <c r="L138" s="15">
        <f t="shared" si="70"/>
        <v>3.8729613733905581</v>
      </c>
      <c r="M138" s="15">
        <f t="shared" si="71"/>
        <v>-0.526084682775672</v>
      </c>
      <c r="N138" s="15">
        <f t="shared" si="72"/>
        <v>3.6614782907238999E-4</v>
      </c>
      <c r="O138" s="15">
        <f t="shared" si="73"/>
        <v>-76.186446183343051</v>
      </c>
      <c r="P138" s="15">
        <f t="shared" si="74"/>
        <v>-12.440652867297825</v>
      </c>
      <c r="Q138" s="15">
        <f t="shared" si="75"/>
        <v>-8.3964184425756191E-2</v>
      </c>
      <c r="R138" s="15">
        <f t="shared" si="76"/>
        <v>-9.3266858708821414E-6</v>
      </c>
      <c r="S138" s="31">
        <f t="shared" si="97"/>
        <v>-76.796495050544479</v>
      </c>
      <c r="T138" s="31">
        <f t="shared" si="98"/>
        <v>-0.67943273388965963</v>
      </c>
      <c r="U138" s="15">
        <f t="shared" si="77"/>
        <v>6500</v>
      </c>
      <c r="V138" s="15">
        <f t="shared" si="78"/>
        <v>-89.987656770117226</v>
      </c>
      <c r="W138" s="15">
        <f t="shared" si="79"/>
        <v>-73.333876366276499</v>
      </c>
      <c r="X138" s="15">
        <f t="shared" si="80"/>
        <v>75.035625198625297</v>
      </c>
      <c r="Y138" s="15">
        <f t="shared" si="81"/>
        <v>11.760256128537733</v>
      </c>
      <c r="Z138" s="15">
        <f t="shared" si="82"/>
        <v>-1.4287958705291146</v>
      </c>
      <c r="AA138" s="15">
        <f t="shared" si="83"/>
        <v>-2.700999080358011E-3</v>
      </c>
      <c r="AB138" s="31">
        <f t="shared" si="99"/>
        <v>-16.380827442021044</v>
      </c>
      <c r="AC138" s="31">
        <f t="shared" si="100"/>
        <v>14.681945896037989</v>
      </c>
      <c r="AD138" s="15">
        <f t="shared" si="84"/>
        <v>21.045206064226598</v>
      </c>
      <c r="AE138" s="15">
        <f t="shared" si="85"/>
        <v>0.59959901527157644</v>
      </c>
      <c r="AF138" s="15">
        <f t="shared" si="86"/>
        <v>9.0668205355187454E-3</v>
      </c>
      <c r="AG138" s="15">
        <f t="shared" si="87"/>
        <v>1.0875496477250133E-7</v>
      </c>
      <c r="AH138" s="15">
        <f t="shared" si="88"/>
        <v>-4.2138974453671354</v>
      </c>
      <c r="AI138" s="15">
        <f t="shared" si="89"/>
        <v>-2.3512503900399453E-2</v>
      </c>
      <c r="AJ138" s="31">
        <f t="shared" si="101"/>
        <v>16.840375439394982</v>
      </c>
      <c r="AK138" s="31">
        <f t="shared" si="102"/>
        <v>0.57608662012614176</v>
      </c>
      <c r="AL138" s="15">
        <f t="shared" si="90"/>
        <v>0</v>
      </c>
      <c r="AM138" s="15">
        <f t="shared" si="91"/>
        <v>0</v>
      </c>
      <c r="AN138" s="15">
        <f t="shared" si="92"/>
        <v>0</v>
      </c>
      <c r="AO138" s="15">
        <f t="shared" si="93"/>
        <v>0</v>
      </c>
      <c r="AP138" s="31">
        <f t="shared" si="103"/>
        <v>0</v>
      </c>
      <c r="AQ138" s="31">
        <f t="shared" si="104"/>
        <v>0</v>
      </c>
    </row>
    <row r="139" spans="8:43" x14ac:dyDescent="0.25">
      <c r="H139" s="15">
        <v>2.36</v>
      </c>
      <c r="I139" s="45">
        <f t="shared" si="94"/>
        <v>2290.8676527677744</v>
      </c>
      <c r="J139" s="32">
        <f t="shared" si="95"/>
        <v>103.98671993064805</v>
      </c>
      <c r="K139" s="32">
        <f t="shared" si="96"/>
        <v>14.401803584756712</v>
      </c>
      <c r="L139" s="15">
        <f t="shared" si="70"/>
        <v>3.8729613733905581</v>
      </c>
      <c r="M139" s="15">
        <f t="shared" si="71"/>
        <v>-0.5383380562525476</v>
      </c>
      <c r="N139" s="15">
        <f t="shared" si="72"/>
        <v>3.8340308295504099E-4</v>
      </c>
      <c r="O139" s="15">
        <f t="shared" si="73"/>
        <v>-76.489227586711294</v>
      </c>
      <c r="P139" s="15">
        <f t="shared" si="74"/>
        <v>-12.629495523063381</v>
      </c>
      <c r="Q139" s="15">
        <f t="shared" si="75"/>
        <v>-8.5919958626769974E-2</v>
      </c>
      <c r="R139" s="15">
        <f t="shared" si="76"/>
        <v>-9.7662385395127149E-6</v>
      </c>
      <c r="S139" s="31">
        <f t="shared" si="97"/>
        <v>-77.113485601590611</v>
      </c>
      <c r="T139" s="31">
        <f t="shared" si="98"/>
        <v>-0.8682585739540033</v>
      </c>
      <c r="U139" s="15">
        <f t="shared" si="77"/>
        <v>6500</v>
      </c>
      <c r="V139" s="15">
        <f t="shared" si="78"/>
        <v>-89.987937736323346</v>
      </c>
      <c r="W139" s="15">
        <f t="shared" si="79"/>
        <v>-73.53387635720496</v>
      </c>
      <c r="X139" s="15">
        <f t="shared" si="80"/>
        <v>75.361466491770813</v>
      </c>
      <c r="Y139" s="15">
        <f t="shared" si="81"/>
        <v>11.947203582839839</v>
      </c>
      <c r="Z139" s="15">
        <f t="shared" si="82"/>
        <v>-1.4620625204546285</v>
      </c>
      <c r="AA139" s="15">
        <f t="shared" si="83"/>
        <v>-2.8282518052675683E-3</v>
      </c>
      <c r="AB139" s="31">
        <f t="shared" si="99"/>
        <v>-16.088533765007163</v>
      </c>
      <c r="AC139" s="31">
        <f t="shared" si="100"/>
        <v>14.668766106686725</v>
      </c>
      <c r="AD139" s="15">
        <f t="shared" si="84"/>
        <v>21.491147049663137</v>
      </c>
      <c r="AE139" s="15">
        <f t="shared" si="85"/>
        <v>0.62591341740964523</v>
      </c>
      <c r="AF139" s="15">
        <f t="shared" si="86"/>
        <v>9.2780139126136512E-3</v>
      </c>
      <c r="AG139" s="15">
        <f t="shared" si="87"/>
        <v>1.1388042690850237E-7</v>
      </c>
      <c r="AH139" s="15">
        <f t="shared" si="88"/>
        <v>-4.3116857663299291</v>
      </c>
      <c r="AI139" s="15">
        <f t="shared" si="89"/>
        <v>-2.461747926608196E-2</v>
      </c>
      <c r="AJ139" s="31">
        <f t="shared" si="101"/>
        <v>17.188739297245821</v>
      </c>
      <c r="AK139" s="31">
        <f t="shared" si="102"/>
        <v>0.60129605202399017</v>
      </c>
      <c r="AL139" s="15">
        <f t="shared" si="90"/>
        <v>0</v>
      </c>
      <c r="AM139" s="15">
        <f t="shared" si="91"/>
        <v>0</v>
      </c>
      <c r="AN139" s="15">
        <f t="shared" si="92"/>
        <v>0</v>
      </c>
      <c r="AO139" s="15">
        <f t="shared" si="93"/>
        <v>0</v>
      </c>
      <c r="AP139" s="31">
        <f t="shared" si="103"/>
        <v>0</v>
      </c>
      <c r="AQ139" s="31">
        <f t="shared" si="104"/>
        <v>0</v>
      </c>
    </row>
    <row r="140" spans="8:43" x14ac:dyDescent="0.25">
      <c r="H140" s="15">
        <v>2.37</v>
      </c>
      <c r="I140" s="45">
        <f t="shared" si="94"/>
        <v>2344.2288153199233</v>
      </c>
      <c r="J140" s="32">
        <f t="shared" si="95"/>
        <v>104.31428507509511</v>
      </c>
      <c r="K140" s="32">
        <f t="shared" si="96"/>
        <v>14.226096137070479</v>
      </c>
      <c r="L140" s="15">
        <f t="shared" si="70"/>
        <v>3.8729613733905581</v>
      </c>
      <c r="M140" s="15">
        <f t="shared" si="71"/>
        <v>-0.55087679647526744</v>
      </c>
      <c r="N140" s="15">
        <f t="shared" si="72"/>
        <v>4.014714784184904E-4</v>
      </c>
      <c r="O140" s="15">
        <f t="shared" si="73"/>
        <v>-76.785861693074935</v>
      </c>
      <c r="P140" s="15">
        <f t="shared" si="74"/>
        <v>-12.818813517251751</v>
      </c>
      <c r="Q140" s="15">
        <f t="shared" si="75"/>
        <v>-8.7921288453840007E-2</v>
      </c>
      <c r="R140" s="15">
        <f t="shared" si="76"/>
        <v>-1.0226506641662226E-5</v>
      </c>
      <c r="S140" s="31">
        <f t="shared" si="97"/>
        <v>-77.424659778004042</v>
      </c>
      <c r="T140" s="31">
        <f t="shared" si="98"/>
        <v>-1.057558960015011</v>
      </c>
      <c r="U140" s="15">
        <f t="shared" si="77"/>
        <v>6500</v>
      </c>
      <c r="V140" s="15">
        <f t="shared" si="78"/>
        <v>-89.988212306958346</v>
      </c>
      <c r="W140" s="15">
        <f t="shared" si="79"/>
        <v>-73.733876348541713</v>
      </c>
      <c r="X140" s="15">
        <f t="shared" si="80"/>
        <v>75.680828864568255</v>
      </c>
      <c r="Y140" s="15">
        <f t="shared" si="81"/>
        <v>12.134701771128258</v>
      </c>
      <c r="Z140" s="15">
        <f t="shared" si="82"/>
        <v>-1.4961030293651907</v>
      </c>
      <c r="AA140" s="15">
        <f t="shared" si="83"/>
        <v>-2.9614977700943863E-3</v>
      </c>
      <c r="AB140" s="31">
        <f t="shared" si="99"/>
        <v>-15.803486471755281</v>
      </c>
      <c r="AC140" s="31">
        <f t="shared" si="100"/>
        <v>14.656131057673564</v>
      </c>
      <c r="AD140" s="15">
        <f t="shared" si="84"/>
        <v>21.944663017503562</v>
      </c>
      <c r="AE140" s="15">
        <f t="shared" si="85"/>
        <v>0.65329814943433373</v>
      </c>
      <c r="AF140" s="15">
        <f t="shared" si="86"/>
        <v>9.4941266151499365E-3</v>
      </c>
      <c r="AG140" s="15">
        <f t="shared" si="87"/>
        <v>1.1924744728257275E-7</v>
      </c>
      <c r="AH140" s="15">
        <f t="shared" si="88"/>
        <v>-4.411725819264281</v>
      </c>
      <c r="AI140" s="15">
        <f t="shared" si="89"/>
        <v>-2.5774229269853316E-2</v>
      </c>
      <c r="AJ140" s="31">
        <f t="shared" si="101"/>
        <v>17.54243132485443</v>
      </c>
      <c r="AK140" s="31">
        <f t="shared" si="102"/>
        <v>0.62752403941192769</v>
      </c>
      <c r="AL140" s="15">
        <f t="shared" si="90"/>
        <v>0</v>
      </c>
      <c r="AM140" s="15">
        <f t="shared" si="91"/>
        <v>0</v>
      </c>
      <c r="AN140" s="15">
        <f t="shared" si="92"/>
        <v>0</v>
      </c>
      <c r="AO140" s="15">
        <f t="shared" si="93"/>
        <v>0</v>
      </c>
      <c r="AP140" s="31">
        <f t="shared" si="103"/>
        <v>0</v>
      </c>
      <c r="AQ140" s="31">
        <f t="shared" si="104"/>
        <v>0</v>
      </c>
    </row>
    <row r="141" spans="8:43" x14ac:dyDescent="0.25">
      <c r="H141" s="15">
        <v>2.38</v>
      </c>
      <c r="I141" s="45">
        <f t="shared" si="94"/>
        <v>2398.8329190194913</v>
      </c>
      <c r="J141" s="32">
        <f t="shared" si="95"/>
        <v>104.64568145535077</v>
      </c>
      <c r="K141" s="32">
        <f t="shared" si="96"/>
        <v>14.051508581486859</v>
      </c>
      <c r="L141" s="15">
        <f t="shared" si="70"/>
        <v>3.8729613733905581</v>
      </c>
      <c r="M141" s="15">
        <f t="shared" si="71"/>
        <v>-0.56370754684307067</v>
      </c>
      <c r="N141" s="15">
        <f t="shared" si="72"/>
        <v>4.2039133055605702E-4</v>
      </c>
      <c r="O141" s="15">
        <f t="shared" si="73"/>
        <v>-77.076442146304032</v>
      </c>
      <c r="P141" s="15">
        <f t="shared" si="74"/>
        <v>-13.008587695682534</v>
      </c>
      <c r="Q141" s="15">
        <f t="shared" si="75"/>
        <v>-8.996923501898571E-2</v>
      </c>
      <c r="R141" s="15">
        <f t="shared" si="76"/>
        <v>-1.0708466456032438E-5</v>
      </c>
      <c r="S141" s="31">
        <f t="shared" si="97"/>
        <v>-77.730118928166092</v>
      </c>
      <c r="T141" s="31">
        <f t="shared" si="98"/>
        <v>-1.2473147005534717</v>
      </c>
      <c r="U141" s="15">
        <f t="shared" si="77"/>
        <v>6500</v>
      </c>
      <c r="V141" s="15">
        <f t="shared" si="78"/>
        <v>-89.988480627603181</v>
      </c>
      <c r="W141" s="15">
        <f t="shared" si="79"/>
        <v>-73.933876340268384</v>
      </c>
      <c r="X141" s="15">
        <f t="shared" si="80"/>
        <v>75.993802236678732</v>
      </c>
      <c r="Y141" s="15">
        <f t="shared" si="81"/>
        <v>12.322728944380838</v>
      </c>
      <c r="Z141" s="15">
        <f t="shared" si="82"/>
        <v>-1.5309353498099258</v>
      </c>
      <c r="AA141" s="15">
        <f t="shared" si="83"/>
        <v>-3.1010190422527456E-3</v>
      </c>
      <c r="AB141" s="31">
        <f t="shared" si="99"/>
        <v>-15.525613740734375</v>
      </c>
      <c r="AC141" s="31">
        <f t="shared" si="100"/>
        <v>14.644018717927315</v>
      </c>
      <c r="AD141" s="15">
        <f t="shared" si="84"/>
        <v>22.405767056519537</v>
      </c>
      <c r="AE141" s="15">
        <f t="shared" si="85"/>
        <v>0.68178960433315705</v>
      </c>
      <c r="AF141" s="15">
        <f t="shared" si="86"/>
        <v>9.715273228918464E-3</v>
      </c>
      <c r="AG141" s="15">
        <f t="shared" si="87"/>
        <v>1.2486740495820648E-7</v>
      </c>
      <c r="AH141" s="15">
        <f t="shared" si="88"/>
        <v>-4.514068205497229</v>
      </c>
      <c r="AI141" s="15">
        <f t="shared" si="89"/>
        <v>-2.6985165087546448E-2</v>
      </c>
      <c r="AJ141" s="31">
        <f t="shared" si="101"/>
        <v>17.901414124251225</v>
      </c>
      <c r="AK141" s="31">
        <f t="shared" si="102"/>
        <v>0.65480456411301557</v>
      </c>
      <c r="AL141" s="15">
        <f t="shared" si="90"/>
        <v>0</v>
      </c>
      <c r="AM141" s="15">
        <f t="shared" si="91"/>
        <v>0</v>
      </c>
      <c r="AN141" s="15">
        <f t="shared" si="92"/>
        <v>0</v>
      </c>
      <c r="AO141" s="15">
        <f t="shared" si="93"/>
        <v>0</v>
      </c>
      <c r="AP141" s="31">
        <f t="shared" si="103"/>
        <v>0</v>
      </c>
      <c r="AQ141" s="31">
        <f t="shared" si="104"/>
        <v>0</v>
      </c>
    </row>
    <row r="142" spans="8:43" x14ac:dyDescent="0.25">
      <c r="H142" s="15">
        <v>2.39</v>
      </c>
      <c r="I142" s="45">
        <f t="shared" si="94"/>
        <v>2454.7089156850329</v>
      </c>
      <c r="J142" s="32">
        <f t="shared" si="95"/>
        <v>104.98083360932242</v>
      </c>
      <c r="K142" s="32">
        <f t="shared" si="96"/>
        <v>13.878072647403714</v>
      </c>
      <c r="L142" s="15">
        <f t="shared" si="70"/>
        <v>3.8729613733905581</v>
      </c>
      <c r="M142" s="15">
        <f t="shared" si="71"/>
        <v>-0.57683710523912801</v>
      </c>
      <c r="N142" s="15">
        <f t="shared" si="72"/>
        <v>4.4020275951317403E-4</v>
      </c>
      <c r="O142" s="15">
        <f t="shared" si="73"/>
        <v>-77.361063197231573</v>
      </c>
      <c r="P142" s="15">
        <f t="shared" si="74"/>
        <v>-13.198799584011615</v>
      </c>
      <c r="Q142" s="15">
        <f t="shared" si="75"/>
        <v>-9.206488414964023E-2</v>
      </c>
      <c r="R142" s="15">
        <f t="shared" si="76"/>
        <v>-1.1213140280526637E-5</v>
      </c>
      <c r="S142" s="31">
        <f t="shared" si="97"/>
        <v>-78.029965186620331</v>
      </c>
      <c r="T142" s="31">
        <f t="shared" si="98"/>
        <v>-1.4375072821274195</v>
      </c>
      <c r="U142" s="15">
        <f t="shared" si="77"/>
        <v>6500</v>
      </c>
      <c r="V142" s="15">
        <f t="shared" si="78"/>
        <v>-89.988742840524949</v>
      </c>
      <c r="W142" s="15">
        <f t="shared" si="79"/>
        <v>-74.133876332367407</v>
      </c>
      <c r="X142" s="15">
        <f t="shared" si="80"/>
        <v>76.300477810999126</v>
      </c>
      <c r="Y142" s="15">
        <f t="shared" si="81"/>
        <v>12.511264088662363</v>
      </c>
      <c r="Z142" s="15">
        <f t="shared" si="82"/>
        <v>-1.5665778472979563</v>
      </c>
      <c r="AA142" s="15">
        <f t="shared" si="83"/>
        <v>-3.2471109454544648E-3</v>
      </c>
      <c r="AB142" s="31">
        <f t="shared" si="99"/>
        <v>-15.25484287682378</v>
      </c>
      <c r="AC142" s="31">
        <f t="shared" si="100"/>
        <v>14.632407778206616</v>
      </c>
      <c r="AD142" s="15">
        <f t="shared" si="84"/>
        <v>22.874464676385809</v>
      </c>
      <c r="AE142" s="15">
        <f t="shared" si="85"/>
        <v>0.71142482934138218</v>
      </c>
      <c r="AF142" s="15">
        <f t="shared" si="86"/>
        <v>9.9415710087547102E-3</v>
      </c>
      <c r="AG142" s="15">
        <f t="shared" si="87"/>
        <v>1.3075222480818447E-7</v>
      </c>
      <c r="AH142" s="15">
        <f t="shared" si="88"/>
        <v>-4.6187645746280435</v>
      </c>
      <c r="AI142" s="15">
        <f t="shared" si="89"/>
        <v>-2.825280876908837E-2</v>
      </c>
      <c r="AJ142" s="31">
        <f t="shared" si="101"/>
        <v>18.26564167276652</v>
      </c>
      <c r="AK142" s="31">
        <f t="shared" si="102"/>
        <v>0.68317215132451858</v>
      </c>
      <c r="AL142" s="15">
        <f t="shared" si="90"/>
        <v>0</v>
      </c>
      <c r="AM142" s="15">
        <f t="shared" si="91"/>
        <v>0</v>
      </c>
      <c r="AN142" s="15">
        <f t="shared" si="92"/>
        <v>0</v>
      </c>
      <c r="AO142" s="15">
        <f t="shared" si="93"/>
        <v>0</v>
      </c>
      <c r="AP142" s="31">
        <f t="shared" si="103"/>
        <v>0</v>
      </c>
      <c r="AQ142" s="31">
        <f t="shared" si="104"/>
        <v>0</v>
      </c>
    </row>
    <row r="143" spans="8:43" x14ac:dyDescent="0.25">
      <c r="H143" s="15">
        <v>2.4</v>
      </c>
      <c r="I143" s="45">
        <f t="shared" si="94"/>
        <v>2511.8864315095807</v>
      </c>
      <c r="J143" s="32">
        <f t="shared" si="95"/>
        <v>105.31965707539369</v>
      </c>
      <c r="K143" s="32">
        <f t="shared" si="96"/>
        <v>13.705820611110047</v>
      </c>
      <c r="L143" s="15">
        <f t="shared" si="70"/>
        <v>3.8729613733905581</v>
      </c>
      <c r="M143" s="15">
        <f t="shared" si="71"/>
        <v>-0.5902724276102933</v>
      </c>
      <c r="N143" s="15">
        <f t="shared" si="72"/>
        <v>4.609477754881693E-4</v>
      </c>
      <c r="O143" s="15">
        <f t="shared" si="73"/>
        <v>-77.639819542079223</v>
      </c>
      <c r="P143" s="15">
        <f t="shared" si="74"/>
        <v>-13.389431371379663</v>
      </c>
      <c r="Q143" s="15">
        <f t="shared" si="75"/>
        <v>-9.4209346964270219E-2</v>
      </c>
      <c r="R143" s="15">
        <f t="shared" si="76"/>
        <v>-1.1741598586515334E-5</v>
      </c>
      <c r="S143" s="31">
        <f t="shared" si="97"/>
        <v>-78.324301316653788</v>
      </c>
      <c r="T143" s="31">
        <f t="shared" si="98"/>
        <v>-1.6281188529377981</v>
      </c>
      <c r="U143" s="15">
        <f t="shared" si="77"/>
        <v>6500</v>
      </c>
      <c r="V143" s="15">
        <f t="shared" si="78"/>
        <v>-89.988999084752365</v>
      </c>
      <c r="W143" s="15">
        <f t="shared" si="79"/>
        <v>-74.333876324822029</v>
      </c>
      <c r="X143" s="15">
        <f t="shared" si="80"/>
        <v>76.600947872496192</v>
      </c>
      <c r="Y143" s="15">
        <f t="shared" si="81"/>
        <v>12.700286910680534</v>
      </c>
      <c r="Z143" s="15">
        <f t="shared" si="82"/>
        <v>-1.6030493095459546</v>
      </c>
      <c r="AA143" s="15">
        <f t="shared" si="83"/>
        <v>-3.4000826808781447E-3</v>
      </c>
      <c r="AB143" s="31">
        <f t="shared" si="99"/>
        <v>-14.991100521802128</v>
      </c>
      <c r="AC143" s="31">
        <f t="shared" si="100"/>
        <v>14.621277636034741</v>
      </c>
      <c r="AD143" s="15">
        <f t="shared" si="84"/>
        <v>23.350753413746947</v>
      </c>
      <c r="AE143" s="15">
        <f t="shared" si="85"/>
        <v>0.74224148929997902</v>
      </c>
      <c r="AF143" s="15">
        <f t="shared" si="86"/>
        <v>1.0173139940708672E-2</v>
      </c>
      <c r="AG143" s="15">
        <f t="shared" si="87"/>
        <v>1.3691438715784377E-7</v>
      </c>
      <c r="AH143" s="15">
        <f t="shared" si="88"/>
        <v>-4.725867639838051</v>
      </c>
      <c r="AI143" s="15">
        <f t="shared" si="89"/>
        <v>-2.9579798201261612E-2</v>
      </c>
      <c r="AJ143" s="31">
        <f t="shared" si="101"/>
        <v>18.635058913849605</v>
      </c>
      <c r="AK143" s="31">
        <f t="shared" si="102"/>
        <v>0.71266182801310451</v>
      </c>
      <c r="AL143" s="15">
        <f t="shared" si="90"/>
        <v>0</v>
      </c>
      <c r="AM143" s="15">
        <f t="shared" si="91"/>
        <v>0</v>
      </c>
      <c r="AN143" s="15">
        <f t="shared" si="92"/>
        <v>0</v>
      </c>
      <c r="AO143" s="15">
        <f t="shared" si="93"/>
        <v>0</v>
      </c>
      <c r="AP143" s="31">
        <f t="shared" si="103"/>
        <v>0</v>
      </c>
      <c r="AQ143" s="31">
        <f t="shared" si="104"/>
        <v>0</v>
      </c>
    </row>
    <row r="144" spans="8:43" x14ac:dyDescent="0.25">
      <c r="H144" s="15">
        <v>2.41</v>
      </c>
      <c r="I144" s="45">
        <f t="shared" si="94"/>
        <v>2570.3957827688664</v>
      </c>
      <c r="J144" s="32">
        <f t="shared" si="95"/>
        <v>105.66205793307179</v>
      </c>
      <c r="K144" s="32">
        <f t="shared" si="96"/>
        <v>13.53478525046294</v>
      </c>
      <c r="L144" s="15">
        <f t="shared" si="70"/>
        <v>3.8729613733905581</v>
      </c>
      <c r="M144" s="15">
        <f t="shared" si="71"/>
        <v>-0.60402063162891262</v>
      </c>
      <c r="N144" s="15">
        <f t="shared" si="72"/>
        <v>4.8267036773842807E-4</v>
      </c>
      <c r="O144" s="15">
        <f t="shared" si="73"/>
        <v>-77.912806171046853</v>
      </c>
      <c r="P144" s="15">
        <f t="shared" si="74"/>
        <v>-13.580465893754647</v>
      </c>
      <c r="Q144" s="15">
        <f t="shared" si="75"/>
        <v>-9.6403760461399229E-2</v>
      </c>
      <c r="R144" s="15">
        <f t="shared" si="76"/>
        <v>-1.2294962296531863E-5</v>
      </c>
      <c r="S144" s="31">
        <f t="shared" si="97"/>
        <v>-78.613230563137165</v>
      </c>
      <c r="T144" s="31">
        <f t="shared" si="98"/>
        <v>-1.819132206084243</v>
      </c>
      <c r="U144" s="15">
        <f t="shared" si="77"/>
        <v>6500</v>
      </c>
      <c r="V144" s="15">
        <f t="shared" si="78"/>
        <v>-89.989249496149483</v>
      </c>
      <c r="W144" s="15">
        <f t="shared" si="79"/>
        <v>-74.533876317616262</v>
      </c>
      <c r="X144" s="15">
        <f t="shared" si="80"/>
        <v>76.89530559835687</v>
      </c>
      <c r="Y144" s="15">
        <f t="shared" si="81"/>
        <v>12.889777822678809</v>
      </c>
      <c r="Z144" s="15">
        <f t="shared" si="82"/>
        <v>-1.6403689559146677</v>
      </c>
      <c r="AA144" s="15">
        <f t="shared" si="83"/>
        <v>-3.560257977278795E-3</v>
      </c>
      <c r="AB144" s="31">
        <f t="shared" si="99"/>
        <v>-14.73431285370728</v>
      </c>
      <c r="AC144" s="31">
        <f t="shared" si="100"/>
        <v>14.610608379942382</v>
      </c>
      <c r="AD144" s="15">
        <f t="shared" si="84"/>
        <v>23.834622440042462</v>
      </c>
      <c r="AE144" s="15">
        <f t="shared" si="85"/>
        <v>0.77427782551740365</v>
      </c>
      <c r="AF144" s="15">
        <f t="shared" si="86"/>
        <v>1.0410102805662997E-2</v>
      </c>
      <c r="AG144" s="15">
        <f t="shared" si="87"/>
        <v>1.4336696250086004E-7</v>
      </c>
      <c r="AH144" s="15">
        <f t="shared" si="88"/>
        <v>-4.8354311929318836</v>
      </c>
      <c r="AI144" s="15">
        <f t="shared" si="89"/>
        <v>-3.0968892279564817E-2</v>
      </c>
      <c r="AJ144" s="31">
        <f t="shared" si="101"/>
        <v>19.009601349916245</v>
      </c>
      <c r="AK144" s="31">
        <f t="shared" si="102"/>
        <v>0.74330907660480139</v>
      </c>
      <c r="AL144" s="15">
        <f t="shared" si="90"/>
        <v>0</v>
      </c>
      <c r="AM144" s="15">
        <f t="shared" si="91"/>
        <v>0</v>
      </c>
      <c r="AN144" s="15">
        <f t="shared" si="92"/>
        <v>0</v>
      </c>
      <c r="AO144" s="15">
        <f t="shared" si="93"/>
        <v>0</v>
      </c>
      <c r="AP144" s="31">
        <f t="shared" si="103"/>
        <v>0</v>
      </c>
      <c r="AQ144" s="31">
        <f t="shared" si="104"/>
        <v>0</v>
      </c>
    </row>
    <row r="145" spans="8:43" x14ac:dyDescent="0.25">
      <c r="H145" s="15">
        <v>2.42</v>
      </c>
      <c r="I145" s="45">
        <f t="shared" si="94"/>
        <v>2630.2679918953818</v>
      </c>
      <c r="J145" s="32">
        <f t="shared" si="95"/>
        <v>106.00793234877639</v>
      </c>
      <c r="K145" s="32">
        <f t="shared" si="96"/>
        <v>13.36499979435483</v>
      </c>
      <c r="L145" s="15">
        <f t="shared" si="70"/>
        <v>3.8729613733905581</v>
      </c>
      <c r="M145" s="15">
        <f t="shared" si="71"/>
        <v>-0.61808900043848936</v>
      </c>
      <c r="N145" s="15">
        <f t="shared" si="72"/>
        <v>5.0541659776684868E-4</v>
      </c>
      <c r="O145" s="15">
        <f t="shared" si="73"/>
        <v>-78.180118226709396</v>
      </c>
      <c r="P145" s="15">
        <f t="shared" si="74"/>
        <v>-13.771886617049294</v>
      </c>
      <c r="Q145" s="15">
        <f t="shared" si="75"/>
        <v>-9.8649288122343456E-2</v>
      </c>
      <c r="R145" s="15">
        <f t="shared" si="76"/>
        <v>-1.2874405158396268E-5</v>
      </c>
      <c r="S145" s="31">
        <f t="shared" si="97"/>
        <v>-78.89685651527023</v>
      </c>
      <c r="T145" s="31">
        <f t="shared" si="98"/>
        <v>-2.0105307625917228</v>
      </c>
      <c r="U145" s="15">
        <f t="shared" si="77"/>
        <v>6500</v>
      </c>
      <c r="V145" s="15">
        <f t="shared" si="78"/>
        <v>-89.989494207487709</v>
      </c>
      <c r="W145" s="15">
        <f t="shared" si="79"/>
        <v>-74.733876310734786</v>
      </c>
      <c r="X145" s="15">
        <f t="shared" si="80"/>
        <v>77.183644879164973</v>
      </c>
      <c r="Y145" s="15">
        <f t="shared" si="81"/>
        <v>13.079717926774579</v>
      </c>
      <c r="Z145" s="15">
        <f t="shared" si="82"/>
        <v>-1.6785564470368868</v>
      </c>
      <c r="AA145" s="15">
        <f t="shared" si="83"/>
        <v>-3.7279757713517122E-3</v>
      </c>
      <c r="AB145" s="31">
        <f t="shared" si="99"/>
        <v>-14.484405775359622</v>
      </c>
      <c r="AC145" s="31">
        <f t="shared" si="100"/>
        <v>14.600380773125556</v>
      </c>
      <c r="AD145" s="15">
        <f t="shared" si="84"/>
        <v>24.32605217322395</v>
      </c>
      <c r="AE145" s="15">
        <f t="shared" si="85"/>
        <v>0.80757260999408875</v>
      </c>
      <c r="AF145" s="15">
        <f t="shared" si="86"/>
        <v>1.0652585244432784E-2</v>
      </c>
      <c r="AG145" s="15">
        <f t="shared" si="87"/>
        <v>1.5012364042906466E-7</v>
      </c>
      <c r="AH145" s="15">
        <f t="shared" si="88"/>
        <v>-4.9475101190621462</v>
      </c>
      <c r="AI145" s="15">
        <f t="shared" si="89"/>
        <v>-3.2422976296733054E-2</v>
      </c>
      <c r="AJ145" s="31">
        <f t="shared" si="101"/>
        <v>19.389194639406234</v>
      </c>
      <c r="AK145" s="31">
        <f t="shared" si="102"/>
        <v>0.77514978382099609</v>
      </c>
      <c r="AL145" s="15">
        <f t="shared" si="90"/>
        <v>0</v>
      </c>
      <c r="AM145" s="15">
        <f t="shared" si="91"/>
        <v>0</v>
      </c>
      <c r="AN145" s="15">
        <f t="shared" si="92"/>
        <v>0</v>
      </c>
      <c r="AO145" s="15">
        <f t="shared" si="93"/>
        <v>0</v>
      </c>
      <c r="AP145" s="31">
        <f t="shared" si="103"/>
        <v>0</v>
      </c>
      <c r="AQ145" s="31">
        <f t="shared" si="104"/>
        <v>0</v>
      </c>
    </row>
    <row r="146" spans="8:43" x14ac:dyDescent="0.25">
      <c r="H146" s="15">
        <v>2.4300000000000002</v>
      </c>
      <c r="I146" s="45">
        <f t="shared" si="94"/>
        <v>2691.5348039269179</v>
      </c>
      <c r="J146" s="32">
        <f t="shared" si="95"/>
        <v>106.35716612916812</v>
      </c>
      <c r="K146" s="32">
        <f t="shared" si="96"/>
        <v>13.196497866868238</v>
      </c>
      <c r="L146" s="15">
        <f t="shared" si="70"/>
        <v>3.8729613733905581</v>
      </c>
      <c r="M146" s="15">
        <f t="shared" si="71"/>
        <v>-0.63248498648508089</v>
      </c>
      <c r="N146" s="15">
        <f t="shared" si="72"/>
        <v>5.2923469690394109E-4</v>
      </c>
      <c r="O146" s="15">
        <f t="shared" si="73"/>
        <v>-78.441850871856758</v>
      </c>
      <c r="P146" s="15">
        <f t="shared" si="74"/>
        <v>-13.963677620088184</v>
      </c>
      <c r="Q146" s="15">
        <f t="shared" si="75"/>
        <v>-0.10094712052798324</v>
      </c>
      <c r="R146" s="15">
        <f t="shared" si="76"/>
        <v>-1.3481156238910951E-5</v>
      </c>
      <c r="S146" s="31">
        <f t="shared" si="97"/>
        <v>-79.175282978869816</v>
      </c>
      <c r="T146" s="31">
        <f t="shared" si="98"/>
        <v>-2.2022985542825562</v>
      </c>
      <c r="U146" s="15">
        <f t="shared" si="77"/>
        <v>6500</v>
      </c>
      <c r="V146" s="15">
        <f t="shared" si="78"/>
        <v>-89.989733348516168</v>
      </c>
      <c r="W146" s="15">
        <f t="shared" si="79"/>
        <v>-74.93387630416305</v>
      </c>
      <c r="X146" s="15">
        <f t="shared" si="80"/>
        <v>77.466060150791421</v>
      </c>
      <c r="Y146" s="15">
        <f t="shared" si="81"/>
        <v>13.270088998843866</v>
      </c>
      <c r="Z146" s="15">
        <f t="shared" si="82"/>
        <v>-1.7176318946393903</v>
      </c>
      <c r="AA146" s="15">
        <f t="shared" si="83"/>
        <v>-3.9035909197461978E-3</v>
      </c>
      <c r="AB146" s="31">
        <f t="shared" si="99"/>
        <v>-14.241305092364138</v>
      </c>
      <c r="AC146" s="31">
        <f t="shared" si="100"/>
        <v>14.590576236618183</v>
      </c>
      <c r="AD146" s="15">
        <f t="shared" si="84"/>
        <v>24.825013895663815</v>
      </c>
      <c r="AE146" s="15">
        <f t="shared" si="85"/>
        <v>0.84216509488947855</v>
      </c>
      <c r="AF146" s="15">
        <f t="shared" si="86"/>
        <v>1.0900715824381976E-2</v>
      </c>
      <c r="AG146" s="15">
        <f t="shared" si="87"/>
        <v>1.5719874891898672E-7</v>
      </c>
      <c r="AH146" s="15">
        <f t="shared" si="88"/>
        <v>-5.062160411086122</v>
      </c>
      <c r="AI146" s="15">
        <f t="shared" si="89"/>
        <v>-3.3945067555615778E-2</v>
      </c>
      <c r="AJ146" s="31">
        <f t="shared" si="101"/>
        <v>19.773754200402074</v>
      </c>
      <c r="AK146" s="31">
        <f t="shared" si="102"/>
        <v>0.80822018453261169</v>
      </c>
      <c r="AL146" s="15">
        <f t="shared" si="90"/>
        <v>0</v>
      </c>
      <c r="AM146" s="15">
        <f t="shared" si="91"/>
        <v>0</v>
      </c>
      <c r="AN146" s="15">
        <f t="shared" si="92"/>
        <v>0</v>
      </c>
      <c r="AO146" s="15">
        <f t="shared" si="93"/>
        <v>0</v>
      </c>
      <c r="AP146" s="31">
        <f t="shared" si="103"/>
        <v>0</v>
      </c>
      <c r="AQ146" s="31">
        <f t="shared" si="104"/>
        <v>0</v>
      </c>
    </row>
    <row r="147" spans="8:43" x14ac:dyDescent="0.25">
      <c r="H147" s="15">
        <v>2.44</v>
      </c>
      <c r="I147" s="45">
        <f t="shared" si="94"/>
        <v>2754.2287033381681</v>
      </c>
      <c r="J147" s="32">
        <f t="shared" si="95"/>
        <v>106.70963428456213</v>
      </c>
      <c r="K147" s="32">
        <f t="shared" si="96"/>
        <v>13.029313426038803</v>
      </c>
      <c r="L147" s="15">
        <f t="shared" si="70"/>
        <v>3.8729613733905581</v>
      </c>
      <c r="M147" s="15">
        <f t="shared" si="71"/>
        <v>-0.64721621543628782</v>
      </c>
      <c r="N147" s="15">
        <f t="shared" si="72"/>
        <v>5.5417516846421422E-4</v>
      </c>
      <c r="O147" s="15">
        <f t="shared" si="73"/>
        <v>-78.698099166404333</v>
      </c>
      <c r="P147" s="15">
        <f t="shared" si="74"/>
        <v>-14.155823577491676</v>
      </c>
      <c r="Q147" s="15">
        <f t="shared" si="75"/>
        <v>-0.1032984759898917</v>
      </c>
      <c r="R147" s="15">
        <f t="shared" si="76"/>
        <v>-1.4116502525555695E-5</v>
      </c>
      <c r="S147" s="31">
        <f t="shared" si="97"/>
        <v>-79.448613857830509</v>
      </c>
      <c r="T147" s="31">
        <f t="shared" si="98"/>
        <v>-2.3944202065607745</v>
      </c>
      <c r="U147" s="15">
        <f t="shared" si="77"/>
        <v>6500</v>
      </c>
      <c r="V147" s="15">
        <f t="shared" si="78"/>
        <v>-89.989967046030586</v>
      </c>
      <c r="W147" s="15">
        <f t="shared" si="79"/>
        <v>-75.133876297887085</v>
      </c>
      <c r="X147" s="15">
        <f t="shared" si="80"/>
        <v>77.742646236664129</v>
      </c>
      <c r="Y147" s="15">
        <f t="shared" si="81"/>
        <v>13.460873472045238</v>
      </c>
      <c r="Z147" s="15">
        <f t="shared" si="82"/>
        <v>-1.7576158715611352</v>
      </c>
      <c r="AA147" s="15">
        <f t="shared" si="83"/>
        <v>-4.0874749441888276E-3</v>
      </c>
      <c r="AB147" s="31">
        <f t="shared" si="99"/>
        <v>-14.004936680927592</v>
      </c>
      <c r="AC147" s="31">
        <f t="shared" si="100"/>
        <v>14.581176832071078</v>
      </c>
      <c r="AD147" s="15">
        <f t="shared" si="84"/>
        <v>25.331469380711386</v>
      </c>
      <c r="AE147" s="15">
        <f t="shared" si="85"/>
        <v>0.87809495713541041</v>
      </c>
      <c r="AF147" s="15">
        <f t="shared" si="86"/>
        <v>1.1154626107591175E-2</v>
      </c>
      <c r="AG147" s="15">
        <f t="shared" si="87"/>
        <v>1.646072967622531E-7</v>
      </c>
      <c r="AH147" s="15">
        <f t="shared" si="88"/>
        <v>-5.179439183498749</v>
      </c>
      <c r="AI147" s="15">
        <f t="shared" si="89"/>
        <v>-3.5538321214209051E-2</v>
      </c>
      <c r="AJ147" s="31">
        <f t="shared" si="101"/>
        <v>20.163184823320229</v>
      </c>
      <c r="AK147" s="31">
        <f t="shared" si="102"/>
        <v>0.84255680052849813</v>
      </c>
      <c r="AL147" s="15">
        <f t="shared" si="90"/>
        <v>0</v>
      </c>
      <c r="AM147" s="15">
        <f t="shared" si="91"/>
        <v>0</v>
      </c>
      <c r="AN147" s="15">
        <f t="shared" si="92"/>
        <v>0</v>
      </c>
      <c r="AO147" s="15">
        <f t="shared" si="93"/>
        <v>0</v>
      </c>
      <c r="AP147" s="31">
        <f t="shared" si="103"/>
        <v>0</v>
      </c>
      <c r="AQ147" s="31">
        <f t="shared" si="104"/>
        <v>0</v>
      </c>
    </row>
    <row r="148" spans="8:43" x14ac:dyDescent="0.25">
      <c r="H148" s="15">
        <v>2.4500000000000002</v>
      </c>
      <c r="I148" s="45">
        <f t="shared" si="94"/>
        <v>2818.3829312644552</v>
      </c>
      <c r="J148" s="32">
        <f t="shared" si="95"/>
        <v>107.06520060511664</v>
      </c>
      <c r="K148" s="32">
        <f t="shared" si="96"/>
        <v>12.863480697172321</v>
      </c>
      <c r="L148" s="15">
        <f t="shared" si="70"/>
        <v>3.8729613733905581</v>
      </c>
      <c r="M148" s="15">
        <f t="shared" si="71"/>
        <v>-0.66229049018978448</v>
      </c>
      <c r="N148" s="15">
        <f t="shared" si="72"/>
        <v>5.8029089472871258E-4</v>
      </c>
      <c r="O148" s="15">
        <f t="shared" si="73"/>
        <v>-78.948957953000331</v>
      </c>
      <c r="P148" s="15">
        <f t="shared" si="74"/>
        <v>-14.348309742538554</v>
      </c>
      <c r="Q148" s="15">
        <f t="shared" si="75"/>
        <v>-0.10570460119615949</v>
      </c>
      <c r="R148" s="15">
        <f t="shared" si="76"/>
        <v>-1.4781791661254012E-5</v>
      </c>
      <c r="S148" s="31">
        <f t="shared" si="97"/>
        <v>-79.716953044386287</v>
      </c>
      <c r="T148" s="31">
        <f t="shared" si="98"/>
        <v>-2.5868809211705242</v>
      </c>
      <c r="U148" s="15">
        <f t="shared" si="77"/>
        <v>6500</v>
      </c>
      <c r="V148" s="15">
        <f t="shared" si="78"/>
        <v>-89.990195423940435</v>
      </c>
      <c r="W148" s="15">
        <f t="shared" si="79"/>
        <v>-75.333876291893574</v>
      </c>
      <c r="X148" s="15">
        <f t="shared" si="80"/>
        <v>78.013498200069947</v>
      </c>
      <c r="Y148" s="15">
        <f t="shared" si="81"/>
        <v>13.652054420069049</v>
      </c>
      <c r="Z148" s="15">
        <f t="shared" si="82"/>
        <v>-1.7985294219700567</v>
      </c>
      <c r="AA148" s="15">
        <f t="shared" si="83"/>
        <v>-4.2800168112223863E-3</v>
      </c>
      <c r="AB148" s="31">
        <f t="shared" si="99"/>
        <v>-13.775226645840545</v>
      </c>
      <c r="AC148" s="31">
        <f t="shared" si="100"/>
        <v>14.572165244221367</v>
      </c>
      <c r="AD148" s="15">
        <f t="shared" si="84"/>
        <v>25.845370530505235</v>
      </c>
      <c r="AE148" s="15">
        <f t="shared" si="85"/>
        <v>0.91540223812729149</v>
      </c>
      <c r="AF148" s="15">
        <f t="shared" si="86"/>
        <v>1.1414450720613535E-2</v>
      </c>
      <c r="AG148" s="15">
        <f t="shared" si="87"/>
        <v>1.7236500056674855E-7</v>
      </c>
      <c r="AH148" s="15">
        <f t="shared" si="88"/>
        <v>-5.2994046858823811</v>
      </c>
      <c r="AI148" s="15">
        <f t="shared" si="89"/>
        <v>-3.7206036370814238E-2</v>
      </c>
      <c r="AJ148" s="31">
        <f t="shared" si="101"/>
        <v>20.557380295343471</v>
      </c>
      <c r="AK148" s="31">
        <f t="shared" si="102"/>
        <v>0.87819637412147789</v>
      </c>
      <c r="AL148" s="15">
        <f t="shared" si="90"/>
        <v>0</v>
      </c>
      <c r="AM148" s="15">
        <f t="shared" si="91"/>
        <v>0</v>
      </c>
      <c r="AN148" s="15">
        <f t="shared" si="92"/>
        <v>0</v>
      </c>
      <c r="AO148" s="15">
        <f t="shared" si="93"/>
        <v>0</v>
      </c>
      <c r="AP148" s="31">
        <f t="shared" si="103"/>
        <v>0</v>
      </c>
      <c r="AQ148" s="31">
        <f t="shared" si="104"/>
        <v>0</v>
      </c>
    </row>
    <row r="149" spans="8:43" x14ac:dyDescent="0.25">
      <c r="H149" s="15">
        <v>2.46</v>
      </c>
      <c r="I149" s="45">
        <f t="shared" si="94"/>
        <v>2884.0315031266073</v>
      </c>
      <c r="J149" s="32">
        <f t="shared" si="95"/>
        <v>107.42371725261864</v>
      </c>
      <c r="K149" s="32">
        <f t="shared" si="96"/>
        <v>12.699034100692309</v>
      </c>
      <c r="L149" s="15">
        <f t="shared" si="70"/>
        <v>3.8729613733905581</v>
      </c>
      <c r="M149" s="15">
        <f t="shared" si="71"/>
        <v>-0.67771579497333045</v>
      </c>
      <c r="N149" s="15">
        <f t="shared" si="72"/>
        <v>6.0763724893413444E-4</v>
      </c>
      <c r="O149" s="15">
        <f t="shared" si="73"/>
        <v>-79.194521750953669</v>
      </c>
      <c r="P149" s="15">
        <f t="shared" si="74"/>
        <v>-14.541121930062546</v>
      </c>
      <c r="Q149" s="15">
        <f t="shared" si="75"/>
        <v>-0.10816677187225343</v>
      </c>
      <c r="R149" s="15">
        <f t="shared" si="76"/>
        <v>-1.5478434798709715E-5</v>
      </c>
      <c r="S149" s="31">
        <f t="shared" si="97"/>
        <v>-79.980404317799241</v>
      </c>
      <c r="T149" s="31">
        <f t="shared" si="98"/>
        <v>-2.7796664589834474</v>
      </c>
      <c r="U149" s="15">
        <f t="shared" si="77"/>
        <v>6500</v>
      </c>
      <c r="V149" s="15">
        <f t="shared" si="78"/>
        <v>-89.990418603334703</v>
      </c>
      <c r="W149" s="15">
        <f t="shared" si="79"/>
        <v>-75.533876286169829</v>
      </c>
      <c r="X149" s="15">
        <f t="shared" si="80"/>
        <v>78.278711206128563</v>
      </c>
      <c r="Y149" s="15">
        <f t="shared" si="81"/>
        <v>13.843615540190285</v>
      </c>
      <c r="Z149" s="15">
        <f t="shared" si="82"/>
        <v>-1.8403940717805645</v>
      </c>
      <c r="AA149" s="15">
        <f t="shared" si="83"/>
        <v>-4.4816237481473883E-3</v>
      </c>
      <c r="AB149" s="31">
        <f t="shared" si="99"/>
        <v>-13.552101468986706</v>
      </c>
      <c r="AC149" s="31">
        <f t="shared" si="100"/>
        <v>14.563524763129424</v>
      </c>
      <c r="AD149" s="15">
        <f t="shared" si="84"/>
        <v>26.366659027787701</v>
      </c>
      <c r="AE149" s="15">
        <f t="shared" si="85"/>
        <v>0.9541272784553696</v>
      </c>
      <c r="AF149" s="15">
        <f t="shared" si="86"/>
        <v>1.1680327425855298E-2</v>
      </c>
      <c r="AG149" s="15">
        <f t="shared" si="87"/>
        <v>1.8048831175777519E-7</v>
      </c>
      <c r="AH149" s="15">
        <f t="shared" si="88"/>
        <v>-5.4221163158089665</v>
      </c>
      <c r="AI149" s="15">
        <f t="shared" si="89"/>
        <v>-3.8951662397348638E-2</v>
      </c>
      <c r="AJ149" s="31">
        <f t="shared" si="101"/>
        <v>20.956223039404588</v>
      </c>
      <c r="AK149" s="31">
        <f t="shared" si="102"/>
        <v>0.91517579654633274</v>
      </c>
      <c r="AL149" s="15">
        <f t="shared" si="90"/>
        <v>0</v>
      </c>
      <c r="AM149" s="15">
        <f t="shared" si="91"/>
        <v>0</v>
      </c>
      <c r="AN149" s="15">
        <f t="shared" si="92"/>
        <v>0</v>
      </c>
      <c r="AO149" s="15">
        <f t="shared" si="93"/>
        <v>0</v>
      </c>
      <c r="AP149" s="31">
        <f t="shared" si="103"/>
        <v>0</v>
      </c>
      <c r="AQ149" s="31">
        <f t="shared" si="104"/>
        <v>0</v>
      </c>
    </row>
    <row r="150" spans="8:43" x14ac:dyDescent="0.25">
      <c r="H150" s="15">
        <v>2.4700000000000002</v>
      </c>
      <c r="I150" s="45">
        <f t="shared" si="94"/>
        <v>2951.2092266663894</v>
      </c>
      <c r="J150" s="32">
        <f t="shared" si="95"/>
        <v>107.78502437080934</v>
      </c>
      <c r="K150" s="32">
        <f t="shared" si="96"/>
        <v>12.536008174526978</v>
      </c>
      <c r="L150" s="15">
        <f t="shared" si="70"/>
        <v>3.8729613733905581</v>
      </c>
      <c r="M150" s="15">
        <f t="shared" si="71"/>
        <v>-0.69350029953827297</v>
      </c>
      <c r="N150" s="15">
        <f t="shared" si="72"/>
        <v>6.3627221255108666E-4</v>
      </c>
      <c r="O150" s="15">
        <f t="shared" si="73"/>
        <v>-79.434884658108984</v>
      </c>
      <c r="P150" s="15">
        <f t="shared" si="74"/>
        <v>-14.734246499432819</v>
      </c>
      <c r="Q150" s="15">
        <f t="shared" si="75"/>
        <v>-0.11068629345726118</v>
      </c>
      <c r="R150" s="15">
        <f t="shared" si="76"/>
        <v>-1.6207909595528261E-5</v>
      </c>
      <c r="S150" s="31">
        <f t="shared" si="97"/>
        <v>-80.239071251104519</v>
      </c>
      <c r="T150" s="31">
        <f t="shared" si="98"/>
        <v>-2.9727631228649005</v>
      </c>
      <c r="U150" s="15">
        <f t="shared" si="77"/>
        <v>6500</v>
      </c>
      <c r="V150" s="15">
        <f t="shared" si="78"/>
        <v>-89.990636702545999</v>
      </c>
      <c r="W150" s="15">
        <f t="shared" si="79"/>
        <v>-75.733876280703683</v>
      </c>
      <c r="X150" s="15">
        <f t="shared" si="80"/>
        <v>78.538380393070256</v>
      </c>
      <c r="Y150" s="15">
        <f t="shared" si="81"/>
        <v>14.035541136196922</v>
      </c>
      <c r="Z150" s="15">
        <f t="shared" si="82"/>
        <v>-1.8832318392738177</v>
      </c>
      <c r="AA150" s="15">
        <f t="shared" si="83"/>
        <v>-4.6927220968238093E-3</v>
      </c>
      <c r="AB150" s="31">
        <f t="shared" si="99"/>
        <v>-13.33548814874956</v>
      </c>
      <c r="AC150" s="31">
        <f t="shared" si="100"/>
        <v>14.55523926625353</v>
      </c>
      <c r="AD150" s="15">
        <f t="shared" si="84"/>
        <v>26.895266004594689</v>
      </c>
      <c r="AE150" s="15">
        <f t="shared" si="85"/>
        <v>0.99431064767283139</v>
      </c>
      <c r="AF150" s="15">
        <f t="shared" si="86"/>
        <v>1.195239719461906E-2</v>
      </c>
      <c r="AG150" s="15">
        <f t="shared" si="87"/>
        <v>1.8899446286575951E-7</v>
      </c>
      <c r="AH150" s="15">
        <f t="shared" si="88"/>
        <v>-5.5476346311258888</v>
      </c>
      <c r="AI150" s="15">
        <f t="shared" si="89"/>
        <v>-4.0778805528943966E-2</v>
      </c>
      <c r="AJ150" s="31">
        <f t="shared" si="101"/>
        <v>21.35958377066342</v>
      </c>
      <c r="AK150" s="31">
        <f t="shared" si="102"/>
        <v>0.95353203113835028</v>
      </c>
      <c r="AL150" s="15">
        <f t="shared" si="90"/>
        <v>0</v>
      </c>
      <c r="AM150" s="15">
        <f t="shared" si="91"/>
        <v>0</v>
      </c>
      <c r="AN150" s="15">
        <f t="shared" si="92"/>
        <v>0</v>
      </c>
      <c r="AO150" s="15">
        <f t="shared" si="93"/>
        <v>0</v>
      </c>
      <c r="AP150" s="31">
        <f t="shared" si="103"/>
        <v>0</v>
      </c>
      <c r="AQ150" s="31">
        <f t="shared" si="104"/>
        <v>0</v>
      </c>
    </row>
    <row r="151" spans="8:43" x14ac:dyDescent="0.25">
      <c r="H151" s="15">
        <v>2.48</v>
      </c>
      <c r="I151" s="45">
        <f t="shared" si="94"/>
        <v>3019.9517204020167</v>
      </c>
      <c r="J151" s="32">
        <f t="shared" si="95"/>
        <v>108.14894971729825</v>
      </c>
      <c r="K151" s="32">
        <f t="shared" si="96"/>
        <v>12.374437491080775</v>
      </c>
      <c r="L151" s="15">
        <f t="shared" si="70"/>
        <v>3.8729613733905581</v>
      </c>
      <c r="M151" s="15">
        <f t="shared" si="71"/>
        <v>-0.70965236344856453</v>
      </c>
      <c r="N151" s="15">
        <f t="shared" si="72"/>
        <v>6.6625649807030814E-4</v>
      </c>
      <c r="O151" s="15">
        <f t="shared" si="73"/>
        <v>-79.670140260297472</v>
      </c>
      <c r="P151" s="15">
        <f t="shared" si="74"/>
        <v>-14.927670337663002</v>
      </c>
      <c r="Q151" s="15">
        <f t="shared" si="75"/>
        <v>-0.11326450179587809</v>
      </c>
      <c r="R151" s="15">
        <f t="shared" si="76"/>
        <v>-1.6971763350122242E-5</v>
      </c>
      <c r="S151" s="31">
        <f t="shared" si="97"/>
        <v>-80.493057125541924</v>
      </c>
      <c r="T151" s="31">
        <f t="shared" si="98"/>
        <v>-3.1661577406633201</v>
      </c>
      <c r="U151" s="15">
        <f t="shared" si="77"/>
        <v>6500</v>
      </c>
      <c r="V151" s="15">
        <f t="shared" si="78"/>
        <v>-89.990849837213403</v>
      </c>
      <c r="W151" s="15">
        <f t="shared" si="79"/>
        <v>-75.933876275483556</v>
      </c>
      <c r="X151" s="15">
        <f t="shared" si="80"/>
        <v>78.792600752445082</v>
      </c>
      <c r="Y151" s="15">
        <f t="shared" si="81"/>
        <v>14.227816101259037</v>
      </c>
      <c r="Z151" s="15">
        <f t="shared" si="82"/>
        <v>-1.9270652459226496</v>
      </c>
      <c r="AA151" s="15">
        <f t="shared" si="83"/>
        <v>-4.913758207057156E-3</v>
      </c>
      <c r="AB151" s="31">
        <f t="shared" si="99"/>
        <v>-13.125314330690971</v>
      </c>
      <c r="AC151" s="31">
        <f t="shared" si="100"/>
        <v>14.547293200425539</v>
      </c>
      <c r="AD151" s="15">
        <f t="shared" si="84"/>
        <v>27.431111730800808</v>
      </c>
      <c r="AE151" s="15">
        <f t="shared" si="85"/>
        <v>1.0359930691350814</v>
      </c>
      <c r="AF151" s="15">
        <f t="shared" si="86"/>
        <v>1.2230804281848346E-2</v>
      </c>
      <c r="AG151" s="15">
        <f t="shared" si="87"/>
        <v>1.9790149838471985E-7</v>
      </c>
      <c r="AH151" s="15">
        <f t="shared" si="88"/>
        <v>-5.676021361551518</v>
      </c>
      <c r="AI151" s="15">
        <f t="shared" si="89"/>
        <v>-4.2691235718025078E-2</v>
      </c>
      <c r="AJ151" s="31">
        <f t="shared" si="101"/>
        <v>21.767321173531137</v>
      </c>
      <c r="AK151" s="31">
        <f t="shared" si="102"/>
        <v>0.99330203131855455</v>
      </c>
      <c r="AL151" s="15">
        <f t="shared" si="90"/>
        <v>0</v>
      </c>
      <c r="AM151" s="15">
        <f t="shared" si="91"/>
        <v>0</v>
      </c>
      <c r="AN151" s="15">
        <f t="shared" si="92"/>
        <v>0</v>
      </c>
      <c r="AO151" s="15">
        <f t="shared" si="93"/>
        <v>0</v>
      </c>
      <c r="AP151" s="31">
        <f t="shared" si="103"/>
        <v>0</v>
      </c>
      <c r="AQ151" s="31">
        <f t="shared" si="104"/>
        <v>0</v>
      </c>
    </row>
    <row r="152" spans="8:43" x14ac:dyDescent="0.25">
      <c r="H152" s="15">
        <v>2.4900000000000002</v>
      </c>
      <c r="I152" s="45">
        <f t="shared" si="94"/>
        <v>3090.2954325135938</v>
      </c>
      <c r="J152" s="32">
        <f t="shared" si="95"/>
        <v>108.51530832019898</v>
      </c>
      <c r="K152" s="32">
        <f t="shared" si="96"/>
        <v>12.214356568875704</v>
      </c>
      <c r="L152" s="15">
        <f t="shared" si="70"/>
        <v>3.8729613733905581</v>
      </c>
      <c r="M152" s="15">
        <f t="shared" si="71"/>
        <v>-0.7261805404673799</v>
      </c>
      <c r="N152" s="15">
        <f t="shared" si="72"/>
        <v>6.9765367755029821E-4</v>
      </c>
      <c r="O152" s="15">
        <f t="shared" si="73"/>
        <v>-79.900381547998137</v>
      </c>
      <c r="P152" s="15">
        <f t="shared" si="74"/>
        <v>-15.12138084268866</v>
      </c>
      <c r="Q152" s="15">
        <f t="shared" si="75"/>
        <v>-0.11590276384650465</v>
      </c>
      <c r="R152" s="15">
        <f t="shared" si="76"/>
        <v>-1.7771616276471576E-5</v>
      </c>
      <c r="S152" s="31">
        <f t="shared" si="97"/>
        <v>-80.742464852312025</v>
      </c>
      <c r="T152" s="31">
        <f t="shared" si="98"/>
        <v>-3.3598376483624239</v>
      </c>
      <c r="U152" s="15">
        <f t="shared" si="77"/>
        <v>6500</v>
      </c>
      <c r="V152" s="15">
        <f t="shared" si="78"/>
        <v>-89.991058120343709</v>
      </c>
      <c r="W152" s="15">
        <f t="shared" si="79"/>
        <v>-76.133876270498391</v>
      </c>
      <c r="X152" s="15">
        <f t="shared" si="80"/>
        <v>79.041467017887726</v>
      </c>
      <c r="Y152" s="15">
        <f t="shared" si="81"/>
        <v>14.420425900797975</v>
      </c>
      <c r="Z152" s="15">
        <f t="shared" si="82"/>
        <v>-1.9719173274229289</v>
      </c>
      <c r="AA152" s="15">
        <f t="shared" si="83"/>
        <v>-5.1451993713647563E-3</v>
      </c>
      <c r="AB152" s="31">
        <f t="shared" si="99"/>
        <v>-12.921508429878912</v>
      </c>
      <c r="AC152" s="31">
        <f t="shared" si="100"/>
        <v>14.539671563785333</v>
      </c>
      <c r="AD152" s="15">
        <f t="shared" si="84"/>
        <v>27.974105325588798</v>
      </c>
      <c r="AE152" s="15">
        <f t="shared" si="85"/>
        <v>1.0792153399855642</v>
      </c>
      <c r="AF152" s="15">
        <f t="shared" si="86"/>
        <v>1.2515696302613389E-2</v>
      </c>
      <c r="AG152" s="15">
        <f t="shared" si="87"/>
        <v>2.07228309488042E-7</v>
      </c>
      <c r="AH152" s="15">
        <f t="shared" si="88"/>
        <v>-5.8073394195014831</v>
      </c>
      <c r="AI152" s="15">
        <f t="shared" si="89"/>
        <v>-4.4692893761078094E-2</v>
      </c>
      <c r="AJ152" s="31">
        <f t="shared" si="101"/>
        <v>22.179281602389928</v>
      </c>
      <c r="AK152" s="31">
        <f t="shared" si="102"/>
        <v>1.0345226534527956</v>
      </c>
      <c r="AL152" s="15">
        <f t="shared" si="90"/>
        <v>0</v>
      </c>
      <c r="AM152" s="15">
        <f t="shared" si="91"/>
        <v>0</v>
      </c>
      <c r="AN152" s="15">
        <f t="shared" si="92"/>
        <v>0</v>
      </c>
      <c r="AO152" s="15">
        <f t="shared" si="93"/>
        <v>0</v>
      </c>
      <c r="AP152" s="31">
        <f t="shared" si="103"/>
        <v>0</v>
      </c>
      <c r="AQ152" s="31">
        <f t="shared" si="104"/>
        <v>0</v>
      </c>
    </row>
    <row r="153" spans="8:43" x14ac:dyDescent="0.25">
      <c r="H153" s="15">
        <v>2.5</v>
      </c>
      <c r="I153" s="45">
        <f t="shared" si="94"/>
        <v>3162.2776601683827</v>
      </c>
      <c r="J153" s="32">
        <f t="shared" si="95"/>
        <v>108.88390216268361</v>
      </c>
      <c r="K153" s="32">
        <f t="shared" si="96"/>
        <v>12.055799778989808</v>
      </c>
      <c r="L153" s="15">
        <f t="shared" si="70"/>
        <v>3.8729613733905581</v>
      </c>
      <c r="M153" s="15">
        <f t="shared" si="71"/>
        <v>-0.74309358304341744</v>
      </c>
      <c r="N153" s="15">
        <f t="shared" si="72"/>
        <v>7.3053031723175471E-4</v>
      </c>
      <c r="O153" s="15">
        <f t="shared" si="73"/>
        <v>-80.125700839849799</v>
      </c>
      <c r="P153" s="15">
        <f t="shared" si="74"/>
        <v>-15.315365906848113</v>
      </c>
      <c r="Q153" s="15">
        <f t="shared" si="75"/>
        <v>-0.11860247840582508</v>
      </c>
      <c r="R153" s="15">
        <f t="shared" si="76"/>
        <v>-1.8609164954382023E-5</v>
      </c>
      <c r="S153" s="31">
        <f t="shared" si="97"/>
        <v>-80.987396901299036</v>
      </c>
      <c r="T153" s="31">
        <f t="shared" si="98"/>
        <v>-3.5537906734308735</v>
      </c>
      <c r="U153" s="15">
        <f t="shared" si="77"/>
        <v>6500</v>
      </c>
      <c r="V153" s="15">
        <f t="shared" si="78"/>
        <v>-89.991261662371372</v>
      </c>
      <c r="W153" s="15">
        <f t="shared" si="79"/>
        <v>-76.333876265737572</v>
      </c>
      <c r="X153" s="15">
        <f t="shared" si="80"/>
        <v>79.285073562063062</v>
      </c>
      <c r="Y153" s="15">
        <f t="shared" si="81"/>
        <v>14.613356555408668</v>
      </c>
      <c r="Z153" s="15">
        <f t="shared" si="82"/>
        <v>-2.0178116449328547</v>
      </c>
      <c r="AA153" s="15">
        <f t="shared" si="83"/>
        <v>-5.3875348030241292E-3</v>
      </c>
      <c r="AB153" s="31">
        <f t="shared" si="99"/>
        <v>-12.723999745241166</v>
      </c>
      <c r="AC153" s="31">
        <f t="shared" si="100"/>
        <v>14.532359887725185</v>
      </c>
      <c r="AD153" s="15">
        <f t="shared" si="84"/>
        <v>28.524144494974177</v>
      </c>
      <c r="AE153" s="15">
        <f t="shared" si="85"/>
        <v>1.1240182464071988</v>
      </c>
      <c r="AF153" s="15">
        <f t="shared" si="86"/>
        <v>1.2807224310378177E-2</v>
      </c>
      <c r="AG153" s="15">
        <f t="shared" si="87"/>
        <v>2.1699467838752839E-7</v>
      </c>
      <c r="AH153" s="15">
        <f t="shared" si="88"/>
        <v>-5.94165291006074</v>
      </c>
      <c r="AI153" s="15">
        <f t="shared" si="89"/>
        <v>-4.6787898706381024E-2</v>
      </c>
      <c r="AJ153" s="31">
        <f t="shared" si="101"/>
        <v>22.595298809223817</v>
      </c>
      <c r="AK153" s="31">
        <f t="shared" si="102"/>
        <v>1.0772305646954963</v>
      </c>
      <c r="AL153" s="15">
        <f t="shared" si="90"/>
        <v>0</v>
      </c>
      <c r="AM153" s="15">
        <f t="shared" si="91"/>
        <v>0</v>
      </c>
      <c r="AN153" s="15">
        <f t="shared" si="92"/>
        <v>0</v>
      </c>
      <c r="AO153" s="15">
        <f t="shared" si="93"/>
        <v>0</v>
      </c>
      <c r="AP153" s="31">
        <f t="shared" si="103"/>
        <v>0</v>
      </c>
      <c r="AQ153" s="31">
        <f t="shared" si="104"/>
        <v>0</v>
      </c>
    </row>
    <row r="154" spans="8:43" x14ac:dyDescent="0.25">
      <c r="H154" s="15">
        <v>2.5099999999999998</v>
      </c>
      <c r="I154" s="45">
        <f t="shared" si="94"/>
        <v>3235.9365692962824</v>
      </c>
      <c r="J154" s="32">
        <f t="shared" si="95"/>
        <v>109.25451989868984</v>
      </c>
      <c r="K154" s="32">
        <f t="shared" si="96"/>
        <v>11.898801246465464</v>
      </c>
      <c r="L154" s="15">
        <f t="shared" si="70"/>
        <v>3.8729613733905581</v>
      </c>
      <c r="M154" s="15">
        <f t="shared" si="71"/>
        <v>-0.7604004468990575</v>
      </c>
      <c r="N154" s="15">
        <f t="shared" si="72"/>
        <v>7.6495611845660402E-4</v>
      </c>
      <c r="O154" s="15">
        <f t="shared" si="73"/>
        <v>-80.34618971266238</v>
      </c>
      <c r="P154" s="15">
        <f t="shared" si="74"/>
        <v>-15.509613900597847</v>
      </c>
      <c r="Q154" s="15">
        <f t="shared" si="75"/>
        <v>-0.12136507685025497</v>
      </c>
      <c r="R154" s="15">
        <f t="shared" si="76"/>
        <v>-1.9486185912810811E-5</v>
      </c>
      <c r="S154" s="31">
        <f t="shared" si="97"/>
        <v>-81.227955236411688</v>
      </c>
      <c r="T154" s="31">
        <f t="shared" si="98"/>
        <v>-3.7480051184003411</v>
      </c>
      <c r="U154" s="15">
        <f t="shared" si="77"/>
        <v>6500</v>
      </c>
      <c r="V154" s="15">
        <f t="shared" si="78"/>
        <v>-89.991460571217047</v>
      </c>
      <c r="W154" s="15">
        <f t="shared" si="79"/>
        <v>-76.533876261191025</v>
      </c>
      <c r="X154" s="15">
        <f t="shared" si="80"/>
        <v>79.523514301419283</v>
      </c>
      <c r="Y154" s="15">
        <f t="shared" si="81"/>
        <v>14.806594623883315</v>
      </c>
      <c r="Z154" s="15">
        <f t="shared" si="82"/>
        <v>-2.0647722965216677</v>
      </c>
      <c r="AA154" s="15">
        <f t="shared" si="83"/>
        <v>-5.6412766593393997E-3</v>
      </c>
      <c r="AB154" s="31">
        <f t="shared" si="99"/>
        <v>-12.532718566319431</v>
      </c>
      <c r="AC154" s="31">
        <f t="shared" si="100"/>
        <v>14.525344218890064</v>
      </c>
      <c r="AD154" s="15">
        <f t="shared" si="84"/>
        <v>29.081115298555027</v>
      </c>
      <c r="AE154" s="15">
        <f t="shared" si="85"/>
        <v>1.1704424743052788</v>
      </c>
      <c r="AF154" s="15">
        <f t="shared" si="86"/>
        <v>1.3105542877090832E-2</v>
      </c>
      <c r="AG154" s="15">
        <f t="shared" si="87"/>
        <v>2.2722132076379093E-7</v>
      </c>
      <c r="AH154" s="15">
        <f t="shared" si="88"/>
        <v>-6.0790271400111617</v>
      </c>
      <c r="AI154" s="15">
        <f t="shared" si="89"/>
        <v>-4.8980555550857702E-2</v>
      </c>
      <c r="AJ154" s="31">
        <f t="shared" si="101"/>
        <v>23.015193701420955</v>
      </c>
      <c r="AK154" s="31">
        <f t="shared" si="102"/>
        <v>1.1214621459757419</v>
      </c>
      <c r="AL154" s="15">
        <f t="shared" si="90"/>
        <v>0</v>
      </c>
      <c r="AM154" s="15">
        <f t="shared" si="91"/>
        <v>0</v>
      </c>
      <c r="AN154" s="15">
        <f t="shared" si="92"/>
        <v>0</v>
      </c>
      <c r="AO154" s="15">
        <f t="shared" si="93"/>
        <v>0</v>
      </c>
      <c r="AP154" s="31">
        <f t="shared" si="103"/>
        <v>0</v>
      </c>
      <c r="AQ154" s="31">
        <f t="shared" si="104"/>
        <v>0</v>
      </c>
    </row>
    <row r="155" spans="8:43" x14ac:dyDescent="0.25">
      <c r="H155" s="15">
        <v>2.52</v>
      </c>
      <c r="I155" s="45">
        <f t="shared" si="94"/>
        <v>3311.3112148259138</v>
      </c>
      <c r="J155" s="32">
        <f t="shared" si="95"/>
        <v>109.62693660302322</v>
      </c>
      <c r="K155" s="32">
        <f t="shared" si="96"/>
        <v>11.743394746908471</v>
      </c>
      <c r="L155" s="15">
        <f t="shared" si="70"/>
        <v>3.8729613733905581</v>
      </c>
      <c r="M155" s="15">
        <f t="shared" si="71"/>
        <v>-0.77811029572254387</v>
      </c>
      <c r="N155" s="15">
        <f t="shared" si="72"/>
        <v>8.0100406522955864E-4</v>
      </c>
      <c r="O155" s="15">
        <f t="shared" si="73"/>
        <v>-80.561938937584074</v>
      </c>
      <c r="P155" s="15">
        <f t="shared" si="74"/>
        <v>-15.704113656489247</v>
      </c>
      <c r="Q155" s="15">
        <f t="shared" si="75"/>
        <v>-0.12419202389464731</v>
      </c>
      <c r="R155" s="15">
        <f t="shared" si="76"/>
        <v>-2.0404539404117912E-5</v>
      </c>
      <c r="S155" s="31">
        <f t="shared" si="97"/>
        <v>-81.464241257201266</v>
      </c>
      <c r="T155" s="31">
        <f t="shared" si="98"/>
        <v>-3.9424697446984589</v>
      </c>
      <c r="U155" s="15">
        <f t="shared" si="77"/>
        <v>6500</v>
      </c>
      <c r="V155" s="15">
        <f t="shared" si="78"/>
        <v>-89.991654952344817</v>
      </c>
      <c r="W155" s="15">
        <f t="shared" si="79"/>
        <v>-76.733876256849129</v>
      </c>
      <c r="X155" s="15">
        <f t="shared" si="80"/>
        <v>79.756882608379613</v>
      </c>
      <c r="Y155" s="15">
        <f t="shared" si="81"/>
        <v>15.000127186379071</v>
      </c>
      <c r="Z155" s="15">
        <f t="shared" si="82"/>
        <v>-2.1128239288288762</v>
      </c>
      <c r="AA155" s="15">
        <f t="shared" si="83"/>
        <v>-5.9069611122069534E-3</v>
      </c>
      <c r="AB155" s="31">
        <f t="shared" si="99"/>
        <v>-12.34759627279408</v>
      </c>
      <c r="AC155" s="31">
        <f t="shared" si="100"/>
        <v>14.51861110127485</v>
      </c>
      <c r="AD155" s="15">
        <f t="shared" si="84"/>
        <v>29.64489194866114</v>
      </c>
      <c r="AE155" s="15">
        <f t="shared" si="85"/>
        <v>1.2185285156364249</v>
      </c>
      <c r="AF155" s="15">
        <f t="shared" si="86"/>
        <v>1.3410810175139452E-2</v>
      </c>
      <c r="AG155" s="15">
        <f t="shared" si="87"/>
        <v>2.3792993205395214E-7</v>
      </c>
      <c r="AH155" s="15">
        <f t="shared" si="88"/>
        <v>-6.2195286258177136</v>
      </c>
      <c r="AI155" s="15">
        <f t="shared" si="89"/>
        <v>-5.1275363234277518E-2</v>
      </c>
      <c r="AJ155" s="31">
        <f t="shared" si="101"/>
        <v>23.438774133018565</v>
      </c>
      <c r="AK155" s="31">
        <f t="shared" si="102"/>
        <v>1.1672533903320794</v>
      </c>
      <c r="AL155" s="15">
        <f t="shared" si="90"/>
        <v>0</v>
      </c>
      <c r="AM155" s="15">
        <f t="shared" si="91"/>
        <v>0</v>
      </c>
      <c r="AN155" s="15">
        <f t="shared" si="92"/>
        <v>0</v>
      </c>
      <c r="AO155" s="15">
        <f t="shared" si="93"/>
        <v>0</v>
      </c>
      <c r="AP155" s="31">
        <f t="shared" si="103"/>
        <v>0</v>
      </c>
      <c r="AQ155" s="31">
        <f t="shared" si="104"/>
        <v>0</v>
      </c>
    </row>
    <row r="156" spans="8:43" x14ac:dyDescent="0.25">
      <c r="H156" s="15">
        <v>2.5299999999999998</v>
      </c>
      <c r="I156" s="45">
        <f t="shared" si="94"/>
        <v>3388.4415613920246</v>
      </c>
      <c r="J156" s="32">
        <f t="shared" si="95"/>
        <v>110.00091355907117</v>
      </c>
      <c r="K156" s="32">
        <f t="shared" si="96"/>
        <v>11.589613598547945</v>
      </c>
      <c r="L156" s="15">
        <f t="shared" si="70"/>
        <v>3.8729613733905581</v>
      </c>
      <c r="M156" s="15">
        <f t="shared" si="71"/>
        <v>-0.79623250596640016</v>
      </c>
      <c r="N156" s="15">
        <f t="shared" si="72"/>
        <v>8.3875057870213795E-4</v>
      </c>
      <c r="O156" s="15">
        <f t="shared" si="73"/>
        <v>-80.77303842209075</v>
      </c>
      <c r="P156" s="15">
        <f t="shared" si="74"/>
        <v>-15.898854453429902</v>
      </c>
      <c r="Q156" s="15">
        <f t="shared" si="75"/>
        <v>-0.12708481836865684</v>
      </c>
      <c r="R156" s="15">
        <f t="shared" si="76"/>
        <v>-2.1366173353812769E-5</v>
      </c>
      <c r="S156" s="31">
        <f t="shared" si="97"/>
        <v>-81.696355746425809</v>
      </c>
      <c r="T156" s="31">
        <f t="shared" si="98"/>
        <v>-4.1371737567595916</v>
      </c>
      <c r="U156" s="15">
        <f t="shared" si="77"/>
        <v>6500</v>
      </c>
      <c r="V156" s="15">
        <f t="shared" si="78"/>
        <v>-89.991844908818109</v>
      </c>
      <c r="W156" s="15">
        <f t="shared" si="79"/>
        <v>-76.933876252702632</v>
      </c>
      <c r="X156" s="15">
        <f t="shared" si="80"/>
        <v>79.985271230608788</v>
      </c>
      <c r="Y156" s="15">
        <f t="shared" si="81"/>
        <v>15.193941827767611</v>
      </c>
      <c r="Z156" s="15">
        <f t="shared" si="82"/>
        <v>-2.1619917489349443</v>
      </c>
      <c r="AA156" s="15">
        <f t="shared" si="83"/>
        <v>-6.1851494680770676E-3</v>
      </c>
      <c r="AB156" s="31">
        <f t="shared" si="99"/>
        <v>-12.168565427144266</v>
      </c>
      <c r="AC156" s="31">
        <f t="shared" si="100"/>
        <v>14.512147558454016</v>
      </c>
      <c r="AD156" s="15">
        <f t="shared" si="84"/>
        <v>30.215336645050002</v>
      </c>
      <c r="AE156" s="15">
        <f t="shared" si="85"/>
        <v>1.2683165706490707</v>
      </c>
      <c r="AF156" s="15">
        <f t="shared" si="86"/>
        <v>1.372318806121673E-2</v>
      </c>
      <c r="AG156" s="15">
        <f t="shared" si="87"/>
        <v>2.4914322409607017E-7</v>
      </c>
      <c r="AH156" s="15">
        <f t="shared" si="88"/>
        <v>-6.3632251004699727</v>
      </c>
      <c r="AI156" s="15">
        <f t="shared" si="89"/>
        <v>-5.3677022938773702E-2</v>
      </c>
      <c r="AJ156" s="31">
        <f t="shared" si="101"/>
        <v>23.865834732641247</v>
      </c>
      <c r="AK156" s="31">
        <f t="shared" si="102"/>
        <v>1.214639796853521</v>
      </c>
      <c r="AL156" s="15">
        <f t="shared" si="90"/>
        <v>0</v>
      </c>
      <c r="AM156" s="15">
        <f t="shared" si="91"/>
        <v>0</v>
      </c>
      <c r="AN156" s="15">
        <f t="shared" si="92"/>
        <v>0</v>
      </c>
      <c r="AO156" s="15">
        <f t="shared" si="93"/>
        <v>0</v>
      </c>
      <c r="AP156" s="31">
        <f t="shared" si="103"/>
        <v>0</v>
      </c>
      <c r="AQ156" s="31">
        <f t="shared" si="104"/>
        <v>0</v>
      </c>
    </row>
    <row r="157" spans="8:43" x14ac:dyDescent="0.25">
      <c r="H157" s="15">
        <v>2.54</v>
      </c>
      <c r="I157" s="45">
        <f t="shared" si="94"/>
        <v>3467.3685045253183</v>
      </c>
      <c r="J157" s="32">
        <f t="shared" si="95"/>
        <v>110.37619808728803</v>
      </c>
      <c r="K157" s="32">
        <f t="shared" si="96"/>
        <v>11.437490550078437</v>
      </c>
      <c r="L157" s="15">
        <f t="shared" si="70"/>
        <v>3.8729613733905581</v>
      </c>
      <c r="M157" s="15">
        <f t="shared" si="71"/>
        <v>-0.81477667175437141</v>
      </c>
      <c r="N157" s="15">
        <f t="shared" si="72"/>
        <v>8.7827567892257243E-4</v>
      </c>
      <c r="O157" s="15">
        <f t="shared" si="73"/>
        <v>-80.979577157474125</v>
      </c>
      <c r="P157" s="15">
        <f t="shared" si="74"/>
        <v>-16.093826001249706</v>
      </c>
      <c r="Q157" s="15">
        <f t="shared" si="75"/>
        <v>-0.13004499401117836</v>
      </c>
      <c r="R157" s="15">
        <f t="shared" si="76"/>
        <v>-2.237312748772386E-5</v>
      </c>
      <c r="S157" s="31">
        <f t="shared" si="97"/>
        <v>-81.92439882323967</v>
      </c>
      <c r="T157" s="31">
        <f t="shared" si="98"/>
        <v>-4.3321067864333074</v>
      </c>
      <c r="U157" s="15">
        <f t="shared" si="77"/>
        <v>6500</v>
      </c>
      <c r="V157" s="15">
        <f t="shared" si="78"/>
        <v>-89.992030541354353</v>
      </c>
      <c r="W157" s="15">
        <f t="shared" si="79"/>
        <v>-77.133876248742766</v>
      </c>
      <c r="X157" s="15">
        <f t="shared" si="80"/>
        <v>80.208772216998113</v>
      </c>
      <c r="Y157" s="15">
        <f t="shared" si="81"/>
        <v>15.388026621200513</v>
      </c>
      <c r="Z157" s="15">
        <f t="shared" si="82"/>
        <v>-2.2123015364441998</v>
      </c>
      <c r="AA157" s="15">
        <f t="shared" si="83"/>
        <v>-6.4764293395886555E-3</v>
      </c>
      <c r="AB157" s="31">
        <f t="shared" si="99"/>
        <v>-11.995559860800439</v>
      </c>
      <c r="AC157" s="31">
        <f t="shared" si="100"/>
        <v>14.505941075975272</v>
      </c>
      <c r="AD157" s="15">
        <f t="shared" si="84"/>
        <v>30.792299448235127</v>
      </c>
      <c r="AE157" s="15">
        <f t="shared" si="85"/>
        <v>1.3198464463531658</v>
      </c>
      <c r="AF157" s="15">
        <f t="shared" si="86"/>
        <v>1.4042842162138405E-2</v>
      </c>
      <c r="AG157" s="15">
        <f t="shared" si="87"/>
        <v>2.6088498106011124E-7</v>
      </c>
      <c r="AH157" s="15">
        <f t="shared" si="88"/>
        <v>-6.5101855190691174</v>
      </c>
      <c r="AI157" s="15">
        <f t="shared" si="89"/>
        <v>-5.6190446701674383E-2</v>
      </c>
      <c r="AJ157" s="31">
        <f t="shared" si="101"/>
        <v>24.296156771328146</v>
      </c>
      <c r="AK157" s="31">
        <f t="shared" si="102"/>
        <v>1.2636562605364725</v>
      </c>
      <c r="AL157" s="15">
        <f t="shared" si="90"/>
        <v>0</v>
      </c>
      <c r="AM157" s="15">
        <f t="shared" si="91"/>
        <v>0</v>
      </c>
      <c r="AN157" s="15">
        <f t="shared" si="92"/>
        <v>0</v>
      </c>
      <c r="AO157" s="15">
        <f t="shared" si="93"/>
        <v>0</v>
      </c>
      <c r="AP157" s="31">
        <f t="shared" si="103"/>
        <v>0</v>
      </c>
      <c r="AQ157" s="31">
        <f t="shared" si="104"/>
        <v>0</v>
      </c>
    </row>
    <row r="158" spans="8:43" x14ac:dyDescent="0.25">
      <c r="H158" s="15">
        <v>2.5499999999999998</v>
      </c>
      <c r="I158" s="45">
        <f t="shared" si="94"/>
        <v>3548.1338923357566</v>
      </c>
      <c r="J158" s="32">
        <f t="shared" si="95"/>
        <v>110.75252341751042</v>
      </c>
      <c r="K158" s="32">
        <f t="shared" si="96"/>
        <v>11.287057664657949</v>
      </c>
      <c r="L158" s="15">
        <f t="shared" si="70"/>
        <v>3.8729613733905581</v>
      </c>
      <c r="M158" s="15">
        <f t="shared" si="71"/>
        <v>-0.83375260989913835</v>
      </c>
      <c r="N158" s="15">
        <f t="shared" si="72"/>
        <v>9.1966315418712003E-4</v>
      </c>
      <c r="O158" s="15">
        <f t="shared" si="73"/>
        <v>-81.181643171515503</v>
      </c>
      <c r="P158" s="15">
        <f t="shared" si="74"/>
        <v>-16.289018425588118</v>
      </c>
      <c r="Q158" s="15">
        <f t="shared" si="75"/>
        <v>-0.13307412028327181</v>
      </c>
      <c r="R158" s="15">
        <f t="shared" si="76"/>
        <v>-2.3427537657805113E-5</v>
      </c>
      <c r="S158" s="31">
        <f t="shared" si="97"/>
        <v>-82.148469901697908</v>
      </c>
      <c r="T158" s="31">
        <f t="shared" si="98"/>
        <v>-4.5272588777066254</v>
      </c>
      <c r="U158" s="15">
        <f t="shared" si="77"/>
        <v>6500</v>
      </c>
      <c r="V158" s="15">
        <f t="shared" si="78"/>
        <v>-89.99221194837834</v>
      </c>
      <c r="W158" s="15">
        <f t="shared" si="79"/>
        <v>-77.333876244961118</v>
      </c>
      <c r="X158" s="15">
        <f t="shared" si="80"/>
        <v>80.427476850019872</v>
      </c>
      <c r="Y158" s="15">
        <f t="shared" si="81"/>
        <v>15.582370111919335</v>
      </c>
      <c r="Z158" s="15">
        <f t="shared" si="82"/>
        <v>-2.263779655780251</v>
      </c>
      <c r="AA158" s="15">
        <f t="shared" si="83"/>
        <v>-6.7814158711721351E-3</v>
      </c>
      <c r="AB158" s="31">
        <f t="shared" si="99"/>
        <v>-11.82851475413872</v>
      </c>
      <c r="AC158" s="31">
        <f t="shared" si="100"/>
        <v>14.499979583944159</v>
      </c>
      <c r="AD158" s="15">
        <f t="shared" si="84"/>
        <v>31.375618194427194</v>
      </c>
      <c r="AE158" s="15">
        <f t="shared" si="85"/>
        <v>1.3731574515896028</v>
      </c>
      <c r="AF158" s="15">
        <f t="shared" si="86"/>
        <v>1.4369941962660228E-2</v>
      </c>
      <c r="AG158" s="15">
        <f t="shared" si="87"/>
        <v>2.7318011152160982E-7</v>
      </c>
      <c r="AH158" s="15">
        <f t="shared" si="88"/>
        <v>-6.6604800630427992</v>
      </c>
      <c r="AI158" s="15">
        <f t="shared" si="89"/>
        <v>-5.882076634929901E-2</v>
      </c>
      <c r="AJ158" s="31">
        <f t="shared" si="101"/>
        <v>24.729508073347056</v>
      </c>
      <c r="AK158" s="31">
        <f t="shared" si="102"/>
        <v>1.3143369584204152</v>
      </c>
      <c r="AL158" s="15">
        <f t="shared" si="90"/>
        <v>0</v>
      </c>
      <c r="AM158" s="15">
        <f t="shared" si="91"/>
        <v>0</v>
      </c>
      <c r="AN158" s="15">
        <f t="shared" si="92"/>
        <v>0</v>
      </c>
      <c r="AO158" s="15">
        <f t="shared" si="93"/>
        <v>0</v>
      </c>
      <c r="AP158" s="31">
        <f t="shared" si="103"/>
        <v>0</v>
      </c>
      <c r="AQ158" s="31">
        <f t="shared" si="104"/>
        <v>0</v>
      </c>
    </row>
    <row r="159" spans="8:43" x14ac:dyDescent="0.25">
      <c r="H159" s="15">
        <v>2.56</v>
      </c>
      <c r="I159" s="45">
        <f t="shared" si="94"/>
        <v>3630.7805477010152</v>
      </c>
      <c r="J159" s="32">
        <f t="shared" si="95"/>
        <v>111.12960860802752</v>
      </c>
      <c r="K159" s="32">
        <f t="shared" si="96"/>
        <v>11.13834620048724</v>
      </c>
      <c r="L159" s="15">
        <f t="shared" si="70"/>
        <v>3.8729613733905581</v>
      </c>
      <c r="M159" s="15">
        <f t="shared" si="71"/>
        <v>-0.85317036503318189</v>
      </c>
      <c r="N159" s="15">
        <f t="shared" si="72"/>
        <v>9.6300073833392578E-4</v>
      </c>
      <c r="O159" s="15">
        <f t="shared" si="73"/>
        <v>-81.37932348604312</v>
      </c>
      <c r="P159" s="15">
        <f t="shared" si="74"/>
        <v>-16.484422253116971</v>
      </c>
      <c r="Q159" s="15">
        <f t="shared" si="75"/>
        <v>-0.13617380320001055</v>
      </c>
      <c r="R159" s="15">
        <f t="shared" si="76"/>
        <v>-2.4531640374292303E-5</v>
      </c>
      <c r="S159" s="31">
        <f t="shared" si="97"/>
        <v>-82.368667654276308</v>
      </c>
      <c r="T159" s="31">
        <f t="shared" si="98"/>
        <v>-4.7226204717540483</v>
      </c>
      <c r="U159" s="15">
        <f t="shared" si="77"/>
        <v>6500</v>
      </c>
      <c r="V159" s="15">
        <f t="shared" si="78"/>
        <v>-89.992389226074479</v>
      </c>
      <c r="W159" s="15">
        <f t="shared" si="79"/>
        <v>-77.533876241349674</v>
      </c>
      <c r="X159" s="15">
        <f t="shared" si="80"/>
        <v>80.641475584111987</v>
      </c>
      <c r="Y159" s="15">
        <f t="shared" si="81"/>
        <v>15.776961301336407</v>
      </c>
      <c r="Z159" s="15">
        <f t="shared" si="82"/>
        <v>-2.3164530686941305</v>
      </c>
      <c r="AA159" s="15">
        <f t="shared" si="83"/>
        <v>-7.1007530210421381E-3</v>
      </c>
      <c r="AB159" s="31">
        <f t="shared" si="99"/>
        <v>-11.667366710656623</v>
      </c>
      <c r="AC159" s="31">
        <f t="shared" si="100"/>
        <v>14.494251439822804</v>
      </c>
      <c r="AD159" s="15">
        <f t="shared" si="84"/>
        <v>31.965118454928565</v>
      </c>
      <c r="AE159" s="15">
        <f t="shared" si="85"/>
        <v>1.428288289123012</v>
      </c>
      <c r="AF159" s="15">
        <f t="shared" si="86"/>
        <v>1.4704660895340791E-2</v>
      </c>
      <c r="AG159" s="15">
        <f t="shared" si="87"/>
        <v>2.8605469474936261E-7</v>
      </c>
      <c r="AH159" s="15">
        <f t="shared" si="88"/>
        <v>-6.8141801428634476</v>
      </c>
      <c r="AI159" s="15">
        <f t="shared" si="89"/>
        <v>-6.1573342759223375E-2</v>
      </c>
      <c r="AJ159" s="31">
        <f t="shared" si="101"/>
        <v>25.165642972960455</v>
      </c>
      <c r="AK159" s="31">
        <f t="shared" si="102"/>
        <v>1.3667152324184835</v>
      </c>
      <c r="AL159" s="15">
        <f t="shared" si="90"/>
        <v>0</v>
      </c>
      <c r="AM159" s="15">
        <f t="shared" si="91"/>
        <v>0</v>
      </c>
      <c r="AN159" s="15">
        <f t="shared" si="92"/>
        <v>0</v>
      </c>
      <c r="AO159" s="15">
        <f t="shared" si="93"/>
        <v>0</v>
      </c>
      <c r="AP159" s="31">
        <f t="shared" si="103"/>
        <v>0</v>
      </c>
      <c r="AQ159" s="31">
        <f t="shared" si="104"/>
        <v>0</v>
      </c>
    </row>
    <row r="160" spans="8:43" x14ac:dyDescent="0.25">
      <c r="H160" s="15">
        <v>2.57</v>
      </c>
      <c r="I160" s="45">
        <f t="shared" si="94"/>
        <v>3715.3522909717267</v>
      </c>
      <c r="J160" s="32">
        <f t="shared" si="95"/>
        <v>111.50715851415003</v>
      </c>
      <c r="K160" s="32">
        <f t="shared" si="96"/>
        <v>10.991386488447874</v>
      </c>
      <c r="L160" s="15">
        <f t="shared" si="70"/>
        <v>3.8729613733905581</v>
      </c>
      <c r="M160" s="15">
        <f t="shared" si="71"/>
        <v>-0.8730402148551305</v>
      </c>
      <c r="N160" s="15">
        <f t="shared" si="72"/>
        <v>1.0083802963936227E-3</v>
      </c>
      <c r="O160" s="15">
        <f t="shared" si="73"/>
        <v>-81.572704079082442</v>
      </c>
      <c r="P160" s="15">
        <f t="shared" si="74"/>
        <v>-16.680028397109872</v>
      </c>
      <c r="Q160" s="15">
        <f t="shared" si="75"/>
        <v>-0.13934568618168791</v>
      </c>
      <c r="R160" s="15">
        <f t="shared" si="76"/>
        <v>-2.5687777548065166E-5</v>
      </c>
      <c r="S160" s="31">
        <f t="shared" si="97"/>
        <v>-82.58508998011925</v>
      </c>
      <c r="T160" s="31">
        <f t="shared" si="98"/>
        <v>-4.918182392326063</v>
      </c>
      <c r="U160" s="15">
        <f t="shared" si="77"/>
        <v>6500</v>
      </c>
      <c r="V160" s="15">
        <f t="shared" si="78"/>
        <v>-89.99256246843774</v>
      </c>
      <c r="W160" s="15">
        <f t="shared" si="79"/>
        <v>-77.733876237900773</v>
      </c>
      <c r="X160" s="15">
        <f t="shared" si="80"/>
        <v>80.850857989762417</v>
      </c>
      <c r="Y160" s="15">
        <f t="shared" si="81"/>
        <v>15.971789631408013</v>
      </c>
      <c r="Z160" s="15">
        <f t="shared" si="82"/>
        <v>-2.3703493469848396</v>
      </c>
      <c r="AA160" s="15">
        <f t="shared" si="83"/>
        <v>-7.4351149021353487E-3</v>
      </c>
      <c r="AB160" s="31">
        <f t="shared" si="99"/>
        <v>-11.512053825660162</v>
      </c>
      <c r="AC160" s="31">
        <f t="shared" si="100"/>
        <v>14.488745411462219</v>
      </c>
      <c r="AD160" s="15">
        <f t="shared" si="84"/>
        <v>32.560613542634066</v>
      </c>
      <c r="AE160" s="15">
        <f t="shared" si="85"/>
        <v>1.485276945233841</v>
      </c>
      <c r="AF160" s="15">
        <f t="shared" si="86"/>
        <v>1.5047176432497283E-2</v>
      </c>
      <c r="AG160" s="15">
        <f t="shared" si="87"/>
        <v>2.9953603663639424E-7</v>
      </c>
      <c r="AH160" s="15">
        <f t="shared" si="88"/>
        <v>-6.9713583991371237</v>
      </c>
      <c r="AI160" s="15">
        <f t="shared" si="89"/>
        <v>-6.445377545815896E-2</v>
      </c>
      <c r="AJ160" s="31">
        <f t="shared" si="101"/>
        <v>25.604302319929438</v>
      </c>
      <c r="AK160" s="31">
        <f t="shared" si="102"/>
        <v>1.4208234693117188</v>
      </c>
      <c r="AL160" s="15">
        <f t="shared" si="90"/>
        <v>0</v>
      </c>
      <c r="AM160" s="15">
        <f t="shared" si="91"/>
        <v>0</v>
      </c>
      <c r="AN160" s="15">
        <f t="shared" si="92"/>
        <v>0</v>
      </c>
      <c r="AO160" s="15">
        <f t="shared" si="93"/>
        <v>0</v>
      </c>
      <c r="AP160" s="31">
        <f t="shared" si="103"/>
        <v>0</v>
      </c>
      <c r="AQ160" s="31">
        <f t="shared" si="104"/>
        <v>0</v>
      </c>
    </row>
    <row r="161" spans="8:43" x14ac:dyDescent="0.25">
      <c r="H161" s="15">
        <v>2.58</v>
      </c>
      <c r="I161" s="45">
        <f t="shared" si="94"/>
        <v>3801.8939632056163</v>
      </c>
      <c r="J161" s="32">
        <f t="shared" si="95"/>
        <v>111.88486380880195</v>
      </c>
      <c r="K161" s="32">
        <f t="shared" si="96"/>
        <v>10.846207807326339</v>
      </c>
      <c r="L161" s="15">
        <f t="shared" si="70"/>
        <v>3.8729613733905581</v>
      </c>
      <c r="M161" s="15">
        <f t="shared" si="71"/>
        <v>-0.89337267549401311</v>
      </c>
      <c r="N161" s="15">
        <f t="shared" si="72"/>
        <v>1.0558980189200131E-3</v>
      </c>
      <c r="O161" s="15">
        <f t="shared" si="73"/>
        <v>-81.761869851319872</v>
      </c>
      <c r="P161" s="15">
        <f t="shared" si="74"/>
        <v>-16.875828143367386</v>
      </c>
      <c r="Q161" s="15">
        <f t="shared" si="75"/>
        <v>-0.14259145092483394</v>
      </c>
      <c r="R161" s="15">
        <f t="shared" si="76"/>
        <v>-2.6898401456714242E-5</v>
      </c>
      <c r="S161" s="31">
        <f t="shared" si="97"/>
        <v>-82.797833977738719</v>
      </c>
      <c r="T161" s="31">
        <f t="shared" si="98"/>
        <v>-5.1139358314849588</v>
      </c>
      <c r="U161" s="15">
        <f t="shared" si="77"/>
        <v>6500</v>
      </c>
      <c r="V161" s="15">
        <f t="shared" si="78"/>
        <v>-89.992731767323477</v>
      </c>
      <c r="W161" s="15">
        <f t="shared" si="79"/>
        <v>-77.933876234607112</v>
      </c>
      <c r="X161" s="15">
        <f t="shared" si="80"/>
        <v>81.055712702973977</v>
      </c>
      <c r="Y161" s="15">
        <f t="shared" si="81"/>
        <v>16.166844969318849</v>
      </c>
      <c r="Z161" s="15">
        <f t="shared" si="82"/>
        <v>-2.4254966854317477</v>
      </c>
      <c r="AA161" s="15">
        <f t="shared" si="83"/>
        <v>-7.7852071845963943E-3</v>
      </c>
      <c r="AB161" s="31">
        <f t="shared" si="99"/>
        <v>-11.362515749781247</v>
      </c>
      <c r="AC161" s="31">
        <f t="shared" si="100"/>
        <v>14.483450660384253</v>
      </c>
      <c r="AD161" s="15">
        <f t="shared" si="84"/>
        <v>33.161904568063775</v>
      </c>
      <c r="AE161" s="15">
        <f t="shared" si="85"/>
        <v>1.5441605773365275</v>
      </c>
      <c r="AF161" s="15">
        <f t="shared" si="86"/>
        <v>1.5397670180303278E-2</v>
      </c>
      <c r="AG161" s="15">
        <f t="shared" si="87"/>
        <v>3.1365273334554012E-7</v>
      </c>
      <c r="AH161" s="15">
        <f t="shared" si="88"/>
        <v>-7.1320887019221599</v>
      </c>
      <c r="AI161" s="15">
        <f t="shared" si="89"/>
        <v>-6.746791256221607E-2</v>
      </c>
      <c r="AJ161" s="31">
        <f t="shared" si="101"/>
        <v>26.045213536321921</v>
      </c>
      <c r="AK161" s="31">
        <f t="shared" si="102"/>
        <v>1.4766929784270446</v>
      </c>
      <c r="AL161" s="15">
        <f t="shared" si="90"/>
        <v>0</v>
      </c>
      <c r="AM161" s="15">
        <f t="shared" si="91"/>
        <v>0</v>
      </c>
      <c r="AN161" s="15">
        <f t="shared" si="92"/>
        <v>0</v>
      </c>
      <c r="AO161" s="15">
        <f t="shared" si="93"/>
        <v>0</v>
      </c>
      <c r="AP161" s="31">
        <f t="shared" si="103"/>
        <v>0</v>
      </c>
      <c r="AQ161" s="31">
        <f t="shared" si="104"/>
        <v>0</v>
      </c>
    </row>
    <row r="162" spans="8:43" x14ac:dyDescent="0.25">
      <c r="H162" s="15">
        <v>2.59</v>
      </c>
      <c r="I162" s="45">
        <f t="shared" si="94"/>
        <v>3890.4514499428064</v>
      </c>
      <c r="J162" s="32">
        <f t="shared" si="95"/>
        <v>112.26240105739481</v>
      </c>
      <c r="K162" s="32">
        <f t="shared" si="96"/>
        <v>10.702838257200083</v>
      </c>
      <c r="L162" s="15">
        <f t="shared" si="70"/>
        <v>3.8729613733905581</v>
      </c>
      <c r="M162" s="15">
        <f t="shared" si="71"/>
        <v>-0.91417850699384517</v>
      </c>
      <c r="N162" s="15">
        <f t="shared" si="72"/>
        <v>1.1056546254839766E-3</v>
      </c>
      <c r="O162" s="15">
        <f t="shared" si="73"/>
        <v>-81.946904596612256</v>
      </c>
      <c r="P162" s="15">
        <f t="shared" si="74"/>
        <v>-17.071813136504627</v>
      </c>
      <c r="Q162" s="15">
        <f t="shared" si="75"/>
        <v>-0.14591281829350106</v>
      </c>
      <c r="R162" s="15">
        <f t="shared" si="76"/>
        <v>-2.8166079949739657E-5</v>
      </c>
      <c r="S162" s="31">
        <f t="shared" si="97"/>
        <v>-83.006995921899602</v>
      </c>
      <c r="T162" s="31">
        <f t="shared" si="98"/>
        <v>-5.3098723356941306</v>
      </c>
      <c r="U162" s="15">
        <f t="shared" si="77"/>
        <v>6500</v>
      </c>
      <c r="V162" s="15">
        <f t="shared" si="78"/>
        <v>-89.992897212496217</v>
      </c>
      <c r="W162" s="15">
        <f t="shared" si="79"/>
        <v>-78.13387623146167</v>
      </c>
      <c r="X162" s="15">
        <f t="shared" si="80"/>
        <v>81.256127379800262</v>
      </c>
      <c r="Y162" s="15">
        <f t="shared" si="81"/>
        <v>16.362117592493355</v>
      </c>
      <c r="Z162" s="15">
        <f t="shared" si="82"/>
        <v>-2.4819239149377967</v>
      </c>
      <c r="AA162" s="15">
        <f t="shared" si="83"/>
        <v>-8.151768562582663E-3</v>
      </c>
      <c r="AB162" s="31">
        <f t="shared" si="99"/>
        <v>-11.218693747633752</v>
      </c>
      <c r="AC162" s="31">
        <f t="shared" si="100"/>
        <v>14.478356725326217</v>
      </c>
      <c r="AD162" s="15">
        <f t="shared" si="84"/>
        <v>33.768780547081136</v>
      </c>
      <c r="AE162" s="15">
        <f t="shared" si="85"/>
        <v>1.604975400199141</v>
      </c>
      <c r="AF162" s="15">
        <f t="shared" si="86"/>
        <v>1.5756327975078161E-2</v>
      </c>
      <c r="AG162" s="15">
        <f t="shared" si="87"/>
        <v>3.2843473109771636E-7</v>
      </c>
      <c r="AH162" s="15">
        <f t="shared" si="88"/>
        <v>-7.296446148128048</v>
      </c>
      <c r="AI162" s="15">
        <f t="shared" si="89"/>
        <v>-7.0621861065875188E-2</v>
      </c>
      <c r="AJ162" s="31">
        <f t="shared" si="101"/>
        <v>26.488090726928164</v>
      </c>
      <c r="AK162" s="31">
        <f t="shared" si="102"/>
        <v>1.5343538675679971</v>
      </c>
      <c r="AL162" s="15">
        <f t="shared" si="90"/>
        <v>0</v>
      </c>
      <c r="AM162" s="15">
        <f t="shared" si="91"/>
        <v>0</v>
      </c>
      <c r="AN162" s="15">
        <f t="shared" si="92"/>
        <v>0</v>
      </c>
      <c r="AO162" s="15">
        <f t="shared" si="93"/>
        <v>0</v>
      </c>
      <c r="AP162" s="31">
        <f t="shared" si="103"/>
        <v>0</v>
      </c>
      <c r="AQ162" s="31">
        <f t="shared" si="104"/>
        <v>0</v>
      </c>
    </row>
    <row r="163" spans="8:43" x14ac:dyDescent="0.25">
      <c r="H163" s="15">
        <v>2.6</v>
      </c>
      <c r="I163" s="45">
        <f t="shared" si="94"/>
        <v>3981.071705534976</v>
      </c>
      <c r="J163" s="32">
        <f t="shared" si="95"/>
        <v>112.63943284893901</v>
      </c>
      <c r="K163" s="32">
        <f t="shared" si="96"/>
        <v>10.561304631605667</v>
      </c>
      <c r="L163" s="15">
        <f t="shared" si="70"/>
        <v>3.8729613733905581</v>
      </c>
      <c r="M163" s="15">
        <f t="shared" si="71"/>
        <v>-0.93546871892104166</v>
      </c>
      <c r="N163" s="15">
        <f t="shared" si="72"/>
        <v>1.1577555776900561E-3</v>
      </c>
      <c r="O163" s="15">
        <f t="shared" si="73"/>
        <v>-82.127890976285585</v>
      </c>
      <c r="P163" s="15">
        <f t="shared" si="74"/>
        <v>-17.2679753666064</v>
      </c>
      <c r="Q163" s="15">
        <f t="shared" si="75"/>
        <v>-0.14931154923129233</v>
      </c>
      <c r="R163" s="15">
        <f t="shared" si="76"/>
        <v>-2.9493501894808581E-5</v>
      </c>
      <c r="S163" s="31">
        <f t="shared" si="97"/>
        <v>-83.212671244437914</v>
      </c>
      <c r="T163" s="31">
        <f t="shared" si="98"/>
        <v>-5.5059837922656421</v>
      </c>
      <c r="U163" s="15">
        <f t="shared" si="77"/>
        <v>6500</v>
      </c>
      <c r="V163" s="15">
        <f t="shared" si="78"/>
        <v>-89.99305889167718</v>
      </c>
      <c r="W163" s="15">
        <f t="shared" si="79"/>
        <v>-78.333876228457797</v>
      </c>
      <c r="X163" s="15">
        <f t="shared" si="80"/>
        <v>81.452188655655334</v>
      </c>
      <c r="Y163" s="15">
        <f t="shared" si="81"/>
        <v>16.557598173947095</v>
      </c>
      <c r="Z163" s="15">
        <f t="shared" si="82"/>
        <v>-2.5396605158821379</v>
      </c>
      <c r="AA163" s="15">
        <f t="shared" si="83"/>
        <v>-8.5355722882311733E-3</v>
      </c>
      <c r="AB163" s="31">
        <f t="shared" si="99"/>
        <v>-11.080530751903984</v>
      </c>
      <c r="AC163" s="31">
        <f t="shared" si="100"/>
        <v>14.473453506058181</v>
      </c>
      <c r="AD163" s="15">
        <f t="shared" si="84"/>
        <v>34.381018562135431</v>
      </c>
      <c r="AE163" s="15">
        <f t="shared" si="85"/>
        <v>1.6677565713852012</v>
      </c>
      <c r="AF163" s="15">
        <f t="shared" si="86"/>
        <v>1.6123339981819678E-2</v>
      </c>
      <c r="AG163" s="15">
        <f t="shared" si="87"/>
        <v>3.4391338210287771E-7</v>
      </c>
      <c r="AH163" s="15">
        <f t="shared" si="88"/>
        <v>-7.4645070568363412</v>
      </c>
      <c r="AI163" s="15">
        <f t="shared" si="89"/>
        <v>-7.3921997485455443E-2</v>
      </c>
      <c r="AJ163" s="31">
        <f t="shared" si="101"/>
        <v>26.932634845280909</v>
      </c>
      <c r="AK163" s="31">
        <f t="shared" si="102"/>
        <v>1.5938349178131277</v>
      </c>
      <c r="AL163" s="15">
        <f t="shared" si="90"/>
        <v>0</v>
      </c>
      <c r="AM163" s="15">
        <f t="shared" si="91"/>
        <v>0</v>
      </c>
      <c r="AN163" s="15">
        <f t="shared" si="92"/>
        <v>0</v>
      </c>
      <c r="AO163" s="15">
        <f t="shared" si="93"/>
        <v>0</v>
      </c>
      <c r="AP163" s="31">
        <f t="shared" si="103"/>
        <v>0</v>
      </c>
      <c r="AQ163" s="31">
        <f t="shared" si="104"/>
        <v>0</v>
      </c>
    </row>
    <row r="164" spans="8:43" x14ac:dyDescent="0.25">
      <c r="H164" s="15">
        <v>2.61</v>
      </c>
      <c r="I164" s="45">
        <f t="shared" si="94"/>
        <v>4073.8027780411271</v>
      </c>
      <c r="J164" s="32">
        <f t="shared" si="95"/>
        <v>113.01560798499901</v>
      </c>
      <c r="K164" s="32">
        <f t="shared" si="96"/>
        <v>10.421632289150878</v>
      </c>
      <c r="L164" s="15">
        <f t="shared" si="70"/>
        <v>3.8729613733905581</v>
      </c>
      <c r="M164" s="15">
        <f t="shared" si="71"/>
        <v>-0.95725457609712838</v>
      </c>
      <c r="N164" s="15">
        <f t="shared" si="72"/>
        <v>1.2123113022156561E-3</v>
      </c>
      <c r="O164" s="15">
        <f t="shared" si="73"/>
        <v>-82.304910496978195</v>
      </c>
      <c r="P164" s="15">
        <f t="shared" si="74"/>
        <v>-17.464307156252683</v>
      </c>
      <c r="Q164" s="15">
        <f t="shared" si="75"/>
        <v>-0.15278944569460878</v>
      </c>
      <c r="R164" s="15">
        <f t="shared" si="76"/>
        <v>-3.0883482874712352E-5</v>
      </c>
      <c r="S164" s="31">
        <f t="shared" si="97"/>
        <v>-83.414954518769932</v>
      </c>
      <c r="T164" s="31">
        <f t="shared" si="98"/>
        <v>-5.7022624161683808</v>
      </c>
      <c r="U164" s="15">
        <f t="shared" si="77"/>
        <v>6500</v>
      </c>
      <c r="V164" s="15">
        <f t="shared" si="78"/>
        <v>-89.993216890590745</v>
      </c>
      <c r="W164" s="15">
        <f t="shared" si="79"/>
        <v>-78.533876225589125</v>
      </c>
      <c r="X164" s="15">
        <f t="shared" si="80"/>
        <v>81.643982109110098</v>
      </c>
      <c r="Y164" s="15">
        <f t="shared" si="81"/>
        <v>16.753277767988244</v>
      </c>
      <c r="Z164" s="15">
        <f t="shared" si="82"/>
        <v>-2.5987366316801852</v>
      </c>
      <c r="AA164" s="15">
        <f t="shared" si="83"/>
        <v>-8.9374277757727789E-3</v>
      </c>
      <c r="AB164" s="31">
        <f t="shared" si="99"/>
        <v>-10.947971413160833</v>
      </c>
      <c r="AC164" s="31">
        <f t="shared" si="100"/>
        <v>14.468731247480459</v>
      </c>
      <c r="AD164" s="15">
        <f t="shared" si="84"/>
        <v>34.99838397851039</v>
      </c>
      <c r="AE164" s="15">
        <f t="shared" si="85"/>
        <v>1.732538076579506</v>
      </c>
      <c r="AF164" s="15">
        <f t="shared" si="86"/>
        <v>1.6498900795031191E-2</v>
      </c>
      <c r="AG164" s="15">
        <f t="shared" si="87"/>
        <v>3.6012151977751952E-7</v>
      </c>
      <c r="AH164" s="15">
        <f t="shared" si="88"/>
        <v>-7.6363489623756582</v>
      </c>
      <c r="AI164" s="15">
        <f t="shared" si="89"/>
        <v>-7.7374978862226634E-2</v>
      </c>
      <c r="AJ164" s="31">
        <f t="shared" si="101"/>
        <v>27.378533916929761</v>
      </c>
      <c r="AK164" s="31">
        <f t="shared" si="102"/>
        <v>1.655163457838799</v>
      </c>
      <c r="AL164" s="15">
        <f t="shared" si="90"/>
        <v>0</v>
      </c>
      <c r="AM164" s="15">
        <f t="shared" si="91"/>
        <v>0</v>
      </c>
      <c r="AN164" s="15">
        <f t="shared" si="92"/>
        <v>0</v>
      </c>
      <c r="AO164" s="15">
        <f t="shared" si="93"/>
        <v>0</v>
      </c>
      <c r="AP164" s="31">
        <f t="shared" si="103"/>
        <v>0</v>
      </c>
      <c r="AQ164" s="31">
        <f t="shared" si="104"/>
        <v>0</v>
      </c>
    </row>
    <row r="165" spans="8:43" x14ac:dyDescent="0.25">
      <c r="H165" s="15">
        <v>2.62</v>
      </c>
      <c r="I165" s="45">
        <f t="shared" si="94"/>
        <v>4168.6938347033574</v>
      </c>
      <c r="J165" s="32">
        <f t="shared" si="95"/>
        <v>113.39056172771589</v>
      </c>
      <c r="K165" s="32">
        <f t="shared" si="96"/>
        <v>10.283845025268381</v>
      </c>
      <c r="L165" s="15">
        <f t="shared" si="70"/>
        <v>3.8729613733905581</v>
      </c>
      <c r="M165" s="15">
        <f t="shared" si="71"/>
        <v>-0.97954760445934397</v>
      </c>
      <c r="N165" s="15">
        <f t="shared" si="72"/>
        <v>1.2694374243030239E-3</v>
      </c>
      <c r="O165" s="15">
        <f t="shared" si="73"/>
        <v>-82.478043491794736</v>
      </c>
      <c r="P165" s="15">
        <f t="shared" si="74"/>
        <v>-17.660801147916281</v>
      </c>
      <c r="Q165" s="15">
        <f t="shared" si="75"/>
        <v>-0.15634835160761557</v>
      </c>
      <c r="R165" s="15">
        <f t="shared" si="76"/>
        <v>-3.2338971162021957E-5</v>
      </c>
      <c r="S165" s="31">
        <f t="shared" si="97"/>
        <v>-83.613939447861696</v>
      </c>
      <c r="T165" s="31">
        <f t="shared" si="98"/>
        <v>-5.898700737198177</v>
      </c>
      <c r="U165" s="15">
        <f t="shared" si="77"/>
        <v>6500</v>
      </c>
      <c r="V165" s="15">
        <f t="shared" si="78"/>
        <v>-89.993371293010071</v>
      </c>
      <c r="W165" s="15">
        <f t="shared" si="79"/>
        <v>-78.733876222849574</v>
      </c>
      <c r="X165" s="15">
        <f t="shared" si="80"/>
        <v>81.831592229900934</v>
      </c>
      <c r="Y165" s="15">
        <f t="shared" si="81"/>
        <v>16.949147796277828</v>
      </c>
      <c r="Z165" s="15">
        <f t="shared" si="82"/>
        <v>-2.6591830825487954</v>
      </c>
      <c r="AA165" s="15">
        <f t="shared" si="83"/>
        <v>-9.3581822788907903E-3</v>
      </c>
      <c r="AB165" s="31">
        <f t="shared" si="99"/>
        <v>-10.820962145657932</v>
      </c>
      <c r="AC165" s="31">
        <f t="shared" si="100"/>
        <v>14.464180524006476</v>
      </c>
      <c r="AD165" s="15">
        <f t="shared" si="84"/>
        <v>35.620630716667442</v>
      </c>
      <c r="AE165" s="15">
        <f t="shared" si="85"/>
        <v>1.7993526154961543</v>
      </c>
      <c r="AF165" s="15">
        <f t="shared" si="86"/>
        <v>1.6883209541897894E-2</v>
      </c>
      <c r="AG165" s="15">
        <f t="shared" si="87"/>
        <v>3.7709352431890321E-7</v>
      </c>
      <c r="AH165" s="15">
        <f t="shared" si="88"/>
        <v>-7.8120506049738285</v>
      </c>
      <c r="AI165" s="15">
        <f t="shared" si="89"/>
        <v>-8.0987754129597633E-2</v>
      </c>
      <c r="AJ165" s="31">
        <f t="shared" si="101"/>
        <v>27.82546332123551</v>
      </c>
      <c r="AK165" s="31">
        <f t="shared" si="102"/>
        <v>1.7183652384600812</v>
      </c>
      <c r="AL165" s="15">
        <f t="shared" si="90"/>
        <v>0</v>
      </c>
      <c r="AM165" s="15">
        <f t="shared" si="91"/>
        <v>0</v>
      </c>
      <c r="AN165" s="15">
        <f t="shared" si="92"/>
        <v>0</v>
      </c>
      <c r="AO165" s="15">
        <f t="shared" si="93"/>
        <v>0</v>
      </c>
      <c r="AP165" s="31">
        <f t="shared" si="103"/>
        <v>0</v>
      </c>
      <c r="AQ165" s="31">
        <f t="shared" si="104"/>
        <v>0</v>
      </c>
    </row>
    <row r="166" spans="8:43" x14ac:dyDescent="0.25">
      <c r="H166" s="15">
        <v>2.63</v>
      </c>
      <c r="I166" s="45">
        <f t="shared" si="94"/>
        <v>4265.7951880159289</v>
      </c>
      <c r="J166" s="32">
        <f t="shared" si="95"/>
        <v>113.76391610769865</v>
      </c>
      <c r="K166" s="32">
        <f t="shared" si="96"/>
        <v>10.14796494483863</v>
      </c>
      <c r="L166" s="15">
        <f t="shared" si="70"/>
        <v>3.8729613733905581</v>
      </c>
      <c r="M166" s="15">
        <f t="shared" si="71"/>
        <v>-1.0023595970516517</v>
      </c>
      <c r="N166" s="15">
        <f t="shared" si="72"/>
        <v>1.3292550122109704E-3</v>
      </c>
      <c r="O166" s="15">
        <f t="shared" si="73"/>
        <v>-82.647369104548233</v>
      </c>
      <c r="P166" s="15">
        <f t="shared" si="74"/>
        <v>-17.857450291732459</v>
      </c>
      <c r="Q166" s="15">
        <f t="shared" si="75"/>
        <v>-0.15999015383942333</v>
      </c>
      <c r="R166" s="15">
        <f t="shared" si="76"/>
        <v>-3.3863053977225139E-5</v>
      </c>
      <c r="S166" s="31">
        <f t="shared" si="97"/>
        <v>-83.8097188554393</v>
      </c>
      <c r="T166" s="31">
        <f t="shared" si="98"/>
        <v>-6.0952915875092621</v>
      </c>
      <c r="U166" s="15">
        <f t="shared" si="77"/>
        <v>6500</v>
      </c>
      <c r="V166" s="15">
        <f t="shared" si="78"/>
        <v>-89.993522180801335</v>
      </c>
      <c r="W166" s="15">
        <f t="shared" si="79"/>
        <v>-78.933876220233316</v>
      </c>
      <c r="X166" s="15">
        <f t="shared" si="80"/>
        <v>82.01510239088644</v>
      </c>
      <c r="Y166" s="15">
        <f t="shared" si="81"/>
        <v>17.14520003425428</v>
      </c>
      <c r="Z166" s="15">
        <f t="shared" si="82"/>
        <v>-2.7210313794734393</v>
      </c>
      <c r="AA166" s="15">
        <f t="shared" si="83"/>
        <v>-9.7987226445562219E-3</v>
      </c>
      <c r="AB166" s="31">
        <f t="shared" si="99"/>
        <v>-10.699451169388334</v>
      </c>
      <c r="AC166" s="31">
        <f t="shared" si="100"/>
        <v>14.459792224233523</v>
      </c>
      <c r="AD166" s="15">
        <f t="shared" si="84"/>
        <v>36.247501581338035</v>
      </c>
      <c r="AE166" s="15">
        <f t="shared" si="85"/>
        <v>1.868231489096942</v>
      </c>
      <c r="AF166" s="15">
        <f t="shared" si="86"/>
        <v>1.7276469987865851E-2</v>
      </c>
      <c r="AG166" s="15">
        <f t="shared" si="87"/>
        <v>3.9486539406524119E-7</v>
      </c>
      <c r="AH166" s="15">
        <f t="shared" si="88"/>
        <v>-7.9916919187996083</v>
      </c>
      <c r="AI166" s="15">
        <f t="shared" si="89"/>
        <v>-8.4767575847966653E-2</v>
      </c>
      <c r="AJ166" s="31">
        <f t="shared" si="101"/>
        <v>28.273086132526288</v>
      </c>
      <c r="AK166" s="31">
        <f t="shared" si="102"/>
        <v>1.7834643081143695</v>
      </c>
      <c r="AL166" s="15">
        <f t="shared" si="90"/>
        <v>0</v>
      </c>
      <c r="AM166" s="15">
        <f t="shared" si="91"/>
        <v>0</v>
      </c>
      <c r="AN166" s="15">
        <f t="shared" si="92"/>
        <v>0</v>
      </c>
      <c r="AO166" s="15">
        <f t="shared" si="93"/>
        <v>0</v>
      </c>
      <c r="AP166" s="31">
        <f t="shared" si="103"/>
        <v>0</v>
      </c>
      <c r="AQ166" s="31">
        <f t="shared" si="104"/>
        <v>0</v>
      </c>
    </row>
    <row r="167" spans="8:43" x14ac:dyDescent="0.25">
      <c r="H167" s="15">
        <v>2.64</v>
      </c>
      <c r="I167" s="45">
        <f t="shared" si="94"/>
        <v>4365.1583224016622</v>
      </c>
      <c r="J167" s="32">
        <f t="shared" si="95"/>
        <v>114.13528029213475</v>
      </c>
      <c r="K167" s="32">
        <f t="shared" si="96"/>
        <v>10.014012336434078</v>
      </c>
      <c r="L167" s="15">
        <f t="shared" si="70"/>
        <v>3.8729613733905581</v>
      </c>
      <c r="M167" s="15">
        <f t="shared" si="71"/>
        <v>-1.0257026201488162</v>
      </c>
      <c r="N167" s="15">
        <f t="shared" si="72"/>
        <v>1.391890833140598E-3</v>
      </c>
      <c r="O167" s="15">
        <f t="shared" si="73"/>
        <v>-82.812965276878927</v>
      </c>
      <c r="P167" s="15">
        <f t="shared" si="74"/>
        <v>-18.054247833639682</v>
      </c>
      <c r="Q167" s="15">
        <f t="shared" si="75"/>
        <v>-0.16371678320400837</v>
      </c>
      <c r="R167" s="15">
        <f t="shared" si="76"/>
        <v>-3.5458964028413607E-5</v>
      </c>
      <c r="S167" s="31">
        <f t="shared" si="97"/>
        <v>-84.002384680231756</v>
      </c>
      <c r="T167" s="31">
        <f t="shared" si="98"/>
        <v>-6.2920280895056067</v>
      </c>
      <c r="U167" s="15">
        <f t="shared" si="77"/>
        <v>6500</v>
      </c>
      <c r="V167" s="15">
        <f t="shared" si="78"/>
        <v>-89.993669633967215</v>
      </c>
      <c r="W167" s="15">
        <f t="shared" si="79"/>
        <v>-79.133876217734795</v>
      </c>
      <c r="X167" s="15">
        <f t="shared" si="80"/>
        <v>82.194594823700683</v>
      </c>
      <c r="Y167" s="15">
        <f t="shared" si="81"/>
        <v>17.341426597926986</v>
      </c>
      <c r="Z167" s="15">
        <f t="shared" si="82"/>
        <v>-2.784313738373922</v>
      </c>
      <c r="AA167" s="15">
        <f t="shared" si="83"/>
        <v>-1.0259977146697585E-2</v>
      </c>
      <c r="AB167" s="31">
        <f t="shared" si="99"/>
        <v>-10.583388548640453</v>
      </c>
      <c r="AC167" s="31">
        <f t="shared" si="100"/>
        <v>14.455557535902608</v>
      </c>
      <c r="AD167" s="15">
        <f t="shared" si="84"/>
        <v>36.8787286475591</v>
      </c>
      <c r="AE167" s="15">
        <f t="shared" si="85"/>
        <v>1.9392044888721391</v>
      </c>
      <c r="AF167" s="15">
        <f t="shared" si="86"/>
        <v>1.7678890644680659E-2</v>
      </c>
      <c r="AG167" s="15">
        <f t="shared" si="87"/>
        <v>4.1347482457049663E-7</v>
      </c>
      <c r="AH167" s="15">
        <f t="shared" si="88"/>
        <v>-8.175354017196824</v>
      </c>
      <c r="AI167" s="15">
        <f t="shared" si="89"/>
        <v>-8.8722012309887938E-2</v>
      </c>
      <c r="AJ167" s="31">
        <f t="shared" si="101"/>
        <v>28.721053521006958</v>
      </c>
      <c r="AK167" s="31">
        <f t="shared" si="102"/>
        <v>1.8504828900370758</v>
      </c>
      <c r="AL167" s="15">
        <f t="shared" si="90"/>
        <v>0</v>
      </c>
      <c r="AM167" s="15">
        <f t="shared" si="91"/>
        <v>0</v>
      </c>
      <c r="AN167" s="15">
        <f t="shared" si="92"/>
        <v>0</v>
      </c>
      <c r="AO167" s="15">
        <f t="shared" si="93"/>
        <v>0</v>
      </c>
      <c r="AP167" s="31">
        <f t="shared" si="103"/>
        <v>0</v>
      </c>
      <c r="AQ167" s="31">
        <f t="shared" si="104"/>
        <v>0</v>
      </c>
    </row>
    <row r="168" spans="8:43" x14ac:dyDescent="0.25">
      <c r="H168" s="15">
        <v>2.65</v>
      </c>
      <c r="I168" s="45">
        <f t="shared" si="94"/>
        <v>4466.8359215096334</v>
      </c>
      <c r="J168" s="32">
        <f t="shared" si="95"/>
        <v>114.50425101299204</v>
      </c>
      <c r="K168" s="32">
        <f t="shared" si="96"/>
        <v>9.8820055489524403</v>
      </c>
      <c r="L168" s="15">
        <f t="shared" si="70"/>
        <v>3.8729613733905581</v>
      </c>
      <c r="M168" s="15">
        <f t="shared" si="71"/>
        <v>-1.0495890195161428</v>
      </c>
      <c r="N168" s="15">
        <f t="shared" si="72"/>
        <v>1.4574776211565864E-3</v>
      </c>
      <c r="O168" s="15">
        <f t="shared" si="73"/>
        <v>-82.974908738048569</v>
      </c>
      <c r="P168" s="15">
        <f t="shared" si="74"/>
        <v>-18.251187303888912</v>
      </c>
      <c r="Q168" s="15">
        <f t="shared" si="75"/>
        <v>-0.1675302154833922</v>
      </c>
      <c r="R168" s="15">
        <f t="shared" si="76"/>
        <v>-3.7130086374947361E-5</v>
      </c>
      <c r="S168" s="31">
        <f t="shared" si="97"/>
        <v>-84.192027973048113</v>
      </c>
      <c r="T168" s="31">
        <f t="shared" si="98"/>
        <v>-6.4889036440891674</v>
      </c>
      <c r="U168" s="15">
        <f t="shared" si="77"/>
        <v>6500</v>
      </c>
      <c r="V168" s="15">
        <f t="shared" si="78"/>
        <v>-89.993813730689368</v>
      </c>
      <c r="W168" s="15">
        <f t="shared" si="79"/>
        <v>-79.333876215348752</v>
      </c>
      <c r="X168" s="15">
        <f t="shared" si="80"/>
        <v>82.370150597862136</v>
      </c>
      <c r="Y168" s="15">
        <f t="shared" si="81"/>
        <v>17.537819931040872</v>
      </c>
      <c r="Z168" s="15">
        <f t="shared" si="82"/>
        <v>-2.849063094464285</v>
      </c>
      <c r="AA168" s="15">
        <f t="shared" si="83"/>
        <v>-1.0742917403181017E-2</v>
      </c>
      <c r="AB168" s="31">
        <f t="shared" si="99"/>
        <v>-10.472726227291517</v>
      </c>
      <c r="AC168" s="31">
        <f t="shared" si="100"/>
        <v>14.451467931146052</v>
      </c>
      <c r="AD168" s="15">
        <f t="shared" si="84"/>
        <v>37.514033703353405</v>
      </c>
      <c r="AE168" s="15">
        <f t="shared" si="85"/>
        <v>2.0122997889513687</v>
      </c>
      <c r="AF168" s="15">
        <f t="shared" si="86"/>
        <v>1.8090684880942318E-2</v>
      </c>
      <c r="AG168" s="15">
        <f t="shared" si="87"/>
        <v>4.3296129153648955E-7</v>
      </c>
      <c r="AH168" s="15">
        <f t="shared" si="88"/>
        <v>-8.3631191749026801</v>
      </c>
      <c r="AI168" s="15">
        <f t="shared" si="89"/>
        <v>-9.2858960017104974E-2</v>
      </c>
      <c r="AJ168" s="31">
        <f t="shared" si="101"/>
        <v>29.169005213331673</v>
      </c>
      <c r="AK168" s="31">
        <f t="shared" si="102"/>
        <v>1.9194412618955554</v>
      </c>
      <c r="AL168" s="15">
        <f t="shared" si="90"/>
        <v>0</v>
      </c>
      <c r="AM168" s="15">
        <f t="shared" si="91"/>
        <v>0</v>
      </c>
      <c r="AN168" s="15">
        <f t="shared" si="92"/>
        <v>0</v>
      </c>
      <c r="AO168" s="15">
        <f t="shared" si="93"/>
        <v>0</v>
      </c>
      <c r="AP168" s="31">
        <f t="shared" si="103"/>
        <v>0</v>
      </c>
      <c r="AQ168" s="31">
        <f t="shared" si="104"/>
        <v>0</v>
      </c>
    </row>
    <row r="169" spans="8:43" x14ac:dyDescent="0.25">
      <c r="H169" s="15">
        <v>2.66</v>
      </c>
      <c r="I169" s="45">
        <f t="shared" si="94"/>
        <v>4570.8818961487559</v>
      </c>
      <c r="J169" s="32">
        <f t="shared" si="95"/>
        <v>114.87041305468532</v>
      </c>
      <c r="K169" s="32">
        <f t="shared" si="96"/>
        <v>9.7519608714159265</v>
      </c>
      <c r="L169" s="15">
        <f t="shared" si="70"/>
        <v>3.8729613733905581</v>
      </c>
      <c r="M169" s="15">
        <f t="shared" si="71"/>
        <v>-1.0740314268075648</v>
      </c>
      <c r="N169" s="15">
        <f t="shared" si="72"/>
        <v>1.5261543576733253E-3</v>
      </c>
      <c r="O169" s="15">
        <f t="shared" si="73"/>
        <v>-83.133274997219715</v>
      </c>
      <c r="P169" s="15">
        <f t="shared" si="74"/>
        <v>-18.448262505918372</v>
      </c>
      <c r="Q169" s="15">
        <f t="shared" si="75"/>
        <v>-0.17143247247462581</v>
      </c>
      <c r="R169" s="15">
        <f t="shared" si="76"/>
        <v>-3.8879965601592159E-5</v>
      </c>
      <c r="S169" s="31">
        <f t="shared" si="97"/>
        <v>-84.378738896501901</v>
      </c>
      <c r="T169" s="31">
        <f t="shared" si="98"/>
        <v>-6.6859119192613372</v>
      </c>
      <c r="U169" s="15">
        <f t="shared" si="77"/>
        <v>6500</v>
      </c>
      <c r="V169" s="15">
        <f t="shared" si="78"/>
        <v>-89.993954547369725</v>
      </c>
      <c r="W169" s="15">
        <f t="shared" si="79"/>
        <v>-79.533876213070087</v>
      </c>
      <c r="X169" s="15">
        <f t="shared" si="80"/>
        <v>82.541849603108616</v>
      </c>
      <c r="Y169" s="15">
        <f t="shared" si="81"/>
        <v>17.734372792613353</v>
      </c>
      <c r="Z169" s="15">
        <f t="shared" si="82"/>
        <v>-2.9153131168020185</v>
      </c>
      <c r="AA169" s="15">
        <f t="shared" si="83"/>
        <v>-1.1248560379767503E-2</v>
      </c>
      <c r="AB169" s="31">
        <f t="shared" si="99"/>
        <v>-10.367418061063127</v>
      </c>
      <c r="AC169" s="31">
        <f t="shared" si="100"/>
        <v>14.447515152020612</v>
      </c>
      <c r="AD169" s="15">
        <f t="shared" si="84"/>
        <v>38.153128748246651</v>
      </c>
      <c r="AE169" s="15">
        <f t="shared" si="85"/>
        <v>2.0875438418203043</v>
      </c>
      <c r="AF169" s="15">
        <f t="shared" si="86"/>
        <v>1.8512071035235386E-2</v>
      </c>
      <c r="AG169" s="15">
        <f t="shared" si="87"/>
        <v>4.5336612795903127E-7</v>
      </c>
      <c r="AH169" s="15">
        <f t="shared" si="88"/>
        <v>-8.5550708070315249</v>
      </c>
      <c r="AI169" s="15">
        <f t="shared" si="89"/>
        <v>-9.7186656529780119E-2</v>
      </c>
      <c r="AJ169" s="31">
        <f t="shared" si="101"/>
        <v>29.616570012250357</v>
      </c>
      <c r="AK169" s="31">
        <f t="shared" si="102"/>
        <v>1.9903576386566519</v>
      </c>
      <c r="AL169" s="15">
        <f t="shared" si="90"/>
        <v>0</v>
      </c>
      <c r="AM169" s="15">
        <f t="shared" si="91"/>
        <v>0</v>
      </c>
      <c r="AN169" s="15">
        <f t="shared" si="92"/>
        <v>0</v>
      </c>
      <c r="AO169" s="15">
        <f t="shared" si="93"/>
        <v>0</v>
      </c>
      <c r="AP169" s="31">
        <f t="shared" si="103"/>
        <v>0</v>
      </c>
      <c r="AQ169" s="31">
        <f t="shared" si="104"/>
        <v>0</v>
      </c>
    </row>
    <row r="170" spans="8:43" x14ac:dyDescent="0.25">
      <c r="H170" s="15">
        <v>2.67</v>
      </c>
      <c r="I170" s="45">
        <f t="shared" si="94"/>
        <v>4677.3514128719835</v>
      </c>
      <c r="J170" s="32">
        <f t="shared" si="95"/>
        <v>115.23333980006751</v>
      </c>
      <c r="K170" s="32">
        <f t="shared" si="96"/>
        <v>9.6238924167121489</v>
      </c>
      <c r="L170" s="15">
        <f t="shared" si="70"/>
        <v>3.8729613733905581</v>
      </c>
      <c r="M170" s="15">
        <f t="shared" si="71"/>
        <v>-1.0990427661047535</v>
      </c>
      <c r="N170" s="15">
        <f t="shared" si="72"/>
        <v>1.5980665650920031E-3</v>
      </c>
      <c r="O170" s="15">
        <f t="shared" si="73"/>
        <v>-83.288138338039431</v>
      </c>
      <c r="P170" s="15">
        <f t="shared" si="74"/>
        <v>-18.645467505589426</v>
      </c>
      <c r="Q170" s="15">
        <f t="shared" si="75"/>
        <v>-0.17542562306112702</v>
      </c>
      <c r="R170" s="15">
        <f t="shared" si="76"/>
        <v>-4.0712313341699171E-5</v>
      </c>
      <c r="S170" s="31">
        <f t="shared" si="97"/>
        <v>-84.562606727205321</v>
      </c>
      <c r="T170" s="31">
        <f t="shared" si="98"/>
        <v>-6.8830468390727129</v>
      </c>
      <c r="U170" s="15">
        <f t="shared" si="77"/>
        <v>6500</v>
      </c>
      <c r="V170" s="15">
        <f t="shared" si="78"/>
        <v>-89.994092158671194</v>
      </c>
      <c r="W170" s="15">
        <f t="shared" si="79"/>
        <v>-79.733876210893968</v>
      </c>
      <c r="X170" s="15">
        <f t="shared" si="80"/>
        <v>82.709770534740201</v>
      </c>
      <c r="Y170" s="15">
        <f t="shared" si="81"/>
        <v>17.931078244843022</v>
      </c>
      <c r="Z170" s="15">
        <f t="shared" si="82"/>
        <v>-2.9830982230208196</v>
      </c>
      <c r="AA170" s="15">
        <f t="shared" si="83"/>
        <v>-1.1777970484788791E-2</v>
      </c>
      <c r="AB170" s="31">
        <f t="shared" si="99"/>
        <v>-10.267419846951812</v>
      </c>
      <c r="AC170" s="31">
        <f t="shared" si="100"/>
        <v>14.44369119632138</v>
      </c>
      <c r="AD170" s="15">
        <f t="shared" si="84"/>
        <v>38.795716546286855</v>
      </c>
      <c r="AE170" s="15">
        <f t="shared" si="85"/>
        <v>2.1649612784178034</v>
      </c>
      <c r="AF170" s="15">
        <f t="shared" si="86"/>
        <v>1.8943272531894078E-2</v>
      </c>
      <c r="AG170" s="15">
        <f t="shared" si="87"/>
        <v>4.747326147746378E-7</v>
      </c>
      <c r="AH170" s="15">
        <f t="shared" si="88"/>
        <v>-8.7512934445940971</v>
      </c>
      <c r="AI170" s="15">
        <f t="shared" si="89"/>
        <v>-0.10171369368693541</v>
      </c>
      <c r="AJ170" s="31">
        <f t="shared" si="101"/>
        <v>30.06336637422465</v>
      </c>
      <c r="AK170" s="31">
        <f t="shared" si="102"/>
        <v>2.0632480594634828</v>
      </c>
      <c r="AL170" s="15">
        <f t="shared" si="90"/>
        <v>0</v>
      </c>
      <c r="AM170" s="15">
        <f t="shared" si="91"/>
        <v>0</v>
      </c>
      <c r="AN170" s="15">
        <f t="shared" si="92"/>
        <v>0</v>
      </c>
      <c r="AO170" s="15">
        <f t="shared" si="93"/>
        <v>0</v>
      </c>
      <c r="AP170" s="31">
        <f t="shared" si="103"/>
        <v>0</v>
      </c>
      <c r="AQ170" s="31">
        <f t="shared" si="104"/>
        <v>0</v>
      </c>
    </row>
    <row r="171" spans="8:43" x14ac:dyDescent="0.25">
      <c r="H171" s="15">
        <v>2.68</v>
      </c>
      <c r="I171" s="45">
        <f t="shared" si="94"/>
        <v>4786.3009232263885</v>
      </c>
      <c r="J171" s="32">
        <f t="shared" si="95"/>
        <v>115.59259383308689</v>
      </c>
      <c r="K171" s="32">
        <f t="shared" si="96"/>
        <v>9.4978120100442478</v>
      </c>
      <c r="L171" s="15">
        <f t="shared" si="70"/>
        <v>3.8729613733905581</v>
      </c>
      <c r="M171" s="15">
        <f t="shared" si="71"/>
        <v>-1.1246362605999907</v>
      </c>
      <c r="N171" s="15">
        <f t="shared" si="72"/>
        <v>1.6733666142069936E-3</v>
      </c>
      <c r="O171" s="15">
        <f t="shared" si="73"/>
        <v>-83.439571815356487</v>
      </c>
      <c r="P171" s="15">
        <f t="shared" si="74"/>
        <v>-18.84279662077893</v>
      </c>
      <c r="Q171" s="15">
        <f t="shared" si="75"/>
        <v>-0.17951178430893946</v>
      </c>
      <c r="R171" s="15">
        <f t="shared" si="76"/>
        <v>-4.2631016139779474E-5</v>
      </c>
      <c r="S171" s="31">
        <f t="shared" si="97"/>
        <v>-84.743719860265415</v>
      </c>
      <c r="T171" s="31">
        <f t="shared" si="98"/>
        <v>-7.0803025729158993</v>
      </c>
      <c r="U171" s="15">
        <f t="shared" si="77"/>
        <v>6500</v>
      </c>
      <c r="V171" s="15">
        <f t="shared" si="78"/>
        <v>-89.994226637557063</v>
      </c>
      <c r="W171" s="15">
        <f t="shared" si="79"/>
        <v>-79.933876208815803</v>
      </c>
      <c r="X171" s="15">
        <f t="shared" si="80"/>
        <v>82.873990881762197</v>
      </c>
      <c r="Y171" s="15">
        <f t="shared" si="81"/>
        <v>18.127929641388679</v>
      </c>
      <c r="Z171" s="15">
        <f t="shared" si="82"/>
        <v>-3.0524535942404007</v>
      </c>
      <c r="AA171" s="15">
        <f t="shared" si="83"/>
        <v>-1.2332261758479242E-2</v>
      </c>
      <c r="AB171" s="31">
        <f t="shared" si="99"/>
        <v>-10.172689350035267</v>
      </c>
      <c r="AC171" s="31">
        <f t="shared" si="100"/>
        <v>14.439988303671511</v>
      </c>
      <c r="AD171" s="15">
        <f t="shared" si="84"/>
        <v>39.441491231699466</v>
      </c>
      <c r="AE171" s="15">
        <f t="shared" si="85"/>
        <v>2.2445748133780619</v>
      </c>
      <c r="AF171" s="15">
        <f t="shared" si="86"/>
        <v>1.9384517999464116E-2</v>
      </c>
      <c r="AG171" s="15">
        <f t="shared" si="87"/>
        <v>4.9710607150723708E-7</v>
      </c>
      <c r="AH171" s="15">
        <f t="shared" si="88"/>
        <v>-8.9518727063113523</v>
      </c>
      <c r="AI171" s="15">
        <f t="shared" si="89"/>
        <v>-0.1064490311954967</v>
      </c>
      <c r="AJ171" s="31">
        <f t="shared" si="101"/>
        <v>30.509003043387576</v>
      </c>
      <c r="AK171" s="31">
        <f t="shared" si="102"/>
        <v>2.1381262792886364</v>
      </c>
      <c r="AL171" s="15">
        <f t="shared" si="90"/>
        <v>0</v>
      </c>
      <c r="AM171" s="15">
        <f t="shared" si="91"/>
        <v>0</v>
      </c>
      <c r="AN171" s="15">
        <f t="shared" si="92"/>
        <v>0</v>
      </c>
      <c r="AO171" s="15">
        <f t="shared" si="93"/>
        <v>0</v>
      </c>
      <c r="AP171" s="31">
        <f t="shared" si="103"/>
        <v>0</v>
      </c>
      <c r="AQ171" s="31">
        <f t="shared" si="104"/>
        <v>0</v>
      </c>
    </row>
    <row r="172" spans="8:43" x14ac:dyDescent="0.25">
      <c r="H172" s="15">
        <v>2.69</v>
      </c>
      <c r="I172" s="45">
        <f t="shared" si="94"/>
        <v>4897.7881936844624</v>
      </c>
      <c r="J172" s="32">
        <f t="shared" si="95"/>
        <v>115.94772759593025</v>
      </c>
      <c r="K172" s="32">
        <f t="shared" si="96"/>
        <v>9.3737290828385564</v>
      </c>
      <c r="L172" s="15">
        <f t="shared" si="70"/>
        <v>3.8729613733905581</v>
      </c>
      <c r="M172" s="15">
        <f t="shared" si="71"/>
        <v>-1.1508254394254966</v>
      </c>
      <c r="N172" s="15">
        <f t="shared" si="72"/>
        <v>1.7522140459934488E-3</v>
      </c>
      <c r="O172" s="15">
        <f t="shared" si="73"/>
        <v>-83.587647253910518</v>
      </c>
      <c r="P172" s="15">
        <f t="shared" si="74"/>
        <v>-19.040244411322092</v>
      </c>
      <c r="Q172" s="15">
        <f t="shared" si="75"/>
        <v>-0.18369312258848602</v>
      </c>
      <c r="R172" s="15">
        <f t="shared" si="76"/>
        <v>-4.4640143705542142E-5</v>
      </c>
      <c r="S172" s="31">
        <f t="shared" si="97"/>
        <v>-84.922165815924501</v>
      </c>
      <c r="T172" s="31">
        <f t="shared" si="98"/>
        <v>-7.2776735251548423</v>
      </c>
      <c r="U172" s="15">
        <f t="shared" si="77"/>
        <v>6500</v>
      </c>
      <c r="V172" s="15">
        <f t="shared" si="78"/>
        <v>-89.99435805532984</v>
      </c>
      <c r="W172" s="15">
        <f t="shared" si="79"/>
        <v>-80.133876206831161</v>
      </c>
      <c r="X172" s="15">
        <f t="shared" si="80"/>
        <v>83.034586917631117</v>
      </c>
      <c r="Y172" s="15">
        <f t="shared" si="81"/>
        <v>18.324920616015735</v>
      </c>
      <c r="Z172" s="15">
        <f t="shared" si="82"/>
        <v>-3.1234151901458342</v>
      </c>
      <c r="AA172" s="15">
        <f t="shared" si="83"/>
        <v>-1.2912600161039744E-2</v>
      </c>
      <c r="AB172" s="31">
        <f t="shared" si="99"/>
        <v>-10.083186327844558</v>
      </c>
      <c r="AC172" s="31">
        <f t="shared" si="100"/>
        <v>14.436398941880649</v>
      </c>
      <c r="AD172" s="15">
        <f t="shared" si="84"/>
        <v>40.090138964777424</v>
      </c>
      <c r="AE172" s="15">
        <f t="shared" si="85"/>
        <v>2.3264051561625063</v>
      </c>
      <c r="AF172" s="15">
        <f t="shared" si="86"/>
        <v>1.9836041391923444E-2</v>
      </c>
      <c r="AG172" s="15">
        <f t="shared" si="87"/>
        <v>5.2053395848679733E-7</v>
      </c>
      <c r="AH172" s="15">
        <f t="shared" si="88"/>
        <v>-9.1568952664700376</v>
      </c>
      <c r="AI172" s="15">
        <f t="shared" si="89"/>
        <v>-0.11140201058371539</v>
      </c>
      <c r="AJ172" s="31">
        <f t="shared" si="101"/>
        <v>30.953079739699312</v>
      </c>
      <c r="AK172" s="31">
        <f t="shared" si="102"/>
        <v>2.2150036661127497</v>
      </c>
      <c r="AL172" s="15">
        <f t="shared" si="90"/>
        <v>0</v>
      </c>
      <c r="AM172" s="15">
        <f t="shared" si="91"/>
        <v>0</v>
      </c>
      <c r="AN172" s="15">
        <f t="shared" si="92"/>
        <v>0</v>
      </c>
      <c r="AO172" s="15">
        <f t="shared" si="93"/>
        <v>0</v>
      </c>
      <c r="AP172" s="31">
        <f t="shared" si="103"/>
        <v>0</v>
      </c>
      <c r="AQ172" s="31">
        <f t="shared" si="104"/>
        <v>0</v>
      </c>
    </row>
    <row r="173" spans="8:43" x14ac:dyDescent="0.25">
      <c r="H173" s="15">
        <v>2.7</v>
      </c>
      <c r="I173" s="45">
        <f t="shared" si="94"/>
        <v>5011.8723362727269</v>
      </c>
      <c r="J173" s="32">
        <f t="shared" si="95"/>
        <v>116.29828409796556</v>
      </c>
      <c r="K173" s="32">
        <f t="shared" si="96"/>
        <v>9.2516505728304974</v>
      </c>
      <c r="L173" s="15">
        <f t="shared" si="70"/>
        <v>3.8729613733905581</v>
      </c>
      <c r="M173" s="15">
        <f t="shared" si="71"/>
        <v>-1.1776241446320332</v>
      </c>
      <c r="N173" s="15">
        <f t="shared" si="72"/>
        <v>1.8347759085030387E-3</v>
      </c>
      <c r="O173" s="15">
        <f t="shared" si="73"/>
        <v>-83.732435248840858</v>
      </c>
      <c r="P173" s="15">
        <f t="shared" si="74"/>
        <v>-19.237805669300126</v>
      </c>
      <c r="Q173" s="15">
        <f t="shared" si="75"/>
        <v>-0.18797185472241537</v>
      </c>
      <c r="R173" s="15">
        <f t="shared" si="76"/>
        <v>-4.6743957540104427E-5</v>
      </c>
      <c r="S173" s="31">
        <f t="shared" si="97"/>
        <v>-85.098031248195312</v>
      </c>
      <c r="T173" s="31">
        <f t="shared" si="98"/>
        <v>-7.4751543250842012</v>
      </c>
      <c r="U173" s="15">
        <f t="shared" si="77"/>
        <v>6500</v>
      </c>
      <c r="V173" s="15">
        <f t="shared" si="78"/>
        <v>-89.994486481668943</v>
      </c>
      <c r="W173" s="15">
        <f t="shared" si="79"/>
        <v>-80.333876204935848</v>
      </c>
      <c r="X173" s="15">
        <f t="shared" si="80"/>
        <v>83.191633693417018</v>
      </c>
      <c r="Y173" s="15">
        <f t="shared" si="81"/>
        <v>18.522045071606755</v>
      </c>
      <c r="Z173" s="15">
        <f t="shared" si="82"/>
        <v>-3.1960197642281485</v>
      </c>
      <c r="AA173" s="15">
        <f t="shared" si="83"/>
        <v>-1.3520205963662947E-2</v>
      </c>
      <c r="AB173" s="31">
        <f t="shared" si="99"/>
        <v>-9.9988725524800746</v>
      </c>
      <c r="AC173" s="31">
        <f t="shared" si="100"/>
        <v>14.432915793564357</v>
      </c>
      <c r="AD173" s="15">
        <f t="shared" si="84"/>
        <v>40.741338635084659</v>
      </c>
      <c r="AE173" s="15">
        <f t="shared" si="85"/>
        <v>2.4104709287972046</v>
      </c>
      <c r="AF173" s="15">
        <f t="shared" si="86"/>
        <v>2.0298082112726965E-2</v>
      </c>
      <c r="AG173" s="15">
        <f t="shared" si="87"/>
        <v>5.4506596556736519E-7</v>
      </c>
      <c r="AH173" s="15">
        <f t="shared" si="88"/>
        <v>-9.3664488185564245</v>
      </c>
      <c r="AI173" s="15">
        <f t="shared" si="89"/>
        <v>-0.11658236951282887</v>
      </c>
      <c r="AJ173" s="31">
        <f t="shared" si="101"/>
        <v>31.395187898640959</v>
      </c>
      <c r="AK173" s="31">
        <f t="shared" si="102"/>
        <v>2.2938891043503413</v>
      </c>
      <c r="AL173" s="15">
        <f t="shared" si="90"/>
        <v>0</v>
      </c>
      <c r="AM173" s="15">
        <f t="shared" si="91"/>
        <v>0</v>
      </c>
      <c r="AN173" s="15">
        <f t="shared" si="92"/>
        <v>0</v>
      </c>
      <c r="AO173" s="15">
        <f t="shared" si="93"/>
        <v>0</v>
      </c>
      <c r="AP173" s="31">
        <f t="shared" si="103"/>
        <v>0</v>
      </c>
      <c r="AQ173" s="31">
        <f t="shared" si="104"/>
        <v>0</v>
      </c>
    </row>
    <row r="174" spans="8:43" x14ac:dyDescent="0.25">
      <c r="H174" s="15">
        <v>2.71</v>
      </c>
      <c r="I174" s="45">
        <f t="shared" si="94"/>
        <v>5128.6138399136516</v>
      </c>
      <c r="J174" s="32">
        <f t="shared" si="95"/>
        <v>116.64379767330054</v>
      </c>
      <c r="K174" s="32">
        <f t="shared" si="96"/>
        <v>9.131580831012327</v>
      </c>
      <c r="L174" s="15">
        <f t="shared" si="70"/>
        <v>3.8729613733905581</v>
      </c>
      <c r="M174" s="15">
        <f t="shared" si="71"/>
        <v>-1.205046538319489</v>
      </c>
      <c r="N174" s="15">
        <f t="shared" si="72"/>
        <v>1.9212271095033794E-3</v>
      </c>
      <c r="O174" s="15">
        <f t="shared" si="73"/>
        <v>-83.874005167871246</v>
      </c>
      <c r="P174" s="15">
        <f t="shared" si="74"/>
        <v>-19.435475409665642</v>
      </c>
      <c r="Q174" s="15">
        <f t="shared" si="75"/>
        <v>-0.19235024916013749</v>
      </c>
      <c r="R174" s="15">
        <f t="shared" si="76"/>
        <v>-4.8946919976798784E-5</v>
      </c>
      <c r="S174" s="31">
        <f t="shared" si="97"/>
        <v>-85.271401955350882</v>
      </c>
      <c r="T174" s="31">
        <f t="shared" si="98"/>
        <v>-7.6727398172111521</v>
      </c>
      <c r="U174" s="15">
        <f t="shared" si="77"/>
        <v>6500</v>
      </c>
      <c r="V174" s="15">
        <f t="shared" si="78"/>
        <v>-89.994611984667728</v>
      </c>
      <c r="W174" s="15">
        <f t="shared" si="79"/>
        <v>-80.533876203125843</v>
      </c>
      <c r="X174" s="15">
        <f t="shared" si="80"/>
        <v>83.345205033204991</v>
      </c>
      <c r="Y174" s="15">
        <f t="shared" si="81"/>
        <v>18.719297169531263</v>
      </c>
      <c r="Z174" s="15">
        <f t="shared" si="82"/>
        <v>-3.2703048791766118</v>
      </c>
      <c r="AA174" s="15">
        <f t="shared" si="83"/>
        <v>-1.4156356246895069E-2</v>
      </c>
      <c r="AB174" s="31">
        <f t="shared" si="99"/>
        <v>-9.9197118306393488</v>
      </c>
      <c r="AC174" s="31">
        <f t="shared" si="100"/>
        <v>14.429531743015639</v>
      </c>
      <c r="AD174" s="15">
        <f t="shared" si="84"/>
        <v>41.394762608541384</v>
      </c>
      <c r="AE174" s="15">
        <f t="shared" si="85"/>
        <v>2.496788590892407</v>
      </c>
      <c r="AF174" s="15">
        <f t="shared" si="86"/>
        <v>2.0770885141740122E-2</v>
      </c>
      <c r="AG174" s="15">
        <f t="shared" si="87"/>
        <v>5.7075413170357103E-7</v>
      </c>
      <c r="AH174" s="15">
        <f t="shared" si="88"/>
        <v>-9.5806220343923592</v>
      </c>
      <c r="AI174" s="15">
        <f t="shared" si="89"/>
        <v>-0.122000256438698</v>
      </c>
      <c r="AJ174" s="31">
        <f t="shared" si="101"/>
        <v>31.834911459290769</v>
      </c>
      <c r="AK174" s="31">
        <f t="shared" si="102"/>
        <v>2.3747889052078404</v>
      </c>
      <c r="AL174" s="15">
        <f t="shared" si="90"/>
        <v>0</v>
      </c>
      <c r="AM174" s="15">
        <f t="shared" si="91"/>
        <v>0</v>
      </c>
      <c r="AN174" s="15">
        <f t="shared" si="92"/>
        <v>0</v>
      </c>
      <c r="AO174" s="15">
        <f t="shared" si="93"/>
        <v>0</v>
      </c>
      <c r="AP174" s="31">
        <f t="shared" si="103"/>
        <v>0</v>
      </c>
      <c r="AQ174" s="31">
        <f t="shared" si="104"/>
        <v>0</v>
      </c>
    </row>
    <row r="175" spans="8:43" x14ac:dyDescent="0.25">
      <c r="H175" s="15">
        <v>2.72</v>
      </c>
      <c r="I175" s="45">
        <f t="shared" si="94"/>
        <v>5248.0746024977288</v>
      </c>
      <c r="J175" s="32">
        <f t="shared" si="95"/>
        <v>116.98379478331003</v>
      </c>
      <c r="K175" s="32">
        <f t="shared" si="96"/>
        <v>9.0135215360799243</v>
      </c>
      <c r="L175" s="15">
        <f t="shared" si="70"/>
        <v>3.8729613733905581</v>
      </c>
      <c r="M175" s="15">
        <f t="shared" si="71"/>
        <v>-1.2331071099223012</v>
      </c>
      <c r="N175" s="15">
        <f t="shared" si="72"/>
        <v>2.0117507856462907E-3</v>
      </c>
      <c r="O175" s="15">
        <f t="shared" si="73"/>
        <v>-84.012425155035046</v>
      </c>
      <c r="P175" s="15">
        <f t="shared" si="74"/>
        <v>-19.633248861199096</v>
      </c>
      <c r="Q175" s="15">
        <f t="shared" si="75"/>
        <v>-0.19683062717967564</v>
      </c>
      <c r="R175" s="15">
        <f t="shared" si="76"/>
        <v>-5.1253703634641891E-5</v>
      </c>
      <c r="S175" s="31">
        <f t="shared" si="97"/>
        <v>-85.442362892137027</v>
      </c>
      <c r="T175" s="31">
        <f t="shared" si="98"/>
        <v>-7.8704250518521217</v>
      </c>
      <c r="U175" s="15">
        <f t="shared" si="77"/>
        <v>6500</v>
      </c>
      <c r="V175" s="15">
        <f t="shared" si="78"/>
        <v>-89.994734630869516</v>
      </c>
      <c r="W175" s="15">
        <f t="shared" si="79"/>
        <v>-80.733876201397294</v>
      </c>
      <c r="X175" s="15">
        <f t="shared" si="80"/>
        <v>83.49537353156876</v>
      </c>
      <c r="Y175" s="15">
        <f t="shared" si="81"/>
        <v>18.916671319369971</v>
      </c>
      <c r="Z175" s="15">
        <f t="shared" si="82"/>
        <v>-3.3463089224122973</v>
      </c>
      <c r="AA175" s="15">
        <f t="shared" si="83"/>
        <v>-1.4822387510909522E-2</v>
      </c>
      <c r="AB175" s="31">
        <f t="shared" si="99"/>
        <v>-9.8456700217130546</v>
      </c>
      <c r="AC175" s="31">
        <f t="shared" si="100"/>
        <v>14.426239863318882</v>
      </c>
      <c r="AD175" s="15">
        <f t="shared" si="84"/>
        <v>42.050077514482055</v>
      </c>
      <c r="AE175" s="15">
        <f t="shared" si="85"/>
        <v>2.5853723725731328</v>
      </c>
      <c r="AF175" s="15">
        <f t="shared" si="86"/>
        <v>2.1254701165129498E-2</v>
      </c>
      <c r="AG175" s="15">
        <f t="shared" si="87"/>
        <v>5.9765294331192305E-7</v>
      </c>
      <c r="AH175" s="15">
        <f t="shared" si="88"/>
        <v>-9.7995045184870531</v>
      </c>
      <c r="AI175" s="15">
        <f t="shared" si="89"/>
        <v>-0.12766624561291293</v>
      </c>
      <c r="AJ175" s="31">
        <f t="shared" si="101"/>
        <v>32.271827697160127</v>
      </c>
      <c r="AK175" s="31">
        <f t="shared" si="102"/>
        <v>2.4577067246131632</v>
      </c>
      <c r="AL175" s="15">
        <f t="shared" si="90"/>
        <v>0</v>
      </c>
      <c r="AM175" s="15">
        <f t="shared" si="91"/>
        <v>0</v>
      </c>
      <c r="AN175" s="15">
        <f t="shared" si="92"/>
        <v>0</v>
      </c>
      <c r="AO175" s="15">
        <f t="shared" si="93"/>
        <v>0</v>
      </c>
      <c r="AP175" s="31">
        <f t="shared" si="103"/>
        <v>0</v>
      </c>
      <c r="AQ175" s="31">
        <f t="shared" si="104"/>
        <v>0</v>
      </c>
    </row>
    <row r="176" spans="8:43" x14ac:dyDescent="0.25">
      <c r="H176" s="15">
        <v>2.73</v>
      </c>
      <c r="I176" s="45">
        <f t="shared" si="94"/>
        <v>5370.3179637025296</v>
      </c>
      <c r="J176" s="32">
        <f t="shared" si="95"/>
        <v>117.3177948600493</v>
      </c>
      <c r="K176" s="32">
        <f t="shared" si="96"/>
        <v>8.8974716169610772</v>
      </c>
      <c r="L176" s="15">
        <f t="shared" si="70"/>
        <v>3.8729613733905581</v>
      </c>
      <c r="M176" s="15">
        <f t="shared" si="71"/>
        <v>-1.2618206836524684</v>
      </c>
      <c r="N176" s="15">
        <f t="shared" si="72"/>
        <v>2.1065386889086101E-3</v>
      </c>
      <c r="O176" s="15">
        <f t="shared" si="73"/>
        <v>-84.147762135813466</v>
      </c>
      <c r="P176" s="15">
        <f t="shared" si="74"/>
        <v>-19.831121457788708</v>
      </c>
      <c r="Q176" s="15">
        <f t="shared" si="75"/>
        <v>-0.2014153641174608</v>
      </c>
      <c r="R176" s="15">
        <f t="shared" si="76"/>
        <v>-5.3669201344247072E-5</v>
      </c>
      <c r="S176" s="31">
        <f t="shared" si="97"/>
        <v>-85.610998183583405</v>
      </c>
      <c r="T176" s="31">
        <f t="shared" si="98"/>
        <v>-8.0682052760361813</v>
      </c>
      <c r="U176" s="15">
        <f t="shared" si="77"/>
        <v>6500</v>
      </c>
      <c r="V176" s="15">
        <f t="shared" si="78"/>
        <v>-89.994854485302966</v>
      </c>
      <c r="W176" s="15">
        <f t="shared" si="79"/>
        <v>-80.93387619974655</v>
      </c>
      <c r="X176" s="15">
        <f t="shared" si="80"/>
        <v>83.64221055295819</v>
      </c>
      <c r="Y176" s="15">
        <f t="shared" si="81"/>
        <v>19.114162168987441</v>
      </c>
      <c r="Z176" s="15">
        <f t="shared" si="82"/>
        <v>-3.4240711217510693</v>
      </c>
      <c r="AA176" s="15">
        <f t="shared" si="83"/>
        <v>-1.5519698402382943E-2</v>
      </c>
      <c r="AB176" s="31">
        <f t="shared" si="99"/>
        <v>-9.7767150540958454</v>
      </c>
      <c r="AC176" s="31">
        <f t="shared" si="100"/>
        <v>14.423033403695623</v>
      </c>
      <c r="AD176" s="15">
        <f t="shared" si="84"/>
        <v>42.706945068326341</v>
      </c>
      <c r="AE176" s="15">
        <f t="shared" si="85"/>
        <v>2.676234215892479</v>
      </c>
      <c r="AF176" s="15">
        <f t="shared" si="86"/>
        <v>2.1749786708278599E-2</v>
      </c>
      <c r="AG176" s="15">
        <f t="shared" si="87"/>
        <v>6.2581945770460422E-7</v>
      </c>
      <c r="AH176" s="15">
        <f t="shared" si="88"/>
        <v>-10.023186757306069</v>
      </c>
      <c r="AI176" s="15">
        <f t="shared" si="89"/>
        <v>-0.13359135241030054</v>
      </c>
      <c r="AJ176" s="31">
        <f t="shared" si="101"/>
        <v>32.705508097728547</v>
      </c>
      <c r="AK176" s="31">
        <f t="shared" si="102"/>
        <v>2.5426434893016361</v>
      </c>
      <c r="AL176" s="15">
        <f t="shared" si="90"/>
        <v>0</v>
      </c>
      <c r="AM176" s="15">
        <f t="shared" si="91"/>
        <v>0</v>
      </c>
      <c r="AN176" s="15">
        <f t="shared" si="92"/>
        <v>0</v>
      </c>
      <c r="AO176" s="15">
        <f t="shared" si="93"/>
        <v>0</v>
      </c>
      <c r="AP176" s="31">
        <f t="shared" si="103"/>
        <v>0</v>
      </c>
      <c r="AQ176" s="31">
        <f t="shared" si="104"/>
        <v>0</v>
      </c>
    </row>
    <row r="177" spans="8:43" x14ac:dyDescent="0.25">
      <c r="H177" s="15">
        <v>2.74</v>
      </c>
      <c r="I177" s="45">
        <f t="shared" si="94"/>
        <v>5495.4087385762532</v>
      </c>
      <c r="J177" s="32">
        <f t="shared" si="95"/>
        <v>117.6453111860789</v>
      </c>
      <c r="K177" s="32">
        <f t="shared" si="96"/>
        <v>8.7834271839450757</v>
      </c>
      <c r="L177" s="15">
        <f t="shared" si="70"/>
        <v>3.8729613733905581</v>
      </c>
      <c r="M177" s="15">
        <f t="shared" si="71"/>
        <v>-1.2912024261029948</v>
      </c>
      <c r="N177" s="15">
        <f t="shared" si="72"/>
        <v>2.2057915911119462E-3</v>
      </c>
      <c r="O177" s="15">
        <f t="shared" si="73"/>
        <v>-84.280081823567301</v>
      </c>
      <c r="P177" s="15">
        <f t="shared" si="74"/>
        <v>-20.029088830026282</v>
      </c>
      <c r="Q177" s="15">
        <f t="shared" si="75"/>
        <v>-0.20610689062672027</v>
      </c>
      <c r="R177" s="15">
        <f t="shared" si="76"/>
        <v>-5.6198536513385842E-5</v>
      </c>
      <c r="S177" s="31">
        <f t="shared" si="97"/>
        <v>-85.777391140297013</v>
      </c>
      <c r="T177" s="31">
        <f t="shared" si="98"/>
        <v>-8.2660759247067208</v>
      </c>
      <c r="U177" s="15">
        <f t="shared" si="77"/>
        <v>6500</v>
      </c>
      <c r="V177" s="15">
        <f t="shared" si="78"/>
        <v>-89.994971611516476</v>
      </c>
      <c r="W177" s="15">
        <f t="shared" si="79"/>
        <v>-81.133876198170114</v>
      </c>
      <c r="X177" s="15">
        <f t="shared" si="80"/>
        <v>83.785786232851578</v>
      </c>
      <c r="Y177" s="15">
        <f t="shared" si="81"/>
        <v>19.311764594946894</v>
      </c>
      <c r="Z177" s="15">
        <f t="shared" si="82"/>
        <v>-3.5036315611830395</v>
      </c>
      <c r="AA177" s="15">
        <f t="shared" si="83"/>
        <v>-1.6249752562903917E-2</v>
      </c>
      <c r="AB177" s="31">
        <f t="shared" si="99"/>
        <v>-9.7128169398479383</v>
      </c>
      <c r="AC177" s="31">
        <f t="shared" si="100"/>
        <v>14.419905777070989</v>
      </c>
      <c r="AD177" s="15">
        <f t="shared" si="84"/>
        <v>43.365022925100398</v>
      </c>
      <c r="AE177" s="15">
        <f t="shared" si="85"/>
        <v>2.7693837252344005</v>
      </c>
      <c r="AF177" s="15">
        <f t="shared" si="86"/>
        <v>2.2256404271799781E-2</v>
      </c>
      <c r="AG177" s="15">
        <f t="shared" si="87"/>
        <v>6.553134168799826E-7</v>
      </c>
      <c r="AH177" s="15">
        <f t="shared" si="88"/>
        <v>-10.25176006314835</v>
      </c>
      <c r="AI177" s="15">
        <f t="shared" si="89"/>
        <v>-0.13978704896701008</v>
      </c>
      <c r="AJ177" s="31">
        <f t="shared" si="101"/>
        <v>33.135519266223852</v>
      </c>
      <c r="AK177" s="31">
        <f t="shared" si="102"/>
        <v>2.6295973315808072</v>
      </c>
      <c r="AL177" s="15">
        <f t="shared" si="90"/>
        <v>0</v>
      </c>
      <c r="AM177" s="15">
        <f t="shared" si="91"/>
        <v>0</v>
      </c>
      <c r="AN177" s="15">
        <f t="shared" si="92"/>
        <v>0</v>
      </c>
      <c r="AO177" s="15">
        <f t="shared" si="93"/>
        <v>0</v>
      </c>
      <c r="AP177" s="31">
        <f t="shared" si="103"/>
        <v>0</v>
      </c>
      <c r="AQ177" s="31">
        <f t="shared" si="104"/>
        <v>0</v>
      </c>
    </row>
    <row r="178" spans="8:43" x14ac:dyDescent="0.25">
      <c r="H178" s="15">
        <v>2.75</v>
      </c>
      <c r="I178" s="45">
        <f t="shared" si="94"/>
        <v>5623.4132519034929</v>
      </c>
      <c r="J178" s="32">
        <f t="shared" si="95"/>
        <v>117.96585180588413</v>
      </c>
      <c r="K178" s="32">
        <f t="shared" si="96"/>
        <v>8.6713814688631849</v>
      </c>
      <c r="L178" s="15">
        <f t="shared" si="70"/>
        <v>3.8729613733905581</v>
      </c>
      <c r="M178" s="15">
        <f t="shared" si="71"/>
        <v>-1.3212678540145559</v>
      </c>
      <c r="N178" s="15">
        <f t="shared" si="72"/>
        <v>2.3097197073632942E-3</v>
      </c>
      <c r="O178" s="15">
        <f t="shared" si="73"/>
        <v>-84.409448727149396</v>
      </c>
      <c r="P178" s="15">
        <f t="shared" si="74"/>
        <v>-20.227146797111036</v>
      </c>
      <c r="Q178" s="15">
        <f t="shared" si="75"/>
        <v>-0.21090769396511935</v>
      </c>
      <c r="R178" s="15">
        <f t="shared" si="76"/>
        <v>-5.8847073997764412E-5</v>
      </c>
      <c r="S178" s="31">
        <f t="shared" si="97"/>
        <v>-85.941624275129072</v>
      </c>
      <c r="T178" s="31">
        <f t="shared" si="98"/>
        <v>-8.4640326122127085</v>
      </c>
      <c r="U178" s="15">
        <f t="shared" si="77"/>
        <v>6500</v>
      </c>
      <c r="V178" s="15">
        <f t="shared" si="78"/>
        <v>-89.995086071611908</v>
      </c>
      <c r="W178" s="15">
        <f t="shared" si="79"/>
        <v>-81.33387619666459</v>
      </c>
      <c r="X178" s="15">
        <f t="shared" si="80"/>
        <v>83.926169480532351</v>
      </c>
      <c r="Y178" s="15">
        <f t="shared" si="81"/>
        <v>19.509473693260311</v>
      </c>
      <c r="Z178" s="15">
        <f t="shared" si="82"/>
        <v>-3.5850311967540254</v>
      </c>
      <c r="AA178" s="15">
        <f t="shared" si="83"/>
        <v>-1.7014081603916292E-2</v>
      </c>
      <c r="AB178" s="31">
        <f t="shared" si="99"/>
        <v>-9.653947787833582</v>
      </c>
      <c r="AC178" s="31">
        <f t="shared" si="100"/>
        <v>14.416850547848918</v>
      </c>
      <c r="AD178" s="15">
        <f t="shared" si="84"/>
        <v>44.023965558687124</v>
      </c>
      <c r="AE178" s="15">
        <f t="shared" si="85"/>
        <v>2.8648281271399338</v>
      </c>
      <c r="AF178" s="15">
        <f t="shared" si="86"/>
        <v>2.2774822470713958E-2</v>
      </c>
      <c r="AG178" s="15">
        <f t="shared" si="87"/>
        <v>6.8619738445696848E-7</v>
      </c>
      <c r="AH178" s="15">
        <f t="shared" si="88"/>
        <v>-10.485316512311051</v>
      </c>
      <c r="AI178" s="15">
        <f t="shared" si="89"/>
        <v>-0.14626528011034315</v>
      </c>
      <c r="AJ178" s="31">
        <f t="shared" si="101"/>
        <v>33.561423868846788</v>
      </c>
      <c r="AK178" s="31">
        <f t="shared" si="102"/>
        <v>2.7185635332269751</v>
      </c>
      <c r="AL178" s="15">
        <f t="shared" si="90"/>
        <v>0</v>
      </c>
      <c r="AM178" s="15">
        <f t="shared" si="91"/>
        <v>0</v>
      </c>
      <c r="AN178" s="15">
        <f t="shared" si="92"/>
        <v>0</v>
      </c>
      <c r="AO178" s="15">
        <f t="shared" si="93"/>
        <v>0</v>
      </c>
      <c r="AP178" s="31">
        <f t="shared" si="103"/>
        <v>0</v>
      </c>
      <c r="AQ178" s="31">
        <f t="shared" si="104"/>
        <v>0</v>
      </c>
    </row>
    <row r="179" spans="8:43" x14ac:dyDescent="0.25">
      <c r="H179" s="15">
        <v>2.76</v>
      </c>
      <c r="I179" s="45">
        <f t="shared" si="94"/>
        <v>5754.3993733715706</v>
      </c>
      <c r="J179" s="32">
        <f t="shared" si="95"/>
        <v>118.27892046378284</v>
      </c>
      <c r="K179" s="32">
        <f t="shared" si="96"/>
        <v>8.5613247746935368</v>
      </c>
      <c r="L179" s="15">
        <f t="shared" si="70"/>
        <v>3.8729613733905581</v>
      </c>
      <c r="M179" s="15">
        <f t="shared" si="71"/>
        <v>-1.3520328422082397</v>
      </c>
      <c r="N179" s="15">
        <f t="shared" si="72"/>
        <v>2.4185431392900391E-3</v>
      </c>
      <c r="O179" s="15">
        <f t="shared" si="73"/>
        <v>-84.535926159592677</v>
      </c>
      <c r="P179" s="15">
        <f t="shared" si="74"/>
        <v>-20.42529135905361</v>
      </c>
      <c r="Q179" s="15">
        <f t="shared" si="75"/>
        <v>-0.21582031931233864</v>
      </c>
      <c r="R179" s="15">
        <f t="shared" si="76"/>
        <v>-6.1620431477006477E-5</v>
      </c>
      <c r="S179" s="31">
        <f t="shared" si="97"/>
        <v>-86.103779321113265</v>
      </c>
      <c r="T179" s="31">
        <f t="shared" si="98"/>
        <v>-8.6620711240808337</v>
      </c>
      <c r="U179" s="15">
        <f t="shared" si="77"/>
        <v>6500</v>
      </c>
      <c r="V179" s="15">
        <f t="shared" si="78"/>
        <v>-89.995197926277513</v>
      </c>
      <c r="W179" s="15">
        <f t="shared" si="79"/>
        <v>-81.533876195226867</v>
      </c>
      <c r="X179" s="15">
        <f t="shared" si="80"/>
        <v>84.063427983357428</v>
      </c>
      <c r="Y179" s="15">
        <f t="shared" si="81"/>
        <v>19.707284770466902</v>
      </c>
      <c r="Z179" s="15">
        <f t="shared" si="82"/>
        <v>-3.6683118725331938</v>
      </c>
      <c r="AA179" s="15">
        <f t="shared" si="83"/>
        <v>-1.7814288213511598E-2</v>
      </c>
      <c r="AB179" s="31">
        <f t="shared" si="99"/>
        <v>-9.6000818154532777</v>
      </c>
      <c r="AC179" s="31">
        <f t="shared" si="100"/>
        <v>14.413861419883638</v>
      </c>
      <c r="AD179" s="15">
        <f t="shared" si="84"/>
        <v>44.683425161384534</v>
      </c>
      <c r="AE179" s="15">
        <f t="shared" si="85"/>
        <v>2.962572239912066</v>
      </c>
      <c r="AF179" s="15">
        <f t="shared" si="86"/>
        <v>2.3305316176872617E-2</v>
      </c>
      <c r="AG179" s="15">
        <f t="shared" si="87"/>
        <v>7.1853686910877343E-7</v>
      </c>
      <c r="AH179" s="15">
        <f t="shared" si="88"/>
        <v>-10.723948877212017</v>
      </c>
      <c r="AI179" s="15">
        <f t="shared" si="89"/>
        <v>-0.15303847955820218</v>
      </c>
      <c r="AJ179" s="31">
        <f t="shared" si="101"/>
        <v>33.982781600349391</v>
      </c>
      <c r="AK179" s="31">
        <f t="shared" si="102"/>
        <v>2.809534478890733</v>
      </c>
      <c r="AL179" s="15">
        <f t="shared" si="90"/>
        <v>0</v>
      </c>
      <c r="AM179" s="15">
        <f t="shared" si="91"/>
        <v>0</v>
      </c>
      <c r="AN179" s="15">
        <f t="shared" si="92"/>
        <v>0</v>
      </c>
      <c r="AO179" s="15">
        <f t="shared" si="93"/>
        <v>0</v>
      </c>
      <c r="AP179" s="31">
        <f t="shared" si="103"/>
        <v>0</v>
      </c>
      <c r="AQ179" s="31">
        <f t="shared" si="104"/>
        <v>0</v>
      </c>
    </row>
    <row r="180" spans="8:43" x14ac:dyDescent="0.25">
      <c r="H180" s="15">
        <v>2.77</v>
      </c>
      <c r="I180" s="45">
        <f t="shared" si="94"/>
        <v>5888.4365535558954</v>
      </c>
      <c r="J180" s="32">
        <f t="shared" si="95"/>
        <v>118.58401756298858</v>
      </c>
      <c r="K180" s="32">
        <f t="shared" si="96"/>
        <v>8.4532444348833859</v>
      </c>
      <c r="L180" s="15">
        <f t="shared" si="70"/>
        <v>3.8729613733905581</v>
      </c>
      <c r="M180" s="15">
        <f t="shared" si="71"/>
        <v>-1.3835136316871202</v>
      </c>
      <c r="N180" s="15">
        <f t="shared" si="72"/>
        <v>2.5324923389897589E-3</v>
      </c>
      <c r="O180" s="15">
        <f t="shared" si="73"/>
        <v>-84.659576247774424</v>
      </c>
      <c r="P180" s="15">
        <f t="shared" si="74"/>
        <v>-20.623518689171767</v>
      </c>
      <c r="Q180" s="15">
        <f t="shared" si="75"/>
        <v>-0.22084737111827205</v>
      </c>
      <c r="R180" s="15">
        <f t="shared" si="76"/>
        <v>-6.4524491370548099E-5</v>
      </c>
      <c r="S180" s="31">
        <f t="shared" si="97"/>
        <v>-86.263937250579815</v>
      </c>
      <c r="T180" s="31">
        <f t="shared" si="98"/>
        <v>-8.8601874090591863</v>
      </c>
      <c r="U180" s="15">
        <f t="shared" si="77"/>
        <v>6500</v>
      </c>
      <c r="V180" s="15">
        <f t="shared" si="78"/>
        <v>-89.995307234820118</v>
      </c>
      <c r="W180" s="15">
        <f t="shared" si="79"/>
        <v>-81.733876193853831</v>
      </c>
      <c r="X180" s="15">
        <f t="shared" si="80"/>
        <v>84.197628212393226</v>
      </c>
      <c r="Y180" s="15">
        <f t="shared" si="81"/>
        <v>19.905193335032024</v>
      </c>
      <c r="Z180" s="15">
        <f t="shared" si="82"/>
        <v>-3.7535163366492887</v>
      </c>
      <c r="AA180" s="15">
        <f t="shared" si="83"/>
        <v>-1.8652049400407229E-2</v>
      </c>
      <c r="AB180" s="31">
        <f t="shared" si="99"/>
        <v>-9.5511953590761802</v>
      </c>
      <c r="AC180" s="31">
        <f t="shared" si="100"/>
        <v>14.4109322246349</v>
      </c>
      <c r="AD180" s="15">
        <f t="shared" si="84"/>
        <v>45.34305255810942</v>
      </c>
      <c r="AE180" s="15">
        <f t="shared" si="85"/>
        <v>3.062618453269677</v>
      </c>
      <c r="AF180" s="15">
        <f t="shared" si="86"/>
        <v>2.3848166664696649E-2</v>
      </c>
      <c r="AG180" s="15">
        <f t="shared" si="87"/>
        <v>7.5240046535454902E-7</v>
      </c>
      <c r="AH180" s="15">
        <f t="shared" si="88"/>
        <v>-10.96775055212955</v>
      </c>
      <c r="AI180" s="15">
        <f t="shared" si="89"/>
        <v>-0.16011958636247037</v>
      </c>
      <c r="AJ180" s="31">
        <f t="shared" si="101"/>
        <v>34.399150172644568</v>
      </c>
      <c r="AK180" s="31">
        <f t="shared" si="102"/>
        <v>2.902499619307672</v>
      </c>
      <c r="AL180" s="15">
        <f t="shared" si="90"/>
        <v>0</v>
      </c>
      <c r="AM180" s="15">
        <f t="shared" si="91"/>
        <v>0</v>
      </c>
      <c r="AN180" s="15">
        <f t="shared" si="92"/>
        <v>0</v>
      </c>
      <c r="AO180" s="15">
        <f t="shared" si="93"/>
        <v>0</v>
      </c>
      <c r="AP180" s="31">
        <f t="shared" si="103"/>
        <v>0</v>
      </c>
      <c r="AQ180" s="31">
        <f t="shared" si="104"/>
        <v>0</v>
      </c>
    </row>
    <row r="181" spans="8:43" x14ac:dyDescent="0.25">
      <c r="H181" s="15">
        <v>2.78</v>
      </c>
      <c r="I181" s="45">
        <f t="shared" si="94"/>
        <v>6025.5958607435778</v>
      </c>
      <c r="J181" s="32">
        <f t="shared" si="95"/>
        <v>118.88064114033298</v>
      </c>
      <c r="K181" s="32">
        <f t="shared" si="96"/>
        <v>8.3471247825954649</v>
      </c>
      <c r="L181" s="15">
        <f t="shared" si="70"/>
        <v>3.8729613733905581</v>
      </c>
      <c r="M181" s="15">
        <f t="shared" si="71"/>
        <v>-1.4157268379095074</v>
      </c>
      <c r="N181" s="15">
        <f t="shared" si="72"/>
        <v>2.651808594660104E-3</v>
      </c>
      <c r="O181" s="15">
        <f t="shared" si="73"/>
        <v>-84.780459942964754</v>
      </c>
      <c r="P181" s="15">
        <f t="shared" si="74"/>
        <v>-20.821825126869964</v>
      </c>
      <c r="Q181" s="15">
        <f t="shared" si="75"/>
        <v>-0.22599151448256119</v>
      </c>
      <c r="R181" s="15">
        <f t="shared" si="76"/>
        <v>-6.7565413306934651E-5</v>
      </c>
      <c r="S181" s="31">
        <f t="shared" si="97"/>
        <v>-86.422178295356815</v>
      </c>
      <c r="T181" s="31">
        <f t="shared" si="98"/>
        <v>-9.0583775714236481</v>
      </c>
      <c r="U181" s="15">
        <f t="shared" si="77"/>
        <v>6500</v>
      </c>
      <c r="V181" s="15">
        <f t="shared" si="78"/>
        <v>-89.995414055196548</v>
      </c>
      <c r="W181" s="15">
        <f t="shared" si="79"/>
        <v>-81.933876192542584</v>
      </c>
      <c r="X181" s="15">
        <f t="shared" si="80"/>
        <v>84.328835429301989</v>
      </c>
      <c r="Y181" s="15">
        <f t="shared" si="81"/>
        <v>20.10319508905927</v>
      </c>
      <c r="Z181" s="15">
        <f t="shared" si="82"/>
        <v>-3.8406882573763474</v>
      </c>
      <c r="AA181" s="15">
        <f t="shared" si="83"/>
        <v>-1.9529119880782563E-2</v>
      </c>
      <c r="AB181" s="31">
        <f t="shared" si="99"/>
        <v>-9.5072668832709066</v>
      </c>
      <c r="AC181" s="31">
        <f t="shared" si="100"/>
        <v>14.408056909493016</v>
      </c>
      <c r="AD181" s="15">
        <f t="shared" si="84"/>
        <v>46.002498129411087</v>
      </c>
      <c r="AE181" s="15">
        <f t="shared" si="85"/>
        <v>3.1649667182328707</v>
      </c>
      <c r="AF181" s="15">
        <f t="shared" si="86"/>
        <v>2.4403661760310041E-2</v>
      </c>
      <c r="AG181" s="15">
        <f t="shared" si="87"/>
        <v>7.8786000206562829E-7</v>
      </c>
      <c r="AH181" s="15">
        <f t="shared" si="88"/>
        <v>-11.216815472210705</v>
      </c>
      <c r="AI181" s="15">
        <f t="shared" si="89"/>
        <v>-0.16752206156677668</v>
      </c>
      <c r="AJ181" s="31">
        <f t="shared" si="101"/>
        <v>34.810086318960693</v>
      </c>
      <c r="AK181" s="31">
        <f t="shared" si="102"/>
        <v>2.9974454445260963</v>
      </c>
      <c r="AL181" s="15">
        <f t="shared" si="90"/>
        <v>0</v>
      </c>
      <c r="AM181" s="15">
        <f t="shared" si="91"/>
        <v>0</v>
      </c>
      <c r="AN181" s="15">
        <f t="shared" si="92"/>
        <v>0</v>
      </c>
      <c r="AO181" s="15">
        <f t="shared" si="93"/>
        <v>0</v>
      </c>
      <c r="AP181" s="31">
        <f t="shared" si="103"/>
        <v>0</v>
      </c>
      <c r="AQ181" s="31">
        <f t="shared" si="104"/>
        <v>0</v>
      </c>
    </row>
    <row r="182" spans="8:43" x14ac:dyDescent="0.25">
      <c r="H182" s="15">
        <v>2.79</v>
      </c>
      <c r="I182" s="45">
        <f t="shared" si="94"/>
        <v>6165.9500186148271</v>
      </c>
      <c r="J182" s="32">
        <f t="shared" si="95"/>
        <v>119.16828785105784</v>
      </c>
      <c r="K182" s="32">
        <f t="shared" si="96"/>
        <v>8.2429471299991519</v>
      </c>
      <c r="L182" s="15">
        <f t="shared" si="70"/>
        <v>3.8729613733905581</v>
      </c>
      <c r="M182" s="15">
        <f t="shared" si="71"/>
        <v>-1.4486894592366601</v>
      </c>
      <c r="N182" s="15">
        <f t="shared" si="72"/>
        <v>2.7767445388994353E-3</v>
      </c>
      <c r="O182" s="15">
        <f t="shared" si="73"/>
        <v>-84.898637032172033</v>
      </c>
      <c r="P182" s="15">
        <f t="shared" si="74"/>
        <v>-21.02020717069438</v>
      </c>
      <c r="Q182" s="15">
        <f t="shared" si="75"/>
        <v>-0.23125547656618947</v>
      </c>
      <c r="R182" s="15">
        <f t="shared" si="76"/>
        <v>-7.074964719858167E-5</v>
      </c>
      <c r="S182" s="31">
        <f t="shared" si="97"/>
        <v>-86.578581967974884</v>
      </c>
      <c r="T182" s="31">
        <f t="shared" si="98"/>
        <v>-9.2566378635377173</v>
      </c>
      <c r="U182" s="15">
        <f t="shared" si="77"/>
        <v>6500</v>
      </c>
      <c r="V182" s="15">
        <f t="shared" si="78"/>
        <v>-89.995518444044393</v>
      </c>
      <c r="W182" s="15">
        <f t="shared" si="79"/>
        <v>-82.133876191290369</v>
      </c>
      <c r="X182" s="15">
        <f t="shared" si="80"/>
        <v>84.457113694368772</v>
      </c>
      <c r="Y182" s="15">
        <f t="shared" si="81"/>
        <v>20.301285920307592</v>
      </c>
      <c r="Z182" s="15">
        <f t="shared" si="82"/>
        <v>-3.9298722392478886</v>
      </c>
      <c r="AA182" s="15">
        <f t="shared" si="83"/>
        <v>-2.0447335613693014E-2</v>
      </c>
      <c r="AB182" s="31">
        <f t="shared" si="99"/>
        <v>-9.4682769889235097</v>
      </c>
      <c r="AC182" s="31">
        <f t="shared" si="100"/>
        <v>14.405229526260644</v>
      </c>
      <c r="AD182" s="15">
        <f t="shared" si="84"/>
        <v>46.661412737353366</v>
      </c>
      <c r="AE182" s="15">
        <f t="shared" si="85"/>
        <v>3.269614547330471</v>
      </c>
      <c r="AF182" s="15">
        <f t="shared" si="86"/>
        <v>2.4972095994147465E-2</v>
      </c>
      <c r="AG182" s="15">
        <f t="shared" si="87"/>
        <v>8.2499069868636697E-7</v>
      </c>
      <c r="AH182" s="15">
        <f t="shared" si="88"/>
        <v>-11.471238025391273</v>
      </c>
      <c r="AI182" s="15">
        <f t="shared" si="89"/>
        <v>-0.17525990504494526</v>
      </c>
      <c r="AJ182" s="31">
        <f t="shared" si="101"/>
        <v>35.215146807956238</v>
      </c>
      <c r="AK182" s="31">
        <f t="shared" si="102"/>
        <v>3.0943554672762246</v>
      </c>
      <c r="AL182" s="15">
        <f t="shared" si="90"/>
        <v>0</v>
      </c>
      <c r="AM182" s="15">
        <f t="shared" si="91"/>
        <v>0</v>
      </c>
      <c r="AN182" s="15">
        <f t="shared" si="92"/>
        <v>0</v>
      </c>
      <c r="AO182" s="15">
        <f t="shared" si="93"/>
        <v>0</v>
      </c>
      <c r="AP182" s="31">
        <f t="shared" si="103"/>
        <v>0</v>
      </c>
      <c r="AQ182" s="31">
        <f t="shared" si="104"/>
        <v>0</v>
      </c>
    </row>
    <row r="183" spans="8:43" x14ac:dyDescent="0.25">
      <c r="H183" s="15">
        <v>2.8</v>
      </c>
      <c r="I183" s="45">
        <f t="shared" si="94"/>
        <v>6309.5734448019321</v>
      </c>
      <c r="J183" s="32">
        <f t="shared" si="95"/>
        <v>119.44645395806128</v>
      </c>
      <c r="K183" s="32">
        <f t="shared" si="96"/>
        <v>8.1406897576376309</v>
      </c>
      <c r="L183" s="15">
        <f t="shared" si="70"/>
        <v>3.8729613733905581</v>
      </c>
      <c r="M183" s="15">
        <f t="shared" si="71"/>
        <v>-1.4824188855576781</v>
      </c>
      <c r="N183" s="15">
        <f t="shared" si="72"/>
        <v>2.9075646807327732E-3</v>
      </c>
      <c r="O183" s="15">
        <f t="shared" si="73"/>
        <v>-85.014166150204829</v>
      </c>
      <c r="P183" s="15">
        <f t="shared" si="74"/>
        <v>-21.218661471655089</v>
      </c>
      <c r="Q183" s="15">
        <f t="shared" si="75"/>
        <v>-0.23664204803587163</v>
      </c>
      <c r="R183" s="15">
        <f t="shared" si="76"/>
        <v>-7.4083946906557642E-5</v>
      </c>
      <c r="S183" s="31">
        <f t="shared" si="97"/>
        <v>-86.733227083798383</v>
      </c>
      <c r="T183" s="31">
        <f t="shared" si="98"/>
        <v>-9.4549646786562995</v>
      </c>
      <c r="U183" s="15">
        <f t="shared" si="77"/>
        <v>6500</v>
      </c>
      <c r="V183" s="15">
        <f t="shared" si="78"/>
        <v>-89.99562045671199</v>
      </c>
      <c r="W183" s="15">
        <f t="shared" si="79"/>
        <v>-82.3338761900945</v>
      </c>
      <c r="X183" s="15">
        <f t="shared" si="80"/>
        <v>84.582525875565963</v>
      </c>
      <c r="Y183" s="15">
        <f t="shared" si="81"/>
        <v>20.499461894505309</v>
      </c>
      <c r="Z183" s="15">
        <f t="shared" si="82"/>
        <v>-4.0211138391764791</v>
      </c>
      <c r="AA183" s="15">
        <f t="shared" si="83"/>
        <v>-2.1408617491082169E-2</v>
      </c>
      <c r="AB183" s="31">
        <f t="shared" si="99"/>
        <v>-9.4342084203225056</v>
      </c>
      <c r="AC183" s="31">
        <f t="shared" si="100"/>
        <v>14.402444219776841</v>
      </c>
      <c r="AD183" s="15">
        <f t="shared" si="84"/>
        <v>47.319448648288322</v>
      </c>
      <c r="AE183" s="15">
        <f t="shared" si="85"/>
        <v>3.3765570251277315</v>
      </c>
      <c r="AF183" s="15">
        <f t="shared" si="86"/>
        <v>2.555377075711588E-2</v>
      </c>
      <c r="AG183" s="15">
        <f t="shared" si="87"/>
        <v>8.6387130795438463E-7</v>
      </c>
      <c r="AH183" s="15">
        <f t="shared" si="88"/>
        <v>-11.731112956863269</v>
      </c>
      <c r="AI183" s="15">
        <f t="shared" si="89"/>
        <v>-0.18334767248195047</v>
      </c>
      <c r="AJ183" s="31">
        <f t="shared" si="101"/>
        <v>35.613889462182165</v>
      </c>
      <c r="AK183" s="31">
        <f t="shared" si="102"/>
        <v>3.1932102165170888</v>
      </c>
      <c r="AL183" s="15">
        <f t="shared" si="90"/>
        <v>0</v>
      </c>
      <c r="AM183" s="15">
        <f t="shared" si="91"/>
        <v>0</v>
      </c>
      <c r="AN183" s="15">
        <f t="shared" si="92"/>
        <v>0</v>
      </c>
      <c r="AO183" s="15">
        <f t="shared" si="93"/>
        <v>0</v>
      </c>
      <c r="AP183" s="31">
        <f t="shared" si="103"/>
        <v>0</v>
      </c>
      <c r="AQ183" s="31">
        <f t="shared" si="104"/>
        <v>0</v>
      </c>
    </row>
    <row r="184" spans="8:43" x14ac:dyDescent="0.25">
      <c r="H184" s="15">
        <v>2.81</v>
      </c>
      <c r="I184" s="45">
        <f t="shared" si="94"/>
        <v>6456.5422903465596</v>
      </c>
      <c r="J184" s="32">
        <f t="shared" si="95"/>
        <v>119.71463632002988</v>
      </c>
      <c r="K184" s="32">
        <f t="shared" si="96"/>
        <v>8.0403279138145383</v>
      </c>
      <c r="L184" s="15">
        <f t="shared" si="70"/>
        <v>3.8729613733905581</v>
      </c>
      <c r="M184" s="15">
        <f t="shared" si="71"/>
        <v>-1.5169329070943884</v>
      </c>
      <c r="N184" s="15">
        <f t="shared" si="72"/>
        <v>3.0445459624639029E-3</v>
      </c>
      <c r="O184" s="15">
        <f t="shared" si="73"/>
        <v>-85.127104792374439</v>
      </c>
      <c r="P184" s="15">
        <f t="shared" si="74"/>
        <v>-21.417184826807425</v>
      </c>
      <c r="Q184" s="15">
        <f t="shared" si="75"/>
        <v>-0.2421540845420081</v>
      </c>
      <c r="R184" s="15">
        <f t="shared" si="76"/>
        <v>-7.7575384574449138E-5</v>
      </c>
      <c r="S184" s="31">
        <f t="shared" si="97"/>
        <v>-86.886191784010833</v>
      </c>
      <c r="T184" s="31">
        <f t="shared" si="98"/>
        <v>-9.6533545439645732</v>
      </c>
      <c r="U184" s="15">
        <f t="shared" si="77"/>
        <v>6500</v>
      </c>
      <c r="V184" s="15">
        <f t="shared" si="78"/>
        <v>-89.995720147287784</v>
      </c>
      <c r="W184" s="15">
        <f t="shared" si="79"/>
        <v>-82.533876188952476</v>
      </c>
      <c r="X184" s="15">
        <f t="shared" si="80"/>
        <v>84.705133658559063</v>
      </c>
      <c r="Y184" s="15">
        <f t="shared" si="81"/>
        <v>20.69771924795317</v>
      </c>
      <c r="Z184" s="15">
        <f t="shared" si="82"/>
        <v>-4.1144595825538159</v>
      </c>
      <c r="AA184" s="15">
        <f t="shared" si="83"/>
        <v>-2.241497518849668E-2</v>
      </c>
      <c r="AB184" s="31">
        <f t="shared" si="99"/>
        <v>-9.4050460712825377</v>
      </c>
      <c r="AC184" s="31">
        <f t="shared" si="100"/>
        <v>14.399695216669311</v>
      </c>
      <c r="AD184" s="15">
        <f t="shared" si="84"/>
        <v>47.976260446584142</v>
      </c>
      <c r="AE184" s="15">
        <f t="shared" si="85"/>
        <v>3.4857868289798994</v>
      </c>
      <c r="AF184" s="15">
        <f t="shared" si="86"/>
        <v>2.614899446039419E-2</v>
      </c>
      <c r="AG184" s="15">
        <f t="shared" si="87"/>
        <v>9.0458430490849759E-7</v>
      </c>
      <c r="AH184" s="15">
        <f t="shared" si="88"/>
        <v>-11.996535265721276</v>
      </c>
      <c r="AI184" s="15">
        <f t="shared" si="89"/>
        <v>-0.19180049245440398</v>
      </c>
      <c r="AJ184" s="31">
        <f t="shared" si="101"/>
        <v>36.005874175323257</v>
      </c>
      <c r="AK184" s="31">
        <f t="shared" si="102"/>
        <v>3.2939872411098001</v>
      </c>
      <c r="AL184" s="15">
        <f t="shared" si="90"/>
        <v>0</v>
      </c>
      <c r="AM184" s="15">
        <f t="shared" si="91"/>
        <v>0</v>
      </c>
      <c r="AN184" s="15">
        <f t="shared" si="92"/>
        <v>0</v>
      </c>
      <c r="AO184" s="15">
        <f t="shared" si="93"/>
        <v>0</v>
      </c>
      <c r="AP184" s="31">
        <f t="shared" si="103"/>
        <v>0</v>
      </c>
      <c r="AQ184" s="31">
        <f t="shared" si="104"/>
        <v>0</v>
      </c>
    </row>
    <row r="185" spans="8:43" x14ac:dyDescent="0.25">
      <c r="H185" s="15">
        <v>2.82</v>
      </c>
      <c r="I185" s="45">
        <f t="shared" si="94"/>
        <v>6606.9344800759645</v>
      </c>
      <c r="J185" s="32">
        <f t="shared" si="95"/>
        <v>119.97233337300332</v>
      </c>
      <c r="K185" s="32">
        <f t="shared" si="96"/>
        <v>7.941833823857289</v>
      </c>
      <c r="L185" s="15">
        <f t="shared" si="70"/>
        <v>3.8729613733905581</v>
      </c>
      <c r="M185" s="15">
        <f t="shared" si="71"/>
        <v>-1.5522497233888508</v>
      </c>
      <c r="N185" s="15">
        <f t="shared" si="72"/>
        <v>3.1879783424929291E-3</v>
      </c>
      <c r="O185" s="15">
        <f t="shared" si="73"/>
        <v>-85.237509327767569</v>
      </c>
      <c r="P185" s="15">
        <f t="shared" si="74"/>
        <v>-21.61577417308407</v>
      </c>
      <c r="Q185" s="15">
        <f t="shared" si="75"/>
        <v>-0.2477945082309663</v>
      </c>
      <c r="R185" s="15">
        <f t="shared" si="76"/>
        <v>-8.123136562164984E-5</v>
      </c>
      <c r="S185" s="31">
        <f t="shared" si="97"/>
        <v>-87.037553559387391</v>
      </c>
      <c r="T185" s="31">
        <f t="shared" si="98"/>
        <v>-9.8518041138422348</v>
      </c>
      <c r="U185" s="15">
        <f t="shared" si="77"/>
        <v>6500</v>
      </c>
      <c r="V185" s="15">
        <f t="shared" si="78"/>
        <v>-89.995817568629064</v>
      </c>
      <c r="W185" s="15">
        <f t="shared" si="79"/>
        <v>-82.733876187861824</v>
      </c>
      <c r="X185" s="15">
        <f t="shared" si="80"/>
        <v>84.824997557563108</v>
      </c>
      <c r="Y185" s="15">
        <f t="shared" si="81"/>
        <v>20.896054380407815</v>
      </c>
      <c r="Z185" s="15">
        <f t="shared" si="82"/>
        <v>-4.2099569793038079</v>
      </c>
      <c r="AA185" s="15">
        <f t="shared" si="83"/>
        <v>-2.3468511182849781E-2</v>
      </c>
      <c r="AB185" s="31">
        <f t="shared" si="99"/>
        <v>-9.380776990369764</v>
      </c>
      <c r="AC185" s="31">
        <f t="shared" si="100"/>
        <v>14.396976814220254</v>
      </c>
      <c r="AD185" s="15">
        <f t="shared" si="84"/>
        <v>48.63150593347531</v>
      </c>
      <c r="AE185" s="15">
        <f t="shared" si="85"/>
        <v>3.5972942598256847</v>
      </c>
      <c r="AF185" s="15">
        <f t="shared" si="86"/>
        <v>2.6758082698954321E-2</v>
      </c>
      <c r="AG185" s="15">
        <f t="shared" si="87"/>
        <v>9.4721604310949751E-7</v>
      </c>
      <c r="AH185" s="15">
        <f t="shared" si="88"/>
        <v>-12.267600093413776</v>
      </c>
      <c r="AI185" s="15">
        <f t="shared" si="89"/>
        <v>-0.20063408356245821</v>
      </c>
      <c r="AJ185" s="31">
        <f t="shared" si="101"/>
        <v>36.390663922760488</v>
      </c>
      <c r="AK185" s="31">
        <f t="shared" si="102"/>
        <v>3.3966611234792694</v>
      </c>
      <c r="AL185" s="15">
        <f t="shared" si="90"/>
        <v>0</v>
      </c>
      <c r="AM185" s="15">
        <f t="shared" si="91"/>
        <v>0</v>
      </c>
      <c r="AN185" s="15">
        <f t="shared" si="92"/>
        <v>0</v>
      </c>
      <c r="AO185" s="15">
        <f t="shared" si="93"/>
        <v>0</v>
      </c>
      <c r="AP185" s="31">
        <f t="shared" si="103"/>
        <v>0</v>
      </c>
      <c r="AQ185" s="31">
        <f t="shared" si="104"/>
        <v>0</v>
      </c>
    </row>
    <row r="186" spans="8:43" x14ac:dyDescent="0.25">
      <c r="H186" s="15">
        <v>2.83</v>
      </c>
      <c r="I186" s="45">
        <f t="shared" si="94"/>
        <v>6760.8297539198211</v>
      </c>
      <c r="J186" s="32">
        <f t="shared" si="95"/>
        <v>120.21904610010144</v>
      </c>
      <c r="K186" s="32">
        <f t="shared" si="96"/>
        <v>7.8451767090306799</v>
      </c>
      <c r="L186" s="15">
        <f t="shared" si="70"/>
        <v>3.8729613733905581</v>
      </c>
      <c r="M186" s="15">
        <f t="shared" si="71"/>
        <v>-1.5883879524762075</v>
      </c>
      <c r="N186" s="15">
        <f t="shared" si="72"/>
        <v>3.3381654052999374E-3</v>
      </c>
      <c r="O186" s="15">
        <f t="shared" si="73"/>
        <v>-85.345435013023533</v>
      </c>
      <c r="P186" s="15">
        <f t="shared" si="74"/>
        <v>-21.814426581370103</v>
      </c>
      <c r="Q186" s="15">
        <f t="shared" si="75"/>
        <v>-0.25356630929249446</v>
      </c>
      <c r="R186" s="15">
        <f t="shared" si="76"/>
        <v>-8.5059644450058517E-5</v>
      </c>
      <c r="S186" s="31">
        <f t="shared" si="97"/>
        <v>-87.187389274792238</v>
      </c>
      <c r="T186" s="31">
        <f t="shared" si="98"/>
        <v>-10.050310163344291</v>
      </c>
      <c r="U186" s="15">
        <f t="shared" si="77"/>
        <v>6500</v>
      </c>
      <c r="V186" s="15">
        <f t="shared" si="78"/>
        <v>-89.9959127723899</v>
      </c>
      <c r="W186" s="15">
        <f t="shared" si="79"/>
        <v>-82.933876186820271</v>
      </c>
      <c r="X186" s="15">
        <f t="shared" si="80"/>
        <v>84.942176926965516</v>
      </c>
      <c r="Y186" s="15">
        <f t="shared" si="81"/>
        <v>21.094463848237808</v>
      </c>
      <c r="Z186" s="15">
        <f t="shared" si="82"/>
        <v>-4.3076545398591604</v>
      </c>
      <c r="AA186" s="15">
        <f t="shared" si="83"/>
        <v>-2.4571424943788014E-2</v>
      </c>
      <c r="AB186" s="31">
        <f t="shared" si="99"/>
        <v>-9.3613903852835456</v>
      </c>
      <c r="AC186" s="31">
        <f t="shared" si="100"/>
        <v>14.394283369330862</v>
      </c>
      <c r="AD186" s="15">
        <f t="shared" si="84"/>
        <v>49.284847005383192</v>
      </c>
      <c r="AE186" s="15">
        <f t="shared" si="85"/>
        <v>3.7110672827466957</v>
      </c>
      <c r="AF186" s="15">
        <f t="shared" si="86"/>
        <v>2.7381358418891635E-2</v>
      </c>
      <c r="AG186" s="15">
        <f t="shared" si="87"/>
        <v>9.9185695521996409E-7</v>
      </c>
      <c r="AH186" s="15">
        <f t="shared" si="88"/>
        <v>-12.544402603624864</v>
      </c>
      <c r="AI186" s="15">
        <f t="shared" si="89"/>
        <v>-0.20986477155954308</v>
      </c>
      <c r="AJ186" s="31">
        <f t="shared" si="101"/>
        <v>36.767825760177217</v>
      </c>
      <c r="AK186" s="31">
        <f t="shared" si="102"/>
        <v>3.501203503044108</v>
      </c>
      <c r="AL186" s="15">
        <f t="shared" si="90"/>
        <v>0</v>
      </c>
      <c r="AM186" s="15">
        <f t="shared" si="91"/>
        <v>0</v>
      </c>
      <c r="AN186" s="15">
        <f t="shared" si="92"/>
        <v>0</v>
      </c>
      <c r="AO186" s="15">
        <f t="shared" si="93"/>
        <v>0</v>
      </c>
      <c r="AP186" s="31">
        <f t="shared" si="103"/>
        <v>0</v>
      </c>
      <c r="AQ186" s="31">
        <f t="shared" si="104"/>
        <v>0</v>
      </c>
    </row>
    <row r="187" spans="8:43" x14ac:dyDescent="0.25">
      <c r="H187" s="15">
        <v>2.84</v>
      </c>
      <c r="I187" s="45">
        <f t="shared" si="94"/>
        <v>6918.3097091893669</v>
      </c>
      <c r="J187" s="32">
        <f t="shared" si="95"/>
        <v>120.45427898438849</v>
      </c>
      <c r="K187" s="32">
        <f t="shared" si="96"/>
        <v>7.7503228147966841</v>
      </c>
      <c r="L187" s="15">
        <f t="shared" si="70"/>
        <v>3.8729613733905581</v>
      </c>
      <c r="M187" s="15">
        <f t="shared" si="71"/>
        <v>-1.6253666402454474</v>
      </c>
      <c r="N187" s="15">
        <f t="shared" si="72"/>
        <v>3.4954249998353478E-3</v>
      </c>
      <c r="O187" s="15">
        <f t="shared" si="73"/>
        <v>-85.450936006554556</v>
      </c>
      <c r="P187" s="15">
        <f t="shared" si="74"/>
        <v>-22.013139250812792</v>
      </c>
      <c r="Q187" s="15">
        <f t="shared" si="75"/>
        <v>-0.25947254754307042</v>
      </c>
      <c r="R187" s="15">
        <f t="shared" si="76"/>
        <v>-8.9068340885382755E-5</v>
      </c>
      <c r="S187" s="31">
        <f t="shared" si="97"/>
        <v>-87.335775194343071</v>
      </c>
      <c r="T187" s="31">
        <f t="shared" si="98"/>
        <v>-10.248869581888879</v>
      </c>
      <c r="U187" s="15">
        <f t="shared" si="77"/>
        <v>6500</v>
      </c>
      <c r="V187" s="15">
        <f t="shared" si="78"/>
        <v>-89.996005809048583</v>
      </c>
      <c r="W187" s="15">
        <f t="shared" si="79"/>
        <v>-83.133876185825599</v>
      </c>
      <c r="X187" s="15">
        <f t="shared" si="80"/>
        <v>85.056729973636237</v>
      </c>
      <c r="Y187" s="15">
        <f t="shared" si="81"/>
        <v>21.292944357843787</v>
      </c>
      <c r="Z187" s="15">
        <f t="shared" si="82"/>
        <v>-4.4076017910291103</v>
      </c>
      <c r="AA187" s="15">
        <f t="shared" si="83"/>
        <v>-2.5726017305279302E-2</v>
      </c>
      <c r="AB187" s="31">
        <f t="shared" si="99"/>
        <v>-9.3468776264414561</v>
      </c>
      <c r="AC187" s="31">
        <f t="shared" si="100"/>
        <v>14.391609287570022</v>
      </c>
      <c r="AD187" s="15">
        <f t="shared" si="84"/>
        <v>49.935950506294994</v>
      </c>
      <c r="AE187" s="15">
        <f t="shared" si="85"/>
        <v>3.8270915769343912</v>
      </c>
      <c r="AF187" s="15">
        <f t="shared" si="86"/>
        <v>2.8019152088652483E-2</v>
      </c>
      <c r="AG187" s="15">
        <f t="shared" si="87"/>
        <v>1.0386017285115385E-6</v>
      </c>
      <c r="AH187" s="15">
        <f t="shared" si="88"/>
        <v>-12.827037853210623</v>
      </c>
      <c r="AI187" s="15">
        <f t="shared" si="89"/>
        <v>-0.21950950642057809</v>
      </c>
      <c r="AJ187" s="31">
        <f t="shared" si="101"/>
        <v>37.13693180517302</v>
      </c>
      <c r="AK187" s="31">
        <f t="shared" si="102"/>
        <v>3.6075831091155415</v>
      </c>
      <c r="AL187" s="15">
        <f t="shared" si="90"/>
        <v>0</v>
      </c>
      <c r="AM187" s="15">
        <f t="shared" si="91"/>
        <v>0</v>
      </c>
      <c r="AN187" s="15">
        <f t="shared" si="92"/>
        <v>0</v>
      </c>
      <c r="AO187" s="15">
        <f t="shared" si="93"/>
        <v>0</v>
      </c>
      <c r="AP187" s="31">
        <f t="shared" si="103"/>
        <v>0</v>
      </c>
      <c r="AQ187" s="31">
        <f t="shared" si="104"/>
        <v>0</v>
      </c>
    </row>
    <row r="188" spans="8:43" x14ac:dyDescent="0.25">
      <c r="H188" s="15">
        <v>2.85</v>
      </c>
      <c r="I188" s="45">
        <f t="shared" si="94"/>
        <v>7079.4578438413873</v>
      </c>
      <c r="J188" s="32">
        <f t="shared" si="95"/>
        <v>120.67754094015601</v>
      </c>
      <c r="K188" s="32">
        <f t="shared" si="96"/>
        <v>7.6572354480423233</v>
      </c>
      <c r="L188" s="15">
        <f t="shared" si="70"/>
        <v>3.8729613733905581</v>
      </c>
      <c r="M188" s="15">
        <f t="shared" si="71"/>
        <v>-1.6632052699906532</v>
      </c>
      <c r="N188" s="15">
        <f t="shared" si="72"/>
        <v>3.6600899076512641E-3</v>
      </c>
      <c r="O188" s="15">
        <f t="shared" si="73"/>
        <v>-85.554065383152576</v>
      </c>
      <c r="P188" s="15">
        <f t="shared" si="74"/>
        <v>-22.211909503358367</v>
      </c>
      <c r="Q188" s="15">
        <f t="shared" si="75"/>
        <v>-0.26551635404601942</v>
      </c>
      <c r="R188" s="15">
        <f t="shared" si="76"/>
        <v>-9.3265957395458291E-5</v>
      </c>
      <c r="S188" s="31">
        <f t="shared" si="97"/>
        <v>-87.482787007189245</v>
      </c>
      <c r="T188" s="31">
        <f t="shared" si="98"/>
        <v>-10.447479367143149</v>
      </c>
      <c r="U188" s="15">
        <f t="shared" si="77"/>
        <v>6500</v>
      </c>
      <c r="V188" s="15">
        <f t="shared" si="78"/>
        <v>-89.9960967279344</v>
      </c>
      <c r="W188" s="15">
        <f t="shared" si="79"/>
        <v>-83.333876184875706</v>
      </c>
      <c r="X188" s="15">
        <f t="shared" si="80"/>
        <v>85.168713769851735</v>
      </c>
      <c r="Y188" s="15">
        <f t="shared" si="81"/>
        <v>21.491492759334534</v>
      </c>
      <c r="Z188" s="15">
        <f t="shared" si="82"/>
        <v>-4.5098492917234063</v>
      </c>
      <c r="AA188" s="15">
        <f t="shared" si="83"/>
        <v>-2.6934695024400931E-2</v>
      </c>
      <c r="AB188" s="31">
        <f t="shared" si="99"/>
        <v>-9.3372322498060711</v>
      </c>
      <c r="AC188" s="31">
        <f t="shared" si="100"/>
        <v>14.38894901229154</v>
      </c>
      <c r="AD188" s="15">
        <f t="shared" si="84"/>
        <v>50.584489049094721</v>
      </c>
      <c r="AE188" s="15">
        <f t="shared" si="85"/>
        <v>3.9453505946275018</v>
      </c>
      <c r="AF188" s="15">
        <f t="shared" si="86"/>
        <v>2.8671801874250211E-2</v>
      </c>
      <c r="AG188" s="15">
        <f t="shared" si="87"/>
        <v>1.0875495131592957E-6</v>
      </c>
      <c r="AH188" s="15">
        <f t="shared" si="88"/>
        <v>-13.115600653817641</v>
      </c>
      <c r="AI188" s="15">
        <f t="shared" si="89"/>
        <v>-0.22958587928308261</v>
      </c>
      <c r="AJ188" s="31">
        <f t="shared" si="101"/>
        <v>37.49756019715133</v>
      </c>
      <c r="AK188" s="31">
        <f t="shared" si="102"/>
        <v>3.7157658028939324</v>
      </c>
      <c r="AL188" s="15">
        <f t="shared" si="90"/>
        <v>0</v>
      </c>
      <c r="AM188" s="15">
        <f t="shared" si="91"/>
        <v>0</v>
      </c>
      <c r="AN188" s="15">
        <f t="shared" si="92"/>
        <v>0</v>
      </c>
      <c r="AO188" s="15">
        <f t="shared" si="93"/>
        <v>0</v>
      </c>
      <c r="AP188" s="31">
        <f t="shared" si="103"/>
        <v>0</v>
      </c>
      <c r="AQ188" s="31">
        <f t="shared" si="104"/>
        <v>0</v>
      </c>
    </row>
    <row r="189" spans="8:43" x14ac:dyDescent="0.25">
      <c r="H189" s="15">
        <v>2.86</v>
      </c>
      <c r="I189" s="45">
        <f t="shared" si="94"/>
        <v>7244.3596007499027</v>
      </c>
      <c r="J189" s="32">
        <f t="shared" si="95"/>
        <v>120.88834621826157</v>
      </c>
      <c r="K189" s="32">
        <f t="shared" si="96"/>
        <v>7.565875022832536</v>
      </c>
      <c r="L189" s="15">
        <f t="shared" si="70"/>
        <v>3.8729613733905581</v>
      </c>
      <c r="M189" s="15">
        <f t="shared" si="71"/>
        <v>-1.7019237721552012</v>
      </c>
      <c r="N189" s="15">
        <f t="shared" si="72"/>
        <v>3.832508542103191E-3</v>
      </c>
      <c r="O189" s="15">
        <f t="shared" si="73"/>
        <v>-85.654875148929278</v>
      </c>
      <c r="P189" s="15">
        <f t="shared" si="74"/>
        <v>-22.410734778508036</v>
      </c>
      <c r="Q189" s="15">
        <f t="shared" si="75"/>
        <v>-0.27170093276924601</v>
      </c>
      <c r="R189" s="15">
        <f t="shared" si="76"/>
        <v>-9.766139712992046E-5</v>
      </c>
      <c r="S189" s="31">
        <f t="shared" si="97"/>
        <v>-87.628499853853725</v>
      </c>
      <c r="T189" s="31">
        <f t="shared" si="98"/>
        <v>-10.646136619098099</v>
      </c>
      <c r="U189" s="15">
        <f t="shared" si="77"/>
        <v>6500</v>
      </c>
      <c r="V189" s="15">
        <f t="shared" si="78"/>
        <v>-89.996185577253712</v>
      </c>
      <c r="W189" s="15">
        <f t="shared" si="79"/>
        <v>-83.533876183968545</v>
      </c>
      <c r="X189" s="15">
        <f t="shared" si="80"/>
        <v>85.278184266763802</v>
      </c>
      <c r="Y189" s="15">
        <f t="shared" si="81"/>
        <v>21.690106040450971</v>
      </c>
      <c r="Z189" s="15">
        <f t="shared" si="82"/>
        <v>-4.6144486484946707</v>
      </c>
      <c r="AA189" s="15">
        <f t="shared" si="83"/>
        <v>-2.8199975534288487E-2</v>
      </c>
      <c r="AB189" s="31">
        <f t="shared" si="99"/>
        <v>-9.3324499589845811</v>
      </c>
      <c r="AC189" s="31">
        <f t="shared" si="100"/>
        <v>14.386297013805251</v>
      </c>
      <c r="AD189" s="15">
        <f t="shared" si="84"/>
        <v>51.230141801097133</v>
      </c>
      <c r="AE189" s="15">
        <f t="shared" si="85"/>
        <v>4.0658256285104351</v>
      </c>
      <c r="AF189" s="15">
        <f t="shared" si="86"/>
        <v>2.9339653818562027E-2</v>
      </c>
      <c r="AG189" s="15">
        <f t="shared" si="87"/>
        <v>1.138804136322048E-6</v>
      </c>
      <c r="AH189" s="15">
        <f t="shared" si="88"/>
        <v>-13.410185423815816</v>
      </c>
      <c r="AI189" s="15">
        <f t="shared" si="89"/>
        <v>-0.240112139189187</v>
      </c>
      <c r="AJ189" s="31">
        <f t="shared" si="101"/>
        <v>37.849296031099875</v>
      </c>
      <c r="AK189" s="31">
        <f t="shared" si="102"/>
        <v>3.8257146281253842</v>
      </c>
      <c r="AL189" s="15">
        <f t="shared" si="90"/>
        <v>0</v>
      </c>
      <c r="AM189" s="15">
        <f t="shared" si="91"/>
        <v>0</v>
      </c>
      <c r="AN189" s="15">
        <f t="shared" si="92"/>
        <v>0</v>
      </c>
      <c r="AO189" s="15">
        <f t="shared" si="93"/>
        <v>0</v>
      </c>
      <c r="AP189" s="31">
        <f t="shared" si="103"/>
        <v>0</v>
      </c>
      <c r="AQ189" s="31">
        <f t="shared" si="104"/>
        <v>0</v>
      </c>
    </row>
    <row r="190" spans="8:43" x14ac:dyDescent="0.25">
      <c r="H190" s="15">
        <v>2.87</v>
      </c>
      <c r="I190" s="45">
        <f t="shared" si="94"/>
        <v>7413.1024130091828</v>
      </c>
      <c r="J190" s="32">
        <f t="shared" si="95"/>
        <v>121.08621528156517</v>
      </c>
      <c r="K190" s="32">
        <f t="shared" si="96"/>
        <v>7.4761991141860928</v>
      </c>
      <c r="L190" s="15">
        <f t="shared" si="70"/>
        <v>3.8729613733905581</v>
      </c>
      <c r="M190" s="15">
        <f t="shared" si="71"/>
        <v>-1.7415425342713475</v>
      </c>
      <c r="N190" s="15">
        <f t="shared" si="72"/>
        <v>4.0130456800812784E-3</v>
      </c>
      <c r="O190" s="15">
        <f t="shared" si="73"/>
        <v>-85.753416256540703</v>
      </c>
      <c r="P190" s="15">
        <f t="shared" si="74"/>
        <v>-22.609612628285689</v>
      </c>
      <c r="Q190" s="15">
        <f t="shared" si="75"/>
        <v>-0.27802956228145387</v>
      </c>
      <c r="R190" s="15">
        <f t="shared" si="76"/>
        <v>-1.0226398278698942E-4</v>
      </c>
      <c r="S190" s="31">
        <f t="shared" si="97"/>
        <v>-87.77298835309351</v>
      </c>
      <c r="T190" s="31">
        <f t="shared" si="98"/>
        <v>-10.844838534323433</v>
      </c>
      <c r="U190" s="15">
        <f t="shared" si="77"/>
        <v>6500</v>
      </c>
      <c r="V190" s="15">
        <f t="shared" si="78"/>
        <v>-89.996272404115601</v>
      </c>
      <c r="W190" s="15">
        <f t="shared" si="79"/>
        <v>-83.733876183102211</v>
      </c>
      <c r="X190" s="15">
        <f t="shared" si="80"/>
        <v>85.38519630834962</v>
      </c>
      <c r="Y190" s="15">
        <f t="shared" si="81"/>
        <v>21.888781320730004</v>
      </c>
      <c r="Z190" s="15">
        <f t="shared" si="82"/>
        <v>-4.721452530858274</v>
      </c>
      <c r="AA190" s="15">
        <f t="shared" si="83"/>
        <v>-2.9524491898520418E-2</v>
      </c>
      <c r="AB190" s="31">
        <f t="shared" si="99"/>
        <v>-9.3325286266242546</v>
      </c>
      <c r="AC190" s="31">
        <f t="shared" si="100"/>
        <v>14.383647778586386</v>
      </c>
      <c r="AD190" s="15">
        <f t="shared" si="84"/>
        <v>51.872595229444464</v>
      </c>
      <c r="AE190" s="15">
        <f t="shared" si="85"/>
        <v>4.1884958869985294</v>
      </c>
      <c r="AF190" s="15">
        <f t="shared" si="86"/>
        <v>3.0023062024802656E-2</v>
      </c>
      <c r="AG190" s="15">
        <f t="shared" si="87"/>
        <v>1.1924743142939584E-6</v>
      </c>
      <c r="AH190" s="15">
        <f t="shared" si="88"/>
        <v>-13.710886030186327</v>
      </c>
      <c r="AI190" s="15">
        <f t="shared" si="89"/>
        <v>-0.25110720954970395</v>
      </c>
      <c r="AJ190" s="31">
        <f t="shared" si="101"/>
        <v>38.191732261282937</v>
      </c>
      <c r="AK190" s="31">
        <f t="shared" si="102"/>
        <v>3.9373898699231393</v>
      </c>
      <c r="AL190" s="15">
        <f t="shared" si="90"/>
        <v>0</v>
      </c>
      <c r="AM190" s="15">
        <f t="shared" si="91"/>
        <v>0</v>
      </c>
      <c r="AN190" s="15">
        <f t="shared" si="92"/>
        <v>0</v>
      </c>
      <c r="AO190" s="15">
        <f t="shared" si="93"/>
        <v>0</v>
      </c>
      <c r="AP190" s="31">
        <f t="shared" si="103"/>
        <v>0</v>
      </c>
      <c r="AQ190" s="31">
        <f t="shared" si="104"/>
        <v>0</v>
      </c>
    </row>
    <row r="191" spans="8:43" x14ac:dyDescent="0.25">
      <c r="H191" s="15">
        <v>2.88</v>
      </c>
      <c r="I191" s="45">
        <f t="shared" si="94"/>
        <v>7585.7757502918375</v>
      </c>
      <c r="J191" s="32">
        <f t="shared" si="95"/>
        <v>121.27067564694556</v>
      </c>
      <c r="K191" s="32">
        <f t="shared" si="96"/>
        <v>7.388162519323382</v>
      </c>
      <c r="L191" s="15">
        <f t="shared" si="70"/>
        <v>3.8729613733905581</v>
      </c>
      <c r="M191" s="15">
        <f t="shared" si="71"/>
        <v>-1.7820824110974456</v>
      </c>
      <c r="N191" s="15">
        <f t="shared" si="72"/>
        <v>4.202083227736339E-3</v>
      </c>
      <c r="O191" s="15">
        <f t="shared" si="73"/>
        <v>-85.84973862065047</v>
      </c>
      <c r="P191" s="15">
        <f t="shared" si="74"/>
        <v>-22.808540712409627</v>
      </c>
      <c r="Q191" s="15">
        <f t="shared" si="75"/>
        <v>-0.28450559748772919</v>
      </c>
      <c r="R191" s="15">
        <f t="shared" si="76"/>
        <v>-1.0708347639606019E-4</v>
      </c>
      <c r="S191" s="31">
        <f t="shared" si="97"/>
        <v>-87.916326629235641</v>
      </c>
      <c r="T191" s="31">
        <f t="shared" si="98"/>
        <v>-11.043582400393323</v>
      </c>
      <c r="U191" s="15">
        <f t="shared" si="77"/>
        <v>6500</v>
      </c>
      <c r="V191" s="15">
        <f t="shared" si="78"/>
        <v>-89.996357254556855</v>
      </c>
      <c r="W191" s="15">
        <f t="shared" si="79"/>
        <v>-83.933876182274872</v>
      </c>
      <c r="X191" s="15">
        <f t="shared" si="80"/>
        <v>85.489803645782999</v>
      </c>
      <c r="Y191" s="15">
        <f t="shared" si="81"/>
        <v>22.087515845900075</v>
      </c>
      <c r="Z191" s="15">
        <f t="shared" si="82"/>
        <v>-4.830914686345352</v>
      </c>
      <c r="AA191" s="15">
        <f t="shared" si="83"/>
        <v>-3.0910997974319742E-2</v>
      </c>
      <c r="AB191" s="31">
        <f t="shared" si="99"/>
        <v>-9.3374682951192085</v>
      </c>
      <c r="AC191" s="31">
        <f t="shared" si="100"/>
        <v>14.380995798507996</v>
      </c>
      <c r="AD191" s="15">
        <f t="shared" si="84"/>
        <v>52.511543802472588</v>
      </c>
      <c r="AE191" s="15">
        <f t="shared" si="85"/>
        <v>4.3133385767791115</v>
      </c>
      <c r="AF191" s="15">
        <f t="shared" si="86"/>
        <v>3.072238884427065E-2</v>
      </c>
      <c r="AG191" s="15">
        <f t="shared" si="87"/>
        <v>1.2486738897286208E-6</v>
      </c>
      <c r="AH191" s="15">
        <f t="shared" si="88"/>
        <v>-14.017795620016447</v>
      </c>
      <c r="AI191" s="15">
        <f t="shared" si="89"/>
        <v>-0.26259070424429232</v>
      </c>
      <c r="AJ191" s="31">
        <f t="shared" si="101"/>
        <v>38.524470571300412</v>
      </c>
      <c r="AK191" s="31">
        <f t="shared" si="102"/>
        <v>4.0507491212087086</v>
      </c>
      <c r="AL191" s="15">
        <f t="shared" si="90"/>
        <v>0</v>
      </c>
      <c r="AM191" s="15">
        <f t="shared" si="91"/>
        <v>0</v>
      </c>
      <c r="AN191" s="15">
        <f t="shared" si="92"/>
        <v>0</v>
      </c>
      <c r="AO191" s="15">
        <f t="shared" si="93"/>
        <v>0</v>
      </c>
      <c r="AP191" s="31">
        <f t="shared" si="103"/>
        <v>0</v>
      </c>
      <c r="AQ191" s="31">
        <f t="shared" si="104"/>
        <v>0</v>
      </c>
    </row>
    <row r="192" spans="8:43" x14ac:dyDescent="0.25">
      <c r="H192" s="15">
        <v>2.89</v>
      </c>
      <c r="I192" s="45">
        <f t="shared" si="94"/>
        <v>7762.4711662869231</v>
      </c>
      <c r="J192" s="32">
        <f t="shared" si="95"/>
        <v>121.44126269085112</v>
      </c>
      <c r="K192" s="32">
        <f t="shared" si="96"/>
        <v>7.3017173257943835</v>
      </c>
      <c r="L192" s="15">
        <f t="shared" si="70"/>
        <v>3.8729613733905581</v>
      </c>
      <c r="M192" s="15">
        <f t="shared" si="71"/>
        <v>-1.8235647349550879</v>
      </c>
      <c r="N192" s="15">
        <f t="shared" si="72"/>
        <v>4.4000210217814703E-3</v>
      </c>
      <c r="O192" s="15">
        <f t="shared" si="73"/>
        <v>-85.943891133589915</v>
      </c>
      <c r="P192" s="15">
        <f t="shared" si="74"/>
        <v>-23.007516793661466</v>
      </c>
      <c r="Q192" s="15">
        <f t="shared" si="75"/>
        <v>-0.29113247140541038</v>
      </c>
      <c r="R192" s="15">
        <f t="shared" si="76"/>
        <v>-1.1213010001028193E-4</v>
      </c>
      <c r="S192" s="31">
        <f t="shared" si="97"/>
        <v>-88.058588339950404</v>
      </c>
      <c r="T192" s="31">
        <f t="shared" si="98"/>
        <v>-11.242365590474732</v>
      </c>
      <c r="U192" s="15">
        <f t="shared" si="77"/>
        <v>6500</v>
      </c>
      <c r="V192" s="15">
        <f t="shared" si="78"/>
        <v>-89.996440173566285</v>
      </c>
      <c r="W192" s="15">
        <f t="shared" si="79"/>
        <v>-84.133876181484794</v>
      </c>
      <c r="X192" s="15">
        <f t="shared" si="80"/>
        <v>85.592058952172053</v>
      </c>
      <c r="Y192" s="15">
        <f t="shared" si="81"/>
        <v>22.286306982501021</v>
      </c>
      <c r="Z192" s="15">
        <f t="shared" si="82"/>
        <v>-4.942889955241478</v>
      </c>
      <c r="AA192" s="15">
        <f t="shared" si="83"/>
        <v>-3.236237379207825E-2</v>
      </c>
      <c r="AB192" s="31">
        <f t="shared" si="99"/>
        <v>-9.3472711766357097</v>
      </c>
      <c r="AC192" s="31">
        <f t="shared" si="100"/>
        <v>14.378335560081261</v>
      </c>
      <c r="AD192" s="15">
        <f t="shared" si="84"/>
        <v>53.146690643638273</v>
      </c>
      <c r="AE192" s="15">
        <f t="shared" si="85"/>
        <v>4.4403289919300732</v>
      </c>
      <c r="AF192" s="15">
        <f t="shared" si="86"/>
        <v>3.1438005068468514E-2</v>
      </c>
      <c r="AG192" s="15">
        <f t="shared" si="87"/>
        <v>1.3075220669344444E-6</v>
      </c>
      <c r="AH192" s="15">
        <f t="shared" si="88"/>
        <v>-14.331006441269503</v>
      </c>
      <c r="AI192" s="15">
        <f t="shared" si="89"/>
        <v>-0.27458294326428595</v>
      </c>
      <c r="AJ192" s="31">
        <f t="shared" si="101"/>
        <v>38.847122207437238</v>
      </c>
      <c r="AK192" s="31">
        <f t="shared" si="102"/>
        <v>4.165747356187854</v>
      </c>
      <c r="AL192" s="15">
        <f t="shared" si="90"/>
        <v>0</v>
      </c>
      <c r="AM192" s="15">
        <f t="shared" si="91"/>
        <v>0</v>
      </c>
      <c r="AN192" s="15">
        <f t="shared" si="92"/>
        <v>0</v>
      </c>
      <c r="AO192" s="15">
        <f t="shared" si="93"/>
        <v>0</v>
      </c>
      <c r="AP192" s="31">
        <f t="shared" si="103"/>
        <v>0</v>
      </c>
      <c r="AQ192" s="31">
        <f t="shared" si="104"/>
        <v>0</v>
      </c>
    </row>
    <row r="193" spans="8:43" x14ac:dyDescent="0.25">
      <c r="H193" s="15">
        <v>2.9</v>
      </c>
      <c r="I193" s="45">
        <f t="shared" si="94"/>
        <v>7943.2823472428208</v>
      </c>
      <c r="J193" s="32">
        <f t="shared" si="95"/>
        <v>121.59752041583067</v>
      </c>
      <c r="K193" s="32">
        <f t="shared" si="96"/>
        <v>7.2168129858642516</v>
      </c>
      <c r="L193" s="15">
        <f t="shared" si="70"/>
        <v>3.8729613733905581</v>
      </c>
      <c r="M193" s="15">
        <f t="shared" si="71"/>
        <v>-1.8660113262681681</v>
      </c>
      <c r="N193" s="15">
        <f t="shared" si="72"/>
        <v>4.6072776679690055E-3</v>
      </c>
      <c r="O193" s="15">
        <f t="shared" si="73"/>
        <v>-86.035921681175665</v>
      </c>
      <c r="P193" s="15">
        <f t="shared" si="74"/>
        <v>-23.206538733444528</v>
      </c>
      <c r="Q193" s="15">
        <f t="shared" si="75"/>
        <v>-0.29791369698115394</v>
      </c>
      <c r="R193" s="15">
        <f t="shared" si="76"/>
        <v>-1.1741455738045453E-4</v>
      </c>
      <c r="S193" s="31">
        <f t="shared" si="97"/>
        <v>-88.199846704424985</v>
      </c>
      <c r="T193" s="31">
        <f t="shared" si="98"/>
        <v>-11.441185558068977</v>
      </c>
      <c r="U193" s="15">
        <f t="shared" si="77"/>
        <v>6500</v>
      </c>
      <c r="V193" s="15">
        <f t="shared" si="78"/>
        <v>-89.996521205108621</v>
      </c>
      <c r="W193" s="15">
        <f t="shared" si="79"/>
        <v>-84.333876180730257</v>
      </c>
      <c r="X193" s="15">
        <f t="shared" si="80"/>
        <v>85.692013837611086</v>
      </c>
      <c r="Y193" s="15">
        <f t="shared" si="81"/>
        <v>22.485152212720038</v>
      </c>
      <c r="Z193" s="15">
        <f t="shared" si="82"/>
        <v>-5.0574342849593128</v>
      </c>
      <c r="AA193" s="15">
        <f t="shared" si="83"/>
        <v>-3.3881631158936769E-2</v>
      </c>
      <c r="AB193" s="31">
        <f t="shared" si="99"/>
        <v>-9.3619416524568493</v>
      </c>
      <c r="AC193" s="31">
        <f t="shared" si="100"/>
        <v>14.375661533687957</v>
      </c>
      <c r="AD193" s="15">
        <f t="shared" si="84"/>
        <v>53.777748135103316</v>
      </c>
      <c r="AE193" s="15">
        <f t="shared" si="85"/>
        <v>4.5694406088987236</v>
      </c>
      <c r="AF193" s="15">
        <f t="shared" si="86"/>
        <v>3.2170290125696978E-2</v>
      </c>
      <c r="AG193" s="15">
        <f t="shared" si="87"/>
        <v>1.3691436760998103E-6</v>
      </c>
      <c r="AH193" s="15">
        <f t="shared" si="88"/>
        <v>-14.650609652516506</v>
      </c>
      <c r="AI193" s="15">
        <f t="shared" si="89"/>
        <v>-0.28710496779712763</v>
      </c>
      <c r="AJ193" s="31">
        <f t="shared" si="101"/>
        <v>39.159308772712507</v>
      </c>
      <c r="AK193" s="31">
        <f t="shared" si="102"/>
        <v>4.2823370102452714</v>
      </c>
      <c r="AL193" s="15">
        <f t="shared" si="90"/>
        <v>0</v>
      </c>
      <c r="AM193" s="15">
        <f t="shared" si="91"/>
        <v>0</v>
      </c>
      <c r="AN193" s="15">
        <f t="shared" si="92"/>
        <v>0</v>
      </c>
      <c r="AO193" s="15">
        <f t="shared" si="93"/>
        <v>0</v>
      </c>
      <c r="AP193" s="31">
        <f t="shared" si="103"/>
        <v>0</v>
      </c>
      <c r="AQ193" s="31">
        <f t="shared" si="104"/>
        <v>0</v>
      </c>
    </row>
    <row r="194" spans="8:43" x14ac:dyDescent="0.25">
      <c r="H194" s="15">
        <v>2.91</v>
      </c>
      <c r="I194" s="45">
        <f t="shared" si="94"/>
        <v>8128.3051616409975</v>
      </c>
      <c r="J194" s="32">
        <f t="shared" si="95"/>
        <v>121.73900217599608</v>
      </c>
      <c r="K194" s="32">
        <f t="shared" si="96"/>
        <v>7.13339639651283</v>
      </c>
      <c r="L194" s="15">
        <f t="shared" si="70"/>
        <v>3.8729613733905581</v>
      </c>
      <c r="M194" s="15">
        <f t="shared" si="71"/>
        <v>-1.9094445043059027</v>
      </c>
      <c r="N194" s="15">
        <f t="shared" si="72"/>
        <v>4.8242914184650296E-3</v>
      </c>
      <c r="O194" s="15">
        <f t="shared" si="73"/>
        <v>-86.12587715864916</v>
      </c>
      <c r="P194" s="15">
        <f t="shared" si="74"/>
        <v>-23.405604487525334</v>
      </c>
      <c r="Q194" s="15">
        <f t="shared" si="75"/>
        <v>-0.3048528689501615</v>
      </c>
      <c r="R194" s="15">
        <f t="shared" si="76"/>
        <v>-1.2294805666420897E-4</v>
      </c>
      <c r="S194" s="31">
        <f t="shared" si="97"/>
        <v>-88.340174531905234</v>
      </c>
      <c r="T194" s="31">
        <f t="shared" si="98"/>
        <v>-11.640039831898569</v>
      </c>
      <c r="U194" s="15">
        <f t="shared" si="77"/>
        <v>6500</v>
      </c>
      <c r="V194" s="15">
        <f t="shared" si="78"/>
        <v>-89.996600392147897</v>
      </c>
      <c r="W194" s="15">
        <f t="shared" si="79"/>
        <v>-84.533876180009671</v>
      </c>
      <c r="X194" s="15">
        <f t="shared" si="80"/>
        <v>85.789718864499761</v>
      </c>
      <c r="Y194" s="15">
        <f t="shared" si="81"/>
        <v>22.684049129436694</v>
      </c>
      <c r="Z194" s="15">
        <f t="shared" si="82"/>
        <v>-5.1746047439901064</v>
      </c>
      <c r="AA194" s="15">
        <f t="shared" si="83"/>
        <v>-3.5471919494202718E-2</v>
      </c>
      <c r="AB194" s="31">
        <f t="shared" si="99"/>
        <v>-9.3814862716382414</v>
      </c>
      <c r="AC194" s="31">
        <f t="shared" si="100"/>
        <v>14.372968162789935</v>
      </c>
      <c r="AD194" s="15">
        <f t="shared" si="84"/>
        <v>54.404438468598954</v>
      </c>
      <c r="AE194" s="15">
        <f t="shared" si="85"/>
        <v>4.7006451865953629</v>
      </c>
      <c r="AF194" s="15">
        <f t="shared" si="86"/>
        <v>3.2919632282228863E-2</v>
      </c>
      <c r="AG194" s="15">
        <f t="shared" si="87"/>
        <v>1.4336694182316249E-6</v>
      </c>
      <c r="AH194" s="15">
        <f t="shared" si="88"/>
        <v>-14.976695121341635</v>
      </c>
      <c r="AI194" s="15">
        <f t="shared" si="89"/>
        <v>-0.30017855464331561</v>
      </c>
      <c r="AJ194" s="31">
        <f t="shared" si="101"/>
        <v>39.460662979539549</v>
      </c>
      <c r="AK194" s="31">
        <f t="shared" si="102"/>
        <v>4.4004680656214648</v>
      </c>
      <c r="AL194" s="15">
        <f t="shared" si="90"/>
        <v>0</v>
      </c>
      <c r="AM194" s="15">
        <f t="shared" si="91"/>
        <v>0</v>
      </c>
      <c r="AN194" s="15">
        <f t="shared" si="92"/>
        <v>0</v>
      </c>
      <c r="AO194" s="15">
        <f t="shared" si="93"/>
        <v>0</v>
      </c>
      <c r="AP194" s="31">
        <f t="shared" si="103"/>
        <v>0</v>
      </c>
      <c r="AQ194" s="31">
        <f t="shared" si="104"/>
        <v>0</v>
      </c>
    </row>
    <row r="195" spans="8:43" x14ac:dyDescent="0.25">
      <c r="H195" s="15">
        <v>2.92</v>
      </c>
      <c r="I195" s="45">
        <f t="shared" si="94"/>
        <v>8317.6377110267131</v>
      </c>
      <c r="J195" s="32">
        <f t="shared" si="95"/>
        <v>121.86527135987555</v>
      </c>
      <c r="K195" s="32">
        <f t="shared" si="96"/>
        <v>7.0514119843937246</v>
      </c>
      <c r="L195" s="15">
        <f t="shared" ref="L195:L258" si="105">A_PS</f>
        <v>3.8729613733905581</v>
      </c>
      <c r="M195" s="15">
        <f t="shared" ref="M195:M258" si="106">-180/PI()*ATAN($I195/z_RHP/1000)</f>
        <v>-1.9538870981315615</v>
      </c>
      <c r="N195" s="15">
        <f t="shared" ref="N195:N258" si="107">20*LOG(SQRT(($I195/z_RHP/1000)^2+1))</f>
        <v>5.0515210898752086E-3</v>
      </c>
      <c r="O195" s="15">
        <f t="shared" ref="O195:O258" si="108">-180/PI()*ATAN($I195/p_small)</f>
        <v>-86.213803486704506</v>
      </c>
      <c r="P195" s="15">
        <f t="shared" ref="P195:P258" si="109">-20*LOG(SQRT(($I195/p_small)^2+1))</f>
        <v>-23.604712101951012</v>
      </c>
      <c r="Q195" s="15">
        <f t="shared" ref="Q195:Q258" si="110">-180/PI()*ATAN($I195/p_large/1000)</f>
        <v>-0.31195366573852545</v>
      </c>
      <c r="R195" s="15">
        <f t="shared" ref="R195:R258" si="111">-20*LOG(SQRT(($I195/p_large/1000)^2+1))</f>
        <v>-1.2874233417814752E-4</v>
      </c>
      <c r="S195" s="31">
        <f t="shared" si="97"/>
        <v>-88.479644250574594</v>
      </c>
      <c r="T195" s="31">
        <f t="shared" si="98"/>
        <v>-11.838926010930352</v>
      </c>
      <c r="U195" s="15">
        <f t="shared" ref="U195:U258" si="112">A_EA</f>
        <v>6500</v>
      </c>
      <c r="V195" s="15">
        <f t="shared" ref="V195:V258" si="113">-180/PI()*ATAN($I195/p_EA)</f>
        <v>-89.996677776670097</v>
      </c>
      <c r="W195" s="15">
        <f t="shared" ref="W195:W258" si="114">-20*LOG(SQRT(($I195/p_EA)^2+1))</f>
        <v>-84.733876179321527</v>
      </c>
      <c r="X195" s="15">
        <f t="shared" ref="X195:X258" si="115">180/PI()*ATAN($I195/z_comp)</f>
        <v>85.885223563084722</v>
      </c>
      <c r="Y195" s="15">
        <f t="shared" ref="Y195:Y258" si="116">20*LOG(SQRT(($I195/z_comp)^2+1))</f>
        <v>22.882995431469286</v>
      </c>
      <c r="Z195" s="15">
        <f t="shared" ref="Z195:Z258" si="117">IF(p_comp="",0,-180/PI()*ATAN($I195/p_comp/1000))</f>
        <v>-5.2944595353743091</v>
      </c>
      <c r="AA195" s="15">
        <f t="shared" ref="AA195:AA258" si="118">IF(p_comp="",0,-20*LOG(SQRT(($I195/p_comp/1000)^2+1)))</f>
        <v>-3.7136531904547264E-2</v>
      </c>
      <c r="AB195" s="31">
        <f t="shared" si="99"/>
        <v>-9.4059137489596836</v>
      </c>
      <c r="AC195" s="31">
        <f t="shared" si="100"/>
        <v>14.370249853100326</v>
      </c>
      <c r="AD195" s="15">
        <f t="shared" ref="AD195:AD258" si="119">IF(z_esr_1="",0,180/PI()*ATAN($I195/z_esr_1/1000))</f>
        <v>55.026494141723532</v>
      </c>
      <c r="AE195" s="15">
        <f t="shared" ref="AE195:AE258" si="120">IF(z_esr_1="",0,20*LOG(SQRT(($I195/z_esr_1/1000)^2+1)))</f>
        <v>4.8339128708362642</v>
      </c>
      <c r="AF195" s="15">
        <f t="shared" ref="AF195:AF258" si="121">180/PI()*ATAN($I195/z_esr_2/1000)</f>
        <v>3.368642884816829E-2</v>
      </c>
      <c r="AG195" s="15">
        <f t="shared" ref="AG195:AG258" si="122">20*LOG(SQRT(($I195/z_esr_2/1000)^2+1))</f>
        <v>1.5012361640961482E-6</v>
      </c>
      <c r="AH195" s="15">
        <f t="shared" ref="AH195:AH258" si="123">IF(p_esr="",0,-180/PI()*ATAN($I195/p_esr/1000))</f>
        <v>-15.309351211161871</v>
      </c>
      <c r="AI195" s="15">
        <f t="shared" ref="AI195:AI258" si="124">IF(p_esr="",0,-20*LOG(SQRT(($I195/p_esr/1000)^2+1)))</f>
        <v>-0.31382622984867709</v>
      </c>
      <c r="AJ195" s="31">
        <f t="shared" si="101"/>
        <v>39.750829359409835</v>
      </c>
      <c r="AK195" s="31">
        <f t="shared" si="102"/>
        <v>4.5200881422237513</v>
      </c>
      <c r="AL195" s="15">
        <f t="shared" ref="AL195:AL258" si="125">IF(z_ff="",0,180/PI()*ATAN($I195/z_ff/1000))</f>
        <v>0</v>
      </c>
      <c r="AM195" s="15">
        <f t="shared" ref="AM195:AM258" si="126">IF(z_ff="",0,20*LOG(SQRT(($I195/z_ff/1000)^2+1)))</f>
        <v>0</v>
      </c>
      <c r="AN195" s="15">
        <f t="shared" ref="AN195:AN258" si="127">IF(p_ff="",0,-180/PI()*ATAN($I195/p_ff/1000))</f>
        <v>0</v>
      </c>
      <c r="AO195" s="15">
        <f t="shared" ref="AO195:AO258" si="128">IF(p_ff="",0,-20*LOG(SQRT(($I195/p_ff/1000)^2+1)))</f>
        <v>0</v>
      </c>
      <c r="AP195" s="31">
        <f t="shared" si="103"/>
        <v>0</v>
      </c>
      <c r="AQ195" s="31">
        <f t="shared" si="104"/>
        <v>0</v>
      </c>
    </row>
    <row r="196" spans="8:43" x14ac:dyDescent="0.25">
      <c r="H196" s="15">
        <v>2.93</v>
      </c>
      <c r="I196" s="45">
        <f t="shared" ref="I196:I259" si="129">10*10^H196</f>
        <v>8511.3803820237772</v>
      </c>
      <c r="J196" s="32">
        <f t="shared" ref="J196:J259" si="130">180+S196+AB196+AJ196+AP196</f>
        <v>121.97590202962063</v>
      </c>
      <c r="K196" s="32">
        <f t="shared" ref="K196:K259" si="131">T196+AC196+AK196+AQ196</f>
        <v>6.9708017950964027</v>
      </c>
      <c r="L196" s="15">
        <f t="shared" si="105"/>
        <v>3.8729613733905581</v>
      </c>
      <c r="M196" s="15">
        <f t="shared" si="106"/>
        <v>-1.999362457758584</v>
      </c>
      <c r="N196" s="15">
        <f t="shared" si="107"/>
        <v>5.2894470237760602E-3</v>
      </c>
      <c r="O196" s="15">
        <f t="shared" si="108"/>
        <v>-86.299745627573984</v>
      </c>
      <c r="P196" s="15">
        <f t="shared" si="109"/>
        <v>-23.803859709136308</v>
      </c>
      <c r="Q196" s="15">
        <f t="shared" si="110"/>
        <v>-0.31921985140969139</v>
      </c>
      <c r="R196" s="15">
        <f t="shared" si="111"/>
        <v>-1.3480967929126221E-4</v>
      </c>
      <c r="S196" s="31">
        <f t="shared" ref="S196:S259" si="132">M196+O196+Q196</f>
        <v>-88.618327936742247</v>
      </c>
      <c r="T196" s="31">
        <f t="shared" ref="T196:T259" si="133">20*LOG(L196)+N196+P196+R196</f>
        <v>-12.037841759526861</v>
      </c>
      <c r="U196" s="15">
        <f t="shared" si="112"/>
        <v>6500</v>
      </c>
      <c r="V196" s="15">
        <f t="shared" si="113"/>
        <v>-89.996753399705526</v>
      </c>
      <c r="W196" s="15">
        <f t="shared" si="114"/>
        <v>-84.933876178664349</v>
      </c>
      <c r="X196" s="15">
        <f t="shared" si="115"/>
        <v>85.978576447183087</v>
      </c>
      <c r="Y196" s="15">
        <f t="shared" si="116"/>
        <v>23.08198891901543</v>
      </c>
      <c r="Z196" s="15">
        <f t="shared" si="117"/>
        <v>-5.4170580096274454</v>
      </c>
      <c r="AA196" s="15">
        <f t="shared" si="118"/>
        <v>-3.887891150705336E-2</v>
      </c>
      <c r="AB196" s="31">
        <f t="shared" ref="AB196:AB259" si="134">V196+X196+Z196</f>
        <v>-9.4352349621498846</v>
      </c>
      <c r="AC196" s="31">
        <f t="shared" ref="AC196:AC259" si="135">20*LOG(U196)+W196+Y196+AA196</f>
        <v>14.367500961701142</v>
      </c>
      <c r="AD196" s="15">
        <f t="shared" si="119"/>
        <v>55.643658398361239</v>
      </c>
      <c r="AE196" s="15">
        <f t="shared" si="120"/>
        <v>4.969212302361333</v>
      </c>
      <c r="AF196" s="15">
        <f t="shared" si="121"/>
        <v>3.4471086388104984E-2</v>
      </c>
      <c r="AG196" s="15">
        <f t="shared" si="122"/>
        <v>1.5719872319445553E-6</v>
      </c>
      <c r="AH196" s="15">
        <f t="shared" si="123"/>
        <v>-15.648664556236586</v>
      </c>
      <c r="AI196" s="15">
        <f t="shared" si="124"/>
        <v>-0.32807128142644271</v>
      </c>
      <c r="AJ196" s="31">
        <f t="shared" ref="AJ196:AJ259" si="136">AD196+AF196+AH196</f>
        <v>40.029464928512752</v>
      </c>
      <c r="AK196" s="31">
        <f t="shared" ref="AK196:AK259" si="137">AE196+AG196+AI196</f>
        <v>4.6411425929221224</v>
      </c>
      <c r="AL196" s="15">
        <f t="shared" si="125"/>
        <v>0</v>
      </c>
      <c r="AM196" s="15">
        <f t="shared" si="126"/>
        <v>0</v>
      </c>
      <c r="AN196" s="15">
        <f t="shared" si="127"/>
        <v>0</v>
      </c>
      <c r="AO196" s="15">
        <f t="shared" si="128"/>
        <v>0</v>
      </c>
      <c r="AP196" s="31">
        <f t="shared" ref="AP196:AP259" si="138">AL196+AN196</f>
        <v>0</v>
      </c>
      <c r="AQ196" s="31">
        <f t="shared" ref="AQ196:AQ259" si="139">AM196+AO196</f>
        <v>0</v>
      </c>
    </row>
    <row r="197" spans="8:43" x14ac:dyDescent="0.25">
      <c r="H197" s="15">
        <v>2.94</v>
      </c>
      <c r="I197" s="45">
        <f t="shared" si="129"/>
        <v>8709.6358995608098</v>
      </c>
      <c r="J197" s="32">
        <f t="shared" si="130"/>
        <v>122.07047951601923</v>
      </c>
      <c r="K197" s="32">
        <f t="shared" si="131"/>
        <v>6.8915055860628884</v>
      </c>
      <c r="L197" s="15">
        <f t="shared" si="105"/>
        <v>3.8729613733905581</v>
      </c>
      <c r="M197" s="15">
        <f t="shared" si="106"/>
        <v>-2.0458944655155156</v>
      </c>
      <c r="N197" s="15">
        <f t="shared" si="107"/>
        <v>5.5385720916960243E-3</v>
      </c>
      <c r="O197" s="15">
        <f t="shared" si="108"/>
        <v>-86.383747601143455</v>
      </c>
      <c r="P197" s="15">
        <f t="shared" si="109"/>
        <v>-24.003045524113542</v>
      </c>
      <c r="Q197" s="15">
        <f t="shared" si="110"/>
        <v>-0.32665527765604541</v>
      </c>
      <c r="R197" s="15">
        <f t="shared" si="111"/>
        <v>-1.4116296048465724E-4</v>
      </c>
      <c r="S197" s="31">
        <f t="shared" si="132"/>
        <v>-88.756297344315016</v>
      </c>
      <c r="T197" s="31">
        <f t="shared" si="133"/>
        <v>-12.236784802717368</v>
      </c>
      <c r="U197" s="15">
        <f t="shared" si="112"/>
        <v>6500</v>
      </c>
      <c r="V197" s="15">
        <f t="shared" si="113"/>
        <v>-89.996827301350521</v>
      </c>
      <c r="W197" s="15">
        <f t="shared" si="114"/>
        <v>-85.133876178036758</v>
      </c>
      <c r="X197" s="15">
        <f t="shared" si="115"/>
        <v>86.069825030049671</v>
      </c>
      <c r="Y197" s="15">
        <f t="shared" si="116"/>
        <v>23.281027489279783</v>
      </c>
      <c r="Z197" s="15">
        <f t="shared" si="117"/>
        <v>-5.5424606770524356</v>
      </c>
      <c r="AA197" s="15">
        <f t="shared" si="118"/>
        <v>-4.0702658008194011E-2</v>
      </c>
      <c r="AB197" s="31">
        <f t="shared" si="134"/>
        <v>-9.4694629483532857</v>
      </c>
      <c r="AC197" s="31">
        <f t="shared" si="135"/>
        <v>14.364715786091946</v>
      </c>
      <c r="AD197" s="15">
        <f t="shared" si="119"/>
        <v>56.25568561243378</v>
      </c>
      <c r="AE197" s="15">
        <f t="shared" si="120"/>
        <v>5.1065107276508144</v>
      </c>
      <c r="AF197" s="15">
        <f t="shared" si="121"/>
        <v>3.5274020936674685E-2</v>
      </c>
      <c r="AG197" s="15">
        <f t="shared" si="122"/>
        <v>1.6460726941682481E-6</v>
      </c>
      <c r="AH197" s="15">
        <f t="shared" si="123"/>
        <v>-15.994719824682928</v>
      </c>
      <c r="AI197" s="15">
        <f t="shared" si="124"/>
        <v>-0.34293777103519785</v>
      </c>
      <c r="AJ197" s="31">
        <f t="shared" si="136"/>
        <v>40.296239808687531</v>
      </c>
      <c r="AK197" s="31">
        <f t="shared" si="137"/>
        <v>4.763574602688311</v>
      </c>
      <c r="AL197" s="15">
        <f t="shared" si="125"/>
        <v>0</v>
      </c>
      <c r="AM197" s="15">
        <f t="shared" si="126"/>
        <v>0</v>
      </c>
      <c r="AN197" s="15">
        <f t="shared" si="127"/>
        <v>0</v>
      </c>
      <c r="AO197" s="15">
        <f t="shared" si="128"/>
        <v>0</v>
      </c>
      <c r="AP197" s="31">
        <f t="shared" si="138"/>
        <v>0</v>
      </c>
      <c r="AQ197" s="31">
        <f t="shared" si="139"/>
        <v>0</v>
      </c>
    </row>
    <row r="198" spans="8:43" x14ac:dyDescent="0.25">
      <c r="H198" s="15">
        <v>2.95</v>
      </c>
      <c r="I198" s="45">
        <f t="shared" si="129"/>
        <v>8912.509381337466</v>
      </c>
      <c r="J198" s="32">
        <f t="shared" si="130"/>
        <v>122.14860096923738</v>
      </c>
      <c r="K198" s="32">
        <f t="shared" si="131"/>
        <v>6.8134609225273834</v>
      </c>
      <c r="L198" s="15">
        <f t="shared" si="105"/>
        <v>3.8729613733905581</v>
      </c>
      <c r="M198" s="15">
        <f t="shared" si="106"/>
        <v>-2.0935075476210807</v>
      </c>
      <c r="N198" s="15">
        <f t="shared" si="107"/>
        <v>5.7994227465417705E-3</v>
      </c>
      <c r="O198" s="15">
        <f t="shared" si="108"/>
        <v>-86.46585250107141</v>
      </c>
      <c r="P198" s="15">
        <f t="shared" si="109"/>
        <v>-24.202267840939662</v>
      </c>
      <c r="Q198" s="15">
        <f t="shared" si="110"/>
        <v>-0.33426388583667177</v>
      </c>
      <c r="R198" s="15">
        <f t="shared" si="111"/>
        <v>-1.4781565263538392E-4</v>
      </c>
      <c r="S198" s="31">
        <f t="shared" si="132"/>
        <v>-88.893623934529174</v>
      </c>
      <c r="T198" s="31">
        <f t="shared" si="133"/>
        <v>-12.435752921580793</v>
      </c>
      <c r="U198" s="15">
        <f t="shared" si="112"/>
        <v>6500</v>
      </c>
      <c r="V198" s="15">
        <f t="shared" si="113"/>
        <v>-89.996899520788702</v>
      </c>
      <c r="W198" s="15">
        <f t="shared" si="114"/>
        <v>-85.333876177437418</v>
      </c>
      <c r="X198" s="15">
        <f t="shared" si="115"/>
        <v>86.159015840353376</v>
      </c>
      <c r="Y198" s="15">
        <f t="shared" si="116"/>
        <v>23.480109132282223</v>
      </c>
      <c r="Z198" s="15">
        <f t="shared" si="117"/>
        <v>-5.6707292193649099</v>
      </c>
      <c r="AA198" s="15">
        <f t="shared" si="118"/>
        <v>-4.2611534546965535E-2</v>
      </c>
      <c r="AB198" s="31">
        <f t="shared" si="134"/>
        <v>-9.5086128998002355</v>
      </c>
      <c r="AC198" s="31">
        <f t="shared" si="135"/>
        <v>14.361888553154953</v>
      </c>
      <c r="AD198" s="15">
        <f t="shared" si="119"/>
        <v>56.862341614708392</v>
      </c>
      <c r="AE198" s="15">
        <f t="shared" si="120"/>
        <v>5.2457741117738816</v>
      </c>
      <c r="AF198" s="15">
        <f t="shared" si="121"/>
        <v>3.6095658219141083E-2</v>
      </c>
      <c r="AG198" s="15">
        <f t="shared" si="122"/>
        <v>1.7236496935973631E-6</v>
      </c>
      <c r="AH198" s="15">
        <f t="shared" si="123"/>
        <v>-16.347599469360741</v>
      </c>
      <c r="AI198" s="15">
        <f t="shared" si="124"/>
        <v>-0.35845054447035196</v>
      </c>
      <c r="AJ198" s="31">
        <f t="shared" si="136"/>
        <v>40.550837803566793</v>
      </c>
      <c r="AK198" s="31">
        <f t="shared" si="137"/>
        <v>4.887325290953223</v>
      </c>
      <c r="AL198" s="15">
        <f t="shared" si="125"/>
        <v>0</v>
      </c>
      <c r="AM198" s="15">
        <f t="shared" si="126"/>
        <v>0</v>
      </c>
      <c r="AN198" s="15">
        <f t="shared" si="127"/>
        <v>0</v>
      </c>
      <c r="AO198" s="15">
        <f t="shared" si="128"/>
        <v>0</v>
      </c>
      <c r="AP198" s="31">
        <f t="shared" si="138"/>
        <v>0</v>
      </c>
      <c r="AQ198" s="31">
        <f t="shared" si="139"/>
        <v>0</v>
      </c>
    </row>
    <row r="199" spans="8:43" x14ac:dyDescent="0.25">
      <c r="H199" s="15">
        <v>2.96</v>
      </c>
      <c r="I199" s="45">
        <f t="shared" si="129"/>
        <v>9120.1083935590977</v>
      </c>
      <c r="J199" s="32">
        <f t="shared" si="130"/>
        <v>122.20987586565246</v>
      </c>
      <c r="K199" s="32">
        <f t="shared" si="131"/>
        <v>6.7366032758714098</v>
      </c>
      <c r="L199" s="15">
        <f t="shared" si="105"/>
        <v>3.8729613733905581</v>
      </c>
      <c r="M199" s="15">
        <f t="shared" si="106"/>
        <v>-2.1422266859703298</v>
      </c>
      <c r="N199" s="15">
        <f t="shared" si="107"/>
        <v>6.0725501225753408E-3</v>
      </c>
      <c r="O199" s="15">
        <f t="shared" si="108"/>
        <v>-86.546102510887849</v>
      </c>
      <c r="P199" s="15">
        <f t="shared" si="109"/>
        <v>-24.401525029253868</v>
      </c>
      <c r="Q199" s="15">
        <f t="shared" si="110"/>
        <v>-0.34204970906232496</v>
      </c>
      <c r="R199" s="15">
        <f t="shared" si="111"/>
        <v>-1.5478186558604847E-4</v>
      </c>
      <c r="S199" s="31">
        <f t="shared" si="132"/>
        <v>-89.0303789059205</v>
      </c>
      <c r="T199" s="31">
        <f t="shared" si="133"/>
        <v>-12.634743948731916</v>
      </c>
      <c r="U199" s="15">
        <f t="shared" si="112"/>
        <v>6500</v>
      </c>
      <c r="V199" s="15">
        <f t="shared" si="113"/>
        <v>-89.996970096311799</v>
      </c>
      <c r="W199" s="15">
        <f t="shared" si="114"/>
        <v>-85.533876176865036</v>
      </c>
      <c r="X199" s="15">
        <f t="shared" si="115"/>
        <v>86.246194438229978</v>
      </c>
      <c r="Y199" s="15">
        <f t="shared" si="116"/>
        <v>23.679231926839361</v>
      </c>
      <c r="Z199" s="15">
        <f t="shared" si="117"/>
        <v>-5.8019265005523213</v>
      </c>
      <c r="AA199" s="15">
        <f t="shared" si="118"/>
        <v>-4.4609474810384374E-2</v>
      </c>
      <c r="AB199" s="31">
        <f t="shared" si="134"/>
        <v>-9.5527021586341423</v>
      </c>
      <c r="AC199" s="31">
        <f t="shared" si="135"/>
        <v>14.359013408021054</v>
      </c>
      <c r="AD199" s="15">
        <f t="shared" si="119"/>
        <v>57.463403962872952</v>
      </c>
      <c r="AE199" s="15">
        <f t="shared" si="120"/>
        <v>5.3869672525177865</v>
      </c>
      <c r="AF199" s="15">
        <f t="shared" si="121"/>
        <v>3.6936433877114351E-2</v>
      </c>
      <c r="AG199" s="15">
        <f t="shared" si="122"/>
        <v>1.8048827848717029E-6</v>
      </c>
      <c r="AH199" s="15">
        <f t="shared" si="123"/>
        <v>-16.70738346654295</v>
      </c>
      <c r="AI199" s="15">
        <f t="shared" si="124"/>
        <v>-0.37463524081829924</v>
      </c>
      <c r="AJ199" s="31">
        <f t="shared" si="136"/>
        <v>40.792956930207119</v>
      </c>
      <c r="AK199" s="31">
        <f t="shared" si="137"/>
        <v>5.012333816582272</v>
      </c>
      <c r="AL199" s="15">
        <f t="shared" si="125"/>
        <v>0</v>
      </c>
      <c r="AM199" s="15">
        <f t="shared" si="126"/>
        <v>0</v>
      </c>
      <c r="AN199" s="15">
        <f t="shared" si="127"/>
        <v>0</v>
      </c>
      <c r="AO199" s="15">
        <f t="shared" si="128"/>
        <v>0</v>
      </c>
      <c r="AP199" s="31">
        <f t="shared" si="138"/>
        <v>0</v>
      </c>
      <c r="AQ199" s="31">
        <f t="shared" si="139"/>
        <v>0</v>
      </c>
    </row>
    <row r="200" spans="8:43" x14ac:dyDescent="0.25">
      <c r="H200" s="15">
        <v>2.97</v>
      </c>
      <c r="I200" s="45">
        <f t="shared" si="129"/>
        <v>9332.5430079699199</v>
      </c>
      <c r="J200" s="32">
        <f t="shared" si="130"/>
        <v>122.25392647154908</v>
      </c>
      <c r="K200" s="32">
        <f t="shared" si="131"/>
        <v>6.660866123819698</v>
      </c>
      <c r="L200" s="15">
        <f t="shared" si="105"/>
        <v>3.8729613733905581</v>
      </c>
      <c r="M200" s="15">
        <f t="shared" si="106"/>
        <v>-2.1920774301327826</v>
      </c>
      <c r="N200" s="15">
        <f t="shared" si="107"/>
        <v>6.3585311861495417E-3</v>
      </c>
      <c r="O200" s="15">
        <f t="shared" si="108"/>
        <v>-86.624538920051734</v>
      </c>
      <c r="P200" s="15">
        <f t="shared" si="109"/>
        <v>-24.600815530980494</v>
      </c>
      <c r="Q200" s="15">
        <f t="shared" si="110"/>
        <v>-0.35001687432871714</v>
      </c>
      <c r="R200" s="15">
        <f t="shared" si="111"/>
        <v>-1.6207637406184837E-4</v>
      </c>
      <c r="S200" s="31">
        <f t="shared" si="132"/>
        <v>-89.166633224513234</v>
      </c>
      <c r="T200" s="31">
        <f t="shared" si="133"/>
        <v>-12.833755763903444</v>
      </c>
      <c r="U200" s="15">
        <f t="shared" si="112"/>
        <v>6500</v>
      </c>
      <c r="V200" s="15">
        <f t="shared" si="113"/>
        <v>-89.997039065339848</v>
      </c>
      <c r="W200" s="15">
        <f t="shared" si="114"/>
        <v>-85.733876176318432</v>
      </c>
      <c r="X200" s="15">
        <f t="shared" si="115"/>
        <v>86.331405431382123</v>
      </c>
      <c r="Y200" s="15">
        <f t="shared" si="116"/>
        <v>23.878394036713399</v>
      </c>
      <c r="Z200" s="15">
        <f t="shared" si="117"/>
        <v>-5.9361165768827364</v>
      </c>
      <c r="AA200" s="15">
        <f t="shared" si="118"/>
        <v>-4.6700590429582606E-2</v>
      </c>
      <c r="AB200" s="31">
        <f t="shared" si="134"/>
        <v>-9.6017502108404607</v>
      </c>
      <c r="AC200" s="31">
        <f t="shared" si="135"/>
        <v>14.356084402822498</v>
      </c>
      <c r="AD200" s="15">
        <f t="shared" si="119"/>
        <v>58.058662155553513</v>
      </c>
      <c r="AE200" s="15">
        <f t="shared" si="120"/>
        <v>5.5300538950706644</v>
      </c>
      <c r="AF200" s="15">
        <f t="shared" si="121"/>
        <v>3.7796793699528257E-2</v>
      </c>
      <c r="AG200" s="15">
        <f t="shared" si="122"/>
        <v>1.8899442719542674E-6</v>
      </c>
      <c r="AH200" s="15">
        <f t="shared" si="123"/>
        <v>-17.074149042350257</v>
      </c>
      <c r="AI200" s="15">
        <f t="shared" si="124"/>
        <v>-0.39151830011429345</v>
      </c>
      <c r="AJ200" s="31">
        <f t="shared" si="136"/>
        <v>41.022309906902784</v>
      </c>
      <c r="AK200" s="31">
        <f t="shared" si="137"/>
        <v>5.1385374849006435</v>
      </c>
      <c r="AL200" s="15">
        <f t="shared" si="125"/>
        <v>0</v>
      </c>
      <c r="AM200" s="15">
        <f t="shared" si="126"/>
        <v>0</v>
      </c>
      <c r="AN200" s="15">
        <f t="shared" si="127"/>
        <v>0</v>
      </c>
      <c r="AO200" s="15">
        <f t="shared" si="128"/>
        <v>0</v>
      </c>
      <c r="AP200" s="31">
        <f t="shared" si="138"/>
        <v>0</v>
      </c>
      <c r="AQ200" s="31">
        <f t="shared" si="139"/>
        <v>0</v>
      </c>
    </row>
    <row r="201" spans="8:43" x14ac:dyDescent="0.25">
      <c r="H201" s="15">
        <v>2.98</v>
      </c>
      <c r="I201" s="45">
        <f t="shared" si="129"/>
        <v>9549.9258602143673</v>
      </c>
      <c r="J201" s="32">
        <f t="shared" si="130"/>
        <v>122.28038826481675</v>
      </c>
      <c r="K201" s="32">
        <f t="shared" si="131"/>
        <v>6.5861810519406285</v>
      </c>
      <c r="L201" s="15">
        <f t="shared" si="105"/>
        <v>3.8729613733905581</v>
      </c>
      <c r="M201" s="15">
        <f t="shared" si="106"/>
        <v>-2.2430859095629416</v>
      </c>
      <c r="N201" s="15">
        <f t="shared" si="107"/>
        <v>6.6579699394790992E-3</v>
      </c>
      <c r="O201" s="15">
        <f t="shared" si="108"/>
        <v>-86.701202139946545</v>
      </c>
      <c r="P201" s="15">
        <f t="shared" si="109"/>
        <v>-24.80013785717091</v>
      </c>
      <c r="Q201" s="15">
        <f t="shared" si="110"/>
        <v>-0.35816960469920872</v>
      </c>
      <c r="R201" s="15">
        <f t="shared" si="111"/>
        <v>-1.6971464899668577E-4</v>
      </c>
      <c r="S201" s="31">
        <f t="shared" si="132"/>
        <v>-89.302457654208695</v>
      </c>
      <c r="T201" s="31">
        <f t="shared" si="133"/>
        <v>-13.032786289615466</v>
      </c>
      <c r="U201" s="15">
        <f t="shared" si="112"/>
        <v>6500</v>
      </c>
      <c r="V201" s="15">
        <f t="shared" si="113"/>
        <v>-89.99710646444116</v>
      </c>
      <c r="W201" s="15">
        <f t="shared" si="114"/>
        <v>-85.933876175796399</v>
      </c>
      <c r="X201" s="15">
        <f t="shared" si="115"/>
        <v>86.414692491198863</v>
      </c>
      <c r="Y201" s="15">
        <f t="shared" si="116"/>
        <v>24.077593706921483</v>
      </c>
      <c r="Z201" s="15">
        <f t="shared" si="117"/>
        <v>-6.0733647059726543</v>
      </c>
      <c r="AA201" s="15">
        <f t="shared" si="118"/>
        <v>-4.8889178664735862E-2</v>
      </c>
      <c r="AB201" s="31">
        <f t="shared" si="134"/>
        <v>-9.6557786792149507</v>
      </c>
      <c r="AC201" s="31">
        <f t="shared" si="135"/>
        <v>14.353095485317462</v>
      </c>
      <c r="AD201" s="15">
        <f t="shared" si="119"/>
        <v>58.647917791376571</v>
      </c>
      <c r="AE201" s="15">
        <f t="shared" si="120"/>
        <v>5.6749968465609086</v>
      </c>
      <c r="AF201" s="15">
        <f t="shared" si="121"/>
        <v>3.8677193858995873E-2</v>
      </c>
      <c r="AG201" s="15">
        <f t="shared" si="122"/>
        <v>1.9790145803604676E-6</v>
      </c>
      <c r="AH201" s="15">
        <f t="shared" si="123"/>
        <v>-17.447970386995177</v>
      </c>
      <c r="AI201" s="15">
        <f t="shared" si="124"/>
        <v>-0.40912696933685733</v>
      </c>
      <c r="AJ201" s="31">
        <f t="shared" si="136"/>
        <v>41.238624598240392</v>
      </c>
      <c r="AK201" s="31">
        <f t="shared" si="137"/>
        <v>5.2658718562386317</v>
      </c>
      <c r="AL201" s="15">
        <f t="shared" si="125"/>
        <v>0</v>
      </c>
      <c r="AM201" s="15">
        <f t="shared" si="126"/>
        <v>0</v>
      </c>
      <c r="AN201" s="15">
        <f t="shared" si="127"/>
        <v>0</v>
      </c>
      <c r="AO201" s="15">
        <f t="shared" si="128"/>
        <v>0</v>
      </c>
      <c r="AP201" s="31">
        <f t="shared" si="138"/>
        <v>0</v>
      </c>
      <c r="AQ201" s="31">
        <f t="shared" si="139"/>
        <v>0</v>
      </c>
    </row>
    <row r="202" spans="8:43" x14ac:dyDescent="0.25">
      <c r="H202" s="15">
        <v>2.99</v>
      </c>
      <c r="I202" s="45">
        <f t="shared" si="129"/>
        <v>9772.3722095581143</v>
      </c>
      <c r="J202" s="32">
        <f t="shared" si="130"/>
        <v>122.28891031611246</v>
      </c>
      <c r="K202" s="32">
        <f t="shared" si="131"/>
        <v>6.5124778559587924</v>
      </c>
      <c r="L202" s="15">
        <f t="shared" si="105"/>
        <v>3.8729613733905581</v>
      </c>
      <c r="M202" s="15">
        <f t="shared" si="106"/>
        <v>-2.2952788460235465</v>
      </c>
      <c r="N202" s="15">
        <f t="shared" si="107"/>
        <v>6.971498679819511E-3</v>
      </c>
      <c r="O202" s="15">
        <f t="shared" si="108"/>
        <v>-86.776131719796311</v>
      </c>
      <c r="P202" s="15">
        <f t="shared" si="109"/>
        <v>-24.999490584979561</v>
      </c>
      <c r="Q202" s="15">
        <f t="shared" si="110"/>
        <v>-0.36651222153805074</v>
      </c>
      <c r="R202" s="15">
        <f t="shared" si="111"/>
        <v>-1.7771289034350217E-4</v>
      </c>
      <c r="S202" s="31">
        <f t="shared" si="132"/>
        <v>-89.437922787357905</v>
      </c>
      <c r="T202" s="31">
        <f t="shared" si="133"/>
        <v>-13.231833486925122</v>
      </c>
      <c r="U202" s="15">
        <f t="shared" si="112"/>
        <v>6500</v>
      </c>
      <c r="V202" s="15">
        <f t="shared" si="113"/>
        <v>-89.997172329351642</v>
      </c>
      <c r="W202" s="15">
        <f t="shared" si="114"/>
        <v>-86.133876175297885</v>
      </c>
      <c r="X202" s="15">
        <f t="shared" si="115"/>
        <v>86.496098368869966</v>
      </c>
      <c r="Y202" s="15">
        <f t="shared" si="116"/>
        <v>24.276829260199886</v>
      </c>
      <c r="Z202" s="15">
        <f t="shared" si="117"/>
        <v>-6.2137373548176811</v>
      </c>
      <c r="AA202" s="15">
        <f t="shared" si="118"/>
        <v>-5.1179730386957376E-2</v>
      </c>
      <c r="AB202" s="31">
        <f t="shared" si="134"/>
        <v>-9.7148113152993574</v>
      </c>
      <c r="AC202" s="31">
        <f t="shared" si="135"/>
        <v>14.350040487372157</v>
      </c>
      <c r="AD202" s="15">
        <f t="shared" si="119"/>
        <v>59.230984674575069</v>
      </c>
      <c r="AE202" s="15">
        <f t="shared" si="120"/>
        <v>5.8217580897931214</v>
      </c>
      <c r="AF202" s="15">
        <f t="shared" si="121"/>
        <v>3.9578101153671351E-2</v>
      </c>
      <c r="AG202" s="15">
        <f t="shared" si="122"/>
        <v>2.0722826428878053E-6</v>
      </c>
      <c r="AH202" s="15">
        <f t="shared" si="123"/>
        <v>-17.828918356959022</v>
      </c>
      <c r="AI202" s="15">
        <f t="shared" si="124"/>
        <v>-0.42748930656400669</v>
      </c>
      <c r="AJ202" s="31">
        <f t="shared" si="136"/>
        <v>41.441644418769719</v>
      </c>
      <c r="AK202" s="31">
        <f t="shared" si="137"/>
        <v>5.394270855511758</v>
      </c>
      <c r="AL202" s="15">
        <f t="shared" si="125"/>
        <v>0</v>
      </c>
      <c r="AM202" s="15">
        <f t="shared" si="126"/>
        <v>0</v>
      </c>
      <c r="AN202" s="15">
        <f t="shared" si="127"/>
        <v>0</v>
      </c>
      <c r="AO202" s="15">
        <f t="shared" si="128"/>
        <v>0</v>
      </c>
      <c r="AP202" s="31">
        <f t="shared" si="138"/>
        <v>0</v>
      </c>
      <c r="AQ202" s="31">
        <f t="shared" si="139"/>
        <v>0</v>
      </c>
    </row>
    <row r="203" spans="8:43" x14ac:dyDescent="0.25">
      <c r="H203" s="15">
        <v>3</v>
      </c>
      <c r="I203" s="45">
        <f t="shared" si="129"/>
        <v>10000</v>
      </c>
      <c r="J203" s="32">
        <f t="shared" si="130"/>
        <v>122.27915563122932</v>
      </c>
      <c r="K203" s="32">
        <f t="shared" si="131"/>
        <v>6.4396846444370306</v>
      </c>
      <c r="L203" s="15">
        <f t="shared" si="105"/>
        <v>3.8729613733905581</v>
      </c>
      <c r="M203" s="15">
        <f t="shared" si="106"/>
        <v>-2.3486835662213528</v>
      </c>
      <c r="N203" s="15">
        <f t="shared" si="107"/>
        <v>7.2997793165651857E-3</v>
      </c>
      <c r="O203" s="15">
        <f t="shared" si="108"/>
        <v>-86.849366362485242</v>
      </c>
      <c r="P203" s="15">
        <f t="shared" si="109"/>
        <v>-25.198872354768302</v>
      </c>
      <c r="Q203" s="15">
        <f t="shared" si="110"/>
        <v>-0.3750491467953217</v>
      </c>
      <c r="R203" s="15">
        <f t="shared" si="111"/>
        <v>-1.8608806140153972E-4</v>
      </c>
      <c r="S203" s="31">
        <f t="shared" si="132"/>
        <v>-89.573099075501915</v>
      </c>
      <c r="T203" s="31">
        <f t="shared" si="133"/>
        <v>-13.430895351248175</v>
      </c>
      <c r="U203" s="15">
        <f t="shared" si="112"/>
        <v>6500</v>
      </c>
      <c r="V203" s="15">
        <f t="shared" si="113"/>
        <v>-89.997236694993717</v>
      </c>
      <c r="W203" s="15">
        <f t="shared" si="114"/>
        <v>-86.333876174821796</v>
      </c>
      <c r="X203" s="15">
        <f t="shared" si="115"/>
        <v>86.575664911471648</v>
      </c>
      <c r="Y203" s="15">
        <f t="shared" si="116"/>
        <v>24.476099093616593</v>
      </c>
      <c r="Z203" s="15">
        <f t="shared" si="117"/>
        <v>-6.3573022066828546</v>
      </c>
      <c r="AA203" s="15">
        <f t="shared" si="118"/>
        <v>-5.3576938365224043E-2</v>
      </c>
      <c r="AB203" s="31">
        <f t="shared" si="134"/>
        <v>-9.7788739902049233</v>
      </c>
      <c r="AC203" s="31">
        <f t="shared" si="135"/>
        <v>14.346913113286687</v>
      </c>
      <c r="AD203" s="15">
        <f t="shared" si="119"/>
        <v>59.807688868989302</v>
      </c>
      <c r="AE203" s="15">
        <f t="shared" si="120"/>
        <v>5.9702988955614309</v>
      </c>
      <c r="AF203" s="15">
        <f t="shared" si="121"/>
        <v>4.0499993254744258E-2</v>
      </c>
      <c r="AG203" s="15">
        <f t="shared" si="122"/>
        <v>2.1699462892027431E-6</v>
      </c>
      <c r="AH203" s="15">
        <f t="shared" si="123"/>
        <v>-18.217060165307885</v>
      </c>
      <c r="AI203" s="15">
        <f t="shared" si="124"/>
        <v>-0.44663418310920189</v>
      </c>
      <c r="AJ203" s="31">
        <f t="shared" si="136"/>
        <v>41.631128696936159</v>
      </c>
      <c r="AK203" s="31">
        <f t="shared" si="137"/>
        <v>5.5236668823985182</v>
      </c>
      <c r="AL203" s="15">
        <f t="shared" si="125"/>
        <v>0</v>
      </c>
      <c r="AM203" s="15">
        <f t="shared" si="126"/>
        <v>0</v>
      </c>
      <c r="AN203" s="15">
        <f t="shared" si="127"/>
        <v>0</v>
      </c>
      <c r="AO203" s="15">
        <f t="shared" si="128"/>
        <v>0</v>
      </c>
      <c r="AP203" s="31">
        <f t="shared" si="138"/>
        <v>0</v>
      </c>
      <c r="AQ203" s="31">
        <f t="shared" si="139"/>
        <v>0</v>
      </c>
    </row>
    <row r="204" spans="8:43" x14ac:dyDescent="0.25">
      <c r="H204" s="15">
        <v>3.01</v>
      </c>
      <c r="I204" s="45">
        <f t="shared" si="129"/>
        <v>10232.929922807547</v>
      </c>
      <c r="J204" s="32">
        <f t="shared" si="130"/>
        <v>122.25080145663907</v>
      </c>
      <c r="K204" s="32">
        <f t="shared" si="131"/>
        <v>6.3677279414364643</v>
      </c>
      <c r="L204" s="15">
        <f t="shared" si="105"/>
        <v>3.8729613733905581</v>
      </c>
      <c r="M204" s="15">
        <f t="shared" si="106"/>
        <v>-2.4033280146550595</v>
      </c>
      <c r="N204" s="15">
        <f t="shared" si="107"/>
        <v>7.6435047488400826E-3</v>
      </c>
      <c r="O204" s="15">
        <f t="shared" si="108"/>
        <v>-86.920943940266426</v>
      </c>
      <c r="P204" s="15">
        <f t="shared" si="109"/>
        <v>-25.398281867334287</v>
      </c>
      <c r="Q204" s="15">
        <f t="shared" si="110"/>
        <v>-0.38378490534474774</v>
      </c>
      <c r="R204" s="15">
        <f t="shared" si="111"/>
        <v>-1.9485792480123163E-4</v>
      </c>
      <c r="S204" s="31">
        <f t="shared" si="132"/>
        <v>-89.70805686026624</v>
      </c>
      <c r="T204" s="31">
        <f t="shared" si="133"/>
        <v>-13.629969908245286</v>
      </c>
      <c r="U204" s="15">
        <f t="shared" si="112"/>
        <v>6500</v>
      </c>
      <c r="V204" s="15">
        <f t="shared" si="113"/>
        <v>-89.997299595494923</v>
      </c>
      <c r="W204" s="15">
        <f t="shared" si="114"/>
        <v>-86.533876174367151</v>
      </c>
      <c r="X204" s="15">
        <f t="shared" si="115"/>
        <v>86.653433078003104</v>
      </c>
      <c r="Y204" s="15">
        <f t="shared" si="116"/>
        <v>24.675401675326917</v>
      </c>
      <c r="Z204" s="15">
        <f t="shared" si="117"/>
        <v>-6.5041281667429729</v>
      </c>
      <c r="AA204" s="15">
        <f t="shared" si="118"/>
        <v>-5.6085705866274121E-2</v>
      </c>
      <c r="AB204" s="31">
        <f t="shared" si="134"/>
        <v>-9.8479946842347914</v>
      </c>
      <c r="AC204" s="31">
        <f t="shared" si="135"/>
        <v>14.343706927950606</v>
      </c>
      <c r="AD204" s="15">
        <f t="shared" si="119"/>
        <v>60.377868702628497</v>
      </c>
      <c r="AE204" s="15">
        <f t="shared" si="120"/>
        <v>6.12057993296688</v>
      </c>
      <c r="AF204" s="15">
        <f t="shared" si="121"/>
        <v>4.1443358959698924E-2</v>
      </c>
      <c r="AG204" s="15">
        <f t="shared" si="122"/>
        <v>2.2722126817151488E-6</v>
      </c>
      <c r="AH204" s="15">
        <f t="shared" si="123"/>
        <v>-18.612459060448103</v>
      </c>
      <c r="AI204" s="15">
        <f t="shared" si="124"/>
        <v>-0.4665912834484181</v>
      </c>
      <c r="AJ204" s="31">
        <f t="shared" si="136"/>
        <v>41.806853001140091</v>
      </c>
      <c r="AK204" s="31">
        <f t="shared" si="137"/>
        <v>5.6539909217311441</v>
      </c>
      <c r="AL204" s="15">
        <f t="shared" si="125"/>
        <v>0</v>
      </c>
      <c r="AM204" s="15">
        <f t="shared" si="126"/>
        <v>0</v>
      </c>
      <c r="AN204" s="15">
        <f t="shared" si="127"/>
        <v>0</v>
      </c>
      <c r="AO204" s="15">
        <f t="shared" si="128"/>
        <v>0</v>
      </c>
      <c r="AP204" s="31">
        <f t="shared" si="138"/>
        <v>0</v>
      </c>
      <c r="AQ204" s="31">
        <f t="shared" si="139"/>
        <v>0</v>
      </c>
    </row>
    <row r="205" spans="8:43" x14ac:dyDescent="0.25">
      <c r="H205" s="15">
        <v>3.02</v>
      </c>
      <c r="I205" s="45">
        <f t="shared" si="129"/>
        <v>10471.285480508999</v>
      </c>
      <c r="J205" s="32">
        <f t="shared" si="130"/>
        <v>122.20353955035424</v>
      </c>
      <c r="K205" s="32">
        <f t="shared" si="131"/>
        <v>6.2965327888190092</v>
      </c>
      <c r="L205" s="15">
        <f t="shared" si="105"/>
        <v>3.8729613733905581</v>
      </c>
      <c r="M205" s="15">
        <f t="shared" si="106"/>
        <v>-2.4592407666744895</v>
      </c>
      <c r="N205" s="15">
        <f t="shared" si="107"/>
        <v>8.0034003062858187E-3</v>
      </c>
      <c r="O205" s="15">
        <f t="shared" si="108"/>
        <v>-86.990901510345637</v>
      </c>
      <c r="P205" s="15">
        <f t="shared" si="109"/>
        <v>-25.597717881256131</v>
      </c>
      <c r="Q205" s="15">
        <f t="shared" si="110"/>
        <v>-0.39272412737560891</v>
      </c>
      <c r="R205" s="15">
        <f t="shared" si="111"/>
        <v>-2.0404108015048151E-4</v>
      </c>
      <c r="S205" s="31">
        <f t="shared" si="132"/>
        <v>-89.842866404395735</v>
      </c>
      <c r="T205" s="31">
        <f t="shared" si="133"/>
        <v>-13.829055209765032</v>
      </c>
      <c r="U205" s="15">
        <f t="shared" si="112"/>
        <v>6500</v>
      </c>
      <c r="V205" s="15">
        <f t="shared" si="113"/>
        <v>-89.997361064205904</v>
      </c>
      <c r="W205" s="15">
        <f t="shared" si="114"/>
        <v>-86.733876173932956</v>
      </c>
      <c r="X205" s="15">
        <f t="shared" si="115"/>
        <v>86.729442955354386</v>
      </c>
      <c r="Y205" s="15">
        <f t="shared" si="116"/>
        <v>24.874735541466208</v>
      </c>
      <c r="Z205" s="15">
        <f t="shared" si="117"/>
        <v>-6.6542853663558486</v>
      </c>
      <c r="AA205" s="15">
        <f t="shared" si="118"/>
        <v>-5.8711155575164334E-2</v>
      </c>
      <c r="AB205" s="31">
        <f t="shared" si="134"/>
        <v>-9.9222034752073665</v>
      </c>
      <c r="AC205" s="31">
        <f t="shared" si="135"/>
        <v>14.340415344815202</v>
      </c>
      <c r="AD205" s="15">
        <f t="shared" si="119"/>
        <v>60.941374725227995</v>
      </c>
      <c r="AE205" s="15">
        <f t="shared" si="120"/>
        <v>6.272561377213921</v>
      </c>
      <c r="AF205" s="15">
        <f t="shared" si="121"/>
        <v>4.2408698451471862E-2</v>
      </c>
      <c r="AG205" s="15">
        <f t="shared" si="122"/>
        <v>2.3792987360233568E-6</v>
      </c>
      <c r="AH205" s="15">
        <f t="shared" si="123"/>
        <v>-19.015173993722129</v>
      </c>
      <c r="AI205" s="15">
        <f t="shared" si="124"/>
        <v>-0.48739110274381775</v>
      </c>
      <c r="AJ205" s="31">
        <f t="shared" si="136"/>
        <v>41.96860942995734</v>
      </c>
      <c r="AK205" s="31">
        <f t="shared" si="137"/>
        <v>5.7851726537688393</v>
      </c>
      <c r="AL205" s="15">
        <f t="shared" si="125"/>
        <v>0</v>
      </c>
      <c r="AM205" s="15">
        <f t="shared" si="126"/>
        <v>0</v>
      </c>
      <c r="AN205" s="15">
        <f t="shared" si="127"/>
        <v>0</v>
      </c>
      <c r="AO205" s="15">
        <f t="shared" si="128"/>
        <v>0</v>
      </c>
      <c r="AP205" s="31">
        <f t="shared" si="138"/>
        <v>0</v>
      </c>
      <c r="AQ205" s="31">
        <f t="shared" si="139"/>
        <v>0</v>
      </c>
    </row>
    <row r="206" spans="8:43" x14ac:dyDescent="0.25">
      <c r="H206" s="15">
        <v>3.03</v>
      </c>
      <c r="I206" s="45">
        <f t="shared" si="129"/>
        <v>10715.193052376069</v>
      </c>
      <c r="J206" s="32">
        <f t="shared" si="130"/>
        <v>122.13707642037946</v>
      </c>
      <c r="K206" s="32">
        <f t="shared" si="131"/>
        <v>6.2260228479120947</v>
      </c>
      <c r="L206" s="15">
        <f t="shared" si="105"/>
        <v>3.8729613733905581</v>
      </c>
      <c r="M206" s="15">
        <f t="shared" si="106"/>
        <v>-2.5164510417498236</v>
      </c>
      <c r="N206" s="15">
        <f t="shared" si="107"/>
        <v>8.3802252558693481E-3</v>
      </c>
      <c r="O206" s="15">
        <f t="shared" si="108"/>
        <v>-87.059275330328234</v>
      </c>
      <c r="P206" s="15">
        <f t="shared" si="109"/>
        <v>-25.797179210353956</v>
      </c>
      <c r="Q206" s="15">
        <f t="shared" si="110"/>
        <v>-0.401871550839971</v>
      </c>
      <c r="R206" s="15">
        <f t="shared" si="111"/>
        <v>-2.1365700346372954E-4</v>
      </c>
      <c r="S206" s="31">
        <f t="shared" si="132"/>
        <v>-89.977597922918022</v>
      </c>
      <c r="T206" s="31">
        <f t="shared" si="133"/>
        <v>-14.028149329836587</v>
      </c>
      <c r="U206" s="15">
        <f t="shared" si="112"/>
        <v>6500</v>
      </c>
      <c r="V206" s="15">
        <f t="shared" si="113"/>
        <v>-89.99742113371822</v>
      </c>
      <c r="W206" s="15">
        <f t="shared" si="114"/>
        <v>-86.933876173518314</v>
      </c>
      <c r="X206" s="15">
        <f t="shared" si="115"/>
        <v>86.803733774188117</v>
      </c>
      <c r="Y206" s="15">
        <f t="shared" si="116"/>
        <v>25.074099293174509</v>
      </c>
      <c r="Z206" s="15">
        <f t="shared" si="117"/>
        <v>-6.8078451658441708</v>
      </c>
      <c r="AA206" s="15">
        <f t="shared" si="118"/>
        <v>-6.1458638844011745E-2</v>
      </c>
      <c r="AB206" s="31">
        <f t="shared" si="134"/>
        <v>-10.001532525374273</v>
      </c>
      <c r="AC206" s="31">
        <f t="shared" si="135"/>
        <v>14.337031613669296</v>
      </c>
      <c r="AD206" s="15">
        <f t="shared" si="119"/>
        <v>61.498069621464722</v>
      </c>
      <c r="AE206" s="15">
        <f t="shared" si="120"/>
        <v>6.4262030144123461</v>
      </c>
      <c r="AF206" s="15">
        <f t="shared" si="121"/>
        <v>4.3396523563645963E-2</v>
      </c>
      <c r="AG206" s="15">
        <f t="shared" si="122"/>
        <v>2.4914315992187009E-6</v>
      </c>
      <c r="AH206" s="15">
        <f t="shared" si="123"/>
        <v>-19.42525927635662</v>
      </c>
      <c r="AI206" s="15">
        <f t="shared" si="124"/>
        <v>-0.50906494176455919</v>
      </c>
      <c r="AJ206" s="31">
        <f t="shared" si="136"/>
        <v>42.116206868671746</v>
      </c>
      <c r="AK206" s="31">
        <f t="shared" si="137"/>
        <v>5.9171405640793857</v>
      </c>
      <c r="AL206" s="15">
        <f t="shared" si="125"/>
        <v>0</v>
      </c>
      <c r="AM206" s="15">
        <f t="shared" si="126"/>
        <v>0</v>
      </c>
      <c r="AN206" s="15">
        <f t="shared" si="127"/>
        <v>0</v>
      </c>
      <c r="AO206" s="15">
        <f t="shared" si="128"/>
        <v>0</v>
      </c>
      <c r="AP206" s="31">
        <f t="shared" si="138"/>
        <v>0</v>
      </c>
      <c r="AQ206" s="31">
        <f t="shared" si="139"/>
        <v>0</v>
      </c>
    </row>
    <row r="207" spans="8:43" x14ac:dyDescent="0.25">
      <c r="H207" s="15">
        <v>3.04</v>
      </c>
      <c r="I207" s="45">
        <f t="shared" si="129"/>
        <v>10964.781961431863</v>
      </c>
      <c r="J207" s="32">
        <f t="shared" si="130"/>
        <v>122.05113353309586</v>
      </c>
      <c r="K207" s="32">
        <f t="shared" si="131"/>
        <v>6.1561205003129125</v>
      </c>
      <c r="L207" s="15">
        <f t="shared" si="105"/>
        <v>3.8729613733905581</v>
      </c>
      <c r="M207" s="15">
        <f t="shared" si="106"/>
        <v>-2.5749887169491039</v>
      </c>
      <c r="N207" s="15">
        <f t="shared" si="107"/>
        <v>8.7747743776191156E-3</v>
      </c>
      <c r="O207" s="15">
        <f t="shared" si="108"/>
        <v>-87.126100873518283</v>
      </c>
      <c r="P207" s="15">
        <f t="shared" si="109"/>
        <v>-25.996664721258263</v>
      </c>
      <c r="Q207" s="15">
        <f t="shared" si="110"/>
        <v>-0.41123202395649677</v>
      </c>
      <c r="R207" s="15">
        <f t="shared" si="111"/>
        <v>-2.2372608846240558E-4</v>
      </c>
      <c r="S207" s="31">
        <f t="shared" si="132"/>
        <v>-90.112321614423891</v>
      </c>
      <c r="T207" s="31">
        <f t="shared" si="133"/>
        <v>-14.227250360704144</v>
      </c>
      <c r="U207" s="15">
        <f t="shared" si="112"/>
        <v>6500</v>
      </c>
      <c r="V207" s="15">
        <f t="shared" si="113"/>
        <v>-89.997479835881492</v>
      </c>
      <c r="W207" s="15">
        <f t="shared" si="114"/>
        <v>-87.133876173122346</v>
      </c>
      <c r="X207" s="15">
        <f t="shared" si="115"/>
        <v>86.876343924719393</v>
      </c>
      <c r="Y207" s="15">
        <f t="shared" si="116"/>
        <v>25.273491593747721</v>
      </c>
      <c r="Z207" s="15">
        <f t="shared" si="117"/>
        <v>-6.9648801556534945</v>
      </c>
      <c r="AA207" s="15">
        <f t="shared" si="118"/>
        <v>-6.4333745276038329E-2</v>
      </c>
      <c r="AB207" s="31">
        <f t="shared" si="134"/>
        <v>-10.086016066815594</v>
      </c>
      <c r="AC207" s="31">
        <f t="shared" si="135"/>
        <v>14.333548808206451</v>
      </c>
      <c r="AD207" s="15">
        <f t="shared" si="119"/>
        <v>62.047828082675942</v>
      </c>
      <c r="AE207" s="15">
        <f t="shared" si="120"/>
        <v>6.5814643429629758</v>
      </c>
      <c r="AF207" s="15">
        <f t="shared" si="121"/>
        <v>4.440735805182075E-2</v>
      </c>
      <c r="AG207" s="15">
        <f t="shared" si="122"/>
        <v>2.608849116617948E-6</v>
      </c>
      <c r="AH207" s="15">
        <f t="shared" si="123"/>
        <v>-19.842764226392415</v>
      </c>
      <c r="AI207" s="15">
        <f t="shared" si="124"/>
        <v>-0.53164489900148781</v>
      </c>
      <c r="AJ207" s="31">
        <f t="shared" si="136"/>
        <v>42.249471214335344</v>
      </c>
      <c r="AK207" s="31">
        <f t="shared" si="137"/>
        <v>6.0498220528106046</v>
      </c>
      <c r="AL207" s="15">
        <f t="shared" si="125"/>
        <v>0</v>
      </c>
      <c r="AM207" s="15">
        <f t="shared" si="126"/>
        <v>0</v>
      </c>
      <c r="AN207" s="15">
        <f t="shared" si="127"/>
        <v>0</v>
      </c>
      <c r="AO207" s="15">
        <f t="shared" si="128"/>
        <v>0</v>
      </c>
      <c r="AP207" s="31">
        <f t="shared" si="138"/>
        <v>0</v>
      </c>
      <c r="AQ207" s="31">
        <f t="shared" si="139"/>
        <v>0</v>
      </c>
    </row>
    <row r="208" spans="8:43" x14ac:dyDescent="0.25">
      <c r="H208" s="15">
        <v>3.05</v>
      </c>
      <c r="I208" s="45">
        <f t="shared" si="129"/>
        <v>11220.184543019637</v>
      </c>
      <c r="J208" s="32">
        <f t="shared" si="130"/>
        <v>121.94544749394511</v>
      </c>
      <c r="K208" s="32">
        <f t="shared" si="131"/>
        <v>6.0867469476648068</v>
      </c>
      <c r="L208" s="15">
        <f t="shared" si="105"/>
        <v>3.8729613733905581</v>
      </c>
      <c r="M208" s="15">
        <f t="shared" si="106"/>
        <v>-2.6348843406218383</v>
      </c>
      <c r="N208" s="15">
        <f t="shared" si="107"/>
        <v>9.1878796123707526E-3</v>
      </c>
      <c r="O208" s="15">
        <f t="shared" si="108"/>
        <v>-87.191412844059755</v>
      </c>
      <c r="P208" s="15">
        <f t="shared" si="109"/>
        <v>-26.196173331083557</v>
      </c>
      <c r="Q208" s="15">
        <f t="shared" si="110"/>
        <v>-0.42081050777212797</v>
      </c>
      <c r="R208" s="15">
        <f t="shared" si="111"/>
        <v>-2.3426968979485779E-4</v>
      </c>
      <c r="S208" s="31">
        <f t="shared" si="132"/>
        <v>-90.247107692453724</v>
      </c>
      <c r="T208" s="31">
        <f t="shared" si="133"/>
        <v>-14.426356408896018</v>
      </c>
      <c r="U208" s="15">
        <f t="shared" si="112"/>
        <v>6500</v>
      </c>
      <c r="V208" s="15">
        <f t="shared" si="113"/>
        <v>-89.997537201820407</v>
      </c>
      <c r="W208" s="15">
        <f t="shared" si="114"/>
        <v>-87.333876172744155</v>
      </c>
      <c r="X208" s="15">
        <f t="shared" si="115"/>
        <v>86.947310972379142</v>
      </c>
      <c r="Y208" s="15">
        <f t="shared" si="116"/>
        <v>25.4729111659103</v>
      </c>
      <c r="Z208" s="15">
        <f t="shared" si="117"/>
        <v>-7.1254641557459024</v>
      </c>
      <c r="AA208" s="15">
        <f t="shared" si="118"/>
        <v>-6.7342312651746908E-2</v>
      </c>
      <c r="AB208" s="31">
        <f t="shared" si="134"/>
        <v>-10.175690385187167</v>
      </c>
      <c r="AC208" s="31">
        <f t="shared" si="135"/>
        <v>14.329959813371513</v>
      </c>
      <c r="AD208" s="15">
        <f t="shared" si="119"/>
        <v>62.590536640068649</v>
      </c>
      <c r="AE208" s="15">
        <f t="shared" si="120"/>
        <v>6.7383046711588159</v>
      </c>
      <c r="AF208" s="15">
        <f t="shared" si="121"/>
        <v>4.5441737871303289E-2</v>
      </c>
      <c r="AG208" s="15">
        <f t="shared" si="122"/>
        <v>2.7318003505692032E-6</v>
      </c>
      <c r="AH208" s="15">
        <f t="shared" si="123"/>
        <v>-20.267732806353944</v>
      </c>
      <c r="AI208" s="15">
        <f t="shared" si="124"/>
        <v>-0.55516385976985427</v>
      </c>
      <c r="AJ208" s="31">
        <f t="shared" si="136"/>
        <v>42.368245571586002</v>
      </c>
      <c r="AK208" s="31">
        <f t="shared" si="137"/>
        <v>6.1831435431893116</v>
      </c>
      <c r="AL208" s="15">
        <f t="shared" si="125"/>
        <v>0</v>
      </c>
      <c r="AM208" s="15">
        <f t="shared" si="126"/>
        <v>0</v>
      </c>
      <c r="AN208" s="15">
        <f t="shared" si="127"/>
        <v>0</v>
      </c>
      <c r="AO208" s="15">
        <f t="shared" si="128"/>
        <v>0</v>
      </c>
      <c r="AP208" s="31">
        <f t="shared" si="138"/>
        <v>0</v>
      </c>
      <c r="AQ208" s="31">
        <f t="shared" si="139"/>
        <v>0</v>
      </c>
    </row>
    <row r="209" spans="8:43" x14ac:dyDescent="0.25">
      <c r="H209" s="15">
        <v>3.06</v>
      </c>
      <c r="I209" s="45">
        <f t="shared" si="129"/>
        <v>11481.536214968839</v>
      </c>
      <c r="J209" s="32">
        <f t="shared" si="130"/>
        <v>121.8197702027546</v>
      </c>
      <c r="K209" s="32">
        <f t="shared" si="131"/>
        <v>6.0178223102933375</v>
      </c>
      <c r="L209" s="15">
        <f t="shared" si="105"/>
        <v>3.8729613733905581</v>
      </c>
      <c r="M209" s="15">
        <f t="shared" si="106"/>
        <v>-2.6961691462859494</v>
      </c>
      <c r="N209" s="15">
        <f t="shared" si="107"/>
        <v>9.6204117846640617E-3</v>
      </c>
      <c r="O209" s="15">
        <f t="shared" si="108"/>
        <v>-87.255245191911285</v>
      </c>
      <c r="P209" s="15">
        <f t="shared" si="109"/>
        <v>-26.395704005202223</v>
      </c>
      <c r="Q209" s="15">
        <f t="shared" si="110"/>
        <v>-0.43061207878295754</v>
      </c>
      <c r="R209" s="15">
        <f t="shared" si="111"/>
        <v>-2.4531016831640578E-4</v>
      </c>
      <c r="S209" s="31">
        <f t="shared" si="132"/>
        <v>-90.382026416980196</v>
      </c>
      <c r="T209" s="31">
        <f t="shared" si="133"/>
        <v>-14.625465591320912</v>
      </c>
      <c r="U209" s="15">
        <f t="shared" si="112"/>
        <v>6500</v>
      </c>
      <c r="V209" s="15">
        <f t="shared" si="113"/>
        <v>-89.997593261951124</v>
      </c>
      <c r="W209" s="15">
        <f t="shared" si="114"/>
        <v>-87.533876172383017</v>
      </c>
      <c r="X209" s="15">
        <f t="shared" si="115"/>
        <v>87.016671673348171</v>
      </c>
      <c r="Y209" s="15">
        <f t="shared" si="116"/>
        <v>25.672356789204681</v>
      </c>
      <c r="Z209" s="15">
        <f t="shared" si="117"/>
        <v>-7.289672213080304</v>
      </c>
      <c r="AA209" s="15">
        <f t="shared" si="118"/>
        <v>-7.049043720356421E-2</v>
      </c>
      <c r="AB209" s="31">
        <f t="shared" si="134"/>
        <v>-10.270593801683258</v>
      </c>
      <c r="AC209" s="31">
        <f t="shared" si="135"/>
        <v>14.326257312475214</v>
      </c>
      <c r="AD209" s="15">
        <f t="shared" si="119"/>
        <v>63.126093462507292</v>
      </c>
      <c r="AE209" s="15">
        <f t="shared" si="120"/>
        <v>6.8966832106861293</v>
      </c>
      <c r="AF209" s="15">
        <f t="shared" si="121"/>
        <v>4.6500211461267073E-2</v>
      </c>
      <c r="AG209" s="15">
        <f t="shared" si="122"/>
        <v>2.8605460915429896E-6</v>
      </c>
      <c r="AH209" s="15">
        <f t="shared" si="123"/>
        <v>-20.700203252550494</v>
      </c>
      <c r="AI209" s="15">
        <f t="shared" si="124"/>
        <v>-0.57965548209318452</v>
      </c>
      <c r="AJ209" s="31">
        <f t="shared" si="136"/>
        <v>42.472390421418062</v>
      </c>
      <c r="AK209" s="31">
        <f t="shared" si="137"/>
        <v>6.3170305891390361</v>
      </c>
      <c r="AL209" s="15">
        <f t="shared" si="125"/>
        <v>0</v>
      </c>
      <c r="AM209" s="15">
        <f t="shared" si="126"/>
        <v>0</v>
      </c>
      <c r="AN209" s="15">
        <f t="shared" si="127"/>
        <v>0</v>
      </c>
      <c r="AO209" s="15">
        <f t="shared" si="128"/>
        <v>0</v>
      </c>
      <c r="AP209" s="31">
        <f t="shared" si="138"/>
        <v>0</v>
      </c>
      <c r="AQ209" s="31">
        <f t="shared" si="139"/>
        <v>0</v>
      </c>
    </row>
    <row r="210" spans="8:43" x14ac:dyDescent="0.25">
      <c r="H210" s="15">
        <v>3.07</v>
      </c>
      <c r="I210" s="45">
        <f t="shared" si="129"/>
        <v>11748.975549395294</v>
      </c>
      <c r="J210" s="32">
        <f t="shared" si="130"/>
        <v>121.67386898597434</v>
      </c>
      <c r="K210" s="32">
        <f t="shared" si="131"/>
        <v>5.9492657246420739</v>
      </c>
      <c r="L210" s="15">
        <f t="shared" si="105"/>
        <v>3.8729613733905581</v>
      </c>
      <c r="M210" s="15">
        <f t="shared" si="106"/>
        <v>-2.7588750667146624</v>
      </c>
      <c r="N210" s="15">
        <f t="shared" si="107"/>
        <v>1.0073282404142276E-2</v>
      </c>
      <c r="O210" s="15">
        <f t="shared" si="108"/>
        <v>-87.317631127646663</v>
      </c>
      <c r="P210" s="15">
        <f t="shared" si="109"/>
        <v>-26.595255755114522</v>
      </c>
      <c r="Q210" s="15">
        <f t="shared" si="110"/>
        <v>-0.44064193161562387</v>
      </c>
      <c r="R210" s="15">
        <f t="shared" si="111"/>
        <v>-2.5687093847565241E-4</v>
      </c>
      <c r="S210" s="31">
        <f t="shared" si="132"/>
        <v>-90.517148125976959</v>
      </c>
      <c r="T210" s="31">
        <f t="shared" si="133"/>
        <v>-14.824576031383891</v>
      </c>
      <c r="U210" s="15">
        <f t="shared" si="112"/>
        <v>6500</v>
      </c>
      <c r="V210" s="15">
        <f t="shared" si="113"/>
        <v>-89.997648045997494</v>
      </c>
      <c r="W210" s="15">
        <f t="shared" si="114"/>
        <v>-87.733876172038123</v>
      </c>
      <c r="X210" s="15">
        <f t="shared" si="115"/>
        <v>87.084461989949887</v>
      </c>
      <c r="Y210" s="15">
        <f t="shared" si="116"/>
        <v>25.871827297492423</v>
      </c>
      <c r="Z210" s="15">
        <f t="shared" si="117"/>
        <v>-7.4575805970211402</v>
      </c>
      <c r="AA210" s="15">
        <f t="shared" si="118"/>
        <v>-7.3784484244748649E-2</v>
      </c>
      <c r="AB210" s="31">
        <f t="shared" si="134"/>
        <v>-10.370766653068747</v>
      </c>
      <c r="AC210" s="31">
        <f t="shared" si="135"/>
        <v>14.322433774066665</v>
      </c>
      <c r="AD210" s="15">
        <f t="shared" si="119"/>
        <v>63.654408122028656</v>
      </c>
      <c r="AE210" s="15">
        <f t="shared" si="120"/>
        <v>7.0565591657619064</v>
      </c>
      <c r="AF210" s="15">
        <f t="shared" si="121"/>
        <v>4.7583340035528318E-2</v>
      </c>
      <c r="AG210" s="15">
        <f t="shared" si="122"/>
        <v>2.9953594290113776E-6</v>
      </c>
      <c r="AH210" s="15">
        <f t="shared" si="123"/>
        <v>-21.140207697044151</v>
      </c>
      <c r="AI210" s="15">
        <f t="shared" si="124"/>
        <v>-0.60515417916203484</v>
      </c>
      <c r="AJ210" s="31">
        <f t="shared" si="136"/>
        <v>42.561783765020039</v>
      </c>
      <c r="AK210" s="31">
        <f t="shared" si="137"/>
        <v>6.4514079819593002</v>
      </c>
      <c r="AL210" s="15">
        <f t="shared" si="125"/>
        <v>0</v>
      </c>
      <c r="AM210" s="15">
        <f t="shared" si="126"/>
        <v>0</v>
      </c>
      <c r="AN210" s="15">
        <f t="shared" si="127"/>
        <v>0</v>
      </c>
      <c r="AO210" s="15">
        <f t="shared" si="128"/>
        <v>0</v>
      </c>
      <c r="AP210" s="31">
        <f t="shared" si="138"/>
        <v>0</v>
      </c>
      <c r="AQ210" s="31">
        <f t="shared" si="139"/>
        <v>0</v>
      </c>
    </row>
    <row r="211" spans="8:43" x14ac:dyDescent="0.25">
      <c r="H211" s="15">
        <v>3.08</v>
      </c>
      <c r="I211" s="45">
        <f t="shared" si="129"/>
        <v>12022.644346174138</v>
      </c>
      <c r="J211" s="32">
        <f t="shared" si="130"/>
        <v>121.50752670798218</v>
      </c>
      <c r="K211" s="32">
        <f t="shared" si="131"/>
        <v>5.8809954394961901</v>
      </c>
      <c r="L211" s="15">
        <f t="shared" si="105"/>
        <v>3.8729613733905581</v>
      </c>
      <c r="M211" s="15">
        <f t="shared" si="106"/>
        <v>-2.8230347482194715</v>
      </c>
      <c r="N211" s="15">
        <f t="shared" si="107"/>
        <v>1.0547445548830851E-2</v>
      </c>
      <c r="O211" s="15">
        <f t="shared" si="108"/>
        <v>-87.378603137073924</v>
      </c>
      <c r="P211" s="15">
        <f t="shared" si="109"/>
        <v>-26.794827636410933</v>
      </c>
      <c r="Q211" s="15">
        <f t="shared" si="110"/>
        <v>-0.4509053817706199</v>
      </c>
      <c r="R211" s="15">
        <f t="shared" si="111"/>
        <v>-2.6897651796503234E-4</v>
      </c>
      <c r="S211" s="31">
        <f t="shared" si="132"/>
        <v>-90.652543267064019</v>
      </c>
      <c r="T211" s="31">
        <f t="shared" si="133"/>
        <v>-15.023685855115104</v>
      </c>
      <c r="U211" s="15">
        <f t="shared" si="112"/>
        <v>6500</v>
      </c>
      <c r="V211" s="15">
        <f t="shared" si="113"/>
        <v>-89.997701583006716</v>
      </c>
      <c r="W211" s="15">
        <f t="shared" si="114"/>
        <v>-87.933876171708761</v>
      </c>
      <c r="X211" s="15">
        <f t="shared" si="115"/>
        <v>87.150717105891474</v>
      </c>
      <c r="Y211" s="15">
        <f t="shared" si="116"/>
        <v>26.071321576562966</v>
      </c>
      <c r="Z211" s="15">
        <f t="shared" si="117"/>
        <v>-7.62926679250854</v>
      </c>
      <c r="AA211" s="15">
        <f t="shared" si="118"/>
        <v>-7.7231099157730063E-2</v>
      </c>
      <c r="AB211" s="31">
        <f t="shared" si="134"/>
        <v>-10.476251269623782</v>
      </c>
      <c r="AC211" s="31">
        <f t="shared" si="135"/>
        <v>14.318481438553588</v>
      </c>
      <c r="AD211" s="15">
        <f t="shared" si="119"/>
        <v>64.175401330260428</v>
      </c>
      <c r="AE211" s="15">
        <f t="shared" si="120"/>
        <v>7.2178918176952989</v>
      </c>
      <c r="AF211" s="15">
        <f t="shared" si="121"/>
        <v>4.8691697880095815E-2</v>
      </c>
      <c r="AG211" s="15">
        <f t="shared" si="122"/>
        <v>3.1365263184695535E-6</v>
      </c>
      <c r="AH211" s="15">
        <f t="shared" si="123"/>
        <v>-21.587771783470544</v>
      </c>
      <c r="AI211" s="15">
        <f t="shared" si="124"/>
        <v>-0.63169509816391112</v>
      </c>
      <c r="AJ211" s="31">
        <f t="shared" si="136"/>
        <v>42.636321244669986</v>
      </c>
      <c r="AK211" s="31">
        <f t="shared" si="137"/>
        <v>6.5861998560577062</v>
      </c>
      <c r="AL211" s="15">
        <f t="shared" si="125"/>
        <v>0</v>
      </c>
      <c r="AM211" s="15">
        <f t="shared" si="126"/>
        <v>0</v>
      </c>
      <c r="AN211" s="15">
        <f t="shared" si="127"/>
        <v>0</v>
      </c>
      <c r="AO211" s="15">
        <f t="shared" si="128"/>
        <v>0</v>
      </c>
      <c r="AP211" s="31">
        <f t="shared" si="138"/>
        <v>0</v>
      </c>
      <c r="AQ211" s="31">
        <f t="shared" si="139"/>
        <v>0</v>
      </c>
    </row>
    <row r="212" spans="8:43" x14ac:dyDescent="0.25">
      <c r="H212" s="15">
        <v>3.09</v>
      </c>
      <c r="I212" s="45">
        <f t="shared" si="129"/>
        <v>12302.687708123824</v>
      </c>
      <c r="J212" s="32">
        <f t="shared" si="130"/>
        <v>121.32054186346029</v>
      </c>
      <c r="K212" s="32">
        <f t="shared" si="131"/>
        <v>5.8129289110280338</v>
      </c>
      <c r="L212" s="15">
        <f t="shared" si="105"/>
        <v>3.8729613733905581</v>
      </c>
      <c r="M212" s="15">
        <f t="shared" si="106"/>
        <v>-2.8886815651243811</v>
      </c>
      <c r="N212" s="15">
        <f t="shared" si="107"/>
        <v>1.1043899833932242E-2</v>
      </c>
      <c r="O212" s="15">
        <f t="shared" si="108"/>
        <v>-87.438192995667478</v>
      </c>
      <c r="P212" s="15">
        <f t="shared" si="109"/>
        <v>-26.994418746822653</v>
      </c>
      <c r="Q212" s="15">
        <f t="shared" si="110"/>
        <v>-0.4614078684288942</v>
      </c>
      <c r="R212" s="15">
        <f t="shared" si="111"/>
        <v>-2.8165257967205777E-4</v>
      </c>
      <c r="S212" s="31">
        <f t="shared" si="132"/>
        <v>-90.788282429220757</v>
      </c>
      <c r="T212" s="31">
        <f t="shared" si="133"/>
        <v>-15.222793187303429</v>
      </c>
      <c r="U212" s="15">
        <f t="shared" si="112"/>
        <v>6500</v>
      </c>
      <c r="V212" s="15">
        <f t="shared" si="113"/>
        <v>-89.997753901364845</v>
      </c>
      <c r="W212" s="15">
        <f t="shared" si="114"/>
        <v>-88.133876171394206</v>
      </c>
      <c r="X212" s="15">
        <f t="shared" si="115"/>
        <v>87.215471441343823</v>
      </c>
      <c r="Y212" s="15">
        <f t="shared" si="116"/>
        <v>26.27083856184511</v>
      </c>
      <c r="Z212" s="15">
        <f t="shared" si="117"/>
        <v>-7.8048094908126817</v>
      </c>
      <c r="AA212" s="15">
        <f t="shared" si="118"/>
        <v>-8.0837218746397321E-2</v>
      </c>
      <c r="AB212" s="31">
        <f t="shared" si="134"/>
        <v>-10.587091950833704</v>
      </c>
      <c r="AC212" s="31">
        <f t="shared" si="135"/>
        <v>14.31439230456162</v>
      </c>
      <c r="AD212" s="15">
        <f t="shared" si="119"/>
        <v>64.689004648909716</v>
      </c>
      <c r="AE212" s="15">
        <f t="shared" si="120"/>
        <v>7.3806406047089093</v>
      </c>
      <c r="AF212" s="15">
        <f t="shared" si="121"/>
        <v>4.9825872657649477E-2</v>
      </c>
      <c r="AG212" s="15">
        <f t="shared" si="122"/>
        <v>3.2843461947448119E-6</v>
      </c>
      <c r="AH212" s="15">
        <f t="shared" si="123"/>
        <v>-22.042914278052603</v>
      </c>
      <c r="AI212" s="15">
        <f t="shared" si="124"/>
        <v>-0.65931409528526164</v>
      </c>
      <c r="AJ212" s="31">
        <f t="shared" si="136"/>
        <v>42.695916243514759</v>
      </c>
      <c r="AK212" s="31">
        <f t="shared" si="137"/>
        <v>6.7213297937698426</v>
      </c>
      <c r="AL212" s="15">
        <f t="shared" si="125"/>
        <v>0</v>
      </c>
      <c r="AM212" s="15">
        <f t="shared" si="126"/>
        <v>0</v>
      </c>
      <c r="AN212" s="15">
        <f t="shared" si="127"/>
        <v>0</v>
      </c>
      <c r="AO212" s="15">
        <f t="shared" si="128"/>
        <v>0</v>
      </c>
      <c r="AP212" s="31">
        <f t="shared" si="138"/>
        <v>0</v>
      </c>
      <c r="AQ212" s="31">
        <f t="shared" si="139"/>
        <v>0</v>
      </c>
    </row>
    <row r="213" spans="8:43" x14ac:dyDescent="0.25">
      <c r="H213" s="15">
        <v>3.1</v>
      </c>
      <c r="I213" s="45">
        <f t="shared" si="129"/>
        <v>12589.25411794168</v>
      </c>
      <c r="J213" s="32">
        <f t="shared" si="130"/>
        <v>121.11272865265846</v>
      </c>
      <c r="K213" s="32">
        <f t="shared" si="131"/>
        <v>5.7449828967385841</v>
      </c>
      <c r="L213" s="15">
        <f t="shared" si="105"/>
        <v>3.8729613733905581</v>
      </c>
      <c r="M213" s="15">
        <f t="shared" si="106"/>
        <v>-2.9558496344261527</v>
      </c>
      <c r="N213" s="15">
        <f t="shared" si="107"/>
        <v>1.156369046982398E-2</v>
      </c>
      <c r="O213" s="15">
        <f t="shared" si="108"/>
        <v>-87.496431782807647</v>
      </c>
      <c r="P213" s="15">
        <f t="shared" si="109"/>
        <v>-27.19402822435697</v>
      </c>
      <c r="Q213" s="15">
        <f t="shared" si="110"/>
        <v>-0.47215495732320245</v>
      </c>
      <c r="R213" s="15">
        <f t="shared" si="111"/>
        <v>-2.9492600610656218E-4</v>
      </c>
      <c r="S213" s="31">
        <f t="shared" si="132"/>
        <v>-90.924436374557004</v>
      </c>
      <c r="T213" s="31">
        <f t="shared" si="133"/>
        <v>-15.421896147628289</v>
      </c>
      <c r="U213" s="15">
        <f t="shared" si="112"/>
        <v>6500</v>
      </c>
      <c r="V213" s="15">
        <f t="shared" si="113"/>
        <v>-89.997805028811726</v>
      </c>
      <c r="W213" s="15">
        <f t="shared" si="114"/>
        <v>-88.33387617109382</v>
      </c>
      <c r="X213" s="15">
        <f t="shared" si="115"/>
        <v>87.278758667851775</v>
      </c>
      <c r="Y213" s="15">
        <f t="shared" si="116"/>
        <v>26.470377236217452</v>
      </c>
      <c r="Z213" s="15">
        <f t="shared" si="117"/>
        <v>-7.9842885776858852</v>
      </c>
      <c r="AA213" s="15">
        <f t="shared" si="118"/>
        <v>-8.4610082955881585E-2</v>
      </c>
      <c r="AB213" s="31">
        <f t="shared" si="134"/>
        <v>-10.703334938645835</v>
      </c>
      <c r="AC213" s="31">
        <f t="shared" si="135"/>
        <v>14.310158115024864</v>
      </c>
      <c r="AD213" s="15">
        <f t="shared" si="119"/>
        <v>65.195160177453019</v>
      </c>
      <c r="AE213" s="15">
        <f t="shared" si="120"/>
        <v>7.5447651969028806</v>
      </c>
      <c r="AF213" s="15">
        <f t="shared" si="121"/>
        <v>5.0986465719111584E-2</v>
      </c>
      <c r="AG213" s="15">
        <f t="shared" si="122"/>
        <v>3.4391326007344728E-6</v>
      </c>
      <c r="AH213" s="15">
        <f t="shared" si="123"/>
        <v>-22.505646677310821</v>
      </c>
      <c r="AI213" s="15">
        <f t="shared" si="124"/>
        <v>-0.68804770669347304</v>
      </c>
      <c r="AJ213" s="31">
        <f t="shared" si="136"/>
        <v>42.740499965861304</v>
      </c>
      <c r="AK213" s="31">
        <f t="shared" si="137"/>
        <v>6.8567209293420088</v>
      </c>
      <c r="AL213" s="15">
        <f t="shared" si="125"/>
        <v>0</v>
      </c>
      <c r="AM213" s="15">
        <f t="shared" si="126"/>
        <v>0</v>
      </c>
      <c r="AN213" s="15">
        <f t="shared" si="127"/>
        <v>0</v>
      </c>
      <c r="AO213" s="15">
        <f t="shared" si="128"/>
        <v>0</v>
      </c>
      <c r="AP213" s="31">
        <f t="shared" si="138"/>
        <v>0</v>
      </c>
      <c r="AQ213" s="31">
        <f t="shared" si="139"/>
        <v>0</v>
      </c>
    </row>
    <row r="214" spans="8:43" x14ac:dyDescent="0.25">
      <c r="H214" s="15">
        <v>3.11</v>
      </c>
      <c r="I214" s="45">
        <f t="shared" si="129"/>
        <v>12882.495516931347</v>
      </c>
      <c r="J214" s="32">
        <f t="shared" si="130"/>
        <v>120.88391704114069</v>
      </c>
      <c r="K214" s="32">
        <f t="shared" si="131"/>
        <v>5.6770735484044792</v>
      </c>
      <c r="L214" s="15">
        <f t="shared" si="105"/>
        <v>3.8729613733905581</v>
      </c>
      <c r="M214" s="15">
        <f t="shared" si="106"/>
        <v>-3.0245738306342469</v>
      </c>
      <c r="N214" s="15">
        <f t="shared" si="107"/>
        <v>1.2107911413118889E-2</v>
      </c>
      <c r="O214" s="15">
        <f t="shared" si="108"/>
        <v>-87.553349895823217</v>
      </c>
      <c r="P214" s="15">
        <f t="shared" si="109"/>
        <v>-27.393655245513656</v>
      </c>
      <c r="Q214" s="15">
        <f t="shared" si="110"/>
        <v>-0.48315234367565002</v>
      </c>
      <c r="R214" s="15">
        <f t="shared" si="111"/>
        <v>-3.0882494637700874E-4</v>
      </c>
      <c r="S214" s="31">
        <f t="shared" si="132"/>
        <v>-91.061076070133126</v>
      </c>
      <c r="T214" s="31">
        <f t="shared" si="133"/>
        <v>-15.620992846781951</v>
      </c>
      <c r="U214" s="15">
        <f t="shared" si="112"/>
        <v>6500</v>
      </c>
      <c r="V214" s="15">
        <f t="shared" si="113"/>
        <v>-89.997854992455842</v>
      </c>
      <c r="W214" s="15">
        <f t="shared" si="114"/>
        <v>-88.533876170806963</v>
      </c>
      <c r="X214" s="15">
        <f t="shared" si="115"/>
        <v>87.340611723067681</v>
      </c>
      <c r="Y214" s="15">
        <f t="shared" si="116"/>
        <v>26.669936627913341</v>
      </c>
      <c r="Z214" s="15">
        <f t="shared" si="117"/>
        <v>-8.1677851187151713</v>
      </c>
      <c r="AA214" s="15">
        <f t="shared" si="118"/>
        <v>-8.8557246962590611E-2</v>
      </c>
      <c r="AB214" s="31">
        <f t="shared" si="134"/>
        <v>-10.825028388103332</v>
      </c>
      <c r="AC214" s="31">
        <f t="shared" si="135"/>
        <v>14.305770343000901</v>
      </c>
      <c r="AD214" s="15">
        <f t="shared" si="119"/>
        <v>65.693820221091556</v>
      </c>
      <c r="AE214" s="15">
        <f t="shared" si="120"/>
        <v>7.7102255662879315</v>
      </c>
      <c r="AF214" s="15">
        <f t="shared" si="121"/>
        <v>5.2174092422473763E-2</v>
      </c>
      <c r="AG214" s="15">
        <f t="shared" si="122"/>
        <v>3.6012138585738602E-6</v>
      </c>
      <c r="AH214" s="15">
        <f t="shared" si="123"/>
        <v>-22.975972814136878</v>
      </c>
      <c r="AI214" s="15">
        <f t="shared" si="124"/>
        <v>-0.71793311531626181</v>
      </c>
      <c r="AJ214" s="31">
        <f t="shared" si="136"/>
        <v>42.770021499377151</v>
      </c>
      <c r="AK214" s="31">
        <f t="shared" si="137"/>
        <v>6.9922960521855284</v>
      </c>
      <c r="AL214" s="15">
        <f t="shared" si="125"/>
        <v>0</v>
      </c>
      <c r="AM214" s="15">
        <f t="shared" si="126"/>
        <v>0</v>
      </c>
      <c r="AN214" s="15">
        <f t="shared" si="127"/>
        <v>0</v>
      </c>
      <c r="AO214" s="15">
        <f t="shared" si="128"/>
        <v>0</v>
      </c>
      <c r="AP214" s="31">
        <f t="shared" si="138"/>
        <v>0</v>
      </c>
      <c r="AQ214" s="31">
        <f t="shared" si="139"/>
        <v>0</v>
      </c>
    </row>
    <row r="215" spans="8:43" x14ac:dyDescent="0.25">
      <c r="H215" s="15">
        <v>3.12</v>
      </c>
      <c r="I215" s="45">
        <f t="shared" si="129"/>
        <v>13182.567385564089</v>
      </c>
      <c r="J215" s="32">
        <f t="shared" si="130"/>
        <v>120.63395280536737</v>
      </c>
      <c r="K215" s="32">
        <f t="shared" si="131"/>
        <v>5.6091165041697302</v>
      </c>
      <c r="L215" s="15">
        <f t="shared" si="105"/>
        <v>3.8729613733905581</v>
      </c>
      <c r="M215" s="15">
        <f t="shared" si="106"/>
        <v>-3.0948898007834509</v>
      </c>
      <c r="N215" s="15">
        <f t="shared" si="107"/>
        <v>1.2677707614805711E-2</v>
      </c>
      <c r="O215" s="15">
        <f t="shared" si="108"/>
        <v>-87.60897706383335</v>
      </c>
      <c r="P215" s="15">
        <f t="shared" si="109"/>
        <v>-27.593299023579139</v>
      </c>
      <c r="Q215" s="15">
        <f t="shared" si="110"/>
        <v>-0.49440585520293284</v>
      </c>
      <c r="R215" s="15">
        <f t="shared" si="111"/>
        <v>-3.2337887584676554E-4</v>
      </c>
      <c r="S215" s="31">
        <f t="shared" si="132"/>
        <v>-91.198272719819727</v>
      </c>
      <c r="T215" s="31">
        <f t="shared" si="133"/>
        <v>-15.820081382575216</v>
      </c>
      <c r="U215" s="15">
        <f t="shared" si="112"/>
        <v>6500</v>
      </c>
      <c r="V215" s="15">
        <f t="shared" si="113"/>
        <v>-89.997903818788572</v>
      </c>
      <c r="W215" s="15">
        <f t="shared" si="114"/>
        <v>-88.733876170533023</v>
      </c>
      <c r="X215" s="15">
        <f t="shared" si="115"/>
        <v>87.401062825301082</v>
      </c>
      <c r="Y215" s="15">
        <f t="shared" si="116"/>
        <v>26.869515808516642</v>
      </c>
      <c r="Z215" s="15">
        <f t="shared" si="117"/>
        <v>-8.3553813416677656</v>
      </c>
      <c r="AA215" s="15">
        <f t="shared" si="118"/>
        <v>-9.2686593636061368E-2</v>
      </c>
      <c r="AB215" s="31">
        <f t="shared" si="134"/>
        <v>-10.952222335155255</v>
      </c>
      <c r="AC215" s="31">
        <f t="shared" si="135"/>
        <v>14.301220177204671</v>
      </c>
      <c r="AD215" s="15">
        <f t="shared" si="119"/>
        <v>66.184946941949434</v>
      </c>
      <c r="AE215" s="15">
        <f t="shared" si="120"/>
        <v>7.876982051854692</v>
      </c>
      <c r="AF215" s="15">
        <f t="shared" si="121"/>
        <v>5.3389382459049797E-2</v>
      </c>
      <c r="AG215" s="15">
        <f t="shared" si="122"/>
        <v>3.7709337658764171E-6</v>
      </c>
      <c r="AH215" s="15">
        <f t="shared" si="123"/>
        <v>-23.453888464066129</v>
      </c>
      <c r="AI215" s="15">
        <f t="shared" si="124"/>
        <v>-0.74900811324818362</v>
      </c>
      <c r="AJ215" s="31">
        <f t="shared" si="136"/>
        <v>42.784447860342354</v>
      </c>
      <c r="AK215" s="31">
        <f t="shared" si="137"/>
        <v>7.127977709540275</v>
      </c>
      <c r="AL215" s="15">
        <f t="shared" si="125"/>
        <v>0</v>
      </c>
      <c r="AM215" s="15">
        <f t="shared" si="126"/>
        <v>0</v>
      </c>
      <c r="AN215" s="15">
        <f t="shared" si="127"/>
        <v>0</v>
      </c>
      <c r="AO215" s="15">
        <f t="shared" si="128"/>
        <v>0</v>
      </c>
      <c r="AP215" s="31">
        <f t="shared" si="138"/>
        <v>0</v>
      </c>
      <c r="AQ215" s="31">
        <f t="shared" si="139"/>
        <v>0</v>
      </c>
    </row>
    <row r="216" spans="8:43" x14ac:dyDescent="0.25">
      <c r="H216" s="15">
        <v>3.13</v>
      </c>
      <c r="I216" s="45">
        <f t="shared" si="129"/>
        <v>13489.628825916541</v>
      </c>
      <c r="J216" s="32">
        <f t="shared" si="130"/>
        <v>120.36269756519989</v>
      </c>
      <c r="K216" s="32">
        <f t="shared" si="131"/>
        <v>5.5410269799453626</v>
      </c>
      <c r="L216" s="15">
        <f t="shared" si="105"/>
        <v>3.8729613733905581</v>
      </c>
      <c r="M216" s="15">
        <f t="shared" si="106"/>
        <v>-3.1668339796111455</v>
      </c>
      <c r="N216" s="15">
        <f t="shared" si="107"/>
        <v>1.3274277369658119E-2</v>
      </c>
      <c r="O216" s="15">
        <f t="shared" si="108"/>
        <v>-87.663342361385276</v>
      </c>
      <c r="P216" s="15">
        <f t="shared" si="109"/>
        <v>-27.792958806995046</v>
      </c>
      <c r="Q216" s="15">
        <f t="shared" si="110"/>
        <v>-0.50592145519079179</v>
      </c>
      <c r="R216" s="15">
        <f t="shared" si="111"/>
        <v>-3.38618658607013E-4</v>
      </c>
      <c r="S216" s="31">
        <f t="shared" si="132"/>
        <v>-91.336097796187204</v>
      </c>
      <c r="T216" s="31">
        <f t="shared" si="133"/>
        <v>-16.019159836019032</v>
      </c>
      <c r="U216" s="15">
        <f t="shared" si="112"/>
        <v>6500</v>
      </c>
      <c r="V216" s="15">
        <f t="shared" si="113"/>
        <v>-89.997951533698284</v>
      </c>
      <c r="W216" s="15">
        <f t="shared" si="114"/>
        <v>-88.933876170271375</v>
      </c>
      <c r="X216" s="15">
        <f t="shared" si="115"/>
        <v>87.460143487879321</v>
      </c>
      <c r="Y216" s="15">
        <f t="shared" si="116"/>
        <v>27.069113891044459</v>
      </c>
      <c r="Z216" s="15">
        <f t="shared" si="117"/>
        <v>-8.5471606156111335</v>
      </c>
      <c r="AA216" s="15">
        <f t="shared" si="118"/>
        <v>-9.7006346373030988E-2</v>
      </c>
      <c r="AB216" s="31">
        <f t="shared" si="134"/>
        <v>-11.084968661430096</v>
      </c>
      <c r="AC216" s="31">
        <f t="shared" si="135"/>
        <v>14.296498507257168</v>
      </c>
      <c r="AD216" s="15">
        <f t="shared" si="119"/>
        <v>66.668511996381696</v>
      </c>
      <c r="AE216" s="15">
        <f t="shared" si="120"/>
        <v>8.0449954196839748</v>
      </c>
      <c r="AF216" s="15">
        <f t="shared" si="121"/>
        <v>5.4632980187326666E-2</v>
      </c>
      <c r="AG216" s="15">
        <f t="shared" si="122"/>
        <v>3.9486523189745716E-6</v>
      </c>
      <c r="AH216" s="15">
        <f t="shared" si="123"/>
        <v>-23.939380953751822</v>
      </c>
      <c r="AI216" s="15">
        <f t="shared" si="124"/>
        <v>-0.78131105962906666</v>
      </c>
      <c r="AJ216" s="31">
        <f t="shared" si="136"/>
        <v>42.783764022817195</v>
      </c>
      <c r="AK216" s="31">
        <f t="shared" si="137"/>
        <v>7.263688308707227</v>
      </c>
      <c r="AL216" s="15">
        <f t="shared" si="125"/>
        <v>0</v>
      </c>
      <c r="AM216" s="15">
        <f t="shared" si="126"/>
        <v>0</v>
      </c>
      <c r="AN216" s="15">
        <f t="shared" si="127"/>
        <v>0</v>
      </c>
      <c r="AO216" s="15">
        <f t="shared" si="128"/>
        <v>0</v>
      </c>
      <c r="AP216" s="31">
        <f t="shared" si="138"/>
        <v>0</v>
      </c>
      <c r="AQ216" s="31">
        <f t="shared" si="139"/>
        <v>0</v>
      </c>
    </row>
    <row r="217" spans="8:43" x14ac:dyDescent="0.25">
      <c r="H217" s="15">
        <v>3.14</v>
      </c>
      <c r="I217" s="45">
        <f t="shared" si="129"/>
        <v>13803.842646028863</v>
      </c>
      <c r="J217" s="32">
        <f t="shared" si="130"/>
        <v>120.07002880413441</v>
      </c>
      <c r="K217" s="32">
        <f t="shared" si="131"/>
        <v>5.4727198602971425</v>
      </c>
      <c r="L217" s="15">
        <f t="shared" si="105"/>
        <v>3.8729613733905581</v>
      </c>
      <c r="M217" s="15">
        <f t="shared" si="106"/>
        <v>-3.2404436048902676</v>
      </c>
      <c r="N217" s="15">
        <f t="shared" si="107"/>
        <v>1.3898874771210851E-2</v>
      </c>
      <c r="O217" s="15">
        <f t="shared" si="108"/>
        <v>-87.716474221885619</v>
      </c>
      <c r="P217" s="15">
        <f t="shared" si="109"/>
        <v>-27.992633877798212</v>
      </c>
      <c r="Q217" s="15">
        <f t="shared" si="110"/>
        <v>-0.51770524563924836</v>
      </c>
      <c r="R217" s="15">
        <f t="shared" si="111"/>
        <v>-3.5457661288170779E-4</v>
      </c>
      <c r="S217" s="31">
        <f t="shared" si="132"/>
        <v>-91.474623072415142</v>
      </c>
      <c r="T217" s="31">
        <f t="shared" si="133"/>
        <v>-16.21822626737492</v>
      </c>
      <c r="U217" s="15">
        <f t="shared" si="112"/>
        <v>6500</v>
      </c>
      <c r="V217" s="15">
        <f t="shared" si="113"/>
        <v>-89.997998162484052</v>
      </c>
      <c r="W217" s="15">
        <f t="shared" si="114"/>
        <v>-89.133876170021523</v>
      </c>
      <c r="X217" s="15">
        <f t="shared" si="115"/>
        <v>87.517884533313975</v>
      </c>
      <c r="Y217" s="15">
        <f t="shared" si="116"/>
        <v>27.268730028113243</v>
      </c>
      <c r="Z217" s="15">
        <f t="shared" si="117"/>
        <v>-8.7432074265782873</v>
      </c>
      <c r="AA217" s="15">
        <f t="shared" si="118"/>
        <v>-0.10152508230276022</v>
      </c>
      <c r="AB217" s="31">
        <f t="shared" si="134"/>
        <v>-11.223321055748364</v>
      </c>
      <c r="AC217" s="31">
        <f t="shared" si="135"/>
        <v>14.291595908646073</v>
      </c>
      <c r="AD217" s="15">
        <f t="shared" si="119"/>
        <v>67.144496161134612</v>
      </c>
      <c r="AE217" s="15">
        <f t="shared" si="120"/>
        <v>8.2142269181371006</v>
      </c>
      <c r="AF217" s="15">
        <f t="shared" si="121"/>
        <v>5.5905544974591451E-2</v>
      </c>
      <c r="AG217" s="15">
        <f t="shared" si="122"/>
        <v>4.1347464805192096E-6</v>
      </c>
      <c r="AH217" s="15">
        <f t="shared" si="123"/>
        <v>-24.432428773811299</v>
      </c>
      <c r="AI217" s="15">
        <f t="shared" si="124"/>
        <v>-0.81488083385759214</v>
      </c>
      <c r="AJ217" s="31">
        <f t="shared" si="136"/>
        <v>42.767972932297909</v>
      </c>
      <c r="AK217" s="31">
        <f t="shared" si="137"/>
        <v>7.3993502190259894</v>
      </c>
      <c r="AL217" s="15">
        <f t="shared" si="125"/>
        <v>0</v>
      </c>
      <c r="AM217" s="15">
        <f t="shared" si="126"/>
        <v>0</v>
      </c>
      <c r="AN217" s="15">
        <f t="shared" si="127"/>
        <v>0</v>
      </c>
      <c r="AO217" s="15">
        <f t="shared" si="128"/>
        <v>0</v>
      </c>
      <c r="AP217" s="31">
        <f t="shared" si="138"/>
        <v>0</v>
      </c>
      <c r="AQ217" s="31">
        <f t="shared" si="139"/>
        <v>0</v>
      </c>
    </row>
    <row r="218" spans="8:43" x14ac:dyDescent="0.25">
      <c r="H218" s="15">
        <v>3.15</v>
      </c>
      <c r="I218" s="45">
        <f t="shared" si="129"/>
        <v>14125.375446227545</v>
      </c>
      <c r="J218" s="32">
        <f t="shared" si="130"/>
        <v>119.75583987778015</v>
      </c>
      <c r="K218" s="32">
        <f t="shared" si="131"/>
        <v>5.4041097890133232</v>
      </c>
      <c r="L218" s="15">
        <f t="shared" si="105"/>
        <v>3.8729613733905581</v>
      </c>
      <c r="M218" s="15">
        <f t="shared" si="106"/>
        <v>-3.3157567329077655</v>
      </c>
      <c r="N218" s="15">
        <f t="shared" si="107"/>
        <v>1.4552812276787909E-2</v>
      </c>
      <c r="O218" s="15">
        <f t="shared" si="108"/>
        <v>-87.768400450822853</v>
      </c>
      <c r="P218" s="15">
        <f t="shared" si="109"/>
        <v>-28.192323550128741</v>
      </c>
      <c r="Q218" s="15">
        <f t="shared" si="110"/>
        <v>-0.52976347048019179</v>
      </c>
      <c r="R218" s="15">
        <f t="shared" si="111"/>
        <v>-3.7128657952628571E-4</v>
      </c>
      <c r="S218" s="31">
        <f t="shared" si="132"/>
        <v>-91.613920654210816</v>
      </c>
      <c r="T218" s="31">
        <f t="shared" si="133"/>
        <v>-16.417278712166517</v>
      </c>
      <c r="U218" s="15">
        <f t="shared" si="112"/>
        <v>6500</v>
      </c>
      <c r="V218" s="15">
        <f t="shared" si="113"/>
        <v>-89.998043729869082</v>
      </c>
      <c r="W218" s="15">
        <f t="shared" si="114"/>
        <v>-89.333876169782926</v>
      </c>
      <c r="X218" s="15">
        <f t="shared" si="115"/>
        <v>87.574316107268572</v>
      </c>
      <c r="Y218" s="15">
        <f t="shared" si="116"/>
        <v>27.468363410184594</v>
      </c>
      <c r="Z218" s="15">
        <f t="shared" si="117"/>
        <v>-8.9436073495373396</v>
      </c>
      <c r="AA218" s="15">
        <f t="shared" si="118"/>
        <v>-0.10625174586113662</v>
      </c>
      <c r="AB218" s="31">
        <f t="shared" si="134"/>
        <v>-11.367334972137849</v>
      </c>
      <c r="AC218" s="31">
        <f t="shared" si="135"/>
        <v>14.286502627397645</v>
      </c>
      <c r="AD218" s="15">
        <f t="shared" si="119"/>
        <v>67.612888950958919</v>
      </c>
      <c r="AE218" s="15">
        <f t="shared" si="120"/>
        <v>8.3846383281957682</v>
      </c>
      <c r="AF218" s="15">
        <f t="shared" si="121"/>
        <v>5.7207751546513586E-2</v>
      </c>
      <c r="AG218" s="15">
        <f t="shared" si="122"/>
        <v>4.3296109817944347E-6</v>
      </c>
      <c r="AH218" s="15">
        <f t="shared" si="123"/>
        <v>-24.933001198376623</v>
      </c>
      <c r="AI218" s="15">
        <f t="shared" si="124"/>
        <v>-0.84975678402455568</v>
      </c>
      <c r="AJ218" s="31">
        <f t="shared" si="136"/>
        <v>42.73709550412881</v>
      </c>
      <c r="AK218" s="31">
        <f t="shared" si="137"/>
        <v>7.5348858737821951</v>
      </c>
      <c r="AL218" s="15">
        <f t="shared" si="125"/>
        <v>0</v>
      </c>
      <c r="AM218" s="15">
        <f t="shared" si="126"/>
        <v>0</v>
      </c>
      <c r="AN218" s="15">
        <f t="shared" si="127"/>
        <v>0</v>
      </c>
      <c r="AO218" s="15">
        <f t="shared" si="128"/>
        <v>0</v>
      </c>
      <c r="AP218" s="31">
        <f t="shared" si="138"/>
        <v>0</v>
      </c>
      <c r="AQ218" s="31">
        <f t="shared" si="139"/>
        <v>0</v>
      </c>
    </row>
    <row r="219" spans="8:43" x14ac:dyDescent="0.25">
      <c r="H219" s="15">
        <v>3.16</v>
      </c>
      <c r="I219" s="45">
        <f t="shared" si="129"/>
        <v>14454.397707459288</v>
      </c>
      <c r="J219" s="32">
        <f t="shared" si="130"/>
        <v>119.42004001080353</v>
      </c>
      <c r="K219" s="32">
        <f t="shared" si="131"/>
        <v>5.3351112595480741</v>
      </c>
      <c r="L219" s="15">
        <f t="shared" si="105"/>
        <v>3.8729613733905581</v>
      </c>
      <c r="M219" s="15">
        <f t="shared" si="106"/>
        <v>-3.3928122540774472</v>
      </c>
      <c r="N219" s="15">
        <f t="shared" si="107"/>
        <v>1.5237463387255804E-2</v>
      </c>
      <c r="O219" s="15">
        <f t="shared" si="108"/>
        <v>-87.81914823877932</v>
      </c>
      <c r="P219" s="15">
        <f t="shared" si="109"/>
        <v>-28.392027168803669</v>
      </c>
      <c r="Q219" s="15">
        <f t="shared" si="110"/>
        <v>-0.54210251886896521</v>
      </c>
      <c r="R219" s="15">
        <f t="shared" si="111"/>
        <v>-3.887839937258262E-4</v>
      </c>
      <c r="S219" s="31">
        <f t="shared" si="132"/>
        <v>-91.754063011725719</v>
      </c>
      <c r="T219" s="31">
        <f t="shared" si="133"/>
        <v>-16.616315177145172</v>
      </c>
      <c r="U219" s="15">
        <f t="shared" si="112"/>
        <v>6500</v>
      </c>
      <c r="V219" s="15">
        <f t="shared" si="113"/>
        <v>-89.998088260013787</v>
      </c>
      <c r="W219" s="15">
        <f t="shared" si="114"/>
        <v>-89.533876169555072</v>
      </c>
      <c r="X219" s="15">
        <f t="shared" si="115"/>
        <v>87.629467692324553</v>
      </c>
      <c r="Y219" s="15">
        <f t="shared" si="116"/>
        <v>27.668013263887769</v>
      </c>
      <c r="Z219" s="15">
        <f t="shared" si="117"/>
        <v>-9.1484470164138063</v>
      </c>
      <c r="AA219" s="15">
        <f t="shared" si="118"/>
        <v>-0.11119566272934171</v>
      </c>
      <c r="AB219" s="31">
        <f t="shared" si="134"/>
        <v>-11.517067584103041</v>
      </c>
      <c r="AC219" s="31">
        <f t="shared" si="135"/>
        <v>14.281208564460469</v>
      </c>
      <c r="AD219" s="15">
        <f t="shared" si="119"/>
        <v>68.07368823012807</v>
      </c>
      <c r="AE219" s="15">
        <f t="shared" si="120"/>
        <v>8.5561920090490524</v>
      </c>
      <c r="AF219" s="15">
        <f t="shared" si="121"/>
        <v>5.85402903448701E-2</v>
      </c>
      <c r="AG219" s="15">
        <f t="shared" si="122"/>
        <v>4.5336591539616067E-6</v>
      </c>
      <c r="AH219" s="15">
        <f t="shared" si="123"/>
        <v>-25.441057913840634</v>
      </c>
      <c r="AI219" s="15">
        <f t="shared" si="124"/>
        <v>-0.88597867047543011</v>
      </c>
      <c r="AJ219" s="31">
        <f t="shared" si="136"/>
        <v>42.691170606632298</v>
      </c>
      <c r="AK219" s="31">
        <f t="shared" si="137"/>
        <v>7.6702178722327767</v>
      </c>
      <c r="AL219" s="15">
        <f t="shared" si="125"/>
        <v>0</v>
      </c>
      <c r="AM219" s="15">
        <f t="shared" si="126"/>
        <v>0</v>
      </c>
      <c r="AN219" s="15">
        <f t="shared" si="127"/>
        <v>0</v>
      </c>
      <c r="AO219" s="15">
        <f t="shared" si="128"/>
        <v>0</v>
      </c>
      <c r="AP219" s="31">
        <f t="shared" si="138"/>
        <v>0</v>
      </c>
      <c r="AQ219" s="31">
        <f t="shared" si="139"/>
        <v>0</v>
      </c>
    </row>
    <row r="220" spans="8:43" x14ac:dyDescent="0.25">
      <c r="H220" s="15">
        <v>3.17</v>
      </c>
      <c r="I220" s="45">
        <f t="shared" si="129"/>
        <v>14791.083881682087</v>
      </c>
      <c r="J220" s="32">
        <f t="shared" si="130"/>
        <v>119.06255428226368</v>
      </c>
      <c r="K220" s="32">
        <f t="shared" si="131"/>
        <v>5.2656387055341822</v>
      </c>
      <c r="L220" s="15">
        <f t="shared" si="105"/>
        <v>3.8729613733905581</v>
      </c>
      <c r="M220" s="15">
        <f t="shared" si="106"/>
        <v>-3.4716499086745438</v>
      </c>
      <c r="N220" s="15">
        <f t="shared" si="107"/>
        <v>1.5954265446314449E-2</v>
      </c>
      <c r="O220" s="15">
        <f t="shared" si="108"/>
        <v>-87.868744174232063</v>
      </c>
      <c r="P220" s="15">
        <f t="shared" si="109"/>
        <v>-28.591744107953009</v>
      </c>
      <c r="Q220" s="15">
        <f t="shared" si="110"/>
        <v>-0.55472892855157319</v>
      </c>
      <c r="R220" s="15">
        <f t="shared" si="111"/>
        <v>-4.0710596009479593E-4</v>
      </c>
      <c r="S220" s="31">
        <f t="shared" si="132"/>
        <v>-91.895123011458182</v>
      </c>
      <c r="T220" s="31">
        <f t="shared" si="133"/>
        <v>-16.815333636201824</v>
      </c>
      <c r="U220" s="15">
        <f t="shared" si="112"/>
        <v>6500</v>
      </c>
      <c r="V220" s="15">
        <f t="shared" si="113"/>
        <v>-89.998131776528652</v>
      </c>
      <c r="W220" s="15">
        <f t="shared" si="114"/>
        <v>-89.733876169337464</v>
      </c>
      <c r="X220" s="15">
        <f t="shared" si="115"/>
        <v>87.683368121542003</v>
      </c>
      <c r="Y220" s="15">
        <f t="shared" si="116"/>
        <v>27.867678850415221</v>
      </c>
      <c r="Z220" s="15">
        <f t="shared" si="117"/>
        <v>-9.3578140799015941</v>
      </c>
      <c r="AA220" s="15">
        <f t="shared" si="118"/>
        <v>-0.1163665541310392</v>
      </c>
      <c r="AB220" s="31">
        <f t="shared" si="134"/>
        <v>-11.672577734888243</v>
      </c>
      <c r="AC220" s="31">
        <f t="shared" si="135"/>
        <v>14.275703259803832</v>
      </c>
      <c r="AD220" s="15">
        <f t="shared" si="119"/>
        <v>68.526899820152408</v>
      </c>
      <c r="AE220" s="15">
        <f t="shared" si="120"/>
        <v>8.7288509390481934</v>
      </c>
      <c r="AF220" s="15">
        <f t="shared" si="121"/>
        <v>5.990386789360052E-2</v>
      </c>
      <c r="AG220" s="15">
        <f t="shared" si="122"/>
        <v>4.747323809447804E-6</v>
      </c>
      <c r="AH220" s="15">
        <f t="shared" si="123"/>
        <v>-25.956548659435907</v>
      </c>
      <c r="AI220" s="15">
        <f t="shared" si="124"/>
        <v>-0.92358660443982754</v>
      </c>
      <c r="AJ220" s="31">
        <f t="shared" si="136"/>
        <v>42.630255028610094</v>
      </c>
      <c r="AK220" s="31">
        <f t="shared" si="137"/>
        <v>7.8052690819321748</v>
      </c>
      <c r="AL220" s="15">
        <f t="shared" si="125"/>
        <v>0</v>
      </c>
      <c r="AM220" s="15">
        <f t="shared" si="126"/>
        <v>0</v>
      </c>
      <c r="AN220" s="15">
        <f t="shared" si="127"/>
        <v>0</v>
      </c>
      <c r="AO220" s="15">
        <f t="shared" si="128"/>
        <v>0</v>
      </c>
      <c r="AP220" s="31">
        <f t="shared" si="138"/>
        <v>0</v>
      </c>
      <c r="AQ220" s="31">
        <f t="shared" si="139"/>
        <v>0</v>
      </c>
    </row>
    <row r="221" spans="8:43" x14ac:dyDescent="0.25">
      <c r="H221" s="15">
        <v>3.18</v>
      </c>
      <c r="I221" s="45">
        <f t="shared" si="129"/>
        <v>15135.612484362093</v>
      </c>
      <c r="J221" s="32">
        <f t="shared" si="130"/>
        <v>118.68332359897785</v>
      </c>
      <c r="K221" s="32">
        <f t="shared" si="131"/>
        <v>5.1956065915503071</v>
      </c>
      <c r="L221" s="15">
        <f t="shared" si="105"/>
        <v>3.8729613733905581</v>
      </c>
      <c r="M221" s="15">
        <f t="shared" si="106"/>
        <v>-3.5523103026783054</v>
      </c>
      <c r="N221" s="15">
        <f t="shared" si="107"/>
        <v>1.6704722564307991E-2</v>
      </c>
      <c r="O221" s="15">
        <f t="shared" si="108"/>
        <v>-87.91721425614098</v>
      </c>
      <c r="P221" s="15">
        <f t="shared" si="109"/>
        <v>-28.791473769715871</v>
      </c>
      <c r="Q221" s="15">
        <f t="shared" si="110"/>
        <v>-0.56764938930923092</v>
      </c>
      <c r="R221" s="15">
        <f t="shared" si="111"/>
        <v>-4.2629133128980898E-4</v>
      </c>
      <c r="S221" s="31">
        <f t="shared" si="132"/>
        <v>-92.037173948128512</v>
      </c>
      <c r="T221" s="31">
        <f t="shared" si="133"/>
        <v>-17.01433202621789</v>
      </c>
      <c r="U221" s="15">
        <f t="shared" si="112"/>
        <v>6500</v>
      </c>
      <c r="V221" s="15">
        <f t="shared" si="113"/>
        <v>-89.998174302486703</v>
      </c>
      <c r="W221" s="15">
        <f t="shared" si="114"/>
        <v>-89.933876169129633</v>
      </c>
      <c r="X221" s="15">
        <f t="shared" si="115"/>
        <v>87.736045591812939</v>
      </c>
      <c r="Y221" s="15">
        <f t="shared" si="116"/>
        <v>28.067359463988474</v>
      </c>
      <c r="Z221" s="15">
        <f t="shared" si="117"/>
        <v>-9.5717971727881555</v>
      </c>
      <c r="AA221" s="15">
        <f t="shared" si="118"/>
        <v>-0.12177455147994692</v>
      </c>
      <c r="AB221" s="31">
        <f t="shared" si="134"/>
        <v>-11.833925883461919</v>
      </c>
      <c r="AC221" s="31">
        <f t="shared" si="135"/>
        <v>14.269975876236009</v>
      </c>
      <c r="AD221" s="15">
        <f t="shared" si="119"/>
        <v>68.972537105817693</v>
      </c>
      <c r="AE221" s="15">
        <f t="shared" si="120"/>
        <v>8.9025787521714381</v>
      </c>
      <c r="AF221" s="15">
        <f t="shared" si="121"/>
        <v>6.1299207173388229E-2</v>
      </c>
      <c r="AG221" s="15">
        <f t="shared" si="122"/>
        <v>4.9710581599780631E-6</v>
      </c>
      <c r="AH221" s="15">
        <f t="shared" si="123"/>
        <v>-26.47941288242281</v>
      </c>
      <c r="AI221" s="15">
        <f t="shared" si="124"/>
        <v>-0.96262098169741084</v>
      </c>
      <c r="AJ221" s="31">
        <f t="shared" si="136"/>
        <v>42.554423430568278</v>
      </c>
      <c r="AK221" s="31">
        <f t="shared" si="137"/>
        <v>7.9399627415321881</v>
      </c>
      <c r="AL221" s="15">
        <f t="shared" si="125"/>
        <v>0</v>
      </c>
      <c r="AM221" s="15">
        <f t="shared" si="126"/>
        <v>0</v>
      </c>
      <c r="AN221" s="15">
        <f t="shared" si="127"/>
        <v>0</v>
      </c>
      <c r="AO221" s="15">
        <f t="shared" si="128"/>
        <v>0</v>
      </c>
      <c r="AP221" s="31">
        <f t="shared" si="138"/>
        <v>0</v>
      </c>
      <c r="AQ221" s="31">
        <f t="shared" si="139"/>
        <v>0</v>
      </c>
    </row>
    <row r="222" spans="8:43" x14ac:dyDescent="0.25">
      <c r="H222" s="15">
        <v>3.19</v>
      </c>
      <c r="I222" s="45">
        <f t="shared" si="129"/>
        <v>15488.166189124822</v>
      </c>
      <c r="J222" s="32">
        <f t="shared" si="130"/>
        <v>118.28230465627847</v>
      </c>
      <c r="K222" s="32">
        <f t="shared" si="131"/>
        <v>5.1249295043122256</v>
      </c>
      <c r="L222" s="15">
        <f t="shared" si="105"/>
        <v>3.8729613733905581</v>
      </c>
      <c r="M222" s="15">
        <f t="shared" si="106"/>
        <v>-3.6348349237072162</v>
      </c>
      <c r="N222" s="15">
        <f t="shared" si="107"/>
        <v>1.7490408671729445E-2</v>
      </c>
      <c r="O222" s="15">
        <f t="shared" si="108"/>
        <v>-87.964583906324719</v>
      </c>
      <c r="P222" s="15">
        <f t="shared" si="109"/>
        <v>-28.991215582993842</v>
      </c>
      <c r="Q222" s="15">
        <f t="shared" si="110"/>
        <v>-0.58087074648195369</v>
      </c>
      <c r="R222" s="15">
        <f t="shared" si="111"/>
        <v>-4.463807903355145E-4</v>
      </c>
      <c r="S222" s="31">
        <f t="shared" si="132"/>
        <v>-92.180289576513886</v>
      </c>
      <c r="T222" s="31">
        <f t="shared" si="133"/>
        <v>-17.213308242847486</v>
      </c>
      <c r="U222" s="15">
        <f t="shared" si="112"/>
        <v>6500</v>
      </c>
      <c r="V222" s="15">
        <f t="shared" si="113"/>
        <v>-89.998215860435778</v>
      </c>
      <c r="W222" s="15">
        <f t="shared" si="114"/>
        <v>-90.133876168931153</v>
      </c>
      <c r="X222" s="15">
        <f t="shared" si="115"/>
        <v>87.787527677005301</v>
      </c>
      <c r="Y222" s="15">
        <f t="shared" si="116"/>
        <v>28.267054430391077</v>
      </c>
      <c r="Z222" s="15">
        <f t="shared" si="117"/>
        <v>-9.7904858625070226</v>
      </c>
      <c r="AA222" s="15">
        <f t="shared" si="118"/>
        <v>-0.12743021136731816</v>
      </c>
      <c r="AB222" s="31">
        <f t="shared" si="134"/>
        <v>-12.0011740459375</v>
      </c>
      <c r="AC222" s="31">
        <f t="shared" si="135"/>
        <v>14.26401518294972</v>
      </c>
      <c r="AD222" s="15">
        <f t="shared" si="119"/>
        <v>69.410620641507961</v>
      </c>
      <c r="AE222" s="15">
        <f t="shared" si="120"/>
        <v>9.0773397701578915</v>
      </c>
      <c r="AF222" s="15">
        <f t="shared" si="121"/>
        <v>6.2727048004964689E-2</v>
      </c>
      <c r="AG222" s="15">
        <f t="shared" si="122"/>
        <v>5.2053367731800075E-6</v>
      </c>
      <c r="AH222" s="15">
        <f t="shared" si="123"/>
        <v>-27.009579410783061</v>
      </c>
      <c r="AI222" s="15">
        <f t="shared" si="124"/>
        <v>-1.0031224112846739</v>
      </c>
      <c r="AJ222" s="31">
        <f t="shared" si="136"/>
        <v>42.463768278729859</v>
      </c>
      <c r="AK222" s="31">
        <f t="shared" si="137"/>
        <v>8.0742225642099914</v>
      </c>
      <c r="AL222" s="15">
        <f t="shared" si="125"/>
        <v>0</v>
      </c>
      <c r="AM222" s="15">
        <f t="shared" si="126"/>
        <v>0</v>
      </c>
      <c r="AN222" s="15">
        <f t="shared" si="127"/>
        <v>0</v>
      </c>
      <c r="AO222" s="15">
        <f t="shared" si="128"/>
        <v>0</v>
      </c>
      <c r="AP222" s="31">
        <f t="shared" si="138"/>
        <v>0</v>
      </c>
      <c r="AQ222" s="31">
        <f t="shared" si="139"/>
        <v>0</v>
      </c>
    </row>
    <row r="223" spans="8:43" x14ac:dyDescent="0.25">
      <c r="H223" s="15">
        <v>3.2</v>
      </c>
      <c r="I223" s="45">
        <f t="shared" si="129"/>
        <v>15848.931924611155</v>
      </c>
      <c r="J223" s="32">
        <f t="shared" si="130"/>
        <v>117.85946988526479</v>
      </c>
      <c r="K223" s="32">
        <f t="shared" si="131"/>
        <v>5.0535222444369179</v>
      </c>
      <c r="L223" s="15">
        <f t="shared" si="105"/>
        <v>3.8729613733905581</v>
      </c>
      <c r="M223" s="15">
        <f t="shared" si="106"/>
        <v>-3.7192661570300514</v>
      </c>
      <c r="N223" s="15">
        <f t="shared" si="107"/>
        <v>1.8312970707773418E-2</v>
      </c>
      <c r="O223" s="15">
        <f t="shared" si="108"/>
        <v>-88.010877981623807</v>
      </c>
      <c r="P223" s="15">
        <f t="shared" si="109"/>
        <v>-29.190969002259241</v>
      </c>
      <c r="Q223" s="15">
        <f t="shared" si="110"/>
        <v>-0.59440000457295383</v>
      </c>
      <c r="R223" s="15">
        <f t="shared" si="111"/>
        <v>-4.674169368135342E-4</v>
      </c>
      <c r="S223" s="31">
        <f t="shared" si="132"/>
        <v>-92.324544143226802</v>
      </c>
      <c r="T223" s="31">
        <f t="shared" si="133"/>
        <v>-17.412260136223317</v>
      </c>
      <c r="U223" s="15">
        <f t="shared" si="112"/>
        <v>6500</v>
      </c>
      <c r="V223" s="15">
        <f t="shared" si="113"/>
        <v>-89.998256472410432</v>
      </c>
      <c r="W223" s="15">
        <f t="shared" si="114"/>
        <v>-90.333876168741639</v>
      </c>
      <c r="X223" s="15">
        <f t="shared" si="115"/>
        <v>87.837841340895977</v>
      </c>
      <c r="Y223" s="15">
        <f t="shared" si="116"/>
        <v>28.466763105565896</v>
      </c>
      <c r="Z223" s="15">
        <f t="shared" si="117"/>
        <v>-10.013970600620082</v>
      </c>
      <c r="AA223" s="15">
        <f t="shared" si="118"/>
        <v>-0.13334453087644504</v>
      </c>
      <c r="AB223" s="31">
        <f t="shared" si="134"/>
        <v>-12.174385732134537</v>
      </c>
      <c r="AC223" s="31">
        <f t="shared" si="135"/>
        <v>14.257809538804926</v>
      </c>
      <c r="AD223" s="15">
        <f t="shared" si="119"/>
        <v>69.841177759605173</v>
      </c>
      <c r="AE223" s="15">
        <f t="shared" si="120"/>
        <v>9.2530990304842682</v>
      </c>
      <c r="AF223" s="15">
        <f t="shared" si="121"/>
        <v>6.418814744134059E-2</v>
      </c>
      <c r="AG223" s="15">
        <f t="shared" si="122"/>
        <v>5.4506565831900097E-6</v>
      </c>
      <c r="AH223" s="15">
        <f t="shared" si="123"/>
        <v>-27.546966146420388</v>
      </c>
      <c r="AI223" s="15">
        <f t="shared" si="124"/>
        <v>-1.0451316392855432</v>
      </c>
      <c r="AJ223" s="31">
        <f t="shared" si="136"/>
        <v>42.358399760626128</v>
      </c>
      <c r="AK223" s="31">
        <f t="shared" si="137"/>
        <v>8.2079728418553088</v>
      </c>
      <c r="AL223" s="15">
        <f t="shared" si="125"/>
        <v>0</v>
      </c>
      <c r="AM223" s="15">
        <f t="shared" si="126"/>
        <v>0</v>
      </c>
      <c r="AN223" s="15">
        <f t="shared" si="127"/>
        <v>0</v>
      </c>
      <c r="AO223" s="15">
        <f t="shared" si="128"/>
        <v>0</v>
      </c>
      <c r="AP223" s="31">
        <f t="shared" si="138"/>
        <v>0</v>
      </c>
      <c r="AQ223" s="31">
        <f t="shared" si="139"/>
        <v>0</v>
      </c>
    </row>
    <row r="224" spans="8:43" x14ac:dyDescent="0.25">
      <c r="H224" s="15">
        <v>3.21</v>
      </c>
      <c r="I224" s="45">
        <f t="shared" si="129"/>
        <v>16218.100973589308</v>
      </c>
      <c r="J224" s="32">
        <f t="shared" si="130"/>
        <v>117.41480738541452</v>
      </c>
      <c r="K224" s="32">
        <f t="shared" si="131"/>
        <v>4.9812999189008327</v>
      </c>
      <c r="L224" s="15">
        <f t="shared" si="105"/>
        <v>3.8729613733905581</v>
      </c>
      <c r="M224" s="15">
        <f t="shared" si="106"/>
        <v>-3.8056473016342496</v>
      </c>
      <c r="N224" s="15">
        <f t="shared" si="107"/>
        <v>1.9174131949461746E-2</v>
      </c>
      <c r="O224" s="15">
        <f t="shared" si="108"/>
        <v>-88.056120785851263</v>
      </c>
      <c r="P224" s="15">
        <f t="shared" si="109"/>
        <v>-29.390733506415909</v>
      </c>
      <c r="Q224" s="15">
        <f t="shared" si="110"/>
        <v>-0.60824433093563279</v>
      </c>
      <c r="R224" s="15">
        <f t="shared" si="111"/>
        <v>-4.8944437712411125E-4</v>
      </c>
      <c r="S224" s="31">
        <f t="shared" si="132"/>
        <v>-92.470012418421149</v>
      </c>
      <c r="T224" s="31">
        <f t="shared" si="133"/>
        <v>-17.611185506578607</v>
      </c>
      <c r="U224" s="15">
        <f t="shared" si="112"/>
        <v>6500</v>
      </c>
      <c r="V224" s="15">
        <f t="shared" si="113"/>
        <v>-89.998296159943692</v>
      </c>
      <c r="W224" s="15">
        <f t="shared" si="114"/>
        <v>-90.533876168560639</v>
      </c>
      <c r="X224" s="15">
        <f t="shared" si="115"/>
        <v>87.88701294989211</v>
      </c>
      <c r="Y224" s="15">
        <f t="shared" si="116"/>
        <v>28.666484874273962</v>
      </c>
      <c r="Z224" s="15">
        <f t="shared" si="117"/>
        <v>-10.242342666920592</v>
      </c>
      <c r="AA224" s="15">
        <f t="shared" si="118"/>
        <v>-0.13952896320842217</v>
      </c>
      <c r="AB224" s="31">
        <f t="shared" si="134"/>
        <v>-12.353625876972174</v>
      </c>
      <c r="AC224" s="31">
        <f t="shared" si="135"/>
        <v>14.251346875362016</v>
      </c>
      <c r="AD224" s="15">
        <f t="shared" si="119"/>
        <v>70.264242182590849</v>
      </c>
      <c r="AE224" s="15">
        <f t="shared" si="120"/>
        <v>9.429822310369703</v>
      </c>
      <c r="AF224" s="15">
        <f t="shared" si="121"/>
        <v>6.5683280169171299E-2</v>
      </c>
      <c r="AG224" s="15">
        <f t="shared" si="122"/>
        <v>5.7075379456175479E-6</v>
      </c>
      <c r="AH224" s="15">
        <f t="shared" si="123"/>
        <v>-28.091479781952177</v>
      </c>
      <c r="AI224" s="15">
        <f t="shared" si="124"/>
        <v>-1.0886894677902257</v>
      </c>
      <c r="AJ224" s="31">
        <f t="shared" si="136"/>
        <v>42.238445680807843</v>
      </c>
      <c r="AK224" s="31">
        <f t="shared" si="137"/>
        <v>8.3411385501174244</v>
      </c>
      <c r="AL224" s="15">
        <f t="shared" si="125"/>
        <v>0</v>
      </c>
      <c r="AM224" s="15">
        <f t="shared" si="126"/>
        <v>0</v>
      </c>
      <c r="AN224" s="15">
        <f t="shared" si="127"/>
        <v>0</v>
      </c>
      <c r="AO224" s="15">
        <f t="shared" si="128"/>
        <v>0</v>
      </c>
      <c r="AP224" s="31">
        <f t="shared" si="138"/>
        <v>0</v>
      </c>
      <c r="AQ224" s="31">
        <f t="shared" si="139"/>
        <v>0</v>
      </c>
    </row>
    <row r="225" spans="8:43" x14ac:dyDescent="0.25">
      <c r="H225" s="15">
        <v>3.22</v>
      </c>
      <c r="I225" s="45">
        <f t="shared" si="129"/>
        <v>16595.869074375627</v>
      </c>
      <c r="J225" s="32">
        <f t="shared" si="130"/>
        <v>116.94832084121163</v>
      </c>
      <c r="K225" s="32">
        <f t="shared" si="131"/>
        <v>4.9081780342812067</v>
      </c>
      <c r="L225" s="15">
        <f t="shared" si="105"/>
        <v>3.8729613733905581</v>
      </c>
      <c r="M225" s="15">
        <f t="shared" si="106"/>
        <v>-3.8940225863313942</v>
      </c>
      <c r="N225" s="15">
        <f t="shared" si="107"/>
        <v>2.0075695487019443E-2</v>
      </c>
      <c r="O225" s="15">
        <f t="shared" si="108"/>
        <v>-88.100336081531722</v>
      </c>
      <c r="P225" s="15">
        <f t="shared" si="109"/>
        <v>-29.590508597710294</v>
      </c>
      <c r="Q225" s="15">
        <f t="shared" si="110"/>
        <v>-0.6224110595450032</v>
      </c>
      <c r="R225" s="15">
        <f t="shared" si="111"/>
        <v>-5.1250981896835989E-4</v>
      </c>
      <c r="S225" s="31">
        <f t="shared" si="132"/>
        <v>-92.616769727408112</v>
      </c>
      <c r="T225" s="31">
        <f t="shared" si="133"/>
        <v>-17.810082099777279</v>
      </c>
      <c r="U225" s="15">
        <f t="shared" si="112"/>
        <v>6500</v>
      </c>
      <c r="V225" s="15">
        <f t="shared" si="113"/>
        <v>-89.998334944078394</v>
      </c>
      <c r="W225" s="15">
        <f t="shared" si="114"/>
        <v>-90.733876168387795</v>
      </c>
      <c r="X225" s="15">
        <f t="shared" si="115"/>
        <v>87.935068285539913</v>
      </c>
      <c r="Y225" s="15">
        <f t="shared" si="116"/>
        <v>28.866219148812348</v>
      </c>
      <c r="Z225" s="15">
        <f t="shared" si="117"/>
        <v>-10.475694107837478</v>
      </c>
      <c r="AA225" s="15">
        <f t="shared" si="118"/>
        <v>-0.14599543360049017</v>
      </c>
      <c r="AB225" s="31">
        <f t="shared" si="134"/>
        <v>-12.538960766375959</v>
      </c>
      <c r="AC225" s="31">
        <f t="shared" si="135"/>
        <v>14.244614679681177</v>
      </c>
      <c r="AD225" s="15">
        <f t="shared" si="119"/>
        <v>70.679853640310895</v>
      </c>
      <c r="AE225" s="15">
        <f t="shared" si="120"/>
        <v>9.6074761470028598</v>
      </c>
      <c r="AF225" s="15">
        <f t="shared" si="121"/>
        <v>6.7213238919470175E-2</v>
      </c>
      <c r="AG225" s="15">
        <f t="shared" si="122"/>
        <v>5.9765257368676756E-6</v>
      </c>
      <c r="AH225" s="15">
        <f t="shared" si="123"/>
        <v>-28.643015544234657</v>
      </c>
      <c r="AI225" s="15">
        <f t="shared" si="124"/>
        <v>-1.133836669151288</v>
      </c>
      <c r="AJ225" s="31">
        <f t="shared" si="136"/>
        <v>42.104051334995702</v>
      </c>
      <c r="AK225" s="31">
        <f t="shared" si="137"/>
        <v>8.4736454543773085</v>
      </c>
      <c r="AL225" s="15">
        <f t="shared" si="125"/>
        <v>0</v>
      </c>
      <c r="AM225" s="15">
        <f t="shared" si="126"/>
        <v>0</v>
      </c>
      <c r="AN225" s="15">
        <f t="shared" si="127"/>
        <v>0</v>
      </c>
      <c r="AO225" s="15">
        <f t="shared" si="128"/>
        <v>0</v>
      </c>
      <c r="AP225" s="31">
        <f t="shared" si="138"/>
        <v>0</v>
      </c>
      <c r="AQ225" s="31">
        <f t="shared" si="139"/>
        <v>0</v>
      </c>
    </row>
    <row r="226" spans="8:43" x14ac:dyDescent="0.25">
      <c r="H226" s="15">
        <v>3.23</v>
      </c>
      <c r="I226" s="45">
        <f t="shared" si="129"/>
        <v>16982.436524617446</v>
      </c>
      <c r="J226" s="32">
        <f t="shared" si="130"/>
        <v>116.46002942126806</v>
      </c>
      <c r="K226" s="32">
        <f t="shared" si="131"/>
        <v>4.8340725908324735</v>
      </c>
      <c r="L226" s="15">
        <f t="shared" si="105"/>
        <v>3.8729613733905581</v>
      </c>
      <c r="M226" s="15">
        <f t="shared" si="106"/>
        <v>-3.9844371858774794</v>
      </c>
      <c r="N226" s="15">
        <f t="shared" si="107"/>
        <v>2.1019547851458445E-2</v>
      </c>
      <c r="O226" s="15">
        <f t="shared" si="108"/>
        <v>-88.143547101429391</v>
      </c>
      <c r="P226" s="15">
        <f t="shared" si="109"/>
        <v>-29.790293800690492</v>
      </c>
      <c r="Q226" s="15">
        <f t="shared" si="110"/>
        <v>-0.63690769485538523</v>
      </c>
      <c r="R226" s="15">
        <f t="shared" si="111"/>
        <v>-5.3666217029923709E-4</v>
      </c>
      <c r="S226" s="31">
        <f t="shared" si="132"/>
        <v>-92.764891982162254</v>
      </c>
      <c r="T226" s="31">
        <f t="shared" si="133"/>
        <v>-18.008947602744367</v>
      </c>
      <c r="U226" s="15">
        <f t="shared" si="112"/>
        <v>6500</v>
      </c>
      <c r="V226" s="15">
        <f t="shared" si="113"/>
        <v>-89.998372845378412</v>
      </c>
      <c r="W226" s="15">
        <f t="shared" si="114"/>
        <v>-90.933876168222696</v>
      </c>
      <c r="X226" s="15">
        <f t="shared" si="115"/>
        <v>87.982032556820897</v>
      </c>
      <c r="Y226" s="15">
        <f t="shared" si="116"/>
        <v>29.065965367788284</v>
      </c>
      <c r="Z226" s="15">
        <f t="shared" si="117"/>
        <v>-10.71411766881058</v>
      </c>
      <c r="AA226" s="15">
        <f t="shared" si="118"/>
        <v>-0.15275635551496375</v>
      </c>
      <c r="AB226" s="31">
        <f t="shared" si="134"/>
        <v>-12.730457957368095</v>
      </c>
      <c r="AC226" s="31">
        <f t="shared" si="135"/>
        <v>14.237599976907738</v>
      </c>
      <c r="AD226" s="15">
        <f t="shared" si="119"/>
        <v>71.088057493704284</v>
      </c>
      <c r="AE226" s="15">
        <f t="shared" si="120"/>
        <v>9.786027854191552</v>
      </c>
      <c r="AF226" s="15">
        <f t="shared" si="121"/>
        <v>6.8778834887885401E-2</v>
      </c>
      <c r="AG226" s="15">
        <f t="shared" si="122"/>
        <v>6.2581905151794008E-6</v>
      </c>
      <c r="AH226" s="15">
        <f t="shared" si="123"/>
        <v>-29.201456967793757</v>
      </c>
      <c r="AI226" s="15">
        <f t="shared" si="124"/>
        <v>-1.1806138957129646</v>
      </c>
      <c r="AJ226" s="31">
        <f t="shared" si="136"/>
        <v>41.955379360798403</v>
      </c>
      <c r="AK226" s="31">
        <f t="shared" si="137"/>
        <v>8.6054202166691027</v>
      </c>
      <c r="AL226" s="15">
        <f t="shared" si="125"/>
        <v>0</v>
      </c>
      <c r="AM226" s="15">
        <f t="shared" si="126"/>
        <v>0</v>
      </c>
      <c r="AN226" s="15">
        <f t="shared" si="127"/>
        <v>0</v>
      </c>
      <c r="AO226" s="15">
        <f t="shared" si="128"/>
        <v>0</v>
      </c>
      <c r="AP226" s="31">
        <f t="shared" si="138"/>
        <v>0</v>
      </c>
      <c r="AQ226" s="31">
        <f t="shared" si="139"/>
        <v>0</v>
      </c>
    </row>
    <row r="227" spans="8:43" x14ac:dyDescent="0.25">
      <c r="H227" s="15">
        <v>3.24</v>
      </c>
      <c r="I227" s="45">
        <f t="shared" si="129"/>
        <v>17378.008287493773</v>
      </c>
      <c r="J227" s="32">
        <f t="shared" si="130"/>
        <v>115.94996765827432</v>
      </c>
      <c r="K227" s="32">
        <f t="shared" si="131"/>
        <v>4.7589001774075985</v>
      </c>
      <c r="L227" s="15">
        <f t="shared" si="105"/>
        <v>3.8729613733905581</v>
      </c>
      <c r="M227" s="15">
        <f t="shared" si="106"/>
        <v>-4.0769372370839676</v>
      </c>
      <c r="N227" s="15">
        <f t="shared" si="107"/>
        <v>2.2007662800364439E-2</v>
      </c>
      <c r="O227" s="15">
        <f t="shared" si="108"/>
        <v>-88.185776559866326</v>
      </c>
      <c r="P227" s="15">
        <f t="shared" si="109"/>
        <v>-29.990088661211459</v>
      </c>
      <c r="Q227" s="15">
        <f t="shared" si="110"/>
        <v>-0.65174191574630203</v>
      </c>
      <c r="R227" s="15">
        <f t="shared" si="111"/>
        <v>-5.619526429217858E-4</v>
      </c>
      <c r="S227" s="31">
        <f t="shared" si="132"/>
        <v>-92.914455712696594</v>
      </c>
      <c r="T227" s="31">
        <f t="shared" si="133"/>
        <v>-18.207779638789052</v>
      </c>
      <c r="U227" s="15">
        <f t="shared" si="112"/>
        <v>6500</v>
      </c>
      <c r="V227" s="15">
        <f t="shared" si="113"/>
        <v>-89.998409883939516</v>
      </c>
      <c r="W227" s="15">
        <f t="shared" si="114"/>
        <v>-91.133876168065058</v>
      </c>
      <c r="X227" s="15">
        <f t="shared" si="115"/>
        <v>88.027930412235364</v>
      </c>
      <c r="Y227" s="15">
        <f t="shared" si="116"/>
        <v>29.26572299494746</v>
      </c>
      <c r="Z227" s="15">
        <f t="shared" si="117"/>
        <v>-10.957706720297663</v>
      </c>
      <c r="AA227" s="15">
        <f t="shared" si="118"/>
        <v>-0.159824647073217</v>
      </c>
      <c r="AB227" s="31">
        <f t="shared" si="134"/>
        <v>-12.928186192001816</v>
      </c>
      <c r="AC227" s="31">
        <f t="shared" si="135"/>
        <v>14.230289312666299</v>
      </c>
      <c r="AD227" s="15">
        <f t="shared" si="119"/>
        <v>71.488904366142521</v>
      </c>
      <c r="AE227" s="15">
        <f t="shared" si="120"/>
        <v>9.9654455356398088</v>
      </c>
      <c r="AF227" s="15">
        <f t="shared" si="121"/>
        <v>7.0380898164765893E-2</v>
      </c>
      <c r="AG227" s="15">
        <f t="shared" si="122"/>
        <v>6.5531297240933259E-6</v>
      </c>
      <c r="AH227" s="15">
        <f t="shared" si="123"/>
        <v>-29.76667570133456</v>
      </c>
      <c r="AI227" s="15">
        <f t="shared" si="124"/>
        <v>-1.2290615852391815</v>
      </c>
      <c r="AJ227" s="31">
        <f t="shared" si="136"/>
        <v>41.792609562972729</v>
      </c>
      <c r="AK227" s="31">
        <f t="shared" si="137"/>
        <v>8.7363905035303517</v>
      </c>
      <c r="AL227" s="15">
        <f t="shared" si="125"/>
        <v>0</v>
      </c>
      <c r="AM227" s="15">
        <f t="shared" si="126"/>
        <v>0</v>
      </c>
      <c r="AN227" s="15">
        <f t="shared" si="127"/>
        <v>0</v>
      </c>
      <c r="AO227" s="15">
        <f t="shared" si="128"/>
        <v>0</v>
      </c>
      <c r="AP227" s="31">
        <f t="shared" si="138"/>
        <v>0</v>
      </c>
      <c r="AQ227" s="31">
        <f t="shared" si="139"/>
        <v>0</v>
      </c>
    </row>
    <row r="228" spans="8:43" x14ac:dyDescent="0.25">
      <c r="H228" s="15">
        <v>3.25</v>
      </c>
      <c r="I228" s="45">
        <f t="shared" si="129"/>
        <v>17782.794100389245</v>
      </c>
      <c r="J228" s="32">
        <f t="shared" si="130"/>
        <v>115.41818530801352</v>
      </c>
      <c r="K228" s="32">
        <f t="shared" si="131"/>
        <v>4.6825780671900006</v>
      </c>
      <c r="L228" s="15">
        <f t="shared" si="105"/>
        <v>3.8729613733905581</v>
      </c>
      <c r="M228" s="15">
        <f t="shared" si="106"/>
        <v>-4.171569854893006</v>
      </c>
      <c r="N228" s="15">
        <f t="shared" si="107"/>
        <v>2.3042105268209448E-2</v>
      </c>
      <c r="O228" s="15">
        <f t="shared" si="108"/>
        <v>-88.227046663832098</v>
      </c>
      <c r="P228" s="15">
        <f t="shared" si="109"/>
        <v>-30.189892745484034</v>
      </c>
      <c r="Q228" s="15">
        <f t="shared" si="110"/>
        <v>-0.66692157955847731</v>
      </c>
      <c r="R228" s="15">
        <f t="shared" si="111"/>
        <v>-5.8843486094628018E-4</v>
      </c>
      <c r="S228" s="31">
        <f t="shared" si="132"/>
        <v>-93.065538098283582</v>
      </c>
      <c r="T228" s="31">
        <f t="shared" si="133"/>
        <v>-18.406575762811809</v>
      </c>
      <c r="U228" s="15">
        <f t="shared" si="112"/>
        <v>6500</v>
      </c>
      <c r="V228" s="15">
        <f t="shared" si="113"/>
        <v>-89.99844607940004</v>
      </c>
      <c r="W228" s="15">
        <f t="shared" si="114"/>
        <v>-91.333876167914511</v>
      </c>
      <c r="X228" s="15">
        <f t="shared" si="115"/>
        <v>88.072785951673879</v>
      </c>
      <c r="Y228" s="15">
        <f t="shared" si="116"/>
        <v>29.465491518053774</v>
      </c>
      <c r="Z228" s="15">
        <f t="shared" si="117"/>
        <v>-11.206555177063995</v>
      </c>
      <c r="AA228" s="15">
        <f t="shared" si="118"/>
        <v>-0.16721374770533859</v>
      </c>
      <c r="AB228" s="31">
        <f t="shared" si="134"/>
        <v>-13.132215304790156</v>
      </c>
      <c r="AC228" s="31">
        <f t="shared" si="135"/>
        <v>14.222668735291039</v>
      </c>
      <c r="AD228" s="15">
        <f t="shared" si="119"/>
        <v>71.882449783377524</v>
      </c>
      <c r="AE228" s="15">
        <f t="shared" si="120"/>
        <v>10.145698095058563</v>
      </c>
      <c r="AF228" s="15">
        <f t="shared" si="121"/>
        <v>7.2020278175240524E-2</v>
      </c>
      <c r="AG228" s="15">
        <f t="shared" si="122"/>
        <v>6.8619689692069192E-6</v>
      </c>
      <c r="AH228" s="15">
        <f t="shared" si="123"/>
        <v>-30.338531350465512</v>
      </c>
      <c r="AI228" s="15">
        <f t="shared" si="124"/>
        <v>-1.2792198623167628</v>
      </c>
      <c r="AJ228" s="31">
        <f t="shared" si="136"/>
        <v>41.615938711087253</v>
      </c>
      <c r="AK228" s="31">
        <f t="shared" si="137"/>
        <v>8.8664850947107698</v>
      </c>
      <c r="AL228" s="15">
        <f t="shared" si="125"/>
        <v>0</v>
      </c>
      <c r="AM228" s="15">
        <f t="shared" si="126"/>
        <v>0</v>
      </c>
      <c r="AN228" s="15">
        <f t="shared" si="127"/>
        <v>0</v>
      </c>
      <c r="AO228" s="15">
        <f t="shared" si="128"/>
        <v>0</v>
      </c>
      <c r="AP228" s="31">
        <f t="shared" si="138"/>
        <v>0</v>
      </c>
      <c r="AQ228" s="31">
        <f t="shared" si="139"/>
        <v>0</v>
      </c>
    </row>
    <row r="229" spans="8:43" x14ac:dyDescent="0.25">
      <c r="H229" s="15">
        <v>3.26</v>
      </c>
      <c r="I229" s="45">
        <f t="shared" si="129"/>
        <v>18197.008586099833</v>
      </c>
      <c r="J229" s="32">
        <f t="shared" si="130"/>
        <v>114.86474718561179</v>
      </c>
      <c r="K229" s="32">
        <f t="shared" si="131"/>
        <v>4.6050243141527272</v>
      </c>
      <c r="L229" s="15">
        <f t="shared" si="105"/>
        <v>3.8729613733905581</v>
      </c>
      <c r="M229" s="15">
        <f t="shared" si="106"/>
        <v>-4.2683831483883079</v>
      </c>
      <c r="N229" s="15">
        <f t="shared" si="107"/>
        <v>2.4125035487617741E-2</v>
      </c>
      <c r="O229" s="15">
        <f t="shared" si="108"/>
        <v>-88.267379123886499</v>
      </c>
      <c r="P229" s="15">
        <f t="shared" si="109"/>
        <v>-30.389705639166191</v>
      </c>
      <c r="Q229" s="15">
        <f t="shared" si="110"/>
        <v>-0.68245472622193781</v>
      </c>
      <c r="R229" s="15">
        <f t="shared" si="111"/>
        <v>-6.1616497438074481E-4</v>
      </c>
      <c r="S229" s="31">
        <f t="shared" si="132"/>
        <v>-93.218216998496743</v>
      </c>
      <c r="T229" s="31">
        <f t="shared" si="133"/>
        <v>-18.605333456387992</v>
      </c>
      <c r="U229" s="15">
        <f t="shared" si="112"/>
        <v>6500</v>
      </c>
      <c r="V229" s="15">
        <f t="shared" si="113"/>
        <v>-89.998481450951289</v>
      </c>
      <c r="W229" s="15">
        <f t="shared" si="114"/>
        <v>-91.533876167770728</v>
      </c>
      <c r="X229" s="15">
        <f t="shared" si="115"/>
        <v>88.116622738077211</v>
      </c>
      <c r="Y229" s="15">
        <f t="shared" si="116"/>
        <v>29.665270447818681</v>
      </c>
      <c r="Z229" s="15">
        <f t="shared" si="117"/>
        <v>-11.460757410398461</v>
      </c>
      <c r="AA229" s="15">
        <f t="shared" si="118"/>
        <v>-0.17493763498192452</v>
      </c>
      <c r="AB229" s="31">
        <f t="shared" si="134"/>
        <v>-13.342616123272538</v>
      </c>
      <c r="AC229" s="31">
        <f t="shared" si="135"/>
        <v>14.214723777923142</v>
      </c>
      <c r="AD229" s="15">
        <f t="shared" si="119"/>
        <v>72.268753822955802</v>
      </c>
      <c r="AE229" s="15">
        <f t="shared" si="120"/>
        <v>10.326755243317123</v>
      </c>
      <c r="AF229" s="15">
        <f t="shared" si="121"/>
        <v>7.3697844129547441E-2</v>
      </c>
      <c r="AG229" s="15">
        <f t="shared" si="122"/>
        <v>7.1853633373588126E-6</v>
      </c>
      <c r="AH229" s="15">
        <f t="shared" si="123"/>
        <v>-30.91687135970427</v>
      </c>
      <c r="AI229" s="15">
        <f t="shared" si="124"/>
        <v>-1.3311284360628826</v>
      </c>
      <c r="AJ229" s="31">
        <f t="shared" si="136"/>
        <v>41.425580307381068</v>
      </c>
      <c r="AK229" s="31">
        <f t="shared" si="137"/>
        <v>8.9956339926175772</v>
      </c>
      <c r="AL229" s="15">
        <f t="shared" si="125"/>
        <v>0</v>
      </c>
      <c r="AM229" s="15">
        <f t="shared" si="126"/>
        <v>0</v>
      </c>
      <c r="AN229" s="15">
        <f t="shared" si="127"/>
        <v>0</v>
      </c>
      <c r="AO229" s="15">
        <f t="shared" si="128"/>
        <v>0</v>
      </c>
      <c r="AP229" s="31">
        <f t="shared" si="138"/>
        <v>0</v>
      </c>
      <c r="AQ229" s="31">
        <f t="shared" si="139"/>
        <v>0</v>
      </c>
    </row>
    <row r="230" spans="8:43" x14ac:dyDescent="0.25">
      <c r="H230" s="15">
        <v>3.27</v>
      </c>
      <c r="I230" s="45">
        <f t="shared" si="129"/>
        <v>18620.871366628686</v>
      </c>
      <c r="J230" s="32">
        <f t="shared" si="130"/>
        <v>114.28973297718738</v>
      </c>
      <c r="K230" s="32">
        <f t="shared" si="131"/>
        <v>4.526157850112666</v>
      </c>
      <c r="L230" s="15">
        <f t="shared" si="105"/>
        <v>3.8729613733905581</v>
      </c>
      <c r="M230" s="15">
        <f t="shared" si="106"/>
        <v>-4.3674262367103776</v>
      </c>
      <c r="N230" s="15">
        <f t="shared" si="107"/>
        <v>2.5258713288178691E-2</v>
      </c>
      <c r="O230" s="15">
        <f t="shared" si="108"/>
        <v>-88.306795164856823</v>
      </c>
      <c r="P230" s="15">
        <f t="shared" si="109"/>
        <v>-30.58952694649453</v>
      </c>
      <c r="Q230" s="15">
        <f t="shared" si="110"/>
        <v>-0.69834958247820611</v>
      </c>
      <c r="R230" s="15">
        <f t="shared" si="111"/>
        <v>-6.4520177802774008E-4</v>
      </c>
      <c r="S230" s="31">
        <f t="shared" si="132"/>
        <v>-93.372570984045396</v>
      </c>
      <c r="T230" s="31">
        <f t="shared" si="133"/>
        <v>-18.804050122719417</v>
      </c>
      <c r="U230" s="15">
        <f t="shared" si="112"/>
        <v>6500</v>
      </c>
      <c r="V230" s="15">
        <f t="shared" si="113"/>
        <v>-89.99851601734774</v>
      </c>
      <c r="W230" s="15">
        <f t="shared" si="114"/>
        <v>-91.733876167633426</v>
      </c>
      <c r="X230" s="15">
        <f t="shared" si="115"/>
        <v>88.159463808885704</v>
      </c>
      <c r="Y230" s="15">
        <f t="shared" si="116"/>
        <v>29.865059316877787</v>
      </c>
      <c r="Z230" s="15">
        <f t="shared" si="117"/>
        <v>-11.720408152892261</v>
      </c>
      <c r="AA230" s="15">
        <f t="shared" si="118"/>
        <v>-0.18301084159003445</v>
      </c>
      <c r="AB230" s="31">
        <f t="shared" si="134"/>
        <v>-13.559460361354297</v>
      </c>
      <c r="AC230" s="31">
        <f t="shared" si="135"/>
        <v>14.20643944051144</v>
      </c>
      <c r="AD230" s="15">
        <f t="shared" si="119"/>
        <v>72.647880773822521</v>
      </c>
      <c r="AE230" s="15">
        <f t="shared" si="120"/>
        <v>10.508587502840484</v>
      </c>
      <c r="AF230" s="15">
        <f t="shared" si="121"/>
        <v>7.5414485483849478E-2</v>
      </c>
      <c r="AG230" s="15">
        <f t="shared" si="122"/>
        <v>7.523998783314515E-6</v>
      </c>
      <c r="AH230" s="15">
        <f t="shared" si="123"/>
        <v>-31.501530936719295</v>
      </c>
      <c r="AI230" s="15">
        <f t="shared" si="124"/>
        <v>-1.3848264945186259</v>
      </c>
      <c r="AJ230" s="31">
        <f t="shared" si="136"/>
        <v>41.221764322587077</v>
      </c>
      <c r="AK230" s="31">
        <f t="shared" si="137"/>
        <v>9.1237685323206428</v>
      </c>
      <c r="AL230" s="15">
        <f t="shared" si="125"/>
        <v>0</v>
      </c>
      <c r="AM230" s="15">
        <f t="shared" si="126"/>
        <v>0</v>
      </c>
      <c r="AN230" s="15">
        <f t="shared" si="127"/>
        <v>0</v>
      </c>
      <c r="AO230" s="15">
        <f t="shared" si="128"/>
        <v>0</v>
      </c>
      <c r="AP230" s="31">
        <f t="shared" si="138"/>
        <v>0</v>
      </c>
      <c r="AQ230" s="31">
        <f t="shared" si="139"/>
        <v>0</v>
      </c>
    </row>
    <row r="231" spans="8:43" x14ac:dyDescent="0.25">
      <c r="H231" s="15">
        <v>3.28</v>
      </c>
      <c r="I231" s="45">
        <f t="shared" si="129"/>
        <v>19054.607179632483</v>
      </c>
      <c r="J231" s="32">
        <f t="shared" si="130"/>
        <v>113.69323702509473</v>
      </c>
      <c r="K231" s="32">
        <f t="shared" si="131"/>
        <v>4.4458985821962926</v>
      </c>
      <c r="L231" s="15">
        <f t="shared" si="105"/>
        <v>3.8729613733905581</v>
      </c>
      <c r="M231" s="15">
        <f t="shared" si="106"/>
        <v>-4.4687492648422209</v>
      </c>
      <c r="N231" s="15">
        <f t="shared" si="107"/>
        <v>2.6445502579672528E-2</v>
      </c>
      <c r="O231" s="15">
        <f t="shared" si="108"/>
        <v>-88.345315536331753</v>
      </c>
      <c r="P231" s="15">
        <f t="shared" si="109"/>
        <v>-30.789356289454162</v>
      </c>
      <c r="Q231" s="15">
        <f t="shared" si="110"/>
        <v>-0.71461456619863251</v>
      </c>
      <c r="R231" s="15">
        <f t="shared" si="111"/>
        <v>-6.7560683599099695E-4</v>
      </c>
      <c r="S231" s="31">
        <f t="shared" si="132"/>
        <v>-93.528679367372604</v>
      </c>
      <c r="T231" s="31">
        <f t="shared" si="133"/>
        <v>-19.002723081445517</v>
      </c>
      <c r="U231" s="15">
        <f t="shared" si="112"/>
        <v>6500</v>
      </c>
      <c r="V231" s="15">
        <f t="shared" si="113"/>
        <v>-89.998549796916947</v>
      </c>
      <c r="W231" s="15">
        <f t="shared" si="114"/>
        <v>-91.933876167502305</v>
      </c>
      <c r="X231" s="15">
        <f t="shared" si="115"/>
        <v>88.201331687279307</v>
      </c>
      <c r="Y231" s="15">
        <f t="shared" si="116"/>
        <v>30.064857678812572</v>
      </c>
      <c r="Z231" s="15">
        <f t="shared" si="117"/>
        <v>-11.985602395411219</v>
      </c>
      <c r="AA231" s="15">
        <f t="shared" si="118"/>
        <v>-0.19144847241052049</v>
      </c>
      <c r="AB231" s="31">
        <f t="shared" si="134"/>
        <v>-13.782820505048859</v>
      </c>
      <c r="AC231" s="31">
        <f t="shared" si="135"/>
        <v>14.19780017175686</v>
      </c>
      <c r="AD231" s="15">
        <f t="shared" si="119"/>
        <v>73.019898806714636</v>
      </c>
      <c r="AE231" s="15">
        <f t="shared" si="120"/>
        <v>10.691166209454948</v>
      </c>
      <c r="AF231" s="15">
        <f t="shared" si="121"/>
        <v>7.7171112411780124E-2</v>
      </c>
      <c r="AG231" s="15">
        <f t="shared" si="122"/>
        <v>7.878593601311273E-6</v>
      </c>
      <c r="AH231" s="15">
        <f t="shared" si="123"/>
        <v>-32.092333021610223</v>
      </c>
      <c r="AI231" s="15">
        <f t="shared" si="124"/>
        <v>-1.4403525961636012</v>
      </c>
      <c r="AJ231" s="31">
        <f t="shared" si="136"/>
        <v>41.004736897516189</v>
      </c>
      <c r="AK231" s="31">
        <f t="shared" si="137"/>
        <v>9.250821491884949</v>
      </c>
      <c r="AL231" s="15">
        <f t="shared" si="125"/>
        <v>0</v>
      </c>
      <c r="AM231" s="15">
        <f t="shared" si="126"/>
        <v>0</v>
      </c>
      <c r="AN231" s="15">
        <f t="shared" si="127"/>
        <v>0</v>
      </c>
      <c r="AO231" s="15">
        <f t="shared" si="128"/>
        <v>0</v>
      </c>
      <c r="AP231" s="31">
        <f t="shared" si="138"/>
        <v>0</v>
      </c>
      <c r="AQ231" s="31">
        <f t="shared" si="139"/>
        <v>0</v>
      </c>
    </row>
    <row r="232" spans="8:43" x14ac:dyDescent="0.25">
      <c r="H232" s="15">
        <v>3.29</v>
      </c>
      <c r="I232" s="45">
        <f t="shared" si="129"/>
        <v>19498.445997580464</v>
      </c>
      <c r="J232" s="32">
        <f t="shared" si="130"/>
        <v>113.07536808504466</v>
      </c>
      <c r="K232" s="32">
        <f t="shared" si="131"/>
        <v>4.3641674904825187</v>
      </c>
      <c r="L232" s="15">
        <f t="shared" si="105"/>
        <v>3.8729613733905581</v>
      </c>
      <c r="M232" s="15">
        <f t="shared" si="106"/>
        <v>-4.5724034192289933</v>
      </c>
      <c r="N232" s="15">
        <f t="shared" si="107"/>
        <v>2.7687876026637831E-2</v>
      </c>
      <c r="O232" s="15">
        <f t="shared" si="108"/>
        <v>-88.382960522953624</v>
      </c>
      <c r="P232" s="15">
        <f t="shared" si="109"/>
        <v>-30.989193306985552</v>
      </c>
      <c r="Q232" s="15">
        <f t="shared" si="110"/>
        <v>-0.73125829080096061</v>
      </c>
      <c r="R232" s="15">
        <f t="shared" si="111"/>
        <v>-7.0744461204338082E-4</v>
      </c>
      <c r="S232" s="31">
        <f t="shared" si="132"/>
        <v>-93.686622232983581</v>
      </c>
      <c r="T232" s="31">
        <f t="shared" si="133"/>
        <v>-19.201349563305993</v>
      </c>
      <c r="U232" s="15">
        <f t="shared" si="112"/>
        <v>6500</v>
      </c>
      <c r="V232" s="15">
        <f t="shared" si="113"/>
        <v>-89.998582807569278</v>
      </c>
      <c r="W232" s="15">
        <f t="shared" si="114"/>
        <v>-92.133876167377082</v>
      </c>
      <c r="X232" s="15">
        <f t="shared" si="115"/>
        <v>88.242248393209621</v>
      </c>
      <c r="Y232" s="15">
        <f t="shared" si="116"/>
        <v>30.264665107215556</v>
      </c>
      <c r="Z232" s="15">
        <f t="shared" si="117"/>
        <v>-12.256435275888851</v>
      </c>
      <c r="AA232" s="15">
        <f t="shared" si="118"/>
        <v>-0.200266221648842</v>
      </c>
      <c r="AB232" s="31">
        <f t="shared" si="134"/>
        <v>-14.012769690248508</v>
      </c>
      <c r="AC232" s="31">
        <f t="shared" si="135"/>
        <v>14.188789851046746</v>
      </c>
      <c r="AD232" s="15">
        <f t="shared" si="119"/>
        <v>73.384879655825941</v>
      </c>
      <c r="AE232" s="15">
        <f t="shared" si="120"/>
        <v>10.874463511880457</v>
      </c>
      <c r="AF232" s="15">
        <f t="shared" si="121"/>
        <v>7.8968656286971292E-2</v>
      </c>
      <c r="AG232" s="15">
        <f t="shared" si="122"/>
        <v>8.2498999255309643E-6</v>
      </c>
      <c r="AH232" s="15">
        <f t="shared" si="123"/>
        <v>-32.689088303836165</v>
      </c>
      <c r="AI232" s="15">
        <f t="shared" si="124"/>
        <v>-1.4977445590386176</v>
      </c>
      <c r="AJ232" s="31">
        <f t="shared" si="136"/>
        <v>40.774760008276751</v>
      </c>
      <c r="AK232" s="31">
        <f t="shared" si="137"/>
        <v>9.3767272027417654</v>
      </c>
      <c r="AL232" s="15">
        <f t="shared" si="125"/>
        <v>0</v>
      </c>
      <c r="AM232" s="15">
        <f t="shared" si="126"/>
        <v>0</v>
      </c>
      <c r="AN232" s="15">
        <f t="shared" si="127"/>
        <v>0</v>
      </c>
      <c r="AO232" s="15">
        <f t="shared" si="128"/>
        <v>0</v>
      </c>
      <c r="AP232" s="31">
        <f t="shared" si="138"/>
        <v>0</v>
      </c>
      <c r="AQ232" s="31">
        <f t="shared" si="139"/>
        <v>0</v>
      </c>
    </row>
    <row r="233" spans="8:43" x14ac:dyDescent="0.25">
      <c r="H233" s="15">
        <v>3.3</v>
      </c>
      <c r="I233" s="45">
        <f t="shared" si="129"/>
        <v>19952.623149688803</v>
      </c>
      <c r="J233" s="32">
        <f t="shared" si="130"/>
        <v>112.43624905351734</v>
      </c>
      <c r="K233" s="32">
        <f t="shared" si="131"/>
        <v>4.2808867255382665</v>
      </c>
      <c r="L233" s="15">
        <f t="shared" si="105"/>
        <v>3.8729613733905581</v>
      </c>
      <c r="M233" s="15">
        <f t="shared" si="106"/>
        <v>-4.6784409431917817</v>
      </c>
      <c r="N233" s="15">
        <f t="shared" si="107"/>
        <v>2.8988419921462893E-2</v>
      </c>
      <c r="O233" s="15">
        <f t="shared" si="108"/>
        <v>-88.419749954511417</v>
      </c>
      <c r="P233" s="15">
        <f t="shared" si="109"/>
        <v>-31.189037654226475</v>
      </c>
      <c r="Q233" s="15">
        <f t="shared" si="110"/>
        <v>-0.74828956976622973</v>
      </c>
      <c r="R233" s="15">
        <f t="shared" si="111"/>
        <v>-7.4078260609405141E-4</v>
      </c>
      <c r="S233" s="31">
        <f t="shared" si="132"/>
        <v>-93.846480467469434</v>
      </c>
      <c r="T233" s="31">
        <f t="shared" si="133"/>
        <v>-19.399926704646141</v>
      </c>
      <c r="U233" s="15">
        <f t="shared" si="112"/>
        <v>6500</v>
      </c>
      <c r="V233" s="15">
        <f t="shared" si="113"/>
        <v>-89.998615066807432</v>
      </c>
      <c r="W233" s="15">
        <f t="shared" si="114"/>
        <v>-92.3338761672575</v>
      </c>
      <c r="X233" s="15">
        <f t="shared" si="115"/>
        <v>88.282235454225528</v>
      </c>
      <c r="Y233" s="15">
        <f t="shared" si="116"/>
        <v>30.46448119479674</v>
      </c>
      <c r="Z233" s="15">
        <f t="shared" si="117"/>
        <v>-12.53300195956472</v>
      </c>
      <c r="AA233" s="15">
        <f t="shared" si="118"/>
        <v>-0.20948038996602425</v>
      </c>
      <c r="AB233" s="31">
        <f t="shared" si="134"/>
        <v>-14.249381572146623</v>
      </c>
      <c r="AC233" s="31">
        <f t="shared" si="135"/>
        <v>14.179391770430328</v>
      </c>
      <c r="AD233" s="15">
        <f t="shared" si="119"/>
        <v>73.742898312118314</v>
      </c>
      <c r="AE233" s="15">
        <f t="shared" si="120"/>
        <v>11.058452369062602</v>
      </c>
      <c r="AF233" s="15">
        <f t="shared" si="121"/>
        <v>8.080807017681671E-2</v>
      </c>
      <c r="AG233" s="15">
        <f t="shared" si="122"/>
        <v>8.6387053443615932E-6</v>
      </c>
      <c r="AH233" s="15">
        <f t="shared" si="123"/>
        <v>-33.291595289161741</v>
      </c>
      <c r="AI233" s="15">
        <f t="shared" si="124"/>
        <v>-1.5570393480138667</v>
      </c>
      <c r="AJ233" s="31">
        <f t="shared" si="136"/>
        <v>40.532111093133388</v>
      </c>
      <c r="AK233" s="31">
        <f t="shared" si="137"/>
        <v>9.5014216597540795</v>
      </c>
      <c r="AL233" s="15">
        <f t="shared" si="125"/>
        <v>0</v>
      </c>
      <c r="AM233" s="15">
        <f t="shared" si="126"/>
        <v>0</v>
      </c>
      <c r="AN233" s="15">
        <f t="shared" si="127"/>
        <v>0</v>
      </c>
      <c r="AO233" s="15">
        <f t="shared" si="128"/>
        <v>0</v>
      </c>
      <c r="AP233" s="31">
        <f t="shared" si="138"/>
        <v>0</v>
      </c>
      <c r="AQ233" s="31">
        <f t="shared" si="139"/>
        <v>0</v>
      </c>
    </row>
    <row r="234" spans="8:43" x14ac:dyDescent="0.25">
      <c r="H234" s="15">
        <v>3.31</v>
      </c>
      <c r="I234" s="45">
        <f t="shared" si="129"/>
        <v>20417.379446695319</v>
      </c>
      <c r="J234" s="32">
        <f t="shared" si="130"/>
        <v>111.77601666406963</v>
      </c>
      <c r="K234" s="32">
        <f t="shared" si="131"/>
        <v>4.1959797055143593</v>
      </c>
      <c r="L234" s="15">
        <f t="shared" si="105"/>
        <v>3.8729613733905581</v>
      </c>
      <c r="M234" s="15">
        <f t="shared" si="106"/>
        <v>-4.7869151520927042</v>
      </c>
      <c r="N234" s="15">
        <f t="shared" si="107"/>
        <v>3.0349839263328886E-2</v>
      </c>
      <c r="O234" s="15">
        <f t="shared" si="108"/>
        <v>-88.455703215836436</v>
      </c>
      <c r="P234" s="15">
        <f t="shared" si="109"/>
        <v>-31.388889001787707</v>
      </c>
      <c r="Q234" s="15">
        <f t="shared" si="110"/>
        <v>-0.76571742125818121</v>
      </c>
      <c r="R234" s="15">
        <f t="shared" si="111"/>
        <v>-7.7569149711406238E-4</v>
      </c>
      <c r="S234" s="31">
        <f t="shared" si="132"/>
        <v>-94.008335789187328</v>
      </c>
      <c r="T234" s="31">
        <f t="shared" si="133"/>
        <v>-19.598451541756528</v>
      </c>
      <c r="U234" s="15">
        <f t="shared" si="112"/>
        <v>6500</v>
      </c>
      <c r="V234" s="15">
        <f t="shared" si="113"/>
        <v>-89.998646591735678</v>
      </c>
      <c r="W234" s="15">
        <f t="shared" si="114"/>
        <v>-92.533876167143291</v>
      </c>
      <c r="X234" s="15">
        <f t="shared" si="115"/>
        <v>88.321313916094098</v>
      </c>
      <c r="Y234" s="15">
        <f t="shared" si="116"/>
        <v>30.664305552529694</v>
      </c>
      <c r="Z234" s="15">
        <f t="shared" si="117"/>
        <v>-12.81539751029297</v>
      </c>
      <c r="AA234" s="15">
        <f t="shared" si="118"/>
        <v>-0.21910790155060147</v>
      </c>
      <c r="AB234" s="31">
        <f t="shared" si="134"/>
        <v>-14.492730185934549</v>
      </c>
      <c r="AC234" s="31">
        <f t="shared" si="135"/>
        <v>14.169588616692915</v>
      </c>
      <c r="AD234" s="15">
        <f t="shared" si="119"/>
        <v>74.094032728554822</v>
      </c>
      <c r="AE234" s="15">
        <f t="shared" si="120"/>
        <v>11.24310654553139</v>
      </c>
      <c r="AF234" s="15">
        <f t="shared" si="121"/>
        <v>8.2690329347733238E-2</v>
      </c>
      <c r="AG234" s="15">
        <f t="shared" si="122"/>
        <v>9.0458345590157196E-6</v>
      </c>
      <c r="AH234" s="15">
        <f t="shared" si="123"/>
        <v>-33.899640418711037</v>
      </c>
      <c r="AI234" s="15">
        <f t="shared" si="124"/>
        <v>-1.6182729607879773</v>
      </c>
      <c r="AJ234" s="31">
        <f t="shared" si="136"/>
        <v>40.277082639191512</v>
      </c>
      <c r="AK234" s="31">
        <f t="shared" si="137"/>
        <v>9.6248426305779731</v>
      </c>
      <c r="AL234" s="15">
        <f t="shared" si="125"/>
        <v>0</v>
      </c>
      <c r="AM234" s="15">
        <f t="shared" si="126"/>
        <v>0</v>
      </c>
      <c r="AN234" s="15">
        <f t="shared" si="127"/>
        <v>0</v>
      </c>
      <c r="AO234" s="15">
        <f t="shared" si="128"/>
        <v>0</v>
      </c>
      <c r="AP234" s="31">
        <f t="shared" si="138"/>
        <v>0</v>
      </c>
      <c r="AQ234" s="31">
        <f t="shared" si="139"/>
        <v>0</v>
      </c>
    </row>
    <row r="235" spans="8:43" x14ac:dyDescent="0.25">
      <c r="H235" s="15">
        <v>3.32</v>
      </c>
      <c r="I235" s="45">
        <f t="shared" si="129"/>
        <v>20892.961308540398</v>
      </c>
      <c r="J235" s="32">
        <f t="shared" si="130"/>
        <v>111.09482115137291</v>
      </c>
      <c r="K235" s="32">
        <f t="shared" si="131"/>
        <v>4.1093712124241453</v>
      </c>
      <c r="L235" s="15">
        <f t="shared" si="105"/>
        <v>3.8729613733905581</v>
      </c>
      <c r="M235" s="15">
        <f t="shared" si="106"/>
        <v>-4.8978804482049991</v>
      </c>
      <c r="N235" s="15">
        <f t="shared" si="107"/>
        <v>3.1774963050445471E-2</v>
      </c>
      <c r="O235" s="15">
        <f t="shared" si="108"/>
        <v>-88.490839256503335</v>
      </c>
      <c r="P235" s="15">
        <f t="shared" si="109"/>
        <v>-31.588747035060823</v>
      </c>
      <c r="Q235" s="15">
        <f t="shared" si="110"/>
        <v>-0.78355107284735259</v>
      </c>
      <c r="R235" s="15">
        <f t="shared" si="111"/>
        <v>-8.1224529273294006E-4</v>
      </c>
      <c r="S235" s="31">
        <f t="shared" si="132"/>
        <v>-94.172270777555696</v>
      </c>
      <c r="T235" s="31">
        <f t="shared" si="133"/>
        <v>-19.796921005038147</v>
      </c>
      <c r="U235" s="15">
        <f t="shared" si="112"/>
        <v>6500</v>
      </c>
      <c r="V235" s="15">
        <f t="shared" si="113"/>
        <v>-89.998677399068939</v>
      </c>
      <c r="W235" s="15">
        <f t="shared" si="114"/>
        <v>-92.733876167034239</v>
      </c>
      <c r="X235" s="15">
        <f t="shared" si="115"/>
        <v>88.359504353218838</v>
      </c>
      <c r="Y235" s="15">
        <f t="shared" si="116"/>
        <v>30.864137808835444</v>
      </c>
      <c r="Z235" s="15">
        <f t="shared" si="117"/>
        <v>-13.10371675254793</v>
      </c>
      <c r="AA235" s="15">
        <f t="shared" si="118"/>
        <v>-0.22916632106627616</v>
      </c>
      <c r="AB235" s="31">
        <f t="shared" si="134"/>
        <v>-14.74288979839803</v>
      </c>
      <c r="AC235" s="31">
        <f t="shared" si="135"/>
        <v>14.159362453592042</v>
      </c>
      <c r="AD235" s="15">
        <f t="shared" si="119"/>
        <v>74.438363537439216</v>
      </c>
      <c r="AE235" s="15">
        <f t="shared" si="120"/>
        <v>11.428400604966985</v>
      </c>
      <c r="AF235" s="15">
        <f t="shared" si="121"/>
        <v>8.4616431782187224E-2</v>
      </c>
      <c r="AG235" s="15">
        <f t="shared" si="122"/>
        <v>9.4721511443651444E-6</v>
      </c>
      <c r="AH235" s="15">
        <f t="shared" si="123"/>
        <v>-34.512998241894771</v>
      </c>
      <c r="AI235" s="15">
        <f t="shared" si="124"/>
        <v>-1.6814803132478793</v>
      </c>
      <c r="AJ235" s="31">
        <f t="shared" si="136"/>
        <v>40.009981727326625</v>
      </c>
      <c r="AK235" s="31">
        <f t="shared" si="137"/>
        <v>9.7469297638702503</v>
      </c>
      <c r="AL235" s="15">
        <f t="shared" si="125"/>
        <v>0</v>
      </c>
      <c r="AM235" s="15">
        <f t="shared" si="126"/>
        <v>0</v>
      </c>
      <c r="AN235" s="15">
        <f t="shared" si="127"/>
        <v>0</v>
      </c>
      <c r="AO235" s="15">
        <f t="shared" si="128"/>
        <v>0</v>
      </c>
      <c r="AP235" s="31">
        <f t="shared" si="138"/>
        <v>0</v>
      </c>
      <c r="AQ235" s="31">
        <f t="shared" si="139"/>
        <v>0</v>
      </c>
    </row>
    <row r="236" spans="8:43" x14ac:dyDescent="0.25">
      <c r="H236" s="15">
        <v>3.33</v>
      </c>
      <c r="I236" s="45">
        <f t="shared" si="129"/>
        <v>21379.620895022344</v>
      </c>
      <c r="J236" s="32">
        <f t="shared" si="130"/>
        <v>110.3928258820971</v>
      </c>
      <c r="K236" s="32">
        <f t="shared" si="131"/>
        <v>4.0209874871867424</v>
      </c>
      <c r="L236" s="15">
        <f t="shared" si="105"/>
        <v>3.8729613733905581</v>
      </c>
      <c r="M236" s="15">
        <f t="shared" si="106"/>
        <v>-5.0113923352382805</v>
      </c>
      <c r="N236" s="15">
        <f t="shared" si="107"/>
        <v>3.3266749793258429E-2</v>
      </c>
      <c r="O236" s="15">
        <f t="shared" si="108"/>
        <v>-88.525176600338568</v>
      </c>
      <c r="P236" s="15">
        <f t="shared" si="109"/>
        <v>-31.788611453556911</v>
      </c>
      <c r="Q236" s="15">
        <f t="shared" si="110"/>
        <v>-0.80179996634211159</v>
      </c>
      <c r="R236" s="15">
        <f t="shared" si="111"/>
        <v>-8.5052148591341109E-4</v>
      </c>
      <c r="S236" s="31">
        <f t="shared" si="132"/>
        <v>-94.338368901918969</v>
      </c>
      <c r="T236" s="31">
        <f t="shared" si="133"/>
        <v>-19.9953319129846</v>
      </c>
      <c r="U236" s="15">
        <f t="shared" si="112"/>
        <v>6500</v>
      </c>
      <c r="V236" s="15">
        <f t="shared" si="113"/>
        <v>-89.998707505141695</v>
      </c>
      <c r="W236" s="15">
        <f t="shared" si="114"/>
        <v>-92.933876166930091</v>
      </c>
      <c r="X236" s="15">
        <f t="shared" si="115"/>
        <v>88.396826878857098</v>
      </c>
      <c r="Y236" s="15">
        <f t="shared" si="116"/>
        <v>31.063977608802709</v>
      </c>
      <c r="Z236" s="15">
        <f t="shared" si="117"/>
        <v>-13.398054123759186</v>
      </c>
      <c r="AA236" s="15">
        <f t="shared" si="118"/>
        <v>-0.23967387040356034</v>
      </c>
      <c r="AB236" s="31">
        <f t="shared" si="134"/>
        <v>-14.999934750043783</v>
      </c>
      <c r="AC236" s="31">
        <f t="shared" si="135"/>
        <v>14.148694704326171</v>
      </c>
      <c r="AD236" s="15">
        <f t="shared" si="119"/>
        <v>74.775973779964389</v>
      </c>
      <c r="AE236" s="15">
        <f t="shared" si="120"/>
        <v>11.614309902145409</v>
      </c>
      <c r="AF236" s="15">
        <f t="shared" si="121"/>
        <v>8.6587398707761359E-2</v>
      </c>
      <c r="AG236" s="15">
        <f t="shared" si="122"/>
        <v>9.9185593637753632E-6</v>
      </c>
      <c r="AH236" s="15">
        <f t="shared" si="123"/>
        <v>-35.131431644612299</v>
      </c>
      <c r="AI236" s="15">
        <f t="shared" si="124"/>
        <v>-1.7466951248596025</v>
      </c>
      <c r="AJ236" s="31">
        <f t="shared" si="136"/>
        <v>39.731129534059853</v>
      </c>
      <c r="AK236" s="31">
        <f t="shared" si="137"/>
        <v>9.867624695845171</v>
      </c>
      <c r="AL236" s="15">
        <f t="shared" si="125"/>
        <v>0</v>
      </c>
      <c r="AM236" s="15">
        <f t="shared" si="126"/>
        <v>0</v>
      </c>
      <c r="AN236" s="15">
        <f t="shared" si="127"/>
        <v>0</v>
      </c>
      <c r="AO236" s="15">
        <f t="shared" si="128"/>
        <v>0</v>
      </c>
      <c r="AP236" s="31">
        <f t="shared" si="138"/>
        <v>0</v>
      </c>
      <c r="AQ236" s="31">
        <f t="shared" si="139"/>
        <v>0</v>
      </c>
    </row>
    <row r="237" spans="8:43" x14ac:dyDescent="0.25">
      <c r="H237" s="15">
        <v>3.34</v>
      </c>
      <c r="I237" s="45">
        <f t="shared" si="129"/>
        <v>21877.616239495528</v>
      </c>
      <c r="J237" s="32">
        <f t="shared" si="130"/>
        <v>109.67020695208467</v>
      </c>
      <c r="K237" s="32">
        <f t="shared" si="131"/>
        <v>3.9307563229802707</v>
      </c>
      <c r="L237" s="15">
        <f t="shared" si="105"/>
        <v>3.8729613733905581</v>
      </c>
      <c r="M237" s="15">
        <f t="shared" si="106"/>
        <v>-5.1275074324649985</v>
      </c>
      <c r="N237" s="15">
        <f t="shared" si="107"/>
        <v>3.4828293256360644E-2</v>
      </c>
      <c r="O237" s="15">
        <f t="shared" si="108"/>
        <v>-88.558733354738976</v>
      </c>
      <c r="P237" s="15">
        <f t="shared" si="109"/>
        <v>-31.988481970274513</v>
      </c>
      <c r="Q237" s="15">
        <f t="shared" si="110"/>
        <v>-0.82047376272886297</v>
      </c>
      <c r="R237" s="15">
        <f t="shared" si="111"/>
        <v>-8.9060121893772405E-4</v>
      </c>
      <c r="S237" s="31">
        <f t="shared" si="132"/>
        <v>-94.506714549932838</v>
      </c>
      <c r="T237" s="31">
        <f t="shared" si="133"/>
        <v>-20.193680965972128</v>
      </c>
      <c r="U237" s="15">
        <f t="shared" si="112"/>
        <v>6500</v>
      </c>
      <c r="V237" s="15">
        <f t="shared" si="113"/>
        <v>-89.99873692591656</v>
      </c>
      <c r="W237" s="15">
        <f t="shared" si="114"/>
        <v>-93.133876166830603</v>
      </c>
      <c r="X237" s="15">
        <f t="shared" si="115"/>
        <v>88.433301155138963</v>
      </c>
      <c r="Y237" s="15">
        <f t="shared" si="116"/>
        <v>31.263824613442559</v>
      </c>
      <c r="Z237" s="15">
        <f t="shared" si="117"/>
        <v>-13.698503516615721</v>
      </c>
      <c r="AA237" s="15">
        <f t="shared" si="118"/>
        <v>-0.25064944515678977</v>
      </c>
      <c r="AB237" s="31">
        <f t="shared" si="134"/>
        <v>-15.263939287393319</v>
      </c>
      <c r="AC237" s="31">
        <f t="shared" si="135"/>
        <v>14.13756613431228</v>
      </c>
      <c r="AD237" s="15">
        <f t="shared" si="119"/>
        <v>75.106948647997328</v>
      </c>
      <c r="AE237" s="15">
        <f t="shared" si="120"/>
        <v>11.800810573429015</v>
      </c>
      <c r="AF237" s="15">
        <f t="shared" si="121"/>
        <v>8.8604275138538607E-2</v>
      </c>
      <c r="AG237" s="15">
        <f t="shared" si="122"/>
        <v>1.0386006105442349E-5</v>
      </c>
      <c r="AH237" s="15">
        <f t="shared" si="123"/>
        <v>-35.754692133725037</v>
      </c>
      <c r="AI237" s="15">
        <f t="shared" si="124"/>
        <v>-1.813949804795002</v>
      </c>
      <c r="AJ237" s="31">
        <f t="shared" si="136"/>
        <v>39.440860789410827</v>
      </c>
      <c r="AK237" s="31">
        <f t="shared" si="137"/>
        <v>9.9868711546401183</v>
      </c>
      <c r="AL237" s="15">
        <f t="shared" si="125"/>
        <v>0</v>
      </c>
      <c r="AM237" s="15">
        <f t="shared" si="126"/>
        <v>0</v>
      </c>
      <c r="AN237" s="15">
        <f t="shared" si="127"/>
        <v>0</v>
      </c>
      <c r="AO237" s="15">
        <f t="shared" si="128"/>
        <v>0</v>
      </c>
      <c r="AP237" s="31">
        <f t="shared" si="138"/>
        <v>0</v>
      </c>
      <c r="AQ237" s="31">
        <f t="shared" si="139"/>
        <v>0</v>
      </c>
    </row>
    <row r="238" spans="8:43" x14ac:dyDescent="0.25">
      <c r="H238" s="15">
        <v>3.35</v>
      </c>
      <c r="I238" s="45">
        <f t="shared" si="129"/>
        <v>22387.211385683418</v>
      </c>
      <c r="J238" s="32">
        <f t="shared" si="130"/>
        <v>108.9271527496179</v>
      </c>
      <c r="K238" s="32">
        <f t="shared" si="131"/>
        <v>3.838607156421233</v>
      </c>
      <c r="L238" s="15">
        <f t="shared" si="105"/>
        <v>3.8729613733905581</v>
      </c>
      <c r="M238" s="15">
        <f t="shared" si="106"/>
        <v>-5.2462834883905449</v>
      </c>
      <c r="N238" s="15">
        <f t="shared" si="107"/>
        <v>3.6462828437004637E-2</v>
      </c>
      <c r="O238" s="15">
        <f t="shared" si="108"/>
        <v>-88.591527219803098</v>
      </c>
      <c r="P238" s="15">
        <f t="shared" si="109"/>
        <v>-32.188358311095939</v>
      </c>
      <c r="Q238" s="15">
        <f t="shared" si="110"/>
        <v>-0.83958234722377734</v>
      </c>
      <c r="R238" s="15">
        <f t="shared" si="111"/>
        <v>-9.3256945514710778E-4</v>
      </c>
      <c r="S238" s="31">
        <f t="shared" si="132"/>
        <v>-94.677393055417426</v>
      </c>
      <c r="T238" s="31">
        <f t="shared" si="133"/>
        <v>-20.391964739849119</v>
      </c>
      <c r="U238" s="15">
        <f t="shared" si="112"/>
        <v>6500</v>
      </c>
      <c r="V238" s="15">
        <f t="shared" si="113"/>
        <v>-89.998765676992818</v>
      </c>
      <c r="W238" s="15">
        <f t="shared" si="114"/>
        <v>-93.333876166735621</v>
      </c>
      <c r="X238" s="15">
        <f t="shared" si="115"/>
        <v>88.468946402889841</v>
      </c>
      <c r="Y238" s="15">
        <f t="shared" si="116"/>
        <v>31.463678498976378</v>
      </c>
      <c r="Z238" s="15">
        <f t="shared" si="117"/>
        <v>-14.005158110991525</v>
      </c>
      <c r="AA238" s="15">
        <f t="shared" si="118"/>
        <v>-0.26211263074091679</v>
      </c>
      <c r="AB238" s="31">
        <f t="shared" si="134"/>
        <v>-15.534977385094502</v>
      </c>
      <c r="AC238" s="31">
        <f t="shared" si="135"/>
        <v>14.125956834356954</v>
      </c>
      <c r="AD238" s="15">
        <f t="shared" si="119"/>
        <v>75.431375238062614</v>
      </c>
      <c r="AE238" s="15">
        <f t="shared" si="120"/>
        <v>11.987879525959054</v>
      </c>
      <c r="AF238" s="15">
        <f t="shared" si="121"/>
        <v>9.0668130429094732E-2</v>
      </c>
      <c r="AG238" s="15">
        <f t="shared" si="122"/>
        <v>1.0875482882371814E-5</v>
      </c>
      <c r="AH238" s="15">
        <f t="shared" si="123"/>
        <v>-36.382520178361865</v>
      </c>
      <c r="AI238" s="15">
        <f t="shared" si="124"/>
        <v>-1.8832753395285386</v>
      </c>
      <c r="AJ238" s="31">
        <f t="shared" si="136"/>
        <v>39.139523190129843</v>
      </c>
      <c r="AK238" s="31">
        <f t="shared" si="137"/>
        <v>10.104615061913398</v>
      </c>
      <c r="AL238" s="15">
        <f t="shared" si="125"/>
        <v>0</v>
      </c>
      <c r="AM238" s="15">
        <f t="shared" si="126"/>
        <v>0</v>
      </c>
      <c r="AN238" s="15">
        <f t="shared" si="127"/>
        <v>0</v>
      </c>
      <c r="AO238" s="15">
        <f t="shared" si="128"/>
        <v>0</v>
      </c>
      <c r="AP238" s="31">
        <f t="shared" si="138"/>
        <v>0</v>
      </c>
      <c r="AQ238" s="31">
        <f t="shared" si="139"/>
        <v>0</v>
      </c>
    </row>
    <row r="239" spans="8:43" x14ac:dyDescent="0.25">
      <c r="H239" s="15">
        <v>3.36</v>
      </c>
      <c r="I239" s="45">
        <f t="shared" si="129"/>
        <v>22908.676527677748</v>
      </c>
      <c r="J239" s="32">
        <f t="shared" si="130"/>
        <v>108.16386348498858</v>
      </c>
      <c r="K239" s="32">
        <f t="shared" si="131"/>
        <v>3.7444711560635184</v>
      </c>
      <c r="L239" s="15">
        <f t="shared" si="105"/>
        <v>3.8729613733905581</v>
      </c>
      <c r="M239" s="15">
        <f t="shared" si="106"/>
        <v>-5.3677793939044856</v>
      </c>
      <c r="N239" s="15">
        <f t="shared" si="107"/>
        <v>3.8173737788222382E-2</v>
      </c>
      <c r="O239" s="15">
        <f t="shared" si="108"/>
        <v>-88.62357549727767</v>
      </c>
      <c r="P239" s="15">
        <f t="shared" si="109"/>
        <v>-32.388240214210235</v>
      </c>
      <c r="Q239" s="15">
        <f t="shared" si="110"/>
        <v>-0.85913583443834007</v>
      </c>
      <c r="R239" s="15">
        <f t="shared" si="111"/>
        <v>-9.7651515871372105E-4</v>
      </c>
      <c r="S239" s="31">
        <f t="shared" si="132"/>
        <v>-94.850490725620489</v>
      </c>
      <c r="T239" s="31">
        <f t="shared" si="133"/>
        <v>-20.590179679315764</v>
      </c>
      <c r="U239" s="15">
        <f t="shared" si="112"/>
        <v>6500</v>
      </c>
      <c r="V239" s="15">
        <f t="shared" si="113"/>
        <v>-89.998793773614693</v>
      </c>
      <c r="W239" s="15">
        <f t="shared" si="114"/>
        <v>-93.533876166644916</v>
      </c>
      <c r="X239" s="15">
        <f t="shared" si="115"/>
        <v>88.503781411259055</v>
      </c>
      <c r="Y239" s="15">
        <f t="shared" si="116"/>
        <v>31.663538956155314</v>
      </c>
      <c r="Z239" s="15">
        <f t="shared" si="117"/>
        <v>-14.318110195158768</v>
      </c>
      <c r="AA239" s="15">
        <f t="shared" si="118"/>
        <v>-0.27408371805490755</v>
      </c>
      <c r="AB239" s="31">
        <f t="shared" si="134"/>
        <v>-15.813122557514406</v>
      </c>
      <c r="AC239" s="31">
        <f t="shared" si="135"/>
        <v>14.113846204312605</v>
      </c>
      <c r="AD239" s="15">
        <f t="shared" si="119"/>
        <v>75.749342317426667</v>
      </c>
      <c r="AE239" s="15">
        <f t="shared" si="120"/>
        <v>12.175494425698627</v>
      </c>
      <c r="AF239" s="15">
        <f t="shared" si="121"/>
        <v>9.2780058841387417E-2</v>
      </c>
      <c r="AG239" s="15">
        <f t="shared" si="122"/>
        <v>1.1388027926859112E-5</v>
      </c>
      <c r="AH239" s="15">
        <f t="shared" si="123"/>
        <v>-37.014645608144569</v>
      </c>
      <c r="AI239" s="15">
        <f t="shared" si="124"/>
        <v>-1.9547011826598775</v>
      </c>
      <c r="AJ239" s="31">
        <f t="shared" si="136"/>
        <v>38.827476768123482</v>
      </c>
      <c r="AK239" s="31">
        <f t="shared" si="137"/>
        <v>10.220804631066677</v>
      </c>
      <c r="AL239" s="15">
        <f t="shared" si="125"/>
        <v>0</v>
      </c>
      <c r="AM239" s="15">
        <f t="shared" si="126"/>
        <v>0</v>
      </c>
      <c r="AN239" s="15">
        <f t="shared" si="127"/>
        <v>0</v>
      </c>
      <c r="AO239" s="15">
        <f t="shared" si="128"/>
        <v>0</v>
      </c>
      <c r="AP239" s="31">
        <f t="shared" si="138"/>
        <v>0</v>
      </c>
      <c r="AQ239" s="31">
        <f t="shared" si="139"/>
        <v>0</v>
      </c>
    </row>
    <row r="240" spans="8:43" x14ac:dyDescent="0.25">
      <c r="H240" s="15">
        <v>3.37</v>
      </c>
      <c r="I240" s="45">
        <f t="shared" si="129"/>
        <v>23442.288153199239</v>
      </c>
      <c r="J240" s="32">
        <f t="shared" si="130"/>
        <v>107.38055068700109</v>
      </c>
      <c r="K240" s="32">
        <f t="shared" si="131"/>
        <v>3.6482813076949423</v>
      </c>
      <c r="L240" s="15">
        <f t="shared" si="105"/>
        <v>3.8729613733905581</v>
      </c>
      <c r="M240" s="15">
        <f t="shared" si="106"/>
        <v>-5.4920551948464675</v>
      </c>
      <c r="N240" s="15">
        <f t="shared" si="107"/>
        <v>3.9964557694656191E-2</v>
      </c>
      <c r="O240" s="15">
        <f t="shared" si="108"/>
        <v>-88.654895099322061</v>
      </c>
      <c r="P240" s="15">
        <f t="shared" si="109"/>
        <v>-32.588127429562036</v>
      </c>
      <c r="Q240" s="15">
        <f t="shared" si="110"/>
        <v>-0.87914457366113807</v>
      </c>
      <c r="R240" s="15">
        <f t="shared" si="111"/>
        <v>-1.0225314828804421E-3</v>
      </c>
      <c r="S240" s="31">
        <f t="shared" si="132"/>
        <v>-95.02609486782967</v>
      </c>
      <c r="T240" s="31">
        <f t="shared" si="133"/>
        <v>-20.788322091085298</v>
      </c>
      <c r="U240" s="15">
        <f t="shared" si="112"/>
        <v>6500</v>
      </c>
      <c r="V240" s="15">
        <f t="shared" si="113"/>
        <v>-89.998821230679383</v>
      </c>
      <c r="W240" s="15">
        <f t="shared" si="114"/>
        <v>-93.733876166558275</v>
      </c>
      <c r="X240" s="15">
        <f t="shared" si="115"/>
        <v>88.537824547157072</v>
      </c>
      <c r="Y240" s="15">
        <f t="shared" si="116"/>
        <v>31.863405689610151</v>
      </c>
      <c r="Z240" s="15">
        <f t="shared" si="117"/>
        <v>-14.637450975975693</v>
      </c>
      <c r="AA240" s="15">
        <f t="shared" si="118"/>
        <v>-0.28658371859102261</v>
      </c>
      <c r="AB240" s="31">
        <f t="shared" si="134"/>
        <v>-16.098447659498003</v>
      </c>
      <c r="AC240" s="31">
        <f t="shared" si="135"/>
        <v>14.101212937317966</v>
      </c>
      <c r="AD240" s="15">
        <f t="shared" si="119"/>
        <v>76.060940102133387</v>
      </c>
      <c r="AE240" s="15">
        <f t="shared" si="120"/>
        <v>12.363633684466556</v>
      </c>
      <c r="AF240" s="15">
        <f t="shared" si="121"/>
        <v>9.4941180124847244E-2</v>
      </c>
      <c r="AG240" s="15">
        <f t="shared" si="122"/>
        <v>1.1924728412256515E-5</v>
      </c>
      <c r="AH240" s="15">
        <f t="shared" si="123"/>
        <v>-37.650788067929476</v>
      </c>
      <c r="AI240" s="15">
        <f t="shared" si="124"/>
        <v>-2.0282551477326938</v>
      </c>
      <c r="AJ240" s="31">
        <f t="shared" si="136"/>
        <v>38.50509321432876</v>
      </c>
      <c r="AK240" s="31">
        <f t="shared" si="137"/>
        <v>10.335390461462275</v>
      </c>
      <c r="AL240" s="15">
        <f t="shared" si="125"/>
        <v>0</v>
      </c>
      <c r="AM240" s="15">
        <f t="shared" si="126"/>
        <v>0</v>
      </c>
      <c r="AN240" s="15">
        <f t="shared" si="127"/>
        <v>0</v>
      </c>
      <c r="AO240" s="15">
        <f t="shared" si="128"/>
        <v>0</v>
      </c>
      <c r="AP240" s="31">
        <f t="shared" si="138"/>
        <v>0</v>
      </c>
      <c r="AQ240" s="31">
        <f t="shared" si="139"/>
        <v>0</v>
      </c>
    </row>
    <row r="241" spans="8:43" x14ac:dyDescent="0.25">
      <c r="H241" s="15">
        <v>3.38</v>
      </c>
      <c r="I241" s="45">
        <f t="shared" si="129"/>
        <v>23988.32919019492</v>
      </c>
      <c r="J241" s="32">
        <f t="shared" si="130"/>
        <v>106.57743666749568</v>
      </c>
      <c r="K241" s="32">
        <f t="shared" si="131"/>
        <v>3.5499724959033365</v>
      </c>
      <c r="L241" s="15">
        <f t="shared" si="105"/>
        <v>3.8729613733905581</v>
      </c>
      <c r="M241" s="15">
        <f t="shared" si="106"/>
        <v>-5.6191721039149094</v>
      </c>
      <c r="N241" s="15">
        <f t="shared" si="107"/>
        <v>4.1838985209241369E-2</v>
      </c>
      <c r="O241" s="15">
        <f t="shared" si="108"/>
        <v>-88.6855025570934</v>
      </c>
      <c r="P241" s="15">
        <f t="shared" si="109"/>
        <v>-32.788019718324925</v>
      </c>
      <c r="Q241" s="15">
        <f t="shared" si="110"/>
        <v>-0.89961915425826888</v>
      </c>
      <c r="R241" s="15">
        <f t="shared" si="111"/>
        <v>-1.0707159670129739E-3</v>
      </c>
      <c r="S241" s="31">
        <f t="shared" si="132"/>
        <v>-95.204293815266581</v>
      </c>
      <c r="T241" s="31">
        <f t="shared" si="133"/>
        <v>-20.986388136817734</v>
      </c>
      <c r="U241" s="15">
        <f t="shared" si="112"/>
        <v>6500</v>
      </c>
      <c r="V241" s="15">
        <f t="shared" si="113"/>
        <v>-89.998848062744955</v>
      </c>
      <c r="W241" s="15">
        <f t="shared" si="114"/>
        <v>-93.933876166475528</v>
      </c>
      <c r="X241" s="15">
        <f t="shared" si="115"/>
        <v>88.571093764503559</v>
      </c>
      <c r="Y241" s="15">
        <f t="shared" si="116"/>
        <v>32.063278417229995</v>
      </c>
      <c r="Z241" s="15">
        <f t="shared" si="117"/>
        <v>-14.963270377759029</v>
      </c>
      <c r="AA241" s="15">
        <f t="shared" si="118"/>
        <v>-0.29963437888122441</v>
      </c>
      <c r="AB241" s="31">
        <f t="shared" si="134"/>
        <v>-16.391024676000427</v>
      </c>
      <c r="AC241" s="31">
        <f t="shared" si="135"/>
        <v>14.088035004730356</v>
      </c>
      <c r="AD241" s="15">
        <f t="shared" si="119"/>
        <v>76.366260046796427</v>
      </c>
      <c r="AE241" s="15">
        <f t="shared" si="120"/>
        <v>12.552276446093719</v>
      </c>
      <c r="AF241" s="15">
        <f t="shared" si="121"/>
        <v>9.7152640109973362E-2</v>
      </c>
      <c r="AG241" s="15">
        <f t="shared" si="122"/>
        <v>1.2486722740310669E-5</v>
      </c>
      <c r="AH241" s="15">
        <f t="shared" si="123"/>
        <v>-38.290657528143718</v>
      </c>
      <c r="AI241" s="15">
        <f t="shared" si="124"/>
        <v>-2.1039633048257449</v>
      </c>
      <c r="AJ241" s="31">
        <f t="shared" si="136"/>
        <v>38.172755158762676</v>
      </c>
      <c r="AK241" s="31">
        <f t="shared" si="137"/>
        <v>10.448325627990714</v>
      </c>
      <c r="AL241" s="15">
        <f t="shared" si="125"/>
        <v>0</v>
      </c>
      <c r="AM241" s="15">
        <f t="shared" si="126"/>
        <v>0</v>
      </c>
      <c r="AN241" s="15">
        <f t="shared" si="127"/>
        <v>0</v>
      </c>
      <c r="AO241" s="15">
        <f t="shared" si="128"/>
        <v>0</v>
      </c>
      <c r="AP241" s="31">
        <f t="shared" si="138"/>
        <v>0</v>
      </c>
      <c r="AQ241" s="31">
        <f t="shared" si="139"/>
        <v>0</v>
      </c>
    </row>
    <row r="242" spans="8:43" x14ac:dyDescent="0.25">
      <c r="H242" s="15">
        <v>3.39</v>
      </c>
      <c r="I242" s="45">
        <f t="shared" si="129"/>
        <v>24547.089156850339</v>
      </c>
      <c r="J242" s="32">
        <f t="shared" si="130"/>
        <v>105.75475395543981</v>
      </c>
      <c r="K242" s="32">
        <f t="shared" si="131"/>
        <v>3.4494815813869462</v>
      </c>
      <c r="L242" s="15">
        <f t="shared" si="105"/>
        <v>3.8729613733905581</v>
      </c>
      <c r="M242" s="15">
        <f t="shared" si="106"/>
        <v>-5.7491925118418612</v>
      </c>
      <c r="N242" s="15">
        <f t="shared" si="107"/>
        <v>4.3800885058981998E-2</v>
      </c>
      <c r="O242" s="15">
        <f t="shared" si="108"/>
        <v>-88.71541402915517</v>
      </c>
      <c r="P242" s="15">
        <f t="shared" si="109"/>
        <v>-32.987916852398243</v>
      </c>
      <c r="Q242" s="15">
        <f t="shared" si="110"/>
        <v>-0.9205704111948394</v>
      </c>
      <c r="R242" s="15">
        <f t="shared" si="111"/>
        <v>-1.1211707429396181E-3</v>
      </c>
      <c r="S242" s="31">
        <f t="shared" si="132"/>
        <v>-95.38517695219187</v>
      </c>
      <c r="T242" s="31">
        <f t="shared" si="133"/>
        <v>-21.184373825817239</v>
      </c>
      <c r="U242" s="15">
        <f t="shared" si="112"/>
        <v>6500</v>
      </c>
      <c r="V242" s="15">
        <f t="shared" si="113"/>
        <v>-89.998874284038152</v>
      </c>
      <c r="W242" s="15">
        <f t="shared" si="114"/>
        <v>-94.133876166396533</v>
      </c>
      <c r="X242" s="15">
        <f t="shared" si="115"/>
        <v>88.603606613289401</v>
      </c>
      <c r="Y242" s="15">
        <f t="shared" si="116"/>
        <v>32.263156869568689</v>
      </c>
      <c r="Z242" s="15">
        <f t="shared" si="117"/>
        <v>-15.2956568295808</v>
      </c>
      <c r="AA242" s="15">
        <f t="shared" si="118"/>
        <v>-0.31325819416383149</v>
      </c>
      <c r="AB242" s="31">
        <f t="shared" si="134"/>
        <v>-16.690924500329551</v>
      </c>
      <c r="AC242" s="31">
        <f t="shared" si="135"/>
        <v>14.074289641865439</v>
      </c>
      <c r="AD242" s="15">
        <f t="shared" si="119"/>
        <v>76.665394645914219</v>
      </c>
      <c r="AE242" s="15">
        <f t="shared" si="120"/>
        <v>12.741402571825361</v>
      </c>
      <c r="AF242" s="15">
        <f t="shared" si="121"/>
        <v>9.9415611315750788E-2</v>
      </c>
      <c r="AG242" s="15">
        <f t="shared" si="122"/>
        <v>1.307520296735856E-5</v>
      </c>
      <c r="AH242" s="15">
        <f t="shared" si="123"/>
        <v>-38.933954849268751</v>
      </c>
      <c r="AI242" s="15">
        <f t="shared" si="124"/>
        <v>-2.1818498816895819</v>
      </c>
      <c r="AJ242" s="31">
        <f t="shared" si="136"/>
        <v>37.830855407961216</v>
      </c>
      <c r="AK242" s="31">
        <f t="shared" si="137"/>
        <v>10.559565765338746</v>
      </c>
      <c r="AL242" s="15">
        <f t="shared" si="125"/>
        <v>0</v>
      </c>
      <c r="AM242" s="15">
        <f t="shared" si="126"/>
        <v>0</v>
      </c>
      <c r="AN242" s="15">
        <f t="shared" si="127"/>
        <v>0</v>
      </c>
      <c r="AO242" s="15">
        <f t="shared" si="128"/>
        <v>0</v>
      </c>
      <c r="AP242" s="31">
        <f t="shared" si="138"/>
        <v>0</v>
      </c>
      <c r="AQ242" s="31">
        <f t="shared" si="139"/>
        <v>0</v>
      </c>
    </row>
    <row r="243" spans="8:43" x14ac:dyDescent="0.25">
      <c r="H243" s="15">
        <v>3.4</v>
      </c>
      <c r="I243" s="45">
        <f t="shared" si="129"/>
        <v>25118.864315095812</v>
      </c>
      <c r="J243" s="32">
        <f t="shared" si="130"/>
        <v>104.91274470260848</v>
      </c>
      <c r="K243" s="32">
        <f t="shared" si="131"/>
        <v>3.3467474734958689</v>
      </c>
      <c r="L243" s="15">
        <f t="shared" si="105"/>
        <v>3.8729613733905581</v>
      </c>
      <c r="M243" s="15">
        <f t="shared" si="106"/>
        <v>-5.8821799977517237</v>
      </c>
      <c r="N243" s="15">
        <f t="shared" si="107"/>
        <v>4.5854296928028879E-2</v>
      </c>
      <c r="O243" s="15">
        <f t="shared" si="108"/>
        <v>-88.744645309711785</v>
      </c>
      <c r="P243" s="15">
        <f t="shared" si="109"/>
        <v>-33.18781861392641</v>
      </c>
      <c r="Q243" s="15">
        <f t="shared" si="110"/>
        <v>-0.94200943068002851</v>
      </c>
      <c r="R243" s="15">
        <f t="shared" si="111"/>
        <v>-1.1740027509515834E-3</v>
      </c>
      <c r="S243" s="31">
        <f t="shared" si="132"/>
        <v>-95.568834738143536</v>
      </c>
      <c r="T243" s="31">
        <f t="shared" si="133"/>
        <v>-21.382275007484367</v>
      </c>
      <c r="U243" s="15">
        <f t="shared" si="112"/>
        <v>6500</v>
      </c>
      <c r="V243" s="15">
        <f t="shared" si="113"/>
        <v>-89.998899908461851</v>
      </c>
      <c r="W243" s="15">
        <f t="shared" si="114"/>
        <v>-94.333876166321062</v>
      </c>
      <c r="X243" s="15">
        <f t="shared" si="115"/>
        <v>88.63538024845451</v>
      </c>
      <c r="Y243" s="15">
        <f t="shared" si="116"/>
        <v>32.463040789277599</v>
      </c>
      <c r="Z243" s="15">
        <f t="shared" si="117"/>
        <v>-15.634697040763269</v>
      </c>
      <c r="AA243" s="15">
        <f t="shared" si="118"/>
        <v>-0.32747842114528369</v>
      </c>
      <c r="AB243" s="31">
        <f t="shared" si="134"/>
        <v>-16.998216700770612</v>
      </c>
      <c r="AC243" s="31">
        <f t="shared" si="135"/>
        <v>14.059953334668368</v>
      </c>
      <c r="AD243" s="15">
        <f t="shared" si="119"/>
        <v>76.958437246440454</v>
      </c>
      <c r="AE243" s="15">
        <f t="shared" si="120"/>
        <v>12.930992625084453</v>
      </c>
      <c r="AF243" s="15">
        <f t="shared" si="121"/>
        <v>0.10173129357120922</v>
      </c>
      <c r="AG243" s="15">
        <f t="shared" si="122"/>
        <v>1.3691417326951288E-5</v>
      </c>
      <c r="AH243" s="15">
        <f t="shared" si="123"/>
        <v>-39.58037239848904</v>
      </c>
      <c r="AI243" s="15">
        <f t="shared" si="124"/>
        <v>-2.261937170189912</v>
      </c>
      <c r="AJ243" s="31">
        <f t="shared" si="136"/>
        <v>37.47979614152262</v>
      </c>
      <c r="AK243" s="31">
        <f t="shared" si="137"/>
        <v>10.669069146311868</v>
      </c>
      <c r="AL243" s="15">
        <f t="shared" si="125"/>
        <v>0</v>
      </c>
      <c r="AM243" s="15">
        <f t="shared" si="126"/>
        <v>0</v>
      </c>
      <c r="AN243" s="15">
        <f t="shared" si="127"/>
        <v>0</v>
      </c>
      <c r="AO243" s="15">
        <f t="shared" si="128"/>
        <v>0</v>
      </c>
      <c r="AP243" s="31">
        <f t="shared" si="138"/>
        <v>0</v>
      </c>
      <c r="AQ243" s="31">
        <f t="shared" si="139"/>
        <v>0</v>
      </c>
    </row>
    <row r="244" spans="8:43" x14ac:dyDescent="0.25">
      <c r="H244" s="15">
        <v>3.41</v>
      </c>
      <c r="I244" s="45">
        <f t="shared" si="129"/>
        <v>25703.957827688668</v>
      </c>
      <c r="J244" s="32">
        <f t="shared" si="130"/>
        <v>104.05166006334258</v>
      </c>
      <c r="K244" s="32">
        <f t="shared" si="131"/>
        <v>3.2417111975131192</v>
      </c>
      <c r="L244" s="15">
        <f t="shared" si="105"/>
        <v>3.8729613733905581</v>
      </c>
      <c r="M244" s="15">
        <f t="shared" si="106"/>
        <v>-6.0181993386160313</v>
      </c>
      <c r="N244" s="15">
        <f t="shared" si="107"/>
        <v>4.8003443026318822E-2</v>
      </c>
      <c r="O244" s="15">
        <f t="shared" si="108"/>
        <v>-88.773211836672374</v>
      </c>
      <c r="P244" s="15">
        <f t="shared" si="109"/>
        <v>-33.387724794839706</v>
      </c>
      <c r="Q244" s="15">
        <f t="shared" si="110"/>
        <v>-0.9639475559382481</v>
      </c>
      <c r="R244" s="15">
        <f t="shared" si="111"/>
        <v>-1.2293239659520888E-3</v>
      </c>
      <c r="S244" s="31">
        <f t="shared" si="132"/>
        <v>-95.75535873122665</v>
      </c>
      <c r="T244" s="31">
        <f t="shared" si="133"/>
        <v>-21.580087363514373</v>
      </c>
      <c r="U244" s="15">
        <f t="shared" si="112"/>
        <v>6500</v>
      </c>
      <c r="V244" s="15">
        <f t="shared" si="113"/>
        <v>-89.998924949602468</v>
      </c>
      <c r="W244" s="15">
        <f t="shared" si="114"/>
        <v>-94.533876166249016</v>
      </c>
      <c r="X244" s="15">
        <f t="shared" si="115"/>
        <v>88.666431438585136</v>
      </c>
      <c r="Y244" s="15">
        <f t="shared" si="116"/>
        <v>32.662929930563841</v>
      </c>
      <c r="Z244" s="15">
        <f t="shared" si="117"/>
        <v>-15.980475764386695</v>
      </c>
      <c r="AA244" s="15">
        <f t="shared" si="118"/>
        <v>-0.34231908972339969</v>
      </c>
      <c r="AB244" s="31">
        <f t="shared" si="134"/>
        <v>-17.312969275404029</v>
      </c>
      <c r="AC244" s="31">
        <f t="shared" si="135"/>
        <v>14.045001807448539</v>
      </c>
      <c r="AD244" s="15">
        <f t="shared" si="119"/>
        <v>77.245481871315292</v>
      </c>
      <c r="AE244" s="15">
        <f t="shared" si="120"/>
        <v>13.121027855703185</v>
      </c>
      <c r="AF244" s="15">
        <f t="shared" si="121"/>
        <v>0.10410091465145427</v>
      </c>
      <c r="AG244" s="15">
        <f t="shared" si="122"/>
        <v>1.4336672881692164E-5</v>
      </c>
      <c r="AH244" s="15">
        <f t="shared" si="123"/>
        <v>-40.229594715993478</v>
      </c>
      <c r="AI244" s="15">
        <f t="shared" si="124"/>
        <v>-2.3442454387971132</v>
      </c>
      <c r="AJ244" s="31">
        <f t="shared" si="136"/>
        <v>37.119988069973267</v>
      </c>
      <c r="AK244" s="31">
        <f t="shared" si="137"/>
        <v>10.776796753578953</v>
      </c>
      <c r="AL244" s="15">
        <f t="shared" si="125"/>
        <v>0</v>
      </c>
      <c r="AM244" s="15">
        <f t="shared" si="126"/>
        <v>0</v>
      </c>
      <c r="AN244" s="15">
        <f t="shared" si="127"/>
        <v>0</v>
      </c>
      <c r="AO244" s="15">
        <f t="shared" si="128"/>
        <v>0</v>
      </c>
      <c r="AP244" s="31">
        <f t="shared" si="138"/>
        <v>0</v>
      </c>
      <c r="AQ244" s="31">
        <f t="shared" si="139"/>
        <v>0</v>
      </c>
    </row>
    <row r="245" spans="8:43" x14ac:dyDescent="0.25">
      <c r="H245" s="15">
        <v>3.42</v>
      </c>
      <c r="I245" s="45">
        <f t="shared" si="129"/>
        <v>26302.679918953821</v>
      </c>
      <c r="J245" s="32">
        <f t="shared" si="130"/>
        <v>103.17175955133138</v>
      </c>
      <c r="K245" s="32">
        <f t="shared" si="131"/>
        <v>3.1343159562164153</v>
      </c>
      <c r="L245" s="15">
        <f t="shared" si="105"/>
        <v>3.8729613733905581</v>
      </c>
      <c r="M245" s="15">
        <f t="shared" si="106"/>
        <v>-6.1573165177100844</v>
      </c>
      <c r="N245" s="15">
        <f t="shared" si="107"/>
        <v>5.0252735951929604E-2</v>
      </c>
      <c r="O245" s="15">
        <f t="shared" si="108"/>
        <v>-88.801128699546069</v>
      </c>
      <c r="P245" s="15">
        <f t="shared" si="109"/>
        <v>-33.587635196415448</v>
      </c>
      <c r="Q245" s="15">
        <f t="shared" si="110"/>
        <v>-0.98639639310892357</v>
      </c>
      <c r="R245" s="15">
        <f t="shared" si="111"/>
        <v>-1.2872516342094019E-3</v>
      </c>
      <c r="S245" s="31">
        <f t="shared" si="132"/>
        <v>-95.944841610365074</v>
      </c>
      <c r="T245" s="31">
        <f t="shared" si="133"/>
        <v>-21.777806399832766</v>
      </c>
      <c r="U245" s="15">
        <f t="shared" si="112"/>
        <v>6500</v>
      </c>
      <c r="V245" s="15">
        <f t="shared" si="113"/>
        <v>-89.998949420737119</v>
      </c>
      <c r="W245" s="15">
        <f t="shared" si="114"/>
        <v>-94.733876166180195</v>
      </c>
      <c r="X245" s="15">
        <f t="shared" si="115"/>
        <v>88.696776574432334</v>
      </c>
      <c r="Y245" s="15">
        <f t="shared" si="116"/>
        <v>32.862824058672402</v>
      </c>
      <c r="Z245" s="15">
        <f t="shared" si="117"/>
        <v>-16.333075548670521</v>
      </c>
      <c r="AA245" s="15">
        <f t="shared" si="118"/>
        <v>-0.35780501353010008</v>
      </c>
      <c r="AB245" s="31">
        <f t="shared" si="134"/>
        <v>-17.635248394975306</v>
      </c>
      <c r="AC245" s="31">
        <f t="shared" si="135"/>
        <v>14.02941001181922</v>
      </c>
      <c r="AD245" s="15">
        <f t="shared" si="119"/>
        <v>77.526623053638431</v>
      </c>
      <c r="AE245" s="15">
        <f t="shared" si="120"/>
        <v>13.311490183721492</v>
      </c>
      <c r="AF245" s="15">
        <f t="shared" si="121"/>
        <v>0.1065257309285042</v>
      </c>
      <c r="AG245" s="15">
        <f t="shared" si="122"/>
        <v>1.501233828885951E-5</v>
      </c>
      <c r="AH245" s="15">
        <f t="shared" si="123"/>
        <v>-40.881299227895177</v>
      </c>
      <c r="AI245" s="15">
        <f t="shared" si="124"/>
        <v>-2.4287928518298183</v>
      </c>
      <c r="AJ245" s="31">
        <f t="shared" si="136"/>
        <v>36.751849556671765</v>
      </c>
      <c r="AK245" s="31">
        <f t="shared" si="137"/>
        <v>10.882712344229962</v>
      </c>
      <c r="AL245" s="15">
        <f t="shared" si="125"/>
        <v>0</v>
      </c>
      <c r="AM245" s="15">
        <f t="shared" si="126"/>
        <v>0</v>
      </c>
      <c r="AN245" s="15">
        <f t="shared" si="127"/>
        <v>0</v>
      </c>
      <c r="AO245" s="15">
        <f t="shared" si="128"/>
        <v>0</v>
      </c>
      <c r="AP245" s="31">
        <f t="shared" si="138"/>
        <v>0</v>
      </c>
      <c r="AQ245" s="31">
        <f t="shared" si="139"/>
        <v>0</v>
      </c>
    </row>
    <row r="246" spans="8:43" x14ac:dyDescent="0.25">
      <c r="H246" s="15">
        <v>3.43</v>
      </c>
      <c r="I246" s="45">
        <f t="shared" si="129"/>
        <v>26915.348039269185</v>
      </c>
      <c r="J246" s="32">
        <f t="shared" si="130"/>
        <v>102.27331037680054</v>
      </c>
      <c r="K246" s="32">
        <f t="shared" si="131"/>
        <v>3.0245071853022889</v>
      </c>
      <c r="L246" s="15">
        <f t="shared" si="105"/>
        <v>3.8729613733905581</v>
      </c>
      <c r="M246" s="15">
        <f t="shared" si="106"/>
        <v>-6.2995987319713977</v>
      </c>
      <c r="N246" s="15">
        <f t="shared" si="107"/>
        <v>5.2606786855271259E-2</v>
      </c>
      <c r="O246" s="15">
        <f t="shared" si="108"/>
        <v>-88.82841064717212</v>
      </c>
      <c r="P246" s="15">
        <f t="shared" si="109"/>
        <v>-33.78754962885899</v>
      </c>
      <c r="Q246" s="15">
        <f t="shared" si="110"/>
        <v>-1.0093678172775202</v>
      </c>
      <c r="R246" s="15">
        <f t="shared" si="111"/>
        <v>-1.34790852123608E-3</v>
      </c>
      <c r="S246" s="31">
        <f t="shared" si="132"/>
        <v>-96.137377196421042</v>
      </c>
      <c r="T246" s="31">
        <f t="shared" si="133"/>
        <v>-21.975427438259992</v>
      </c>
      <c r="U246" s="15">
        <f t="shared" si="112"/>
        <v>6500</v>
      </c>
      <c r="V246" s="15">
        <f t="shared" si="113"/>
        <v>-89.998973334840741</v>
      </c>
      <c r="W246" s="15">
        <f t="shared" si="114"/>
        <v>-94.933876166114487</v>
      </c>
      <c r="X246" s="15">
        <f t="shared" si="115"/>
        <v>88.726431677255349</v>
      </c>
      <c r="Y246" s="15">
        <f t="shared" si="116"/>
        <v>33.062722949391663</v>
      </c>
      <c r="Z246" s="15">
        <f t="shared" si="117"/>
        <v>-16.692576476143131</v>
      </c>
      <c r="AA246" s="15">
        <f t="shared" si="118"/>
        <v>-0.37396179914317895</v>
      </c>
      <c r="AB246" s="31">
        <f t="shared" si="134"/>
        <v>-17.965118133728524</v>
      </c>
      <c r="AC246" s="31">
        <f t="shared" si="135"/>
        <v>14.01315211699111</v>
      </c>
      <c r="AD246" s="15">
        <f t="shared" si="119"/>
        <v>77.801955681148243</v>
      </c>
      <c r="AE246" s="15">
        <f t="shared" si="120"/>
        <v>13.502362182844481</v>
      </c>
      <c r="AF246" s="15">
        <f t="shared" si="121"/>
        <v>0.1090070280372817</v>
      </c>
      <c r="AG246" s="15">
        <f t="shared" si="122"/>
        <v>1.5719846716457835E-5</v>
      </c>
      <c r="AH246" s="15">
        <f t="shared" si="123"/>
        <v>-41.53515700223543</v>
      </c>
      <c r="AI246" s="15">
        <f t="shared" si="124"/>
        <v>-2.5155953961200272</v>
      </c>
      <c r="AJ246" s="31">
        <f t="shared" si="136"/>
        <v>36.375805706950096</v>
      </c>
      <c r="AK246" s="31">
        <f t="shared" si="137"/>
        <v>10.986782506571171</v>
      </c>
      <c r="AL246" s="15">
        <f t="shared" si="125"/>
        <v>0</v>
      </c>
      <c r="AM246" s="15">
        <f t="shared" si="126"/>
        <v>0</v>
      </c>
      <c r="AN246" s="15">
        <f t="shared" si="127"/>
        <v>0</v>
      </c>
      <c r="AO246" s="15">
        <f t="shared" si="128"/>
        <v>0</v>
      </c>
      <c r="AP246" s="31">
        <f t="shared" si="138"/>
        <v>0</v>
      </c>
      <c r="AQ246" s="31">
        <f t="shared" si="139"/>
        <v>0</v>
      </c>
    </row>
    <row r="247" spans="8:43" x14ac:dyDescent="0.25">
      <c r="H247" s="15">
        <v>3.44</v>
      </c>
      <c r="I247" s="45">
        <f t="shared" si="129"/>
        <v>27542.28703338169</v>
      </c>
      <c r="J247" s="32">
        <f t="shared" si="130"/>
        <v>101.35658676789569</v>
      </c>
      <c r="K247" s="32">
        <f t="shared" si="131"/>
        <v>2.912232602305787</v>
      </c>
      <c r="L247" s="15">
        <f t="shared" si="105"/>
        <v>3.8729613733905581</v>
      </c>
      <c r="M247" s="15">
        <f t="shared" si="106"/>
        <v>-6.4451143981526124</v>
      </c>
      <c r="N247" s="15">
        <f t="shared" si="107"/>
        <v>5.5070413913100087E-2</v>
      </c>
      <c r="O247" s="15">
        <f t="shared" si="108"/>
        <v>-88.855072095287198</v>
      </c>
      <c r="P247" s="15">
        <f t="shared" si="109"/>
        <v>-33.987467910903128</v>
      </c>
      <c r="Q247" s="15">
        <f t="shared" si="110"/>
        <v>-1.0328739786403818</v>
      </c>
      <c r="R247" s="15">
        <f t="shared" si="111"/>
        <v>-1.4114231712796244E-3</v>
      </c>
      <c r="S247" s="31">
        <f t="shared" si="132"/>
        <v>-96.333060472080192</v>
      </c>
      <c r="T247" s="31">
        <f t="shared" si="133"/>
        <v>-22.172945607896345</v>
      </c>
      <c r="U247" s="15">
        <f t="shared" si="112"/>
        <v>6500</v>
      </c>
      <c r="V247" s="15">
        <f t="shared" si="113"/>
        <v>-89.998996704592912</v>
      </c>
      <c r="W247" s="15">
        <f t="shared" si="114"/>
        <v>-95.133876166051735</v>
      </c>
      <c r="X247" s="15">
        <f t="shared" si="115"/>
        <v>88.755412406991709</v>
      </c>
      <c r="Y247" s="15">
        <f t="shared" si="116"/>
        <v>33.262626388580699</v>
      </c>
      <c r="Z247" s="15">
        <f t="shared" si="117"/>
        <v>-17.059055890574648</v>
      </c>
      <c r="AA247" s="15">
        <f t="shared" si="118"/>
        <v>-0.39081585380838413</v>
      </c>
      <c r="AB247" s="31">
        <f t="shared" si="134"/>
        <v>-18.30264018817585</v>
      </c>
      <c r="AC247" s="31">
        <f t="shared" si="135"/>
        <v>13.996201501577694</v>
      </c>
      <c r="AD247" s="15">
        <f t="shared" si="119"/>
        <v>78.071574850654997</v>
      </c>
      <c r="AE247" s="15">
        <f t="shared" si="120"/>
        <v>13.69362706364238</v>
      </c>
      <c r="AF247" s="15">
        <f t="shared" si="121"/>
        <v>0.11154612155710697</v>
      </c>
      <c r="AG247" s="15">
        <f t="shared" si="122"/>
        <v>1.6460698863409256E-5</v>
      </c>
      <c r="AH247" s="15">
        <f t="shared" si="123"/>
        <v>-42.190833544060361</v>
      </c>
      <c r="AI247" s="15">
        <f t="shared" si="124"/>
        <v>-2.6046668157168043</v>
      </c>
      <c r="AJ247" s="31">
        <f t="shared" si="136"/>
        <v>35.992287428151748</v>
      </c>
      <c r="AK247" s="31">
        <f t="shared" si="137"/>
        <v>11.088976708624438</v>
      </c>
      <c r="AL247" s="15">
        <f t="shared" si="125"/>
        <v>0</v>
      </c>
      <c r="AM247" s="15">
        <f t="shared" si="126"/>
        <v>0</v>
      </c>
      <c r="AN247" s="15">
        <f t="shared" si="127"/>
        <v>0</v>
      </c>
      <c r="AO247" s="15">
        <f t="shared" si="128"/>
        <v>0</v>
      </c>
      <c r="AP247" s="31">
        <f t="shared" si="138"/>
        <v>0</v>
      </c>
      <c r="AQ247" s="31">
        <f t="shared" si="139"/>
        <v>0</v>
      </c>
    </row>
    <row r="248" spans="8:43" x14ac:dyDescent="0.25">
      <c r="H248" s="15">
        <v>3.45</v>
      </c>
      <c r="I248" s="45">
        <f t="shared" si="129"/>
        <v>28183.829312644561</v>
      </c>
      <c r="J248" s="32">
        <f t="shared" si="130"/>
        <v>100.42186928041551</v>
      </c>
      <c r="K248" s="32">
        <f t="shared" si="131"/>
        <v>2.797442248708073</v>
      </c>
      <c r="L248" s="15">
        <f t="shared" si="105"/>
        <v>3.8729613733905581</v>
      </c>
      <c r="M248" s="15">
        <f t="shared" si="106"/>
        <v>-6.5939331576551039</v>
      </c>
      <c r="N248" s="15">
        <f t="shared" si="107"/>
        <v>5.764865112013632E-2</v>
      </c>
      <c r="O248" s="15">
        <f t="shared" si="108"/>
        <v>-88.881127133933077</v>
      </c>
      <c r="P248" s="15">
        <f t="shared" si="109"/>
        <v>-34.187389869425729</v>
      </c>
      <c r="Q248" s="15">
        <f t="shared" si="110"/>
        <v>-1.0569273088060707</v>
      </c>
      <c r="R248" s="15">
        <f t="shared" si="111"/>
        <v>-1.4779301789903155E-3</v>
      </c>
      <c r="S248" s="31">
        <f t="shared" si="132"/>
        <v>-96.531987600394245</v>
      </c>
      <c r="T248" s="31">
        <f t="shared" si="133"/>
        <v>-22.37035583621962</v>
      </c>
      <c r="U248" s="15">
        <f t="shared" si="112"/>
        <v>6500</v>
      </c>
      <c r="V248" s="15">
        <f t="shared" si="113"/>
        <v>-89.999019542384573</v>
      </c>
      <c r="W248" s="15">
        <f t="shared" si="114"/>
        <v>-95.333876165991796</v>
      </c>
      <c r="X248" s="15">
        <f t="shared" si="115"/>
        <v>88.783734070257864</v>
      </c>
      <c r="Y248" s="15">
        <f t="shared" si="116"/>
        <v>33.462534171717934</v>
      </c>
      <c r="Z248" s="15">
        <f t="shared" si="117"/>
        <v>-17.432588111716601</v>
      </c>
      <c r="AA248" s="15">
        <f t="shared" si="118"/>
        <v>-0.40839439150504969</v>
      </c>
      <c r="AB248" s="31">
        <f t="shared" si="134"/>
        <v>-18.64787358384331</v>
      </c>
      <c r="AC248" s="31">
        <f t="shared" si="135"/>
        <v>13.978530747078201</v>
      </c>
      <c r="AD248" s="15">
        <f t="shared" si="119"/>
        <v>78.335575732066943</v>
      </c>
      <c r="AE248" s="15">
        <f t="shared" si="120"/>
        <v>13.885268656570588</v>
      </c>
      <c r="AF248" s="15">
        <f t="shared" si="121"/>
        <v>0.11414435770905877</v>
      </c>
      <c r="AG248" s="15">
        <f t="shared" si="122"/>
        <v>1.7236466161030461E-5</v>
      </c>
      <c r="AH248" s="15">
        <f t="shared" si="123"/>
        <v>-42.847989625122956</v>
      </c>
      <c r="AI248" s="15">
        <f t="shared" si="124"/>
        <v>-2.6960185551872562</v>
      </c>
      <c r="AJ248" s="31">
        <f t="shared" si="136"/>
        <v>35.601730464653052</v>
      </c>
      <c r="AK248" s="31">
        <f t="shared" si="137"/>
        <v>11.189267337849492</v>
      </c>
      <c r="AL248" s="15">
        <f t="shared" si="125"/>
        <v>0</v>
      </c>
      <c r="AM248" s="15">
        <f t="shared" si="126"/>
        <v>0</v>
      </c>
      <c r="AN248" s="15">
        <f t="shared" si="127"/>
        <v>0</v>
      </c>
      <c r="AO248" s="15">
        <f t="shared" si="128"/>
        <v>0</v>
      </c>
      <c r="AP248" s="31">
        <f t="shared" si="138"/>
        <v>0</v>
      </c>
      <c r="AQ248" s="31">
        <f t="shared" si="139"/>
        <v>0</v>
      </c>
    </row>
    <row r="249" spans="8:43" x14ac:dyDescent="0.25">
      <c r="H249" s="15">
        <v>3.46</v>
      </c>
      <c r="I249" s="45">
        <f t="shared" si="129"/>
        <v>28840.315031266076</v>
      </c>
      <c r="J249" s="32">
        <f t="shared" si="130"/>
        <v>99.469444100370467</v>
      </c>
      <c r="K249" s="32">
        <f t="shared" si="131"/>
        <v>2.6800885249919055</v>
      </c>
      <c r="L249" s="15">
        <f t="shared" si="105"/>
        <v>3.8729613733905581</v>
      </c>
      <c r="M249" s="15">
        <f t="shared" si="106"/>
        <v>-6.7461258799216512</v>
      </c>
      <c r="N249" s="15">
        <f t="shared" si="107"/>
        <v>6.0346757405911264E-2</v>
      </c>
      <c r="O249" s="15">
        <f t="shared" si="108"/>
        <v>-88.906589534707152</v>
      </c>
      <c r="P249" s="15">
        <f t="shared" si="109"/>
        <v>-34.387315339084267</v>
      </c>
      <c r="Q249" s="15">
        <f t="shared" si="110"/>
        <v>-1.0815405272358471</v>
      </c>
      <c r="R249" s="15">
        <f t="shared" si="111"/>
        <v>-1.5475704738218666E-3</v>
      </c>
      <c r="S249" s="31">
        <f t="shared" si="132"/>
        <v>-96.734255941864646</v>
      </c>
      <c r="T249" s="31">
        <f t="shared" si="133"/>
        <v>-22.567652839887213</v>
      </c>
      <c r="U249" s="15">
        <f t="shared" si="112"/>
        <v>6500</v>
      </c>
      <c r="V249" s="15">
        <f t="shared" si="113"/>
        <v>-89.999041860324638</v>
      </c>
      <c r="W249" s="15">
        <f t="shared" si="114"/>
        <v>-95.533876165934558</v>
      </c>
      <c r="X249" s="15">
        <f t="shared" si="115"/>
        <v>88.811411628182157</v>
      </c>
      <c r="Y249" s="15">
        <f t="shared" si="116"/>
        <v>33.66244610346974</v>
      </c>
      <c r="Z249" s="15">
        <f t="shared" si="117"/>
        <v>-17.813244137967253</v>
      </c>
      <c r="AA249" s="15">
        <f t="shared" si="118"/>
        <v>-0.42672543718076617</v>
      </c>
      <c r="AB249" s="31">
        <f t="shared" si="134"/>
        <v>-19.000874370109734</v>
      </c>
      <c r="AC249" s="31">
        <f t="shared" si="135"/>
        <v>13.960111633211531</v>
      </c>
      <c r="AD249" s="15">
        <f t="shared" si="119"/>
        <v>78.594053441639858</v>
      </c>
      <c r="AE249" s="15">
        <f t="shared" si="120"/>
        <v>14.077271394879819</v>
      </c>
      <c r="AF249" s="15">
        <f t="shared" si="121"/>
        <v>0.1168031140695675</v>
      </c>
      <c r="AG249" s="15">
        <f t="shared" si="122"/>
        <v>1.8048794097934921E-5</v>
      </c>
      <c r="AH249" s="15">
        <f t="shared" si="123"/>
        <v>-43.506282143364572</v>
      </c>
      <c r="AI249" s="15">
        <f t="shared" si="124"/>
        <v>-2.7896597120063298</v>
      </c>
      <c r="AJ249" s="31">
        <f t="shared" si="136"/>
        <v>35.204574412344854</v>
      </c>
      <c r="AK249" s="31">
        <f t="shared" si="137"/>
        <v>11.287629731667588</v>
      </c>
      <c r="AL249" s="15">
        <f t="shared" si="125"/>
        <v>0</v>
      </c>
      <c r="AM249" s="15">
        <f t="shared" si="126"/>
        <v>0</v>
      </c>
      <c r="AN249" s="15">
        <f t="shared" si="127"/>
        <v>0</v>
      </c>
      <c r="AO249" s="15">
        <f t="shared" si="128"/>
        <v>0</v>
      </c>
      <c r="AP249" s="31">
        <f t="shared" si="138"/>
        <v>0</v>
      </c>
      <c r="AQ249" s="31">
        <f t="shared" si="139"/>
        <v>0</v>
      </c>
    </row>
    <row r="250" spans="8:43" x14ac:dyDescent="0.25">
      <c r="H250" s="15">
        <v>3.47</v>
      </c>
      <c r="I250" s="45">
        <f t="shared" si="129"/>
        <v>29512.092266663898</v>
      </c>
      <c r="J250" s="32">
        <f t="shared" si="130"/>
        <v>98.499602344107359</v>
      </c>
      <c r="K250" s="32">
        <f t="shared" si="131"/>
        <v>2.560126218479855</v>
      </c>
      <c r="L250" s="15">
        <f t="shared" si="105"/>
        <v>3.8729613733905581</v>
      </c>
      <c r="M250" s="15">
        <f t="shared" si="106"/>
        <v>-6.9017646642591224</v>
      </c>
      <c r="N250" s="15">
        <f t="shared" si="107"/>
        <v>6.317022608410279E-2</v>
      </c>
      <c r="O250" s="15">
        <f t="shared" si="108"/>
        <v>-88.93147275785897</v>
      </c>
      <c r="P250" s="15">
        <f t="shared" si="109"/>
        <v>-34.587244161966744</v>
      </c>
      <c r="Q250" s="15">
        <f t="shared" si="110"/>
        <v>-1.1067266478260023</v>
      </c>
      <c r="R250" s="15">
        <f t="shared" si="111"/>
        <v>-1.6204916177701208E-3</v>
      </c>
      <c r="S250" s="31">
        <f t="shared" si="132"/>
        <v>-96.939964069944097</v>
      </c>
      <c r="T250" s="31">
        <f t="shared" si="133"/>
        <v>-22.764831115235452</v>
      </c>
      <c r="U250" s="15">
        <f t="shared" si="112"/>
        <v>6500</v>
      </c>
      <c r="V250" s="15">
        <f t="shared" si="113"/>
        <v>-89.999063670246358</v>
      </c>
      <c r="W250" s="15">
        <f t="shared" si="114"/>
        <v>-95.733876165879906</v>
      </c>
      <c r="X250" s="15">
        <f t="shared" si="115"/>
        <v>88.838459704073813</v>
      </c>
      <c r="Y250" s="15">
        <f t="shared" si="116"/>
        <v>33.862361997278512</v>
      </c>
      <c r="Z250" s="15">
        <f t="shared" si="117"/>
        <v>-18.201091337166208</v>
      </c>
      <c r="AA250" s="15">
        <f t="shared" si="118"/>
        <v>-0.44583782897337354</v>
      </c>
      <c r="AB250" s="31">
        <f t="shared" si="134"/>
        <v>-19.361695303338752</v>
      </c>
      <c r="AC250" s="31">
        <f t="shared" si="135"/>
        <v>13.940915135282346</v>
      </c>
      <c r="AD250" s="15">
        <f t="shared" si="119"/>
        <v>78.847102924076125</v>
      </c>
      <c r="AE250" s="15">
        <f t="shared" si="120"/>
        <v>14.26962029748039</v>
      </c>
      <c r="AF250" s="15">
        <f t="shared" si="121"/>
        <v>0.11952380030062054</v>
      </c>
      <c r="AG250" s="15">
        <f t="shared" si="122"/>
        <v>1.8899405705003917E-5</v>
      </c>
      <c r="AH250" s="15">
        <f t="shared" si="123"/>
        <v>-44.165365006986548</v>
      </c>
      <c r="AI250" s="15">
        <f t="shared" si="124"/>
        <v>-2.8855969984531331</v>
      </c>
      <c r="AJ250" s="31">
        <f t="shared" si="136"/>
        <v>34.801261717390204</v>
      </c>
      <c r="AK250" s="31">
        <f t="shared" si="137"/>
        <v>11.384042198432962</v>
      </c>
      <c r="AL250" s="15">
        <f t="shared" si="125"/>
        <v>0</v>
      </c>
      <c r="AM250" s="15">
        <f t="shared" si="126"/>
        <v>0</v>
      </c>
      <c r="AN250" s="15">
        <f t="shared" si="127"/>
        <v>0</v>
      </c>
      <c r="AO250" s="15">
        <f t="shared" si="128"/>
        <v>0</v>
      </c>
      <c r="AP250" s="31">
        <f t="shared" si="138"/>
        <v>0</v>
      </c>
      <c r="AQ250" s="31">
        <f t="shared" si="139"/>
        <v>0</v>
      </c>
    </row>
    <row r="251" spans="8:43" x14ac:dyDescent="0.25">
      <c r="H251" s="15">
        <v>3.48</v>
      </c>
      <c r="I251" s="45">
        <f t="shared" si="129"/>
        <v>30199.517204020176</v>
      </c>
      <c r="J251" s="32">
        <f t="shared" si="130"/>
        <v>97.512639360940824</v>
      </c>
      <c r="K251" s="32">
        <f t="shared" si="131"/>
        <v>2.4375125238701312</v>
      </c>
      <c r="L251" s="15">
        <f t="shared" si="105"/>
        <v>3.8729613733905581</v>
      </c>
      <c r="M251" s="15">
        <f t="shared" si="106"/>
        <v>-7.0609228399539052</v>
      </c>
      <c r="N251" s="15">
        <f t="shared" si="107"/>
        <v>6.6124794641338358E-2</v>
      </c>
      <c r="O251" s="15">
        <f t="shared" si="108"/>
        <v>-88.955789959235176</v>
      </c>
      <c r="P251" s="15">
        <f t="shared" si="109"/>
        <v>-34.787176187258225</v>
      </c>
      <c r="Q251" s="15">
        <f t="shared" si="110"/>
        <v>-1.1324989856347603</v>
      </c>
      <c r="R251" s="15">
        <f t="shared" si="111"/>
        <v>-1.6968481170621626E-3</v>
      </c>
      <c r="S251" s="31">
        <f t="shared" si="132"/>
        <v>-97.149211784823834</v>
      </c>
      <c r="T251" s="31">
        <f t="shared" si="133"/>
        <v>-22.96188492846899</v>
      </c>
      <c r="U251" s="15">
        <f t="shared" si="112"/>
        <v>6500</v>
      </c>
      <c r="V251" s="15">
        <f t="shared" si="113"/>
        <v>-89.999084983713644</v>
      </c>
      <c r="W251" s="15">
        <f t="shared" si="114"/>
        <v>-95.933876165827684</v>
      </c>
      <c r="X251" s="15">
        <f t="shared" si="115"/>
        <v>88.864892590930069</v>
      </c>
      <c r="Y251" s="15">
        <f t="shared" si="116"/>
        <v>34.062281674968894</v>
      </c>
      <c r="Z251" s="15">
        <f t="shared" si="117"/>
        <v>-18.596193125813954</v>
      </c>
      <c r="AA251" s="15">
        <f t="shared" si="118"/>
        <v>-0.46576121823186778</v>
      </c>
      <c r="AB251" s="31">
        <f t="shared" si="134"/>
        <v>-19.730385518597529</v>
      </c>
      <c r="AC251" s="31">
        <f t="shared" si="135"/>
        <v>13.920911423766455</v>
      </c>
      <c r="AD251" s="15">
        <f t="shared" si="119"/>
        <v>79.094818843098253</v>
      </c>
      <c r="AE251" s="15">
        <f t="shared" si="120"/>
        <v>14.462300951818531</v>
      </c>
      <c r="AF251" s="15">
        <f t="shared" si="121"/>
        <v>0.12230785889696436</v>
      </c>
      <c r="AG251" s="15">
        <f t="shared" si="122"/>
        <v>1.9790105225497964E-5</v>
      </c>
      <c r="AH251" s="15">
        <f t="shared" si="123"/>
        <v>-44.824890037633033</v>
      </c>
      <c r="AI251" s="15">
        <f t="shared" si="124"/>
        <v>-2.9838347133510905</v>
      </c>
      <c r="AJ251" s="31">
        <f t="shared" si="136"/>
        <v>34.39223666436218</v>
      </c>
      <c r="AK251" s="31">
        <f t="shared" si="137"/>
        <v>11.478486028572666</v>
      </c>
      <c r="AL251" s="15">
        <f t="shared" si="125"/>
        <v>0</v>
      </c>
      <c r="AM251" s="15">
        <f t="shared" si="126"/>
        <v>0</v>
      </c>
      <c r="AN251" s="15">
        <f t="shared" si="127"/>
        <v>0</v>
      </c>
      <c r="AO251" s="15">
        <f t="shared" si="128"/>
        <v>0</v>
      </c>
      <c r="AP251" s="31">
        <f t="shared" si="138"/>
        <v>0</v>
      </c>
      <c r="AQ251" s="31">
        <f t="shared" si="139"/>
        <v>0</v>
      </c>
    </row>
    <row r="252" spans="8:43" x14ac:dyDescent="0.25">
      <c r="H252" s="15">
        <v>3.49</v>
      </c>
      <c r="I252" s="45">
        <f t="shared" si="129"/>
        <v>30902.954325135921</v>
      </c>
      <c r="J252" s="32">
        <f t="shared" si="130"/>
        <v>96.508854043368274</v>
      </c>
      <c r="K252" s="32">
        <f t="shared" si="131"/>
        <v>2.3122070564703137</v>
      </c>
      <c r="L252" s="15">
        <f t="shared" si="105"/>
        <v>3.8729613733905581</v>
      </c>
      <c r="M252" s="15">
        <f t="shared" si="106"/>
        <v>-7.2236749645345633</v>
      </c>
      <c r="N252" s="15">
        <f t="shared" si="107"/>
        <v>6.9216454871993668E-2</v>
      </c>
      <c r="O252" s="15">
        <f t="shared" si="108"/>
        <v>-88.979553997075996</v>
      </c>
      <c r="P252" s="15">
        <f t="shared" si="109"/>
        <v>-34.987111270922362</v>
      </c>
      <c r="Q252" s="15">
        <f t="shared" si="110"/>
        <v>-1.1588711637565068</v>
      </c>
      <c r="R252" s="15">
        <f t="shared" si="111"/>
        <v>-1.7768017484538366E-3</v>
      </c>
      <c r="S252" s="31">
        <f t="shared" si="132"/>
        <v>-97.362100125367064</v>
      </c>
      <c r="T252" s="31">
        <f t="shared" si="133"/>
        <v>-23.158808305533856</v>
      </c>
      <c r="U252" s="15">
        <f t="shared" si="112"/>
        <v>6500</v>
      </c>
      <c r="V252" s="15">
        <f t="shared" si="113"/>
        <v>-89.999105812027182</v>
      </c>
      <c r="W252" s="15">
        <f t="shared" si="114"/>
        <v>-96.133876165777835</v>
      </c>
      <c r="X252" s="15">
        <f t="shared" si="115"/>
        <v>88.890724258784758</v>
      </c>
      <c r="Y252" s="15">
        <f t="shared" si="116"/>
        <v>34.262204966371932</v>
      </c>
      <c r="Z252" s="15">
        <f t="shared" si="117"/>
        <v>-18.998608637113836</v>
      </c>
      <c r="AA252" s="15">
        <f t="shared" si="118"/>
        <v>-0.48652606714194313</v>
      </c>
      <c r="AB252" s="31">
        <f t="shared" si="134"/>
        <v>-20.10699019035626</v>
      </c>
      <c r="AC252" s="31">
        <f t="shared" si="135"/>
        <v>13.900069866309268</v>
      </c>
      <c r="AD252" s="15">
        <f t="shared" si="119"/>
        <v>79.337295480121796</v>
      </c>
      <c r="AE252" s="15">
        <f t="shared" si="120"/>
        <v>14.655299496816959</v>
      </c>
      <c r="AF252" s="15">
        <f t="shared" si="121"/>
        <v>0.12515676595070108</v>
      </c>
      <c r="AG252" s="15">
        <f t="shared" si="122"/>
        <v>2.0722781925948604E-5</v>
      </c>
      <c r="AH252" s="15">
        <f t="shared" si="123"/>
        <v>-45.4845078869809</v>
      </c>
      <c r="AI252" s="15">
        <f t="shared" si="124"/>
        <v>-3.0843747239039825</v>
      </c>
      <c r="AJ252" s="31">
        <f t="shared" si="136"/>
        <v>33.977944359091602</v>
      </c>
      <c r="AK252" s="31">
        <f t="shared" si="137"/>
        <v>11.570945495694902</v>
      </c>
      <c r="AL252" s="15">
        <f t="shared" si="125"/>
        <v>0</v>
      </c>
      <c r="AM252" s="15">
        <f t="shared" si="126"/>
        <v>0</v>
      </c>
      <c r="AN252" s="15">
        <f t="shared" si="127"/>
        <v>0</v>
      </c>
      <c r="AO252" s="15">
        <f t="shared" si="128"/>
        <v>0</v>
      </c>
      <c r="AP252" s="31">
        <f t="shared" si="138"/>
        <v>0</v>
      </c>
      <c r="AQ252" s="31">
        <f t="shared" si="139"/>
        <v>0</v>
      </c>
    </row>
    <row r="253" spans="8:43" x14ac:dyDescent="0.25">
      <c r="H253" s="15">
        <v>3.5</v>
      </c>
      <c r="I253" s="45">
        <f t="shared" si="129"/>
        <v>31622.776601683803</v>
      </c>
      <c r="J253" s="32">
        <f t="shared" si="130"/>
        <v>95.488548150006849</v>
      </c>
      <c r="K253" s="32">
        <f t="shared" si="131"/>
        <v>2.1841718582176881</v>
      </c>
      <c r="L253" s="15">
        <f t="shared" si="105"/>
        <v>3.8729613733905581</v>
      </c>
      <c r="M253" s="15">
        <f t="shared" si="106"/>
        <v>-7.3900968200270958</v>
      </c>
      <c r="N253" s="15">
        <f t="shared" si="107"/>
        <v>7.245146336499006E-2</v>
      </c>
      <c r="O253" s="15">
        <f t="shared" si="108"/>
        <v>-89.002777438665746</v>
      </c>
      <c r="P253" s="15">
        <f t="shared" si="109"/>
        <v>-35.187049275397079</v>
      </c>
      <c r="Q253" s="15">
        <f t="shared" si="110"/>
        <v>-1.1858571203460782</v>
      </c>
      <c r="R253" s="15">
        <f t="shared" si="111"/>
        <v>-1.8605219007948961E-3</v>
      </c>
      <c r="S253" s="31">
        <f t="shared" si="132"/>
        <v>-97.578731379038913</v>
      </c>
      <c r="T253" s="31">
        <f t="shared" si="133"/>
        <v>-23.355595021667924</v>
      </c>
      <c r="U253" s="15">
        <f t="shared" si="112"/>
        <v>6500</v>
      </c>
      <c r="V253" s="15">
        <f t="shared" si="113"/>
        <v>-89.99912616623044</v>
      </c>
      <c r="W253" s="15">
        <f t="shared" si="114"/>
        <v>-96.333876165730231</v>
      </c>
      <c r="X253" s="15">
        <f t="shared" si="115"/>
        <v>88.915968361900909</v>
      </c>
      <c r="Y253" s="15">
        <f t="shared" si="116"/>
        <v>34.462131708965742</v>
      </c>
      <c r="Z253" s="15">
        <f t="shared" si="117"/>
        <v>-19.408392378342555</v>
      </c>
      <c r="AA253" s="15">
        <f t="shared" si="118"/>
        <v>-0.50816364375690137</v>
      </c>
      <c r="AB253" s="31">
        <f t="shared" si="134"/>
        <v>-20.491550182672086</v>
      </c>
      <c r="AC253" s="31">
        <f t="shared" si="135"/>
        <v>13.878359032335723</v>
      </c>
      <c r="AD253" s="15">
        <f t="shared" si="119"/>
        <v>79.574626640655154</v>
      </c>
      <c r="AE253" s="15">
        <f t="shared" si="120"/>
        <v>14.848602605926239</v>
      </c>
      <c r="AF253" s="15">
        <f t="shared" si="121"/>
        <v>0.12807203193367964</v>
      </c>
      <c r="AG253" s="15">
        <f t="shared" si="122"/>
        <v>2.1699414109546357E-5</v>
      </c>
      <c r="AH253" s="15">
        <f t="shared" si="123"/>
        <v>-46.143868960870989</v>
      </c>
      <c r="AI253" s="15">
        <f t="shared" si="124"/>
        <v>-3.1872164577904591</v>
      </c>
      <c r="AJ253" s="31">
        <f t="shared" si="136"/>
        <v>33.558829711717848</v>
      </c>
      <c r="AK253" s="31">
        <f t="shared" si="137"/>
        <v>11.661407847549889</v>
      </c>
      <c r="AL253" s="15">
        <f t="shared" si="125"/>
        <v>0</v>
      </c>
      <c r="AM253" s="15">
        <f t="shared" si="126"/>
        <v>0</v>
      </c>
      <c r="AN253" s="15">
        <f t="shared" si="127"/>
        <v>0</v>
      </c>
      <c r="AO253" s="15">
        <f t="shared" si="128"/>
        <v>0</v>
      </c>
      <c r="AP253" s="31">
        <f t="shared" si="138"/>
        <v>0</v>
      </c>
      <c r="AQ253" s="31">
        <f t="shared" si="139"/>
        <v>0</v>
      </c>
    </row>
    <row r="254" spans="8:43" x14ac:dyDescent="0.25">
      <c r="H254" s="15">
        <v>3.51</v>
      </c>
      <c r="I254" s="45">
        <f t="shared" si="129"/>
        <v>32359.365692962834</v>
      </c>
      <c r="J254" s="32">
        <f t="shared" si="130"/>
        <v>94.452025646373954</v>
      </c>
      <c r="K254" s="32">
        <f t="shared" si="131"/>
        <v>2.0533713966645415</v>
      </c>
      <c r="L254" s="15">
        <f t="shared" si="105"/>
        <v>3.8729613733905581</v>
      </c>
      <c r="M254" s="15">
        <f t="shared" si="106"/>
        <v>-7.5602654070394859</v>
      </c>
      <c r="N254" s="15">
        <f t="shared" si="107"/>
        <v>7.5836352348076924E-2</v>
      </c>
      <c r="O254" s="15">
        <f t="shared" si="108"/>
        <v>-89.025472566840264</v>
      </c>
      <c r="P254" s="15">
        <f t="shared" si="109"/>
        <v>-35.38699006930392</v>
      </c>
      <c r="Q254" s="15">
        <f t="shared" si="110"/>
        <v>-1.2134711157959284</v>
      </c>
      <c r="R254" s="15">
        <f t="shared" si="111"/>
        <v>-1.948185932614714E-3</v>
      </c>
      <c r="S254" s="31">
        <f t="shared" si="132"/>
        <v>-97.799209089675671</v>
      </c>
      <c r="T254" s="31">
        <f t="shared" si="133"/>
        <v>-23.552238590623496</v>
      </c>
      <c r="U254" s="15">
        <f t="shared" si="112"/>
        <v>6500</v>
      </c>
      <c r="V254" s="15">
        <f t="shared" si="113"/>
        <v>-89.999146057115453</v>
      </c>
      <c r="W254" s="15">
        <f t="shared" si="114"/>
        <v>-96.533876165684774</v>
      </c>
      <c r="X254" s="15">
        <f t="shared" si="115"/>
        <v>88.940638245810192</v>
      </c>
      <c r="Y254" s="15">
        <f t="shared" si="116"/>
        <v>34.662061747532398</v>
      </c>
      <c r="Z254" s="15">
        <f t="shared" si="117"/>
        <v>-19.825593878174963</v>
      </c>
      <c r="AA254" s="15">
        <f t="shared" si="118"/>
        <v>-0.53070601423076835</v>
      </c>
      <c r="AB254" s="31">
        <f t="shared" si="134"/>
        <v>-20.884101689480225</v>
      </c>
      <c r="AC254" s="31">
        <f t="shared" si="135"/>
        <v>13.85574670047397</v>
      </c>
      <c r="AD254" s="15">
        <f t="shared" si="119"/>
        <v>79.806905568058511</v>
      </c>
      <c r="AE254" s="15">
        <f t="shared" si="120"/>
        <v>15.042197470328951</v>
      </c>
      <c r="AF254" s="15">
        <f t="shared" si="121"/>
        <v>0.13105520249809965</v>
      </c>
      <c r="AG254" s="15">
        <f t="shared" si="122"/>
        <v>2.2722073314665784E-5</v>
      </c>
      <c r="AH254" s="15">
        <f t="shared" si="123"/>
        <v>-46.802624345026771</v>
      </c>
      <c r="AI254" s="15">
        <f t="shared" si="124"/>
        <v>-3.2923569055881985</v>
      </c>
      <c r="AJ254" s="31">
        <f t="shared" si="136"/>
        <v>33.135336425529843</v>
      </c>
      <c r="AK254" s="31">
        <f t="shared" si="137"/>
        <v>11.749863286814067</v>
      </c>
      <c r="AL254" s="15">
        <f t="shared" si="125"/>
        <v>0</v>
      </c>
      <c r="AM254" s="15">
        <f t="shared" si="126"/>
        <v>0</v>
      </c>
      <c r="AN254" s="15">
        <f t="shared" si="127"/>
        <v>0</v>
      </c>
      <c r="AO254" s="15">
        <f t="shared" si="128"/>
        <v>0</v>
      </c>
      <c r="AP254" s="31">
        <f t="shared" si="138"/>
        <v>0</v>
      </c>
      <c r="AQ254" s="31">
        <f t="shared" si="139"/>
        <v>0</v>
      </c>
    </row>
    <row r="255" spans="8:43" x14ac:dyDescent="0.25">
      <c r="H255" s="15">
        <v>3.52</v>
      </c>
      <c r="I255" s="45">
        <f t="shared" si="129"/>
        <v>33113.112148259112</v>
      </c>
      <c r="J255" s="32">
        <f t="shared" si="130"/>
        <v>93.39959206854337</v>
      </c>
      <c r="K255" s="32">
        <f t="shared" si="131"/>
        <v>1.9197725571967794</v>
      </c>
      <c r="L255" s="15">
        <f t="shared" si="105"/>
        <v>3.8729613733905581</v>
      </c>
      <c r="M255" s="15">
        <f t="shared" si="106"/>
        <v>-7.7342589365023775</v>
      </c>
      <c r="N255" s="15">
        <f t="shared" si="107"/>
        <v>7.9377940894323193E-2</v>
      </c>
      <c r="O255" s="15">
        <f t="shared" si="108"/>
        <v>-89.047651386353806</v>
      </c>
      <c r="P255" s="15">
        <f t="shared" si="109"/>
        <v>-35.586933527170437</v>
      </c>
      <c r="Q255" s="15">
        <f t="shared" si="110"/>
        <v>-1.2417277400689415</v>
      </c>
      <c r="R255" s="15">
        <f t="shared" si="111"/>
        <v>-2.0399795464189404E-3</v>
      </c>
      <c r="S255" s="31">
        <f t="shared" si="132"/>
        <v>-98.023638062925116</v>
      </c>
      <c r="T255" s="31">
        <f t="shared" si="133"/>
        <v>-23.74873225355757</v>
      </c>
      <c r="U255" s="15">
        <f t="shared" si="112"/>
        <v>6500</v>
      </c>
      <c r="V255" s="15">
        <f t="shared" si="113"/>
        <v>-89.999165495228638</v>
      </c>
      <c r="W255" s="15">
        <f t="shared" si="114"/>
        <v>-96.733876165641348</v>
      </c>
      <c r="X255" s="15">
        <f t="shared" si="115"/>
        <v>88.964746954201985</v>
      </c>
      <c r="Y255" s="15">
        <f t="shared" si="116"/>
        <v>34.861994933830147</v>
      </c>
      <c r="Z255" s="15">
        <f t="shared" si="117"/>
        <v>-20.250257324714472</v>
      </c>
      <c r="AA255" s="15">
        <f t="shared" si="118"/>
        <v>-0.55418603204788652</v>
      </c>
      <c r="AB255" s="31">
        <f t="shared" si="134"/>
        <v>-21.284675865741125</v>
      </c>
      <c r="AC255" s="31">
        <f t="shared" si="135"/>
        <v>13.832199868998027</v>
      </c>
      <c r="AD255" s="15">
        <f t="shared" si="119"/>
        <v>80.034224864299674</v>
      </c>
      <c r="AE255" s="15">
        <f t="shared" si="120"/>
        <v>15.236071782333454</v>
      </c>
      <c r="AF255" s="15">
        <f t="shared" si="121"/>
        <v>0.13410785929574787</v>
      </c>
      <c r="AG255" s="15">
        <f t="shared" si="122"/>
        <v>2.3792928706240869E-5</v>
      </c>
      <c r="AH255" s="15">
        <f t="shared" si="123"/>
        <v>-47.460426726385812</v>
      </c>
      <c r="AI255" s="15">
        <f t="shared" si="124"/>
        <v>-3.3997906335058374</v>
      </c>
      <c r="AJ255" s="31">
        <f t="shared" si="136"/>
        <v>32.707905997209615</v>
      </c>
      <c r="AK255" s="31">
        <f t="shared" si="137"/>
        <v>11.836304941756323</v>
      </c>
      <c r="AL255" s="15">
        <f t="shared" si="125"/>
        <v>0</v>
      </c>
      <c r="AM255" s="15">
        <f t="shared" si="126"/>
        <v>0</v>
      </c>
      <c r="AN255" s="15">
        <f t="shared" si="127"/>
        <v>0</v>
      </c>
      <c r="AO255" s="15">
        <f t="shared" si="128"/>
        <v>0</v>
      </c>
      <c r="AP255" s="31">
        <f t="shared" si="138"/>
        <v>0</v>
      </c>
      <c r="AQ255" s="31">
        <f t="shared" si="139"/>
        <v>0</v>
      </c>
    </row>
    <row r="256" spans="8:43" x14ac:dyDescent="0.25">
      <c r="H256" s="15">
        <v>3.53</v>
      </c>
      <c r="I256" s="45">
        <f t="shared" si="129"/>
        <v>33884.415613920253</v>
      </c>
      <c r="J256" s="32">
        <f t="shared" si="130"/>
        <v>92.331553914536244</v>
      </c>
      <c r="K256" s="32">
        <f t="shared" si="131"/>
        <v>1.7833446288429933</v>
      </c>
      <c r="L256" s="15">
        <f t="shared" si="105"/>
        <v>3.8729613733905581</v>
      </c>
      <c r="M256" s="15">
        <f t="shared" si="106"/>
        <v>-7.912156818883143</v>
      </c>
      <c r="N256" s="15">
        <f t="shared" si="107"/>
        <v>8.3083346494807447E-2</v>
      </c>
      <c r="O256" s="15">
        <f t="shared" si="108"/>
        <v>-89.069325630108366</v>
      </c>
      <c r="P256" s="15">
        <f t="shared" si="109"/>
        <v>-35.786879529164956</v>
      </c>
      <c r="Q256" s="15">
        <f t="shared" si="110"/>
        <v>-1.2706419201897048</v>
      </c>
      <c r="R256" s="15">
        <f t="shared" si="111"/>
        <v>-2.136097180521537E-3</v>
      </c>
      <c r="S256" s="31">
        <f t="shared" si="132"/>
        <v>-98.252124369181217</v>
      </c>
      <c r="T256" s="31">
        <f t="shared" si="133"/>
        <v>-23.945068967585708</v>
      </c>
      <c r="U256" s="15">
        <f t="shared" si="112"/>
        <v>6500</v>
      </c>
      <c r="V256" s="15">
        <f t="shared" si="113"/>
        <v>-89.99918449087636</v>
      </c>
      <c r="W256" s="15">
        <f t="shared" si="114"/>
        <v>-96.933876165599884</v>
      </c>
      <c r="X256" s="15">
        <f t="shared" si="115"/>
        <v>88.988307235664919</v>
      </c>
      <c r="Y256" s="15">
        <f t="shared" si="116"/>
        <v>35.061931126280307</v>
      </c>
      <c r="Z256" s="15">
        <f t="shared" si="117"/>
        <v>-20.682421195116241</v>
      </c>
      <c r="AA256" s="15">
        <f t="shared" si="118"/>
        <v>-0.57863732404207957</v>
      </c>
      <c r="AB256" s="31">
        <f t="shared" si="134"/>
        <v>-21.693298450327681</v>
      </c>
      <c r="AC256" s="31">
        <f t="shared" si="135"/>
        <v>13.807684769495458</v>
      </c>
      <c r="AD256" s="15">
        <f t="shared" si="119"/>
        <v>80.256676417351628</v>
      </c>
      <c r="AE256" s="15">
        <f t="shared" si="120"/>
        <v>15.430213718989991</v>
      </c>
      <c r="AF256" s="15">
        <f t="shared" si="121"/>
        <v>0.13723162081630205</v>
      </c>
      <c r="AG256" s="15">
        <f t="shared" si="122"/>
        <v>2.4914251673489997E-5</v>
      </c>
      <c r="AH256" s="15">
        <f t="shared" si="123"/>
        <v>-48.116931304122801</v>
      </c>
      <c r="AI256" s="15">
        <f t="shared" si="124"/>
        <v>-3.5095098063084205</v>
      </c>
      <c r="AJ256" s="31">
        <f t="shared" si="136"/>
        <v>32.276976734045135</v>
      </c>
      <c r="AK256" s="31">
        <f t="shared" si="137"/>
        <v>11.920728826933244</v>
      </c>
      <c r="AL256" s="15">
        <f t="shared" si="125"/>
        <v>0</v>
      </c>
      <c r="AM256" s="15">
        <f t="shared" si="126"/>
        <v>0</v>
      </c>
      <c r="AN256" s="15">
        <f t="shared" si="127"/>
        <v>0</v>
      </c>
      <c r="AO256" s="15">
        <f t="shared" si="128"/>
        <v>0</v>
      </c>
      <c r="AP256" s="31">
        <f t="shared" si="138"/>
        <v>0</v>
      </c>
      <c r="AQ256" s="31">
        <f t="shared" si="139"/>
        <v>0</v>
      </c>
    </row>
    <row r="257" spans="8:43" x14ac:dyDescent="0.25">
      <c r="H257" s="15">
        <v>3.54</v>
      </c>
      <c r="I257" s="45">
        <f t="shared" si="129"/>
        <v>34673.685045253224</v>
      </c>
      <c r="J257" s="32">
        <f t="shared" si="130"/>
        <v>91.248218068060055</v>
      </c>
      <c r="K257" s="32">
        <f t="shared" si="131"/>
        <v>1.6440592841157304</v>
      </c>
      <c r="L257" s="15">
        <f t="shared" si="105"/>
        <v>3.8729613733905581</v>
      </c>
      <c r="M257" s="15">
        <f t="shared" si="106"/>
        <v>-8.0940396506804113</v>
      </c>
      <c r="N257" s="15">
        <f t="shared" si="107"/>
        <v>8.6959997000585321E-2</v>
      </c>
      <c r="O257" s="15">
        <f t="shared" si="108"/>
        <v>-89.090506765247795</v>
      </c>
      <c r="P257" s="15">
        <f t="shared" si="109"/>
        <v>-35.986827960843335</v>
      </c>
      <c r="Q257" s="15">
        <f t="shared" si="110"/>
        <v>-1.300228927897058</v>
      </c>
      <c r="R257" s="15">
        <f t="shared" si="111"/>
        <v>-2.2367424192047476E-3</v>
      </c>
      <c r="S257" s="31">
        <f t="shared" si="132"/>
        <v>-98.484775343825262</v>
      </c>
      <c r="T257" s="31">
        <f t="shared" si="133"/>
        <v>-24.141241393996989</v>
      </c>
      <c r="U257" s="15">
        <f t="shared" si="112"/>
        <v>6500</v>
      </c>
      <c r="V257" s="15">
        <f t="shared" si="113"/>
        <v>-89.999203054130348</v>
      </c>
      <c r="W257" s="15">
        <f t="shared" si="114"/>
        <v>-97.133876165560281</v>
      </c>
      <c r="X257" s="15">
        <f t="shared" si="115"/>
        <v>89.011331550283472</v>
      </c>
      <c r="Y257" s="15">
        <f t="shared" si="116"/>
        <v>35.261870189668144</v>
      </c>
      <c r="Z257" s="15">
        <f t="shared" si="117"/>
        <v>-21.122117877832235</v>
      </c>
      <c r="AA257" s="15">
        <f t="shared" si="118"/>
        <v>-0.60409427299908791</v>
      </c>
      <c r="AB257" s="31">
        <f t="shared" si="134"/>
        <v>-22.10998938167911</v>
      </c>
      <c r="AC257" s="31">
        <f t="shared" si="135"/>
        <v>13.782166883965889</v>
      </c>
      <c r="AD257" s="15">
        <f t="shared" si="119"/>
        <v>80.47435133488537</v>
      </c>
      <c r="AE257" s="15">
        <f t="shared" si="120"/>
        <v>15.624611925957588</v>
      </c>
      <c r="AF257" s="15">
        <f t="shared" si="121"/>
        <v>0.14042814324514474</v>
      </c>
      <c r="AG257" s="15">
        <f t="shared" si="122"/>
        <v>2.6088420653275235E-5</v>
      </c>
      <c r="AH257" s="15">
        <f t="shared" si="123"/>
        <v>-48.771796684566077</v>
      </c>
      <c r="AI257" s="15">
        <f t="shared" si="124"/>
        <v>-3.6215042202314125</v>
      </c>
      <c r="AJ257" s="31">
        <f t="shared" si="136"/>
        <v>31.842982793564438</v>
      </c>
      <c r="AK257" s="31">
        <f t="shared" si="137"/>
        <v>12.00313379414683</v>
      </c>
      <c r="AL257" s="15">
        <f t="shared" si="125"/>
        <v>0</v>
      </c>
      <c r="AM257" s="15">
        <f t="shared" si="126"/>
        <v>0</v>
      </c>
      <c r="AN257" s="15">
        <f t="shared" si="127"/>
        <v>0</v>
      </c>
      <c r="AO257" s="15">
        <f t="shared" si="128"/>
        <v>0</v>
      </c>
      <c r="AP257" s="31">
        <f t="shared" si="138"/>
        <v>0</v>
      </c>
      <c r="AQ257" s="31">
        <f t="shared" si="139"/>
        <v>0</v>
      </c>
    </row>
    <row r="258" spans="8:43" x14ac:dyDescent="0.25">
      <c r="H258" s="15">
        <v>3.55</v>
      </c>
      <c r="I258" s="45">
        <f t="shared" si="129"/>
        <v>35481.338923357536</v>
      </c>
      <c r="J258" s="32">
        <f t="shared" si="130"/>
        <v>90.149891258887308</v>
      </c>
      <c r="K258" s="32">
        <f t="shared" si="131"/>
        <v>1.5018905534074563</v>
      </c>
      <c r="L258" s="15">
        <f t="shared" si="105"/>
        <v>3.8729613733905581</v>
      </c>
      <c r="M258" s="15">
        <f t="shared" si="106"/>
        <v>-8.2799891979956186</v>
      </c>
      <c r="N258" s="15">
        <f t="shared" si="107"/>
        <v>9.1015642935969046E-2</v>
      </c>
      <c r="O258" s="15">
        <f t="shared" si="108"/>
        <v>-89.111205999119505</v>
      </c>
      <c r="P258" s="15">
        <f t="shared" si="109"/>
        <v>-36.186778712906872</v>
      </c>
      <c r="Q258" s="15">
        <f t="shared" si="110"/>
        <v>-1.3305043874607139</v>
      </c>
      <c r="R258" s="15">
        <f t="shared" si="111"/>
        <v>-2.3421284220428076E-3</v>
      </c>
      <c r="S258" s="31">
        <f t="shared" si="132"/>
        <v>-98.721699584575845</v>
      </c>
      <c r="T258" s="31">
        <f t="shared" si="133"/>
        <v>-24.337241886127984</v>
      </c>
      <c r="U258" s="15">
        <f t="shared" si="112"/>
        <v>6500</v>
      </c>
      <c r="V258" s="15">
        <f t="shared" si="113"/>
        <v>-89.999221194833098</v>
      </c>
      <c r="W258" s="15">
        <f t="shared" si="114"/>
        <v>-97.333876165522469</v>
      </c>
      <c r="X258" s="15">
        <f t="shared" si="115"/>
        <v>89.033832076092594</v>
      </c>
      <c r="Y258" s="15">
        <f t="shared" si="116"/>
        <v>35.461811994857108</v>
      </c>
      <c r="Z258" s="15">
        <f t="shared" si="117"/>
        <v>-21.569373288657065</v>
      </c>
      <c r="AA258" s="15">
        <f t="shared" si="118"/>
        <v>-0.63059199663837651</v>
      </c>
      <c r="AB258" s="31">
        <f t="shared" si="134"/>
        <v>-22.534762407397569</v>
      </c>
      <c r="AC258" s="31">
        <f t="shared" si="135"/>
        <v>13.755610965553377</v>
      </c>
      <c r="AD258" s="15">
        <f t="shared" si="119"/>
        <v>80.687339883920018</v>
      </c>
      <c r="AE258" s="15">
        <f t="shared" si="120"/>
        <v>15.819255501646483</v>
      </c>
      <c r="AF258" s="15">
        <f t="shared" si="121"/>
        <v>0.1436991213411386</v>
      </c>
      <c r="AG258" s="15">
        <f t="shared" si="122"/>
        <v>2.7317926173308493E-5</v>
      </c>
      <c r="AH258" s="15">
        <f t="shared" si="123"/>
        <v>-49.424685754400443</v>
      </c>
      <c r="AI258" s="15">
        <f t="shared" si="124"/>
        <v>-3.7357613455905918</v>
      </c>
      <c r="AJ258" s="31">
        <f t="shared" si="136"/>
        <v>31.406353250860718</v>
      </c>
      <c r="AK258" s="31">
        <f t="shared" si="137"/>
        <v>12.083521473982064</v>
      </c>
      <c r="AL258" s="15">
        <f t="shared" si="125"/>
        <v>0</v>
      </c>
      <c r="AM258" s="15">
        <f t="shared" si="126"/>
        <v>0</v>
      </c>
      <c r="AN258" s="15">
        <f t="shared" si="127"/>
        <v>0</v>
      </c>
      <c r="AO258" s="15">
        <f t="shared" si="128"/>
        <v>0</v>
      </c>
      <c r="AP258" s="31">
        <f t="shared" si="138"/>
        <v>0</v>
      </c>
      <c r="AQ258" s="31">
        <f t="shared" si="139"/>
        <v>0</v>
      </c>
    </row>
    <row r="259" spans="8:43" x14ac:dyDescent="0.25">
      <c r="H259" s="15">
        <v>3.56</v>
      </c>
      <c r="I259" s="45">
        <f t="shared" si="129"/>
        <v>36307.805477010188</v>
      </c>
      <c r="J259" s="32">
        <f t="shared" si="130"/>
        <v>89.036879563771464</v>
      </c>
      <c r="K259" s="32">
        <f t="shared" si="131"/>
        <v>1.3568147945374562</v>
      </c>
      <c r="L259" s="15">
        <f t="shared" ref="L259:L322" si="140">A_PS</f>
        <v>3.8729613733905581</v>
      </c>
      <c r="M259" s="15">
        <f t="shared" ref="M259:M322" si="141">-180/PI()*ATAN($I259/z_RHP/1000)</f>
        <v>-8.4700883769678317</v>
      </c>
      <c r="N259" s="15">
        <f t="shared" ref="N259:N322" si="142">20*LOG(SQRT(($I259/z_RHP/1000)^2+1))</f>
        <v>9.5258370184040111E-2</v>
      </c>
      <c r="O259" s="15">
        <f t="shared" ref="O259:O322" si="143">-180/PI()*ATAN($I259/p_small)</f>
        <v>-89.131434285106238</v>
      </c>
      <c r="P259" s="15">
        <f t="shared" ref="P259:P322" si="144">-20*LOG(SQRT(($I259/p_small)^2+1))</f>
        <v>-36.386731680971373</v>
      </c>
      <c r="Q259" s="15">
        <f t="shared" ref="Q259:Q322" si="145">-180/PI()*ATAN($I259/p_large/1000)</f>
        <v>-1.3614842836648233</v>
      </c>
      <c r="R259" s="15">
        <f t="shared" ref="R259:R322" si="146">-20*LOG(SQRT(($I259/p_large/1000)^2+1))</f>
        <v>-2.4524783733280739E-3</v>
      </c>
      <c r="S259" s="31">
        <f t="shared" si="132"/>
        <v>-98.963006945738897</v>
      </c>
      <c r="T259" s="31">
        <f t="shared" si="133"/>
        <v>-24.533062476895701</v>
      </c>
      <c r="U259" s="15">
        <f t="shared" ref="U259:U322" si="147">A_EA</f>
        <v>6500</v>
      </c>
      <c r="V259" s="15">
        <f t="shared" ref="V259:V322" si="148">-180/PI()*ATAN($I259/p_EA)</f>
        <v>-89.999238922603013</v>
      </c>
      <c r="W259" s="15">
        <f t="shared" ref="W259:W322" si="149">-20*LOG(SQRT(($I259/p_EA)^2+1))</f>
        <v>-97.533876165486362</v>
      </c>
      <c r="X259" s="15">
        <f t="shared" ref="X259:X322" si="150">180/PI()*ATAN($I259/z_comp)</f>
        <v>89.05582071539277</v>
      </c>
      <c r="Y259" s="15">
        <f t="shared" ref="Y259:Y322" si="151">20*LOG(SQRT(($I259/z_comp)^2+1))</f>
        <v>35.661756418516106</v>
      </c>
      <c r="Z259" s="15">
        <f t="shared" ref="Z259:Z322" si="152">IF(p_comp="",0,-180/PI()*ATAN($I259/p_comp/1000))</f>
        <v>-22.024206481910095</v>
      </c>
      <c r="AA259" s="15">
        <f t="shared" ref="AA259:AA322" si="153">IF(p_comp="",0,-20*LOG(SQRT(($I259/p_comp/1000)^2+1)))</f>
        <v>-0.65816632277506393</v>
      </c>
      <c r="AB259" s="31">
        <f t="shared" si="134"/>
        <v>-22.967624689120338</v>
      </c>
      <c r="AC259" s="31">
        <f t="shared" si="135"/>
        <v>13.727981063111795</v>
      </c>
      <c r="AD259" s="15">
        <f t="shared" ref="AD259:AD322" si="154">IF(z_esr_1="",0,180/PI()*ATAN($I259/z_esr_1/1000))</f>
        <v>80.895731436102736</v>
      </c>
      <c r="AE259" s="15">
        <f t="shared" ref="AE259:AE322" si="155">IF(z_esr_1="",0,20*LOG(SQRT(($I259/z_esr_1/1000)^2+1)))</f>
        <v>16.014133981657611</v>
      </c>
      <c r="AF259" s="15">
        <f t="shared" ref="AF259:AF322" si="156">180/PI()*ATAN($I259/z_esr_2/1000)</f>
        <v>0.1470462893348328</v>
      </c>
      <c r="AG259" s="15">
        <f t="shared" ref="AG259:AG322" si="157">20*LOG(SQRT(($I259/z_esr_2/1000)^2+1))</f>
        <v>2.8605376130631613E-5</v>
      </c>
      <c r="AH259" s="15">
        <f t="shared" ref="AH259:AH322" si="158">IF(p_esr="",0,-180/PI()*ATAN($I259/p_esr/1000))</f>
        <v>-50.075266526806871</v>
      </c>
      <c r="AI259" s="15">
        <f t="shared" ref="AI259:AI322" si="159">IF(p_esr="",0,-20*LOG(SQRT(($I259/p_esr/1000)^2+1)))</f>
        <v>-3.8522663787123781</v>
      </c>
      <c r="AJ259" s="31">
        <f t="shared" si="136"/>
        <v>30.967511198630703</v>
      </c>
      <c r="AK259" s="31">
        <f t="shared" si="137"/>
        <v>12.161896208321362</v>
      </c>
      <c r="AL259" s="15">
        <f t="shared" ref="AL259:AL322" si="160">IF(z_ff="",0,180/PI()*ATAN($I259/z_ff/1000))</f>
        <v>0</v>
      </c>
      <c r="AM259" s="15">
        <f t="shared" ref="AM259:AM322" si="161">IF(z_ff="",0,20*LOG(SQRT(($I259/z_ff/1000)^2+1)))</f>
        <v>0</v>
      </c>
      <c r="AN259" s="15">
        <f t="shared" ref="AN259:AN322" si="162">IF(p_ff="",0,-180/PI()*ATAN($I259/p_ff/1000))</f>
        <v>0</v>
      </c>
      <c r="AO259" s="15">
        <f t="shared" ref="AO259:AO322" si="163">IF(p_ff="",0,-20*LOG(SQRT(($I259/p_ff/1000)^2+1)))</f>
        <v>0</v>
      </c>
      <c r="AP259" s="31">
        <f t="shared" si="138"/>
        <v>0</v>
      </c>
      <c r="AQ259" s="31">
        <f t="shared" si="139"/>
        <v>0</v>
      </c>
    </row>
    <row r="260" spans="8:43" x14ac:dyDescent="0.25">
      <c r="H260" s="15">
        <v>3.57</v>
      </c>
      <c r="I260" s="45">
        <f t="shared" ref="I260:I323" si="164">10*10^H260</f>
        <v>37153.522909717241</v>
      </c>
      <c r="J260" s="32">
        <f t="shared" ref="J260:J303" si="165">180+S260+AB260+AJ260+AP260</f>
        <v>87.909487951348311</v>
      </c>
      <c r="K260" s="32">
        <f t="shared" ref="K260:K303" si="166">T260+AC260+AK260+AQ260</f>
        <v>1.2088106581116129</v>
      </c>
      <c r="L260" s="15">
        <f t="shared" si="140"/>
        <v>3.8729613733905581</v>
      </c>
      <c r="M260" s="15">
        <f t="shared" si="141"/>
        <v>-8.6644212308462745</v>
      </c>
      <c r="N260" s="15">
        <f t="shared" si="142"/>
        <v>9.9696613043962906E-2</v>
      </c>
      <c r="O260" s="15">
        <f t="shared" si="143"/>
        <v>-89.151202328330626</v>
      </c>
      <c r="P260" s="15">
        <f t="shared" si="144"/>
        <v>-36.586686765346165</v>
      </c>
      <c r="Q260" s="15">
        <f t="shared" si="145"/>
        <v>-1.3931849699611802</v>
      </c>
      <c r="R260" s="15">
        <f t="shared" si="146"/>
        <v>-2.5680259524617499E-3</v>
      </c>
      <c r="S260" s="31">
        <f t="shared" ref="S260:S303" si="167">M260+O260+Q260</f>
        <v>-99.208808529138082</v>
      </c>
      <c r="T260" s="31">
        <f t="shared" ref="T260:T303" si="168">20*LOG(L260)+N260+P260+R260</f>
        <v>-24.728694865989702</v>
      </c>
      <c r="U260" s="15">
        <f t="shared" si="147"/>
        <v>6500</v>
      </c>
      <c r="V260" s="15">
        <f t="shared" si="148"/>
        <v>-89.999256246839636</v>
      </c>
      <c r="W260" s="15">
        <f t="shared" si="149"/>
        <v>-97.733876165451861</v>
      </c>
      <c r="X260" s="15">
        <f t="shared" si="150"/>
        <v>89.077309100928375</v>
      </c>
      <c r="Y260" s="15">
        <f t="shared" si="151"/>
        <v>35.861703342858533</v>
      </c>
      <c r="Z260" s="15">
        <f t="shared" si="152"/>
        <v>-22.486629258248229</v>
      </c>
      <c r="AA260" s="15">
        <f t="shared" si="153"/>
        <v>-0.68685376046944691</v>
      </c>
      <c r="AB260" s="31">
        <f t="shared" ref="AB260:AB303" si="169">V260+X260+Z260</f>
        <v>-23.40857640415949</v>
      </c>
      <c r="AC260" s="31">
        <f t="shared" ref="AC260:AC303" si="170">20*LOG(U260)+W260+Y260+AA260</f>
        <v>13.699240549794339</v>
      </c>
      <c r="AD260" s="15">
        <f t="shared" si="154"/>
        <v>81.099614418300575</v>
      </c>
      <c r="AE260" s="15">
        <f t="shared" si="155"/>
        <v>16.209237323536577</v>
      </c>
      <c r="AF260" s="15">
        <f t="shared" si="156"/>
        <v>0.15047142184756351</v>
      </c>
      <c r="AG260" s="15">
        <f t="shared" si="157"/>
        <v>2.9953501324655026E-5</v>
      </c>
      <c r="AH260" s="15">
        <f t="shared" si="158"/>
        <v>-50.723212955502262</v>
      </c>
      <c r="AI260" s="15">
        <f t="shared" si="159"/>
        <v>-3.9710023027309278</v>
      </c>
      <c r="AJ260" s="31">
        <f t="shared" ref="AJ260:AJ303" si="171">AD260+AF260+AH260</f>
        <v>30.526872884645883</v>
      </c>
      <c r="AK260" s="31">
        <f t="shared" ref="AK260:AK303" si="172">AE260+AG260+AI260</f>
        <v>12.238264974306976</v>
      </c>
      <c r="AL260" s="15">
        <f t="shared" si="160"/>
        <v>0</v>
      </c>
      <c r="AM260" s="15">
        <f t="shared" si="161"/>
        <v>0</v>
      </c>
      <c r="AN260" s="15">
        <f t="shared" si="162"/>
        <v>0</v>
      </c>
      <c r="AO260" s="15">
        <f t="shared" si="163"/>
        <v>0</v>
      </c>
      <c r="AP260" s="31">
        <f t="shared" ref="AP260:AP303" si="173">AL260+AN260</f>
        <v>0</v>
      </c>
      <c r="AQ260" s="31">
        <f t="shared" ref="AQ260:AQ303" si="174">AM260+AO260</f>
        <v>0</v>
      </c>
    </row>
    <row r="261" spans="8:43" x14ac:dyDescent="0.25">
      <c r="H261" s="15">
        <v>3.58</v>
      </c>
      <c r="I261" s="45">
        <f t="shared" si="164"/>
        <v>38018.939632056172</v>
      </c>
      <c r="J261" s="32">
        <f t="shared" si="165"/>
        <v>86.768019873949299</v>
      </c>
      <c r="K261" s="32">
        <f t="shared" si="166"/>
        <v>1.0578590494146844</v>
      </c>
      <c r="L261" s="15">
        <f t="shared" si="140"/>
        <v>3.8729613733905581</v>
      </c>
      <c r="M261" s="15">
        <f t="shared" si="141"/>
        <v>-8.8630729034652251</v>
      </c>
      <c r="N261" s="15">
        <f t="shared" si="142"/>
        <v>0.10433916765826465</v>
      </c>
      <c r="O261" s="15">
        <f t="shared" si="143"/>
        <v>-89.170520591235061</v>
      </c>
      <c r="P261" s="15">
        <f t="shared" si="144"/>
        <v>-36.78664387082349</v>
      </c>
      <c r="Q261" s="15">
        <f t="shared" si="145"/>
        <v>-1.4256231767950187</v>
      </c>
      <c r="R261" s="15">
        <f t="shared" si="146"/>
        <v>-2.6890158263434081E-3</v>
      </c>
      <c r="S261" s="31">
        <f t="shared" si="167"/>
        <v>-99.459216671495298</v>
      </c>
      <c r="T261" s="31">
        <f t="shared" si="168"/>
        <v>-24.924130406726608</v>
      </c>
      <c r="U261" s="15">
        <f t="shared" si="147"/>
        <v>6500</v>
      </c>
      <c r="V261" s="15">
        <f t="shared" si="148"/>
        <v>-89.999273176728494</v>
      </c>
      <c r="W261" s="15">
        <f t="shared" si="149"/>
        <v>-97.933876165418937</v>
      </c>
      <c r="X261" s="15">
        <f t="shared" si="150"/>
        <v>89.098308601932018</v>
      </c>
      <c r="Y261" s="15">
        <f t="shared" si="151"/>
        <v>36.061652655393573</v>
      </c>
      <c r="Z261" s="15">
        <f t="shared" si="152"/>
        <v>-22.956645770772198</v>
      </c>
      <c r="AA261" s="15">
        <f t="shared" si="153"/>
        <v>-0.71669146698123087</v>
      </c>
      <c r="AB261" s="31">
        <f t="shared" si="169"/>
        <v>-23.857610345568673</v>
      </c>
      <c r="AC261" s="31">
        <f t="shared" si="170"/>
        <v>13.669352155850518</v>
      </c>
      <c r="AD261" s="15">
        <f t="shared" si="154"/>
        <v>81.299076268198462</v>
      </c>
      <c r="AE261" s="15">
        <f t="shared" si="155"/>
        <v>16.404555891858113</v>
      </c>
      <c r="AF261" s="15">
        <f t="shared" si="156"/>
        <v>0.15397633483194947</v>
      </c>
      <c r="AG261" s="15">
        <f t="shared" si="157"/>
        <v>3.1365161252467117E-5</v>
      </c>
      <c r="AH261" s="15">
        <f t="shared" si="158"/>
        <v>-51.368205712017136</v>
      </c>
      <c r="AI261" s="15">
        <f t="shared" si="159"/>
        <v>-4.0919499567285911</v>
      </c>
      <c r="AJ261" s="31">
        <f t="shared" si="171"/>
        <v>30.084846891013278</v>
      </c>
      <c r="AK261" s="31">
        <f t="shared" si="172"/>
        <v>12.312637300290774</v>
      </c>
      <c r="AL261" s="15">
        <f t="shared" si="160"/>
        <v>0</v>
      </c>
      <c r="AM261" s="15">
        <f t="shared" si="161"/>
        <v>0</v>
      </c>
      <c r="AN261" s="15">
        <f t="shared" si="162"/>
        <v>0</v>
      </c>
      <c r="AO261" s="15">
        <f t="shared" si="163"/>
        <v>0</v>
      </c>
      <c r="AP261" s="31">
        <f t="shared" si="173"/>
        <v>0</v>
      </c>
      <c r="AQ261" s="31">
        <f t="shared" si="174"/>
        <v>0</v>
      </c>
    </row>
    <row r="262" spans="8:43" x14ac:dyDescent="0.25">
      <c r="H262" s="15">
        <v>3.59</v>
      </c>
      <c r="I262" s="45">
        <f t="shared" si="164"/>
        <v>38904.514499428107</v>
      </c>
      <c r="J262" s="32">
        <f t="shared" si="165"/>
        <v>85.612776908701818</v>
      </c>
      <c r="K262" s="32">
        <f t="shared" si="166"/>
        <v>0.90394308760073017</v>
      </c>
      <c r="L262" s="15">
        <f t="shared" si="140"/>
        <v>3.8729613733905581</v>
      </c>
      <c r="M262" s="15">
        <f t="shared" si="141"/>
        <v>-9.0661296088728989</v>
      </c>
      <c r="N262" s="15">
        <f t="shared" si="142"/>
        <v>0.10919520580656014</v>
      </c>
      <c r="O262" s="15">
        <f t="shared" si="143"/>
        <v>-89.189399299039053</v>
      </c>
      <c r="P262" s="15">
        <f t="shared" si="144"/>
        <v>-36.986602906476847</v>
      </c>
      <c r="Q262" s="15">
        <f t="shared" si="145"/>
        <v>-1.4588160201060159</v>
      </c>
      <c r="R262" s="15">
        <f t="shared" si="146"/>
        <v>-2.8157041647379503E-3</v>
      </c>
      <c r="S262" s="31">
        <f t="shared" si="167"/>
        <v>-99.714344928017965</v>
      </c>
      <c r="T262" s="31">
        <f t="shared" si="168"/>
        <v>-25.119360092570062</v>
      </c>
      <c r="U262" s="15">
        <f t="shared" si="147"/>
        <v>6500</v>
      </c>
      <c r="V262" s="15">
        <f t="shared" si="148"/>
        <v>-89.999289721246029</v>
      </c>
      <c r="W262" s="15">
        <f t="shared" si="149"/>
        <v>-98.133876165387477</v>
      </c>
      <c r="X262" s="15">
        <f t="shared" si="150"/>
        <v>89.118830330037241</v>
      </c>
      <c r="Y262" s="15">
        <f t="shared" si="151"/>
        <v>36.261604248688059</v>
      </c>
      <c r="Z262" s="15">
        <f t="shared" si="152"/>
        <v>-23.43425213125229</v>
      </c>
      <c r="AA262" s="15">
        <f t="shared" si="153"/>
        <v>-0.7477172103574472</v>
      </c>
      <c r="AB262" s="31">
        <f t="shared" si="169"/>
        <v>-24.314711522461078</v>
      </c>
      <c r="AC262" s="31">
        <f t="shared" si="170"/>
        <v>13.638278005800249</v>
      </c>
      <c r="AD262" s="15">
        <f t="shared" si="154"/>
        <v>81.494203394606913</v>
      </c>
      <c r="AE262" s="15">
        <f t="shared" si="155"/>
        <v>16.600080443652388</v>
      </c>
      <c r="AF262" s="15">
        <f t="shared" si="156"/>
        <v>0.15756288653426262</v>
      </c>
      <c r="AG262" s="15">
        <f t="shared" si="157"/>
        <v>3.2843350172197869E-5</v>
      </c>
      <c r="AH262" s="15">
        <f t="shared" si="158"/>
        <v>-52.009932921960321</v>
      </c>
      <c r="AI262" s="15">
        <f t="shared" si="159"/>
        <v>-4.2150881126320181</v>
      </c>
      <c r="AJ262" s="31">
        <f t="shared" si="171"/>
        <v>29.641833359180858</v>
      </c>
      <c r="AK262" s="31">
        <f t="shared" si="172"/>
        <v>12.385025174370544</v>
      </c>
      <c r="AL262" s="15">
        <f t="shared" si="160"/>
        <v>0</v>
      </c>
      <c r="AM262" s="15">
        <f t="shared" si="161"/>
        <v>0</v>
      </c>
      <c r="AN262" s="15">
        <f t="shared" si="162"/>
        <v>0</v>
      </c>
      <c r="AO262" s="15">
        <f t="shared" si="163"/>
        <v>0</v>
      </c>
      <c r="AP262" s="31">
        <f t="shared" si="173"/>
        <v>0</v>
      </c>
      <c r="AQ262" s="31">
        <f t="shared" si="174"/>
        <v>0</v>
      </c>
    </row>
    <row r="263" spans="8:43" x14ac:dyDescent="0.25">
      <c r="H263" s="15">
        <v>3.6</v>
      </c>
      <c r="I263" s="45">
        <f t="shared" si="164"/>
        <v>39810.717055349771</v>
      </c>
      <c r="J263" s="32">
        <f t="shared" si="165"/>
        <v>84.444058449679005</v>
      </c>
      <c r="K263" s="32">
        <f t="shared" si="166"/>
        <v>0.74704806298261772</v>
      </c>
      <c r="L263" s="15">
        <f t="shared" si="140"/>
        <v>3.8729613733905581</v>
      </c>
      <c r="M263" s="15">
        <f t="shared" si="141"/>
        <v>-9.2736785968562803</v>
      </c>
      <c r="N263" s="15">
        <f t="shared" si="142"/>
        <v>0.11427428906047989</v>
      </c>
      <c r="O263" s="15">
        <f t="shared" si="143"/>
        <v>-89.207848445077062</v>
      </c>
      <c r="P263" s="15">
        <f t="shared" si="144"/>
        <v>-37.186563785468806</v>
      </c>
      <c r="Q263" s="15">
        <f t="shared" si="145"/>
        <v>-1.4927810100074088</v>
      </c>
      <c r="R263" s="15">
        <f t="shared" si="146"/>
        <v>-2.9483591797029008E-3</v>
      </c>
      <c r="S263" s="31">
        <f t="shared" si="167"/>
        <v>-99.974308051940753</v>
      </c>
      <c r="T263" s="31">
        <f t="shared" si="168"/>
        <v>-25.314374543323069</v>
      </c>
      <c r="U263" s="15">
        <f t="shared" si="147"/>
        <v>6500</v>
      </c>
      <c r="V263" s="15">
        <f t="shared" si="148"/>
        <v>-89.999305889164347</v>
      </c>
      <c r="W263" s="15">
        <f t="shared" si="149"/>
        <v>-98.333876165357438</v>
      </c>
      <c r="X263" s="15">
        <f t="shared" si="150"/>
        <v>89.13888514506246</v>
      </c>
      <c r="Y263" s="15">
        <f t="shared" si="151"/>
        <v>36.461558020139513</v>
      </c>
      <c r="Z263" s="15">
        <f t="shared" si="152"/>
        <v>-23.91943601847197</v>
      </c>
      <c r="AA263" s="15">
        <f t="shared" si="153"/>
        <v>-0.77996932749838987</v>
      </c>
      <c r="AB263" s="31">
        <f t="shared" si="169"/>
        <v>-24.779856762573857</v>
      </c>
      <c r="AC263" s="31">
        <f t="shared" si="170"/>
        <v>13.605979660140799</v>
      </c>
      <c r="AD263" s="15">
        <f t="shared" si="154"/>
        <v>81.685081142196537</v>
      </c>
      <c r="AE263" s="15">
        <f t="shared" si="155"/>
        <v>16.795802114184049</v>
      </c>
      <c r="AF263" s="15">
        <f t="shared" si="156"/>
        <v>0.16123297847919643</v>
      </c>
      <c r="AG263" s="15">
        <f t="shared" si="157"/>
        <v>3.4391203451791875E-5</v>
      </c>
      <c r="AH263" s="15">
        <f t="shared" si="158"/>
        <v>-52.648090856482114</v>
      </c>
      <c r="AI263" s="15">
        <f t="shared" si="159"/>
        <v>-4.3403935592226137</v>
      </c>
      <c r="AJ263" s="31">
        <f t="shared" si="171"/>
        <v>29.198223264193615</v>
      </c>
      <c r="AK263" s="31">
        <f t="shared" si="172"/>
        <v>12.455442946164888</v>
      </c>
      <c r="AL263" s="15">
        <f t="shared" si="160"/>
        <v>0</v>
      </c>
      <c r="AM263" s="15">
        <f t="shared" si="161"/>
        <v>0</v>
      </c>
      <c r="AN263" s="15">
        <f t="shared" si="162"/>
        <v>0</v>
      </c>
      <c r="AO263" s="15">
        <f t="shared" si="163"/>
        <v>0</v>
      </c>
      <c r="AP263" s="31">
        <f t="shared" si="173"/>
        <v>0</v>
      </c>
      <c r="AQ263" s="31">
        <f t="shared" si="174"/>
        <v>0</v>
      </c>
    </row>
    <row r="264" spans="8:43" x14ac:dyDescent="0.25">
      <c r="H264" s="15">
        <v>3.61</v>
      </c>
      <c r="I264" s="45">
        <f t="shared" si="164"/>
        <v>40738.027780411314</v>
      </c>
      <c r="J264" s="32">
        <f t="shared" si="165"/>
        <v>83.262161452238701</v>
      </c>
      <c r="K264" s="32">
        <f t="shared" si="166"/>
        <v>0.587161393245486</v>
      </c>
      <c r="L264" s="15">
        <f t="shared" si="140"/>
        <v>3.8729613733905581</v>
      </c>
      <c r="M264" s="15">
        <f t="shared" si="141"/>
        <v>-9.4858081140908084</v>
      </c>
      <c r="N264" s="15">
        <f t="shared" si="142"/>
        <v>0.11958638329245923</v>
      </c>
      <c r="O264" s="15">
        <f t="shared" si="143"/>
        <v>-89.225877796018864</v>
      </c>
      <c r="P264" s="15">
        <f t="shared" si="144"/>
        <v>-37.386526424867206</v>
      </c>
      <c r="Q264" s="15">
        <f t="shared" si="145"/>
        <v>-1.5275360596458467</v>
      </c>
      <c r="R264" s="15">
        <f t="shared" si="146"/>
        <v>-3.0872616901685811E-3</v>
      </c>
      <c r="S264" s="31">
        <f t="shared" si="167"/>
        <v>-100.23922196975552</v>
      </c>
      <c r="T264" s="31">
        <f t="shared" si="168"/>
        <v>-25.509163990999951</v>
      </c>
      <c r="U264" s="15">
        <f t="shared" si="147"/>
        <v>6500</v>
      </c>
      <c r="V264" s="15">
        <f t="shared" si="148"/>
        <v>-89.999321689055932</v>
      </c>
      <c r="W264" s="15">
        <f t="shared" si="149"/>
        <v>-98.533876165328735</v>
      </c>
      <c r="X264" s="15">
        <f t="shared" si="150"/>
        <v>89.158483660668537</v>
      </c>
      <c r="Y264" s="15">
        <f t="shared" si="151"/>
        <v>36.661513871759027</v>
      </c>
      <c r="Z264" s="15">
        <f t="shared" si="152"/>
        <v>-24.412176290850919</v>
      </c>
      <c r="AA264" s="15">
        <f t="shared" si="153"/>
        <v>-0.81348667756379378</v>
      </c>
      <c r="AB264" s="31">
        <f t="shared" si="169"/>
        <v>-25.253014319238314</v>
      </c>
      <c r="AC264" s="31">
        <f t="shared" si="170"/>
        <v>13.572418161723611</v>
      </c>
      <c r="AD264" s="15">
        <f t="shared" si="154"/>
        <v>81.871793760386012</v>
      </c>
      <c r="AE264" s="15">
        <f t="shared" si="155"/>
        <v>16.99171240309099</v>
      </c>
      <c r="AF264" s="15">
        <f t="shared" si="156"/>
        <v>0.16498855647754121</v>
      </c>
      <c r="AG264" s="15">
        <f t="shared" si="157"/>
        <v>3.6012004214759482E-5</v>
      </c>
      <c r="AH264" s="15">
        <f t="shared" si="158"/>
        <v>-53.282384575631006</v>
      </c>
      <c r="AI264" s="15">
        <f t="shared" si="159"/>
        <v>-4.4678411925733794</v>
      </c>
      <c r="AJ264" s="31">
        <f t="shared" si="171"/>
        <v>28.754397741232545</v>
      </c>
      <c r="AK264" s="31">
        <f t="shared" si="172"/>
        <v>12.523907222521826</v>
      </c>
      <c r="AL264" s="15">
        <f t="shared" si="160"/>
        <v>0</v>
      </c>
      <c r="AM264" s="15">
        <f t="shared" si="161"/>
        <v>0</v>
      </c>
      <c r="AN264" s="15">
        <f t="shared" si="162"/>
        <v>0</v>
      </c>
      <c r="AO264" s="15">
        <f t="shared" si="163"/>
        <v>0</v>
      </c>
      <c r="AP264" s="31">
        <f t="shared" si="173"/>
        <v>0</v>
      </c>
      <c r="AQ264" s="31">
        <f t="shared" si="174"/>
        <v>0</v>
      </c>
    </row>
    <row r="265" spans="8:43" x14ac:dyDescent="0.25">
      <c r="H265" s="15">
        <v>3.62</v>
      </c>
      <c r="I265" s="45">
        <f t="shared" si="164"/>
        <v>41686.938347033582</v>
      </c>
      <c r="J265" s="32">
        <f t="shared" si="165"/>
        <v>82.067380230032569</v>
      </c>
      <c r="K265" s="32">
        <f t="shared" si="166"/>
        <v>0.42427257941896457</v>
      </c>
      <c r="L265" s="15">
        <f t="shared" si="140"/>
        <v>3.8729613733905581</v>
      </c>
      <c r="M265" s="15">
        <f t="shared" si="141"/>
        <v>-9.7026073606334045</v>
      </c>
      <c r="N265" s="15">
        <f t="shared" si="142"/>
        <v>0.12514187352892778</v>
      </c>
      <c r="O265" s="15">
        <f t="shared" si="143"/>
        <v>-89.243496896974889</v>
      </c>
      <c r="P265" s="15">
        <f t="shared" si="144"/>
        <v>-37.586490745469632</v>
      </c>
      <c r="Q265" s="15">
        <f t="shared" si="145"/>
        <v>-1.5630994942447209</v>
      </c>
      <c r="R265" s="15">
        <f t="shared" si="146"/>
        <v>-3.2327057128502829E-3</v>
      </c>
      <c r="S265" s="31">
        <f t="shared" si="167"/>
        <v>-100.50920375185302</v>
      </c>
      <c r="T265" s="31">
        <f t="shared" si="168"/>
        <v>-25.703718265388591</v>
      </c>
      <c r="U265" s="15">
        <f t="shared" si="147"/>
        <v>6500</v>
      </c>
      <c r="V265" s="15">
        <f t="shared" si="148"/>
        <v>-89.999337129298084</v>
      </c>
      <c r="W265" s="15">
        <f t="shared" si="149"/>
        <v>-98.733876165301353</v>
      </c>
      <c r="X265" s="15">
        <f t="shared" si="150"/>
        <v>89.177636249892487</v>
      </c>
      <c r="Y265" s="15">
        <f t="shared" si="151"/>
        <v>36.861471709964022</v>
      </c>
      <c r="Z265" s="15">
        <f t="shared" si="152"/>
        <v>-24.912442605674894</v>
      </c>
      <c r="AA265" s="15">
        <f t="shared" si="153"/>
        <v>-0.84830859060299535</v>
      </c>
      <c r="AB265" s="31">
        <f t="shared" si="169"/>
        <v>-25.734143485080491</v>
      </c>
      <c r="AC265" s="31">
        <f t="shared" si="170"/>
        <v>13.537554086916787</v>
      </c>
      <c r="AD265" s="15">
        <f t="shared" si="154"/>
        <v>82.054424376122682</v>
      </c>
      <c r="AE265" s="15">
        <f t="shared" si="155"/>
        <v>17.187803160888826</v>
      </c>
      <c r="AF265" s="15">
        <f t="shared" si="156"/>
        <v>0.1688316116573037</v>
      </c>
      <c r="AG265" s="15">
        <f t="shared" si="157"/>
        <v>3.770919031761864E-5</v>
      </c>
      <c r="AH265" s="15">
        <f t="shared" si="158"/>
        <v>-53.912528520813908</v>
      </c>
      <c r="AI265" s="15">
        <f t="shared" si="159"/>
        <v>-4.5974041121883733</v>
      </c>
      <c r="AJ265" s="31">
        <f t="shared" si="171"/>
        <v>28.310727466966085</v>
      </c>
      <c r="AK265" s="31">
        <f t="shared" si="172"/>
        <v>12.590436757890769</v>
      </c>
      <c r="AL265" s="15">
        <f t="shared" si="160"/>
        <v>0</v>
      </c>
      <c r="AM265" s="15">
        <f t="shared" si="161"/>
        <v>0</v>
      </c>
      <c r="AN265" s="15">
        <f t="shared" si="162"/>
        <v>0</v>
      </c>
      <c r="AO265" s="15">
        <f t="shared" si="163"/>
        <v>0</v>
      </c>
      <c r="AP265" s="31">
        <f t="shared" si="173"/>
        <v>0</v>
      </c>
      <c r="AQ265" s="31">
        <f t="shared" si="174"/>
        <v>0</v>
      </c>
    </row>
    <row r="266" spans="8:43" x14ac:dyDescent="0.25">
      <c r="H266" s="15">
        <v>3.63</v>
      </c>
      <c r="I266" s="45">
        <f t="shared" si="164"/>
        <v>42657.9518801593</v>
      </c>
      <c r="J266" s="32">
        <f t="shared" si="165"/>
        <v>80.860006304508971</v>
      </c>
      <c r="K266" s="32">
        <f t="shared" si="166"/>
        <v>0.25837316244155062</v>
      </c>
      <c r="L266" s="15">
        <f t="shared" si="140"/>
        <v>3.8729613733905581</v>
      </c>
      <c r="M266" s="15">
        <f t="shared" si="141"/>
        <v>-9.9241664414654061</v>
      </c>
      <c r="N266" s="15">
        <f t="shared" si="142"/>
        <v>0.13095157913598457</v>
      </c>
      <c r="O266" s="15">
        <f t="shared" si="143"/>
        <v>-89.260715076489092</v>
      </c>
      <c r="P266" s="15">
        <f t="shared" si="144"/>
        <v>-37.786456671635847</v>
      </c>
      <c r="Q266" s="15">
        <f t="shared" si="145"/>
        <v>-1.5994900603336106</v>
      </c>
      <c r="R266" s="15">
        <f t="shared" si="146"/>
        <v>-3.3849990807000704E-3</v>
      </c>
      <c r="S266" s="31">
        <f t="shared" si="167"/>
        <v>-100.7843715782881</v>
      </c>
      <c r="T266" s="31">
        <f t="shared" si="168"/>
        <v>-25.8980267793156</v>
      </c>
      <c r="U266" s="15">
        <f t="shared" si="147"/>
        <v>6500</v>
      </c>
      <c r="V266" s="15">
        <f t="shared" si="148"/>
        <v>-89.999352218077405</v>
      </c>
      <c r="W266" s="15">
        <f t="shared" si="149"/>
        <v>-98.933876165275194</v>
      </c>
      <c r="X266" s="15">
        <f t="shared" si="150"/>
        <v>89.196353050559864</v>
      </c>
      <c r="Y266" s="15">
        <f t="shared" si="151"/>
        <v>37.061431445380279</v>
      </c>
      <c r="Z266" s="15">
        <f t="shared" si="152"/>
        <v>-25.420195047415891</v>
      </c>
      <c r="AA266" s="15">
        <f t="shared" si="153"/>
        <v>-0.88447481131750927</v>
      </c>
      <c r="AB266" s="31">
        <f t="shared" si="169"/>
        <v>-26.223194214933432</v>
      </c>
      <c r="AC266" s="31">
        <f t="shared" si="170"/>
        <v>13.501347601644689</v>
      </c>
      <c r="AD266" s="15">
        <f t="shared" si="154"/>
        <v>82.233054970306497</v>
      </c>
      <c r="AE266" s="15">
        <f t="shared" si="155"/>
        <v>17.384066575844795</v>
      </c>
      <c r="AF266" s="15">
        <f t="shared" si="156"/>
        <v>0.17276418151881295</v>
      </c>
      <c r="AG266" s="15">
        <f t="shared" si="157"/>
        <v>3.948636162816528E-5</v>
      </c>
      <c r="AH266" s="15">
        <f t="shared" si="158"/>
        <v>-54.538247054094811</v>
      </c>
      <c r="AI266" s="15">
        <f t="shared" si="159"/>
        <v>-4.7290537220939619</v>
      </c>
      <c r="AJ266" s="31">
        <f t="shared" si="171"/>
        <v>27.867572097730502</v>
      </c>
      <c r="AK266" s="31">
        <f t="shared" si="172"/>
        <v>12.655052340112462</v>
      </c>
      <c r="AL266" s="15">
        <f t="shared" si="160"/>
        <v>0</v>
      </c>
      <c r="AM266" s="15">
        <f t="shared" si="161"/>
        <v>0</v>
      </c>
      <c r="AN266" s="15">
        <f t="shared" si="162"/>
        <v>0</v>
      </c>
      <c r="AO266" s="15">
        <f t="shared" si="163"/>
        <v>0</v>
      </c>
      <c r="AP266" s="31">
        <f t="shared" si="173"/>
        <v>0</v>
      </c>
      <c r="AQ266" s="31">
        <f t="shared" si="174"/>
        <v>0</v>
      </c>
    </row>
    <row r="267" spans="8:43" x14ac:dyDescent="0.25">
      <c r="H267" s="15">
        <v>3.64</v>
      </c>
      <c r="I267" s="45">
        <f t="shared" si="164"/>
        <v>43651.583224016635</v>
      </c>
      <c r="J267" s="32">
        <f t="shared" si="165"/>
        <v>79.640328306071751</v>
      </c>
      <c r="K267" s="32">
        <f t="shared" si="166"/>
        <v>8.9456681134377547E-2</v>
      </c>
      <c r="L267" s="15">
        <f t="shared" si="140"/>
        <v>3.8729613733905581</v>
      </c>
      <c r="M267" s="15">
        <f t="shared" si="141"/>
        <v>-10.150576312780949</v>
      </c>
      <c r="N267" s="15">
        <f t="shared" si="142"/>
        <v>0.13702676932295121</v>
      </c>
      <c r="O267" s="15">
        <f t="shared" si="143"/>
        <v>-89.277541451421428</v>
      </c>
      <c r="P267" s="15">
        <f t="shared" si="144"/>
        <v>-37.986424131127649</v>
      </c>
      <c r="Q267" s="15">
        <f t="shared" si="145"/>
        <v>-1.6367269351664318</v>
      </c>
      <c r="R267" s="15">
        <f t="shared" si="146"/>
        <v>-3.5444640901495946E-3</v>
      </c>
      <c r="S267" s="31">
        <f t="shared" si="167"/>
        <v>-101.06484469936881</v>
      </c>
      <c r="T267" s="31">
        <f t="shared" si="168"/>
        <v>-26.092078513629886</v>
      </c>
      <c r="U267" s="15">
        <f t="shared" si="147"/>
        <v>6500</v>
      </c>
      <c r="V267" s="15">
        <f t="shared" si="148"/>
        <v>-89.999366963394166</v>
      </c>
      <c r="W267" s="15">
        <f t="shared" si="149"/>
        <v>-99.133876165250214</v>
      </c>
      <c r="X267" s="15">
        <f t="shared" si="150"/>
        <v>89.214643970578351</v>
      </c>
      <c r="Y267" s="15">
        <f t="shared" si="151"/>
        <v>37.261392992652851</v>
      </c>
      <c r="Z267" s="15">
        <f t="shared" si="152"/>
        <v>-25.935383767775495</v>
      </c>
      <c r="AA267" s="15">
        <f t="shared" si="153"/>
        <v>-0.92202543789249569</v>
      </c>
      <c r="AB267" s="31">
        <f t="shared" si="169"/>
        <v>-26.72010676059131</v>
      </c>
      <c r="AC267" s="31">
        <f t="shared" si="170"/>
        <v>13.463758522367256</v>
      </c>
      <c r="AD267" s="15">
        <f t="shared" si="154"/>
        <v>82.407766357618598</v>
      </c>
      <c r="AE267" s="15">
        <f t="shared" si="155"/>
        <v>17.580495161223258</v>
      </c>
      <c r="AF267" s="15">
        <f t="shared" si="156"/>
        <v>0.17678835101436927</v>
      </c>
      <c r="AG267" s="15">
        <f t="shared" si="157"/>
        <v>4.1347287660499251E-5</v>
      </c>
      <c r="AH267" s="15">
        <f t="shared" si="158"/>
        <v>-55.159274942601101</v>
      </c>
      <c r="AI267" s="15">
        <f t="shared" si="159"/>
        <v>-4.8627598361139102</v>
      </c>
      <c r="AJ267" s="31">
        <f t="shared" si="171"/>
        <v>27.425279766031863</v>
      </c>
      <c r="AK267" s="31">
        <f t="shared" si="172"/>
        <v>12.717776672397008</v>
      </c>
      <c r="AL267" s="15">
        <f t="shared" si="160"/>
        <v>0</v>
      </c>
      <c r="AM267" s="15">
        <f t="shared" si="161"/>
        <v>0</v>
      </c>
      <c r="AN267" s="15">
        <f t="shared" si="162"/>
        <v>0</v>
      </c>
      <c r="AO267" s="15">
        <f t="shared" si="163"/>
        <v>0</v>
      </c>
      <c r="AP267" s="31">
        <f t="shared" si="173"/>
        <v>0</v>
      </c>
      <c r="AQ267" s="31">
        <f t="shared" si="174"/>
        <v>0</v>
      </c>
    </row>
    <row r="268" spans="8:43" x14ac:dyDescent="0.25">
      <c r="H268" s="15">
        <v>3.65</v>
      </c>
      <c r="I268" s="45">
        <f t="shared" si="164"/>
        <v>44668.359215096345</v>
      </c>
      <c r="J268" s="32">
        <f t="shared" si="165"/>
        <v>78.408631925411612</v>
      </c>
      <c r="K268" s="32">
        <f t="shared" si="166"/>
        <v>-8.2481367625669932E-2</v>
      </c>
      <c r="L268" s="15">
        <f t="shared" si="140"/>
        <v>3.8729613733905581</v>
      </c>
      <c r="M268" s="15">
        <f t="shared" si="141"/>
        <v>-10.381928722705355</v>
      </c>
      <c r="N268" s="15">
        <f t="shared" si="142"/>
        <v>0.14337917894636723</v>
      </c>
      <c r="O268" s="15">
        <f t="shared" si="143"/>
        <v>-89.293984931722349</v>
      </c>
      <c r="P268" s="15">
        <f t="shared" si="144"/>
        <v>-38.186393054955957</v>
      </c>
      <c r="Q268" s="15">
        <f t="shared" si="145"/>
        <v>-1.6748297363308247</v>
      </c>
      <c r="R268" s="15">
        <f t="shared" si="146"/>
        <v>-3.7114381785062498E-3</v>
      </c>
      <c r="S268" s="31">
        <f t="shared" si="167"/>
        <v>-101.35074339075852</v>
      </c>
      <c r="T268" s="31">
        <f t="shared" si="168"/>
        <v>-26.285862001923135</v>
      </c>
      <c r="U268" s="15">
        <f t="shared" si="147"/>
        <v>6500</v>
      </c>
      <c r="V268" s="15">
        <f t="shared" si="148"/>
        <v>-89.999381373066569</v>
      </c>
      <c r="W268" s="15">
        <f t="shared" si="149"/>
        <v>-99.333876165226357</v>
      </c>
      <c r="X268" s="15">
        <f t="shared" si="150"/>
        <v>89.232518693114741</v>
      </c>
      <c r="Y268" s="15">
        <f t="shared" si="151"/>
        <v>37.461356270265412</v>
      </c>
      <c r="Z268" s="15">
        <f t="shared" si="152"/>
        <v>-26.457948640221126</v>
      </c>
      <c r="AA268" s="15">
        <f t="shared" si="153"/>
        <v>-0.96100085586521278</v>
      </c>
      <c r="AB268" s="31">
        <f t="shared" si="169"/>
        <v>-27.224811320172954</v>
      </c>
      <c r="AC268" s="31">
        <f t="shared" si="170"/>
        <v>13.424746382030957</v>
      </c>
      <c r="AD268" s="15">
        <f t="shared" si="154"/>
        <v>82.578638169527849</v>
      </c>
      <c r="AE268" s="15">
        <f t="shared" si="155"/>
        <v>17.777081742903416</v>
      </c>
      <c r="AF268" s="15">
        <f t="shared" si="156"/>
        <v>0.18090625365300564</v>
      </c>
      <c r="AG268" s="15">
        <f t="shared" si="157"/>
        <v>4.3295915580301731E-5</v>
      </c>
      <c r="AH268" s="15">
        <f t="shared" si="158"/>
        <v>-55.775357786837759</v>
      </c>
      <c r="AI268" s="15">
        <f t="shared" si="159"/>
        <v>-4.9984907865524892</v>
      </c>
      <c r="AJ268" s="31">
        <f t="shared" si="171"/>
        <v>26.984186636343097</v>
      </c>
      <c r="AK268" s="31">
        <f t="shared" si="172"/>
        <v>12.778634252266508</v>
      </c>
      <c r="AL268" s="15">
        <f t="shared" si="160"/>
        <v>0</v>
      </c>
      <c r="AM268" s="15">
        <f t="shared" si="161"/>
        <v>0</v>
      </c>
      <c r="AN268" s="15">
        <f t="shared" si="162"/>
        <v>0</v>
      </c>
      <c r="AO268" s="15">
        <f t="shared" si="163"/>
        <v>0</v>
      </c>
      <c r="AP268" s="31">
        <f t="shared" si="173"/>
        <v>0</v>
      </c>
      <c r="AQ268" s="31">
        <f t="shared" si="174"/>
        <v>0</v>
      </c>
    </row>
    <row r="269" spans="8:43" x14ac:dyDescent="0.25">
      <c r="H269" s="15">
        <v>3.66</v>
      </c>
      <c r="I269" s="45">
        <f t="shared" si="164"/>
        <v>45708.81896148753</v>
      </c>
      <c r="J269" s="32">
        <f t="shared" si="165"/>
        <v>77.165199912901869</v>
      </c>
      <c r="K269" s="32">
        <f t="shared" si="166"/>
        <v>-0.25744356578504046</v>
      </c>
      <c r="L269" s="15">
        <f t="shared" si="140"/>
        <v>3.8729613733905581</v>
      </c>
      <c r="M269" s="15">
        <f t="shared" si="141"/>
        <v>-10.618316146117655</v>
      </c>
      <c r="N269" s="15">
        <f t="shared" si="142"/>
        <v>0.15002102459373942</v>
      </c>
      <c r="O269" s="15">
        <f t="shared" si="143"/>
        <v>-89.310054225101624</v>
      </c>
      <c r="P269" s="15">
        <f t="shared" si="144"/>
        <v>-38.386363377234815</v>
      </c>
      <c r="Q269" s="15">
        <f t="shared" si="145"/>
        <v>-1.7138185315512398</v>
      </c>
      <c r="R269" s="15">
        <f t="shared" si="146"/>
        <v>-3.8862746328388125E-3</v>
      </c>
      <c r="S269" s="31">
        <f t="shared" si="167"/>
        <v>-101.64218890277051</v>
      </c>
      <c r="T269" s="31">
        <f t="shared" si="168"/>
        <v>-26.479365315008955</v>
      </c>
      <c r="U269" s="15">
        <f t="shared" si="147"/>
        <v>6500</v>
      </c>
      <c r="V269" s="15">
        <f t="shared" si="148"/>
        <v>-89.999395454734753</v>
      </c>
      <c r="W269" s="15">
        <f t="shared" si="149"/>
        <v>-99.533876165203566</v>
      </c>
      <c r="X269" s="15">
        <f t="shared" si="150"/>
        <v>89.249986681657973</v>
      </c>
      <c r="Y269" s="15">
        <f t="shared" si="151"/>
        <v>37.661321200367809</v>
      </c>
      <c r="Z269" s="15">
        <f t="shared" si="152"/>
        <v>-26.9878189319078</v>
      </c>
      <c r="AA269" s="15">
        <f t="shared" si="153"/>
        <v>-1.0014416670334556</v>
      </c>
      <c r="AB269" s="31">
        <f t="shared" si="169"/>
        <v>-27.73722770498458</v>
      </c>
      <c r="AC269" s="31">
        <f t="shared" si="170"/>
        <v>13.384270500987901</v>
      </c>
      <c r="AD269" s="15">
        <f t="shared" si="154"/>
        <v>82.745748840259054</v>
      </c>
      <c r="AE269" s="15">
        <f t="shared" si="155"/>
        <v>17.973819447368633</v>
      </c>
      <c r="AF269" s="15">
        <f t="shared" si="156"/>
        <v>0.18512007263094421</v>
      </c>
      <c r="AG269" s="15">
        <f t="shared" si="157"/>
        <v>4.5336378566859136E-5</v>
      </c>
      <c r="AH269" s="15">
        <f t="shared" si="158"/>
        <v>-56.386252392233033</v>
      </c>
      <c r="AI269" s="15">
        <f t="shared" si="159"/>
        <v>-5.1362135355111862</v>
      </c>
      <c r="AJ269" s="31">
        <f t="shared" si="171"/>
        <v>26.544616520656959</v>
      </c>
      <c r="AK269" s="31">
        <f t="shared" si="172"/>
        <v>12.837651248236014</v>
      </c>
      <c r="AL269" s="15">
        <f t="shared" si="160"/>
        <v>0</v>
      </c>
      <c r="AM269" s="15">
        <f t="shared" si="161"/>
        <v>0</v>
      </c>
      <c r="AN269" s="15">
        <f t="shared" si="162"/>
        <v>0</v>
      </c>
      <c r="AO269" s="15">
        <f t="shared" si="163"/>
        <v>0</v>
      </c>
      <c r="AP269" s="31">
        <f t="shared" si="173"/>
        <v>0</v>
      </c>
      <c r="AQ269" s="31">
        <f t="shared" si="174"/>
        <v>0</v>
      </c>
    </row>
    <row r="270" spans="8:43" x14ac:dyDescent="0.25">
      <c r="H270" s="15">
        <v>3.67</v>
      </c>
      <c r="I270" s="45">
        <f t="shared" si="164"/>
        <v>46773.514128719842</v>
      </c>
      <c r="J270" s="32">
        <f t="shared" si="165"/>
        <v>75.910312123360882</v>
      </c>
      <c r="K270" s="32">
        <f t="shared" si="166"/>
        <v>-0.43543060734880612</v>
      </c>
      <c r="L270" s="15">
        <f t="shared" si="140"/>
        <v>3.8729613733905581</v>
      </c>
      <c r="M270" s="15">
        <f t="shared" si="141"/>
        <v>-10.859831713241299</v>
      </c>
      <c r="N270" s="15">
        <f t="shared" si="142"/>
        <v>0.15696502092299819</v>
      </c>
      <c r="O270" s="15">
        <f t="shared" si="143"/>
        <v>-89.325757841593557</v>
      </c>
      <c r="P270" s="15">
        <f t="shared" si="144"/>
        <v>-38.586335035041834</v>
      </c>
      <c r="Q270" s="15">
        <f t="shared" si="145"/>
        <v>-1.7537138486880905</v>
      </c>
      <c r="R270" s="15">
        <f t="shared" si="146"/>
        <v>-4.0693433318453823E-3</v>
      </c>
      <c r="S270" s="31">
        <f t="shared" si="167"/>
        <v>-101.93930340352294</v>
      </c>
      <c r="T270" s="31">
        <f t="shared" si="168"/>
        <v>-26.672576045185718</v>
      </c>
      <c r="U270" s="15">
        <f t="shared" si="147"/>
        <v>6500</v>
      </c>
      <c r="V270" s="15">
        <f t="shared" si="148"/>
        <v>-89.999409215865057</v>
      </c>
      <c r="W270" s="15">
        <f t="shared" si="149"/>
        <v>-99.733876165181798</v>
      </c>
      <c r="X270" s="15">
        <f t="shared" si="150"/>
        <v>89.26705718497044</v>
      </c>
      <c r="Y270" s="15">
        <f t="shared" si="151"/>
        <v>37.861287708611236</v>
      </c>
      <c r="Z270" s="15">
        <f t="shared" si="152"/>
        <v>-27.52491299598271</v>
      </c>
      <c r="AA270" s="15">
        <f t="shared" si="153"/>
        <v>-1.0433886134452688</v>
      </c>
      <c r="AB270" s="31">
        <f t="shared" si="169"/>
        <v>-28.257265026877327</v>
      </c>
      <c r="AC270" s="31">
        <f t="shared" si="170"/>
        <v>13.342290062841284</v>
      </c>
      <c r="AD270" s="15">
        <f t="shared" si="154"/>
        <v>82.90917559551778</v>
      </c>
      <c r="AE270" s="15">
        <f t="shared" si="155"/>
        <v>18.170701690065485</v>
      </c>
      <c r="AF270" s="15">
        <f t="shared" si="156"/>
        <v>0.18943204198834288</v>
      </c>
      <c r="AG270" s="15">
        <f t="shared" si="157"/>
        <v>4.7473004585830208E-5</v>
      </c>
      <c r="AH270" s="15">
        <f t="shared" si="158"/>
        <v>-56.991727083744976</v>
      </c>
      <c r="AI270" s="15">
        <f t="shared" si="159"/>
        <v>-5.275893788074443</v>
      </c>
      <c r="AJ270" s="31">
        <f t="shared" si="171"/>
        <v>26.106880553761144</v>
      </c>
      <c r="AK270" s="31">
        <f t="shared" si="172"/>
        <v>12.894855374995627</v>
      </c>
      <c r="AL270" s="15">
        <f t="shared" si="160"/>
        <v>0</v>
      </c>
      <c r="AM270" s="15">
        <f t="shared" si="161"/>
        <v>0</v>
      </c>
      <c r="AN270" s="15">
        <f t="shared" si="162"/>
        <v>0</v>
      </c>
      <c r="AO270" s="15">
        <f t="shared" si="163"/>
        <v>0</v>
      </c>
      <c r="AP270" s="31">
        <f t="shared" si="173"/>
        <v>0</v>
      </c>
      <c r="AQ270" s="31">
        <f t="shared" si="174"/>
        <v>0</v>
      </c>
    </row>
    <row r="271" spans="8:43" x14ac:dyDescent="0.25">
      <c r="H271" s="15">
        <v>3.68</v>
      </c>
      <c r="I271" s="45">
        <f t="shared" si="164"/>
        <v>47863.009232263852</v>
      </c>
      <c r="J271" s="32">
        <f t="shared" si="165"/>
        <v>74.644245602935143</v>
      </c>
      <c r="K271" s="32">
        <f t="shared" si="166"/>
        <v>-0.61644132734068968</v>
      </c>
      <c r="L271" s="15">
        <f t="shared" si="140"/>
        <v>3.8729613733905581</v>
      </c>
      <c r="M271" s="15">
        <f t="shared" si="141"/>
        <v>-11.106569131657972</v>
      </c>
      <c r="N271" s="15">
        <f t="shared" si="142"/>
        <v>0.16422439722983012</v>
      </c>
      <c r="O271" s="15">
        <f t="shared" si="143"/>
        <v>-89.341104098020821</v>
      </c>
      <c r="P271" s="15">
        <f t="shared" si="144"/>
        <v>-38.786307968285001</v>
      </c>
      <c r="Q271" s="15">
        <f t="shared" si="145"/>
        <v>-1.7945366859352629</v>
      </c>
      <c r="R271" s="15">
        <f t="shared" si="146"/>
        <v>-4.2610315221677155E-3</v>
      </c>
      <c r="S271" s="31">
        <f t="shared" si="167"/>
        <v>-102.24220991561405</v>
      </c>
      <c r="T271" s="31">
        <f t="shared" si="168"/>
        <v>-26.865481290312378</v>
      </c>
      <c r="U271" s="15">
        <f t="shared" si="147"/>
        <v>6500</v>
      </c>
      <c r="V271" s="15">
        <f t="shared" si="148"/>
        <v>-89.999422663753776</v>
      </c>
      <c r="W271" s="15">
        <f t="shared" si="149"/>
        <v>-99.93387616516101</v>
      </c>
      <c r="X271" s="15">
        <f t="shared" si="150"/>
        <v>89.283739241929695</v>
      </c>
      <c r="Y271" s="15">
        <f t="shared" si="151"/>
        <v>38.061255723990911</v>
      </c>
      <c r="Z271" s="15">
        <f t="shared" si="152"/>
        <v>-28.06913798735383</v>
      </c>
      <c r="AA271" s="15">
        <f t="shared" si="153"/>
        <v>-1.086882496552604</v>
      </c>
      <c r="AB271" s="31">
        <f t="shared" si="169"/>
        <v>-28.784821409177912</v>
      </c>
      <c r="AC271" s="31">
        <f t="shared" si="170"/>
        <v>13.29876419513441</v>
      </c>
      <c r="AD271" s="15">
        <f t="shared" si="154"/>
        <v>83.068994443776575</v>
      </c>
      <c r="AE271" s="15">
        <f t="shared" si="155"/>
        <v>18.367722164129631</v>
      </c>
      <c r="AF271" s="15">
        <f t="shared" si="156"/>
        <v>0.19384444779294208</v>
      </c>
      <c r="AG271" s="15">
        <f t="shared" si="157"/>
        <v>4.9710325559250006E-5</v>
      </c>
      <c r="AH271" s="15">
        <f t="shared" si="158"/>
        <v>-57.591561963842409</v>
      </c>
      <c r="AI271" s="15">
        <f t="shared" si="159"/>
        <v>-5.4174961066179126</v>
      </c>
      <c r="AJ271" s="31">
        <f t="shared" si="171"/>
        <v>25.671276927727106</v>
      </c>
      <c r="AK271" s="31">
        <f t="shared" si="172"/>
        <v>12.950275767837278</v>
      </c>
      <c r="AL271" s="15">
        <f t="shared" si="160"/>
        <v>0</v>
      </c>
      <c r="AM271" s="15">
        <f t="shared" si="161"/>
        <v>0</v>
      </c>
      <c r="AN271" s="15">
        <f t="shared" si="162"/>
        <v>0</v>
      </c>
      <c r="AO271" s="15">
        <f t="shared" si="163"/>
        <v>0</v>
      </c>
      <c r="AP271" s="31">
        <f t="shared" si="173"/>
        <v>0</v>
      </c>
      <c r="AQ271" s="31">
        <f t="shared" si="174"/>
        <v>0</v>
      </c>
    </row>
    <row r="272" spans="8:43" x14ac:dyDescent="0.25">
      <c r="H272" s="15">
        <v>3.69</v>
      </c>
      <c r="I272" s="45">
        <f t="shared" si="164"/>
        <v>48977.881936844635</v>
      </c>
      <c r="J272" s="32">
        <f t="shared" si="165"/>
        <v>73.36727471436123</v>
      </c>
      <c r="K272" s="32">
        <f t="shared" si="166"/>
        <v>-0.80047272593083107</v>
      </c>
      <c r="L272" s="15">
        <f t="shared" si="140"/>
        <v>3.8729613733905581</v>
      </c>
      <c r="M272" s="15">
        <f t="shared" si="141"/>
        <v>-11.358622601390902</v>
      </c>
      <c r="N272" s="15">
        <f t="shared" si="142"/>
        <v>0.17181291421105271</v>
      </c>
      <c r="O272" s="15">
        <f t="shared" si="143"/>
        <v>-89.356101122359178</v>
      </c>
      <c r="P272" s="15">
        <f t="shared" si="144"/>
        <v>-38.986282119575428</v>
      </c>
      <c r="Q272" s="15">
        <f t="shared" si="145"/>
        <v>-1.8363085222181419</v>
      </c>
      <c r="R272" s="15">
        <f t="shared" si="146"/>
        <v>-4.461744630783593E-3</v>
      </c>
      <c r="S272" s="31">
        <f t="shared" si="167"/>
        <v>-102.55103224596823</v>
      </c>
      <c r="T272" s="31">
        <f t="shared" si="168"/>
        <v>-27.058067637730197</v>
      </c>
      <c r="U272" s="15">
        <f t="shared" si="147"/>
        <v>6500</v>
      </c>
      <c r="V272" s="15">
        <f t="shared" si="148"/>
        <v>-89.999435805531178</v>
      </c>
      <c r="W272" s="15">
        <f t="shared" si="149"/>
        <v>-100.13387616514116</v>
      </c>
      <c r="X272" s="15">
        <f t="shared" si="150"/>
        <v>89.30004168626327</v>
      </c>
      <c r="Y272" s="15">
        <f t="shared" si="151"/>
        <v>38.261225178695739</v>
      </c>
      <c r="Z272" s="15">
        <f t="shared" si="152"/>
        <v>-28.620389605062869</v>
      </c>
      <c r="AA272" s="15">
        <f t="shared" si="153"/>
        <v>-1.1319640916560512</v>
      </c>
      <c r="AB272" s="31">
        <f t="shared" si="169"/>
        <v>-29.319783724330776</v>
      </c>
      <c r="AC272" s="31">
        <f t="shared" si="170"/>
        <v>13.253652054755641</v>
      </c>
      <c r="AD272" s="15">
        <f t="shared" si="154"/>
        <v>83.225280169938344</v>
      </c>
      <c r="AE272" s="15">
        <f t="shared" si="155"/>
        <v>18.564874829474725</v>
      </c>
      <c r="AF272" s="15">
        <f t="shared" si="156"/>
        <v>0.19835962935123519</v>
      </c>
      <c r="AG272" s="15">
        <f t="shared" si="157"/>
        <v>5.2053086984838174E-5</v>
      </c>
      <c r="AH272" s="15">
        <f t="shared" si="158"/>
        <v>-58.185549114629346</v>
      </c>
      <c r="AI272" s="15">
        <f t="shared" si="159"/>
        <v>-5.5609840255179854</v>
      </c>
      <c r="AJ272" s="31">
        <f t="shared" si="171"/>
        <v>25.238090684660229</v>
      </c>
      <c r="AK272" s="31">
        <f t="shared" si="172"/>
        <v>13.003942857043725</v>
      </c>
      <c r="AL272" s="15">
        <f t="shared" si="160"/>
        <v>0</v>
      </c>
      <c r="AM272" s="15">
        <f t="shared" si="161"/>
        <v>0</v>
      </c>
      <c r="AN272" s="15">
        <f t="shared" si="162"/>
        <v>0</v>
      </c>
      <c r="AO272" s="15">
        <f t="shared" si="163"/>
        <v>0</v>
      </c>
      <c r="AP272" s="31">
        <f t="shared" si="173"/>
        <v>0</v>
      </c>
      <c r="AQ272" s="31">
        <f t="shared" si="174"/>
        <v>0</v>
      </c>
    </row>
    <row r="273" spans="8:43" x14ac:dyDescent="0.25">
      <c r="H273" s="15">
        <v>3.7</v>
      </c>
      <c r="I273" s="45">
        <f t="shared" si="164"/>
        <v>50118.723362727324</v>
      </c>
      <c r="J273" s="32">
        <f t="shared" si="165"/>
        <v>72.079671296427989</v>
      </c>
      <c r="K273" s="32">
        <f t="shared" si="166"/>
        <v>-0.98751998725849255</v>
      </c>
      <c r="L273" s="15">
        <f t="shared" si="140"/>
        <v>3.8729613733905581</v>
      </c>
      <c r="M273" s="15">
        <f t="shared" si="141"/>
        <v>-11.616086722696826</v>
      </c>
      <c r="N273" s="15">
        <f t="shared" si="142"/>
        <v>0.17974488088787152</v>
      </c>
      <c r="O273" s="15">
        <f t="shared" si="143"/>
        <v>-89.370756858004938</v>
      </c>
      <c r="P273" s="15">
        <f t="shared" si="144"/>
        <v>-39.186257434105819</v>
      </c>
      <c r="Q273" s="15">
        <f t="shared" si="145"/>
        <v>-1.8790513277942162</v>
      </c>
      <c r="R273" s="15">
        <f t="shared" si="146"/>
        <v>-4.6719071150620626E-3</v>
      </c>
      <c r="S273" s="31">
        <f t="shared" si="167"/>
        <v>-102.86589490849597</v>
      </c>
      <c r="T273" s="31">
        <f t="shared" si="168"/>
        <v>-27.250321148068046</v>
      </c>
      <c r="U273" s="15">
        <f t="shared" si="147"/>
        <v>6500</v>
      </c>
      <c r="V273" s="15">
        <f t="shared" si="148"/>
        <v>-89.999448648165213</v>
      </c>
      <c r="W273" s="15">
        <f t="shared" si="149"/>
        <v>-100.33387616512222</v>
      </c>
      <c r="X273" s="15">
        <f t="shared" si="150"/>
        <v>89.315973151178369</v>
      </c>
      <c r="Y273" s="15">
        <f t="shared" si="151"/>
        <v>38.461196007964773</v>
      </c>
      <c r="Z273" s="15">
        <f t="shared" si="152"/>
        <v>-29.178551864434795</v>
      </c>
      <c r="AA273" s="15">
        <f t="shared" si="153"/>
        <v>-1.1786740578146779</v>
      </c>
      <c r="AB273" s="31">
        <f t="shared" si="169"/>
        <v>-29.862027361421639</v>
      </c>
      <c r="AC273" s="31">
        <f t="shared" si="170"/>
        <v>13.206912917884988</v>
      </c>
      <c r="AD273" s="15">
        <f t="shared" si="154"/>
        <v>83.378106331201835</v>
      </c>
      <c r="AE273" s="15">
        <f t="shared" si="155"/>
        <v>18.762153902239763</v>
      </c>
      <c r="AF273" s="15">
        <f t="shared" si="156"/>
        <v>0.20297998044780016</v>
      </c>
      <c r="AG273" s="15">
        <f t="shared" si="157"/>
        <v>5.4506258002675725E-5</v>
      </c>
      <c r="AH273" s="15">
        <f t="shared" si="158"/>
        <v>-58.773492745304033</v>
      </c>
      <c r="AI273" s="15">
        <f t="shared" si="159"/>
        <v>-5.7063201655732012</v>
      </c>
      <c r="AJ273" s="31">
        <f t="shared" si="171"/>
        <v>24.807593566345595</v>
      </c>
      <c r="AK273" s="31">
        <f t="shared" si="172"/>
        <v>13.055888242924565</v>
      </c>
      <c r="AL273" s="15">
        <f t="shared" si="160"/>
        <v>0</v>
      </c>
      <c r="AM273" s="15">
        <f t="shared" si="161"/>
        <v>0</v>
      </c>
      <c r="AN273" s="15">
        <f t="shared" si="162"/>
        <v>0</v>
      </c>
      <c r="AO273" s="15">
        <f t="shared" si="163"/>
        <v>0</v>
      </c>
      <c r="AP273" s="31">
        <f t="shared" si="173"/>
        <v>0</v>
      </c>
      <c r="AQ273" s="31">
        <f t="shared" si="174"/>
        <v>0</v>
      </c>
    </row>
    <row r="274" spans="8:43" x14ac:dyDescent="0.25">
      <c r="H274" s="15">
        <v>3.71</v>
      </c>
      <c r="I274" s="45">
        <f t="shared" si="164"/>
        <v>51286.138399136486</v>
      </c>
      <c r="J274" s="32">
        <f t="shared" si="165"/>
        <v>70.781704853089892</v>
      </c>
      <c r="K274" s="32">
        <f t="shared" si="166"/>
        <v>-1.1775764925691519</v>
      </c>
      <c r="L274" s="15">
        <f t="shared" si="140"/>
        <v>3.8729613733905581</v>
      </c>
      <c r="M274" s="15">
        <f t="shared" si="141"/>
        <v>-11.879056396199378</v>
      </c>
      <c r="N274" s="15">
        <f t="shared" si="142"/>
        <v>0.18803517164818701</v>
      </c>
      <c r="O274" s="15">
        <f t="shared" si="143"/>
        <v>-89.385079067947473</v>
      </c>
      <c r="P274" s="15">
        <f t="shared" si="144"/>
        <v>-39.38623385953435</v>
      </c>
      <c r="Q274" s="15">
        <f t="shared" si="145"/>
        <v>-1.9227875750581507</v>
      </c>
      <c r="R274" s="15">
        <f t="shared" si="146"/>
        <v>-4.8919633522562745E-3</v>
      </c>
      <c r="S274" s="31">
        <f t="shared" si="167"/>
        <v>-103.186923039205</v>
      </c>
      <c r="T274" s="31">
        <f t="shared" si="168"/>
        <v>-27.44222733897346</v>
      </c>
      <c r="U274" s="15">
        <f t="shared" si="147"/>
        <v>6500</v>
      </c>
      <c r="V274" s="15">
        <f t="shared" si="148"/>
        <v>-89.999461198465212</v>
      </c>
      <c r="W274" s="15">
        <f t="shared" si="149"/>
        <v>-100.53387616510412</v>
      </c>
      <c r="X274" s="15">
        <f t="shared" si="150"/>
        <v>89.331542073888883</v>
      </c>
      <c r="Y274" s="15">
        <f t="shared" si="151"/>
        <v>38.661168149950036</v>
      </c>
      <c r="Z274" s="15">
        <f t="shared" si="152"/>
        <v>-29.743496902176233</v>
      </c>
      <c r="AA274" s="15">
        <f t="shared" si="153"/>
        <v>-1.2270528434443506</v>
      </c>
      <c r="AB274" s="31">
        <f t="shared" si="169"/>
        <v>-30.411416026752562</v>
      </c>
      <c r="AC274" s="31">
        <f t="shared" si="170"/>
        <v>13.158506274258681</v>
      </c>
      <c r="AD274" s="15">
        <f t="shared" si="154"/>
        <v>83.527545254963883</v>
      </c>
      <c r="AE274" s="15">
        <f t="shared" si="155"/>
        <v>18.95955384458934</v>
      </c>
      <c r="AF274" s="15">
        <f t="shared" si="156"/>
        <v>0.20770795061344266</v>
      </c>
      <c r="AG274" s="15">
        <f t="shared" si="157"/>
        <v>5.7075041922743466E-5</v>
      </c>
      <c r="AH274" s="15">
        <f t="shared" si="158"/>
        <v>-59.35520928652987</v>
      </c>
      <c r="AI274" s="15">
        <f t="shared" si="159"/>
        <v>-5.8534663474856359</v>
      </c>
      <c r="AJ274" s="31">
        <f t="shared" si="171"/>
        <v>24.380043919047452</v>
      </c>
      <c r="AK274" s="31">
        <f t="shared" si="172"/>
        <v>13.106144572145627</v>
      </c>
      <c r="AL274" s="15">
        <f t="shared" si="160"/>
        <v>0</v>
      </c>
      <c r="AM274" s="15">
        <f t="shared" si="161"/>
        <v>0</v>
      </c>
      <c r="AN274" s="15">
        <f t="shared" si="162"/>
        <v>0</v>
      </c>
      <c r="AO274" s="15">
        <f t="shared" si="163"/>
        <v>0</v>
      </c>
      <c r="AP274" s="31">
        <f t="shared" si="173"/>
        <v>0</v>
      </c>
      <c r="AQ274" s="31">
        <f t="shared" si="174"/>
        <v>0</v>
      </c>
    </row>
    <row r="275" spans="8:43" x14ac:dyDescent="0.25">
      <c r="H275" s="15">
        <v>3.72</v>
      </c>
      <c r="I275" s="45">
        <f t="shared" si="164"/>
        <v>52480.74602497735</v>
      </c>
      <c r="J275" s="32">
        <f t="shared" si="165"/>
        <v>69.473642767383126</v>
      </c>
      <c r="K275" s="32">
        <f t="shared" si="166"/>
        <v>-1.3706338273844469</v>
      </c>
      <c r="L275" s="15">
        <f t="shared" si="140"/>
        <v>3.8729613733905581</v>
      </c>
      <c r="M275" s="15">
        <f t="shared" si="141"/>
        <v>-12.147626714992739</v>
      </c>
      <c r="N275" s="15">
        <f t="shared" si="142"/>
        <v>0.19669924336214045</v>
      </c>
      <c r="O275" s="15">
        <f t="shared" si="143"/>
        <v>-89.399075338848547</v>
      </c>
      <c r="P275" s="15">
        <f t="shared" si="144"/>
        <v>-39.586211345873949</v>
      </c>
      <c r="Q275" s="15">
        <f t="shared" si="145"/>
        <v>-1.9675402495531558</v>
      </c>
      <c r="R275" s="15">
        <f t="shared" si="146"/>
        <v>-5.1223785701879371E-3</v>
      </c>
      <c r="S275" s="31">
        <f t="shared" si="167"/>
        <v>-103.51424230339444</v>
      </c>
      <c r="T275" s="31">
        <f t="shared" si="168"/>
        <v>-27.633771168817034</v>
      </c>
      <c r="U275" s="15">
        <f t="shared" si="147"/>
        <v>6500</v>
      </c>
      <c r="V275" s="15">
        <f t="shared" si="148"/>
        <v>-89.999473463085479</v>
      </c>
      <c r="W275" s="15">
        <f t="shared" si="149"/>
        <v>-100.73387616508684</v>
      </c>
      <c r="X275" s="15">
        <f t="shared" si="150"/>
        <v>89.346756700042036</v>
      </c>
      <c r="Y275" s="15">
        <f t="shared" si="151"/>
        <v>38.861141545585724</v>
      </c>
      <c r="Z275" s="15">
        <f t="shared" si="152"/>
        <v>-30.315084817563132</v>
      </c>
      <c r="AA275" s="15">
        <f t="shared" si="153"/>
        <v>-1.2771405878790645</v>
      </c>
      <c r="AB275" s="31">
        <f t="shared" si="169"/>
        <v>-30.967801580606576</v>
      </c>
      <c r="AC275" s="31">
        <f t="shared" si="170"/>
        <v>13.108391925476933</v>
      </c>
      <c r="AD275" s="15">
        <f t="shared" si="154"/>
        <v>83.673668038602813</v>
      </c>
      <c r="AE275" s="15">
        <f t="shared" si="155"/>
        <v>19.157069354861392</v>
      </c>
      <c r="AF275" s="15">
        <f t="shared" si="156"/>
        <v>0.21254604642282582</v>
      </c>
      <c r="AG275" s="15">
        <f t="shared" si="157"/>
        <v>5.9764887269244376E-5</v>
      </c>
      <c r="AH275" s="15">
        <f t="shared" si="158"/>
        <v>-59.930527433641501</v>
      </c>
      <c r="AI275" s="15">
        <f t="shared" si="159"/>
        <v>-6.0023837037930061</v>
      </c>
      <c r="AJ275" s="31">
        <f t="shared" si="171"/>
        <v>23.955686651384141</v>
      </c>
      <c r="AK275" s="31">
        <f t="shared" si="172"/>
        <v>13.154745415955654</v>
      </c>
      <c r="AL275" s="15">
        <f t="shared" si="160"/>
        <v>0</v>
      </c>
      <c r="AM275" s="15">
        <f t="shared" si="161"/>
        <v>0</v>
      </c>
      <c r="AN275" s="15">
        <f t="shared" si="162"/>
        <v>0</v>
      </c>
      <c r="AO275" s="15">
        <f t="shared" si="163"/>
        <v>0</v>
      </c>
      <c r="AP275" s="31">
        <f t="shared" si="173"/>
        <v>0</v>
      </c>
      <c r="AQ275" s="31">
        <f t="shared" si="174"/>
        <v>0</v>
      </c>
    </row>
    <row r="276" spans="8:43" x14ac:dyDescent="0.25">
      <c r="H276" s="15">
        <v>3.73</v>
      </c>
      <c r="I276" s="45">
        <f t="shared" si="164"/>
        <v>53703.17963702527</v>
      </c>
      <c r="J276" s="32">
        <f t="shared" si="165"/>
        <v>68.155750535076763</v>
      </c>
      <c r="K276" s="32">
        <f t="shared" si="166"/>
        <v>-1.5666817825279118</v>
      </c>
      <c r="L276" s="15">
        <f t="shared" si="140"/>
        <v>3.8729613733905581</v>
      </c>
      <c r="M276" s="15">
        <f t="shared" si="141"/>
        <v>-12.421892848340073</v>
      </c>
      <c r="N276" s="15">
        <f t="shared" si="142"/>
        <v>0.20575315251977527</v>
      </c>
      <c r="O276" s="15">
        <f t="shared" si="143"/>
        <v>-89.412753085030857</v>
      </c>
      <c r="P276" s="15">
        <f t="shared" si="144"/>
        <v>-39.786189845386204</v>
      </c>
      <c r="Q276" s="15">
        <f t="shared" si="145"/>
        <v>-2.0133328611901087</v>
      </c>
      <c r="R276" s="15">
        <f t="shared" si="146"/>
        <v>-5.3636398210393172E-3</v>
      </c>
      <c r="S276" s="31">
        <f t="shared" si="167"/>
        <v>-103.84797879456104</v>
      </c>
      <c r="T276" s="31">
        <f t="shared" si="168"/>
        <v>-27.824937020422503</v>
      </c>
      <c r="U276" s="15">
        <f t="shared" si="147"/>
        <v>6500</v>
      </c>
      <c r="V276" s="15">
        <f t="shared" si="148"/>
        <v>-89.99948544852893</v>
      </c>
      <c r="W276" s="15">
        <f t="shared" si="149"/>
        <v>-100.93387616507032</v>
      </c>
      <c r="X276" s="15">
        <f t="shared" si="150"/>
        <v>89.361625088046225</v>
      </c>
      <c r="Y276" s="15">
        <f t="shared" si="151"/>
        <v>39.061116138462879</v>
      </c>
      <c r="Z276" s="15">
        <f t="shared" si="152"/>
        <v>-30.893163552785289</v>
      </c>
      <c r="AA276" s="15">
        <f t="shared" si="153"/>
        <v>-1.3289770192218928</v>
      </c>
      <c r="AB276" s="31">
        <f t="shared" si="169"/>
        <v>-31.531023913267994</v>
      </c>
      <c r="AC276" s="31">
        <f t="shared" si="170"/>
        <v>13.056530087027783</v>
      </c>
      <c r="AD276" s="15">
        <f t="shared" si="154"/>
        <v>83.816544550994934</v>
      </c>
      <c r="AE276" s="15">
        <f t="shared" si="155"/>
        <v>19.354695358055181</v>
      </c>
      <c r="AF276" s="15">
        <f t="shared" si="156"/>
        <v>0.21749683282225343</v>
      </c>
      <c r="AG276" s="15">
        <f t="shared" si="157"/>
        <v>6.2581499337843713E-5</v>
      </c>
      <c r="AH276" s="15">
        <f t="shared" si="158"/>
        <v>-60.499288140911382</v>
      </c>
      <c r="AI276" s="15">
        <f t="shared" si="159"/>
        <v>-6.1530327886877121</v>
      </c>
      <c r="AJ276" s="31">
        <f t="shared" si="171"/>
        <v>23.534753242905801</v>
      </c>
      <c r="AK276" s="31">
        <f t="shared" si="172"/>
        <v>13.201725150866809</v>
      </c>
      <c r="AL276" s="15">
        <f t="shared" si="160"/>
        <v>0</v>
      </c>
      <c r="AM276" s="15">
        <f t="shared" si="161"/>
        <v>0</v>
      </c>
      <c r="AN276" s="15">
        <f t="shared" si="162"/>
        <v>0</v>
      </c>
      <c r="AO276" s="15">
        <f t="shared" si="163"/>
        <v>0</v>
      </c>
      <c r="AP276" s="31">
        <f t="shared" si="173"/>
        <v>0</v>
      </c>
      <c r="AQ276" s="31">
        <f t="shared" si="174"/>
        <v>0</v>
      </c>
    </row>
    <row r="277" spans="8:43" x14ac:dyDescent="0.25">
      <c r="H277" s="15">
        <v>3.74</v>
      </c>
      <c r="I277" s="45">
        <f t="shared" si="164"/>
        <v>54954.087385762541</v>
      </c>
      <c r="J277" s="32">
        <f t="shared" si="165"/>
        <v>66.828292012844486</v>
      </c>
      <c r="K277" s="32">
        <f t="shared" si="166"/>
        <v>-1.765708348938114</v>
      </c>
      <c r="L277" s="15">
        <f t="shared" si="140"/>
        <v>3.8729613733905581</v>
      </c>
      <c r="M277" s="15">
        <f t="shared" si="141"/>
        <v>-12.701949916592408</v>
      </c>
      <c r="N277" s="15">
        <f t="shared" si="142"/>
        <v>0.2152135723340225</v>
      </c>
      <c r="O277" s="15">
        <f t="shared" si="143"/>
        <v>-89.426119552377074</v>
      </c>
      <c r="P277" s="15">
        <f t="shared" si="144"/>
        <v>-39.98616931248047</v>
      </c>
      <c r="Q277" s="15">
        <f t="shared" si="145"/>
        <v>-2.0601894556760221</v>
      </c>
      <c r="R277" s="15">
        <f t="shared" si="146"/>
        <v>-5.6162570001566259E-3</v>
      </c>
      <c r="S277" s="31">
        <f t="shared" si="167"/>
        <v>-104.18825892464551</v>
      </c>
      <c r="T277" s="31">
        <f t="shared" si="168"/>
        <v>-28.015708684881641</v>
      </c>
      <c r="U277" s="15">
        <f t="shared" si="147"/>
        <v>6500</v>
      </c>
      <c r="V277" s="15">
        <f t="shared" si="148"/>
        <v>-89.999497161150373</v>
      </c>
      <c r="W277" s="15">
        <f t="shared" si="149"/>
        <v>-101.13387616505456</v>
      </c>
      <c r="X277" s="15">
        <f t="shared" si="150"/>
        <v>89.376155113302943</v>
      </c>
      <c r="Y277" s="15">
        <f t="shared" si="151"/>
        <v>39.261091874710196</v>
      </c>
      <c r="Z277" s="15">
        <f t="shared" si="152"/>
        <v>-31.477568815410383</v>
      </c>
      <c r="AA277" s="15">
        <f t="shared" si="153"/>
        <v>-1.3826013488656144</v>
      </c>
      <c r="AB277" s="31">
        <f t="shared" si="169"/>
        <v>-32.100910863257809</v>
      </c>
      <c r="AC277" s="31">
        <f t="shared" si="170"/>
        <v>13.002881493647136</v>
      </c>
      <c r="AD277" s="15">
        <f t="shared" si="154"/>
        <v>83.956243435626376</v>
      </c>
      <c r="AE277" s="15">
        <f t="shared" si="155"/>
        <v>19.55242699665358</v>
      </c>
      <c r="AF277" s="15">
        <f t="shared" si="156"/>
        <v>0.2225629344883267</v>
      </c>
      <c r="AG277" s="15">
        <f t="shared" si="157"/>
        <v>6.553085228510312E-5</v>
      </c>
      <c r="AH277" s="15">
        <f t="shared" si="158"/>
        <v>-61.061344569366895</v>
      </c>
      <c r="AI277" s="15">
        <f t="shared" si="159"/>
        <v>-6.3053736852094744</v>
      </c>
      <c r="AJ277" s="31">
        <f t="shared" si="171"/>
        <v>23.117461800747805</v>
      </c>
      <c r="AK277" s="31">
        <f t="shared" si="172"/>
        <v>13.247118842296391</v>
      </c>
      <c r="AL277" s="15">
        <f t="shared" si="160"/>
        <v>0</v>
      </c>
      <c r="AM277" s="15">
        <f t="shared" si="161"/>
        <v>0</v>
      </c>
      <c r="AN277" s="15">
        <f t="shared" si="162"/>
        <v>0</v>
      </c>
      <c r="AO277" s="15">
        <f t="shared" si="163"/>
        <v>0</v>
      </c>
      <c r="AP277" s="31">
        <f t="shared" si="173"/>
        <v>0</v>
      </c>
      <c r="AQ277" s="31">
        <f t="shared" si="174"/>
        <v>0</v>
      </c>
    </row>
    <row r="278" spans="8:43" x14ac:dyDescent="0.25">
      <c r="H278" s="15">
        <v>3.75</v>
      </c>
      <c r="I278" s="45">
        <f t="shared" si="164"/>
        <v>56234.132519034989</v>
      </c>
      <c r="J278" s="32">
        <f t="shared" si="165"/>
        <v>65.491529675688298</v>
      </c>
      <c r="K278" s="32">
        <f t="shared" si="166"/>
        <v>-1.9676997063107962</v>
      </c>
      <c r="L278" s="15">
        <f t="shared" si="140"/>
        <v>3.8729613733905581</v>
      </c>
      <c r="M278" s="15">
        <f t="shared" si="141"/>
        <v>-12.987892856952506</v>
      </c>
      <c r="N278" s="15">
        <f t="shared" si="142"/>
        <v>0.22509780974620627</v>
      </c>
      <c r="O278" s="15">
        <f t="shared" si="143"/>
        <v>-89.439181822142217</v>
      </c>
      <c r="P278" s="15">
        <f t="shared" si="144"/>
        <v>-40.186149703617097</v>
      </c>
      <c r="Q278" s="15">
        <f t="shared" si="145"/>
        <v>-2.1081346261528395</v>
      </c>
      <c r="R278" s="15">
        <f t="shared" si="146"/>
        <v>-5.8807639119544189E-3</v>
      </c>
      <c r="S278" s="31">
        <f t="shared" si="167"/>
        <v>-104.53520930524755</v>
      </c>
      <c r="T278" s="31">
        <f t="shared" si="168"/>
        <v>-28.206069345517882</v>
      </c>
      <c r="U278" s="15">
        <f t="shared" si="147"/>
        <v>6500</v>
      </c>
      <c r="V278" s="15">
        <f t="shared" si="148"/>
        <v>-89.999508607159996</v>
      </c>
      <c r="W278" s="15">
        <f t="shared" si="149"/>
        <v>-101.33387616503951</v>
      </c>
      <c r="X278" s="15">
        <f t="shared" si="150"/>
        <v>89.390354472344058</v>
      </c>
      <c r="Y278" s="15">
        <f t="shared" si="151"/>
        <v>39.461068702879722</v>
      </c>
      <c r="Z278" s="15">
        <f t="shared" si="152"/>
        <v>-32.06812404577488</v>
      </c>
      <c r="AA278" s="15">
        <f t="shared" si="153"/>
        <v>-1.4380521631154863</v>
      </c>
      <c r="AB278" s="31">
        <f t="shared" si="169"/>
        <v>-32.677278180590818</v>
      </c>
      <c r="AC278" s="31">
        <f t="shared" si="170"/>
        <v>12.947407507581836</v>
      </c>
      <c r="AD278" s="15">
        <f t="shared" si="154"/>
        <v>84.09283211516869</v>
      </c>
      <c r="AE278" s="15">
        <f t="shared" si="155"/>
        <v>19.750259621771516</v>
      </c>
      <c r="AF278" s="15">
        <f t="shared" si="156"/>
        <v>0.22774703721816436</v>
      </c>
      <c r="AG278" s="15">
        <f t="shared" si="157"/>
        <v>6.8619201807957404E-5</v>
      </c>
      <c r="AH278" s="15">
        <f t="shared" si="158"/>
        <v>-61.616561990860198</v>
      </c>
      <c r="AI278" s="15">
        <f t="shared" si="159"/>
        <v>-6.4593661093480756</v>
      </c>
      <c r="AJ278" s="31">
        <f t="shared" si="171"/>
        <v>22.704017161526657</v>
      </c>
      <c r="AK278" s="31">
        <f t="shared" si="172"/>
        <v>13.29096213162525</v>
      </c>
      <c r="AL278" s="15">
        <f t="shared" si="160"/>
        <v>0</v>
      </c>
      <c r="AM278" s="15">
        <f t="shared" si="161"/>
        <v>0</v>
      </c>
      <c r="AN278" s="15">
        <f t="shared" si="162"/>
        <v>0</v>
      </c>
      <c r="AO278" s="15">
        <f t="shared" si="163"/>
        <v>0</v>
      </c>
      <c r="AP278" s="31">
        <f t="shared" si="173"/>
        <v>0</v>
      </c>
      <c r="AQ278" s="31">
        <f t="shared" si="174"/>
        <v>0</v>
      </c>
    </row>
    <row r="279" spans="8:43" x14ac:dyDescent="0.25">
      <c r="H279" s="15">
        <v>3.76</v>
      </c>
      <c r="I279" s="45">
        <f t="shared" si="164"/>
        <v>57543.993733715673</v>
      </c>
      <c r="J279" s="32">
        <f t="shared" si="165"/>
        <v>64.145724878361335</v>
      </c>
      <c r="K279" s="32">
        <f t="shared" si="166"/>
        <v>-2.1726402057242904</v>
      </c>
      <c r="L279" s="15">
        <f t="shared" si="140"/>
        <v>3.8729613733905581</v>
      </c>
      <c r="M279" s="15">
        <f t="shared" si="141"/>
        <v>-13.279816279714575</v>
      </c>
      <c r="N279" s="15">
        <f t="shared" si="142"/>
        <v>0.23542382226498321</v>
      </c>
      <c r="O279" s="15">
        <f t="shared" si="143"/>
        <v>-89.451946814680213</v>
      </c>
      <c r="P279" s="15">
        <f t="shared" si="144"/>
        <v>-40.386130977215295</v>
      </c>
      <c r="Q279" s="15">
        <f t="shared" si="145"/>
        <v>-2.1571935250477199</v>
      </c>
      <c r="R279" s="15">
        <f t="shared" si="146"/>
        <v>-6.1577193850146329E-3</v>
      </c>
      <c r="S279" s="31">
        <f t="shared" si="167"/>
        <v>-104.88895661944251</v>
      </c>
      <c r="T279" s="31">
        <f t="shared" si="168"/>
        <v>-28.396001562070364</v>
      </c>
      <c r="U279" s="15">
        <f t="shared" si="147"/>
        <v>6500</v>
      </c>
      <c r="V279" s="15">
        <f t="shared" si="148"/>
        <v>-89.999519792626643</v>
      </c>
      <c r="W279" s="15">
        <f t="shared" si="149"/>
        <v>-101.53387616502512</v>
      </c>
      <c r="X279" s="15">
        <f t="shared" si="150"/>
        <v>89.404230686876943</v>
      </c>
      <c r="Y279" s="15">
        <f t="shared" si="151"/>
        <v>39.661046573837986</v>
      </c>
      <c r="Z279" s="15">
        <f t="shared" si="152"/>
        <v>-32.664640431921484</v>
      </c>
      <c r="AA279" s="15">
        <f t="shared" si="153"/>
        <v>-1.4953673123993203</v>
      </c>
      <c r="AB279" s="31">
        <f t="shared" si="169"/>
        <v>-33.259929537671184</v>
      </c>
      <c r="AC279" s="31">
        <f t="shared" si="170"/>
        <v>12.890070229270659</v>
      </c>
      <c r="AD279" s="15">
        <f t="shared" si="154"/>
        <v>84.226376797396142</v>
      </c>
      <c r="AE279" s="15">
        <f t="shared" si="155"/>
        <v>19.948188784623795</v>
      </c>
      <c r="AF279" s="15">
        <f t="shared" si="156"/>
        <v>0.23305188935193824</v>
      </c>
      <c r="AG279" s="15">
        <f t="shared" si="157"/>
        <v>7.1853098403578544E-5</v>
      </c>
      <c r="AH279" s="15">
        <f t="shared" si="158"/>
        <v>-62.164817651273047</v>
      </c>
      <c r="AI279" s="15">
        <f t="shared" si="159"/>
        <v>-6.6149695106467856</v>
      </c>
      <c r="AJ279" s="31">
        <f t="shared" si="171"/>
        <v>22.294611035475036</v>
      </c>
      <c r="AK279" s="31">
        <f t="shared" si="172"/>
        <v>13.333291127075414</v>
      </c>
      <c r="AL279" s="15">
        <f t="shared" si="160"/>
        <v>0</v>
      </c>
      <c r="AM279" s="15">
        <f t="shared" si="161"/>
        <v>0</v>
      </c>
      <c r="AN279" s="15">
        <f t="shared" si="162"/>
        <v>0</v>
      </c>
      <c r="AO279" s="15">
        <f t="shared" si="163"/>
        <v>0</v>
      </c>
      <c r="AP279" s="31">
        <f t="shared" si="173"/>
        <v>0</v>
      </c>
      <c r="AQ279" s="31">
        <f t="shared" si="174"/>
        <v>0</v>
      </c>
    </row>
    <row r="280" spans="8:43" x14ac:dyDescent="0.25">
      <c r="H280" s="15">
        <v>3.77</v>
      </c>
      <c r="I280" s="45">
        <f t="shared" si="164"/>
        <v>58884.365535558973</v>
      </c>
      <c r="J280" s="32">
        <f t="shared" si="165"/>
        <v>62.791138115647996</v>
      </c>
      <c r="K280" s="32">
        <f t="shared" si="166"/>
        <v>-2.3805123465119316</v>
      </c>
      <c r="L280" s="15">
        <f t="shared" si="140"/>
        <v>3.8729613733905581</v>
      </c>
      <c r="M280" s="15">
        <f t="shared" si="141"/>
        <v>-13.57781431461569</v>
      </c>
      <c r="N280" s="15">
        <f t="shared" si="142"/>
        <v>0.24621023456286473</v>
      </c>
      <c r="O280" s="15">
        <f t="shared" si="143"/>
        <v>-89.464421293087327</v>
      </c>
      <c r="P280" s="15">
        <f t="shared" si="144"/>
        <v>-40.586113093565046</v>
      </c>
      <c r="Q280" s="15">
        <f t="shared" si="145"/>
        <v>-2.2073918761353979</v>
      </c>
      <c r="R280" s="15">
        <f t="shared" si="146"/>
        <v>-6.447708438637058E-3</v>
      </c>
      <c r="S280" s="31">
        <f t="shared" si="167"/>
        <v>-105.24962748383842</v>
      </c>
      <c r="T280" s="31">
        <f t="shared" si="168"/>
        <v>-28.585487255175856</v>
      </c>
      <c r="U280" s="15">
        <f t="shared" si="147"/>
        <v>6500</v>
      </c>
      <c r="V280" s="15">
        <f t="shared" si="148"/>
        <v>-89.999530723480973</v>
      </c>
      <c r="W280" s="15">
        <f t="shared" si="149"/>
        <v>-101.7338761650114</v>
      </c>
      <c r="X280" s="15">
        <f t="shared" si="150"/>
        <v>89.417791107739347</v>
      </c>
      <c r="Y280" s="15">
        <f t="shared" si="151"/>
        <v>39.861025440661962</v>
      </c>
      <c r="Z280" s="15">
        <f t="shared" si="152"/>
        <v>-33.266916974462767</v>
      </c>
      <c r="AA280" s="15">
        <f t="shared" si="153"/>
        <v>-1.5545837986001416</v>
      </c>
      <c r="AB280" s="31">
        <f t="shared" si="169"/>
        <v>-33.848656590204392</v>
      </c>
      <c r="AC280" s="31">
        <f t="shared" si="170"/>
        <v>12.830832609907539</v>
      </c>
      <c r="AD280" s="15">
        <f t="shared" si="154"/>
        <v>84.356942482328932</v>
      </c>
      <c r="AE280" s="15">
        <f t="shared" si="155"/>
        <v>20.14621022830406</v>
      </c>
      <c r="AF280" s="15">
        <f t="shared" si="156"/>
        <v>0.23848030322845831</v>
      </c>
      <c r="AG280" s="15">
        <f t="shared" si="157"/>
        <v>7.5239401271330443E-5</v>
      </c>
      <c r="AH280" s="15">
        <f t="shared" si="158"/>
        <v>-62.706000595866577</v>
      </c>
      <c r="AI280" s="15">
        <f t="shared" si="159"/>
        <v>-6.7721431689489462</v>
      </c>
      <c r="AJ280" s="31">
        <f t="shared" si="171"/>
        <v>21.889422189690812</v>
      </c>
      <c r="AK280" s="31">
        <f t="shared" si="172"/>
        <v>13.374142298756386</v>
      </c>
      <c r="AL280" s="15">
        <f t="shared" si="160"/>
        <v>0</v>
      </c>
      <c r="AM280" s="15">
        <f t="shared" si="161"/>
        <v>0</v>
      </c>
      <c r="AN280" s="15">
        <f t="shared" si="162"/>
        <v>0</v>
      </c>
      <c r="AO280" s="15">
        <f t="shared" si="163"/>
        <v>0</v>
      </c>
      <c r="AP280" s="31">
        <f t="shared" si="173"/>
        <v>0</v>
      </c>
      <c r="AQ280" s="31">
        <f t="shared" si="174"/>
        <v>0</v>
      </c>
    </row>
    <row r="281" spans="8:43" x14ac:dyDescent="0.25">
      <c r="H281" s="15">
        <v>3.78</v>
      </c>
      <c r="I281" s="45">
        <f t="shared" si="164"/>
        <v>60255.958607435852</v>
      </c>
      <c r="J281" s="32">
        <f t="shared" si="165"/>
        <v>61.428029276539441</v>
      </c>
      <c r="K281" s="32">
        <f t="shared" si="166"/>
        <v>-2.5912967477537983</v>
      </c>
      <c r="L281" s="15">
        <f t="shared" si="140"/>
        <v>3.8729613733905581</v>
      </c>
      <c r="M281" s="15">
        <f t="shared" si="141"/>
        <v>-13.881980446945526</v>
      </c>
      <c r="N281" s="15">
        <f t="shared" si="142"/>
        <v>0.25747635474756297</v>
      </c>
      <c r="O281" s="15">
        <f t="shared" si="143"/>
        <v>-89.476611866763889</v>
      </c>
      <c r="P281" s="15">
        <f t="shared" si="144"/>
        <v>-40.786096014742903</v>
      </c>
      <c r="Q281" s="15">
        <f t="shared" si="145"/>
        <v>-2.2587559868130613</v>
      </c>
      <c r="R281" s="15">
        <f t="shared" si="146"/>
        <v>-6.751343503110201E-3</v>
      </c>
      <c r="S281" s="31">
        <f t="shared" si="167"/>
        <v>-105.61734830052247</v>
      </c>
      <c r="T281" s="31">
        <f t="shared" si="168"/>
        <v>-28.774507691233488</v>
      </c>
      <c r="U281" s="15">
        <f t="shared" si="147"/>
        <v>6500</v>
      </c>
      <c r="V281" s="15">
        <f t="shared" si="148"/>
        <v>-89.999541405518684</v>
      </c>
      <c r="W281" s="15">
        <f t="shared" si="149"/>
        <v>-101.93387616499828</v>
      </c>
      <c r="X281" s="15">
        <f t="shared" si="150"/>
        <v>89.431042918765741</v>
      </c>
      <c r="Y281" s="15">
        <f t="shared" si="151"/>
        <v>40.061005258539531</v>
      </c>
      <c r="Z281" s="15">
        <f t="shared" si="152"/>
        <v>-33.874740603472993</v>
      </c>
      <c r="AA281" s="15">
        <f t="shared" si="153"/>
        <v>-1.6157376610949383</v>
      </c>
      <c r="AB281" s="31">
        <f t="shared" si="169"/>
        <v>-34.443239090225937</v>
      </c>
      <c r="AC281" s="31">
        <f t="shared" si="170"/>
        <v>12.769658565303425</v>
      </c>
      <c r="AD281" s="15">
        <f t="shared" si="154"/>
        <v>84.484592970493864</v>
      </c>
      <c r="AE281" s="15">
        <f t="shared" si="155"/>
        <v>20.344319879866958</v>
      </c>
      <c r="AF281" s="15">
        <f t="shared" si="156"/>
        <v>0.2440351566745709</v>
      </c>
      <c r="AG281" s="15">
        <f t="shared" si="157"/>
        <v>7.8785292847157059E-5</v>
      </c>
      <c r="AH281" s="15">
        <f t="shared" si="158"/>
        <v>-63.240011459880591</v>
      </c>
      <c r="AI281" s="15">
        <f t="shared" si="159"/>
        <v>-6.9308462869835372</v>
      </c>
      <c r="AJ281" s="31">
        <f t="shared" si="171"/>
        <v>21.488616667287843</v>
      </c>
      <c r="AK281" s="31">
        <f t="shared" si="172"/>
        <v>13.413552378176266</v>
      </c>
      <c r="AL281" s="15">
        <f t="shared" si="160"/>
        <v>0</v>
      </c>
      <c r="AM281" s="15">
        <f t="shared" si="161"/>
        <v>0</v>
      </c>
      <c r="AN281" s="15">
        <f t="shared" si="162"/>
        <v>0</v>
      </c>
      <c r="AO281" s="15">
        <f t="shared" si="163"/>
        <v>0</v>
      </c>
      <c r="AP281" s="31">
        <f t="shared" si="173"/>
        <v>0</v>
      </c>
      <c r="AQ281" s="31">
        <f t="shared" si="174"/>
        <v>0</v>
      </c>
    </row>
    <row r="282" spans="8:43" x14ac:dyDescent="0.25">
      <c r="H282" s="15">
        <v>3.79</v>
      </c>
      <c r="I282" s="45">
        <f t="shared" si="164"/>
        <v>61659.500186148289</v>
      </c>
      <c r="J282" s="32">
        <f t="shared" si="165"/>
        <v>60.056657887605098</v>
      </c>
      <c r="K282" s="32">
        <f t="shared" si="166"/>
        <v>-2.8049721148643201</v>
      </c>
      <c r="L282" s="15">
        <f t="shared" si="140"/>
        <v>3.8729613733905581</v>
      </c>
      <c r="M282" s="15">
        <f t="shared" si="141"/>
        <v>-14.192407343075368</v>
      </c>
      <c r="N282" s="15">
        <f t="shared" si="142"/>
        <v>0.2692421902180519</v>
      </c>
      <c r="O282" s="15">
        <f t="shared" si="143"/>
        <v>-89.488524994895997</v>
      </c>
      <c r="P282" s="15">
        <f t="shared" si="144"/>
        <v>-40.986079704531676</v>
      </c>
      <c r="Q282" s="15">
        <f t="shared" si="145"/>
        <v>-2.3113127605879691</v>
      </c>
      <c r="R282" s="15">
        <f t="shared" si="146"/>
        <v>-7.0692656961580174E-3</v>
      </c>
      <c r="S282" s="31">
        <f t="shared" si="167"/>
        <v>-105.99224509855934</v>
      </c>
      <c r="T282" s="31">
        <f t="shared" si="168"/>
        <v>-28.963043467744821</v>
      </c>
      <c r="U282" s="15">
        <f t="shared" si="147"/>
        <v>6500</v>
      </c>
      <c r="V282" s="15">
        <f t="shared" si="148"/>
        <v>-89.999551844403527</v>
      </c>
      <c r="W282" s="15">
        <f t="shared" si="149"/>
        <v>-102.13387616498576</v>
      </c>
      <c r="X282" s="15">
        <f t="shared" si="150"/>
        <v>89.443993140567358</v>
      </c>
      <c r="Y282" s="15">
        <f t="shared" si="151"/>
        <v>40.26098598467469</v>
      </c>
      <c r="Z282" s="15">
        <f t="shared" si="152"/>
        <v>-34.487886349189047</v>
      </c>
      <c r="AA282" s="15">
        <f t="shared" si="153"/>
        <v>-1.6788638621277898</v>
      </c>
      <c r="AB282" s="31">
        <f t="shared" si="169"/>
        <v>-35.043445053025216</v>
      </c>
      <c r="AC282" s="31">
        <f t="shared" si="170"/>
        <v>12.70651309041825</v>
      </c>
      <c r="AD282" s="15">
        <f t="shared" si="154"/>
        <v>84.609390872201487</v>
      </c>
      <c r="AE282" s="15">
        <f t="shared" si="155"/>
        <v>20.542513842705795</v>
      </c>
      <c r="AF282" s="15">
        <f t="shared" si="156"/>
        <v>0.24971939452916253</v>
      </c>
      <c r="AG282" s="15">
        <f t="shared" si="157"/>
        <v>8.249829404174738E-5</v>
      </c>
      <c r="AH282" s="15">
        <f t="shared" si="158"/>
        <v>-63.766762227541001</v>
      </c>
      <c r="AI282" s="15">
        <f t="shared" si="159"/>
        <v>-7.0910380785375864</v>
      </c>
      <c r="AJ282" s="31">
        <f t="shared" si="171"/>
        <v>21.092348039189652</v>
      </c>
      <c r="AK282" s="31">
        <f t="shared" si="172"/>
        <v>13.45155826246225</v>
      </c>
      <c r="AL282" s="15">
        <f t="shared" si="160"/>
        <v>0</v>
      </c>
      <c r="AM282" s="15">
        <f t="shared" si="161"/>
        <v>0</v>
      </c>
      <c r="AN282" s="15">
        <f t="shared" si="162"/>
        <v>0</v>
      </c>
      <c r="AO282" s="15">
        <f t="shared" si="163"/>
        <v>0</v>
      </c>
      <c r="AP282" s="31">
        <f t="shared" si="173"/>
        <v>0</v>
      </c>
      <c r="AQ282" s="31">
        <f t="shared" si="174"/>
        <v>0</v>
      </c>
    </row>
    <row r="283" spans="8:43" x14ac:dyDescent="0.25">
      <c r="H283" s="15">
        <v>3.8</v>
      </c>
      <c r="I283" s="45">
        <f t="shared" si="164"/>
        <v>63095.734448019386</v>
      </c>
      <c r="J283" s="32">
        <f t="shared" si="165"/>
        <v>58.677283341196386</v>
      </c>
      <c r="K283" s="32">
        <f t="shared" si="166"/>
        <v>-3.021515201850633</v>
      </c>
      <c r="L283" s="15">
        <f t="shared" si="140"/>
        <v>3.8729613733905581</v>
      </c>
      <c r="M283" s="15">
        <f t="shared" si="141"/>
        <v>-14.509186665083767</v>
      </c>
      <c r="N283" s="15">
        <f t="shared" si="142"/>
        <v>0.28152846300766238</v>
      </c>
      <c r="O283" s="15">
        <f t="shared" si="143"/>
        <v>-89.500166989859295</v>
      </c>
      <c r="P283" s="15">
        <f t="shared" si="144"/>
        <v>-41.186064128343688</v>
      </c>
      <c r="Q283" s="15">
        <f t="shared" si="145"/>
        <v>-2.3650897097774966</v>
      </c>
      <c r="R283" s="15">
        <f t="shared" si="146"/>
        <v>-7.4021461580746047E-3</v>
      </c>
      <c r="S283" s="31">
        <f t="shared" si="167"/>
        <v>-106.37444336472055</v>
      </c>
      <c r="T283" s="31">
        <f t="shared" si="168"/>
        <v>-29.151074499229136</v>
      </c>
      <c r="U283" s="15">
        <f t="shared" si="147"/>
        <v>6500</v>
      </c>
      <c r="V283" s="15">
        <f t="shared" si="148"/>
        <v>-89.999562045670359</v>
      </c>
      <c r="W283" s="15">
        <f t="shared" si="149"/>
        <v>-102.3338761649738</v>
      </c>
      <c r="X283" s="15">
        <f t="shared" si="150"/>
        <v>89.456648634227506</v>
      </c>
      <c r="Y283" s="15">
        <f t="shared" si="151"/>
        <v>40.460967578196801</v>
      </c>
      <c r="Z283" s="15">
        <f t="shared" si="152"/>
        <v>-35.106117567935669</v>
      </c>
      <c r="AA283" s="15">
        <f t="shared" si="153"/>
        <v>-1.7439961721857795</v>
      </c>
      <c r="AB283" s="31">
        <f t="shared" si="169"/>
        <v>-35.649030979378523</v>
      </c>
      <c r="AC283" s="31">
        <f t="shared" si="170"/>
        <v>12.641362373894333</v>
      </c>
      <c r="AD283" s="15">
        <f t="shared" si="154"/>
        <v>84.731397617743951</v>
      </c>
      <c r="AE283" s="15">
        <f t="shared" si="155"/>
        <v>20.740788389217087</v>
      </c>
      <c r="AF283" s="15">
        <f t="shared" si="156"/>
        <v>0.25553603020255583</v>
      </c>
      <c r="AG283" s="15">
        <f t="shared" si="157"/>
        <v>8.6386280188246434E-5</v>
      </c>
      <c r="AH283" s="15">
        <f t="shared" si="158"/>
        <v>-64.286175962651043</v>
      </c>
      <c r="AI283" s="15">
        <f t="shared" si="159"/>
        <v>-7.2526778520131074</v>
      </c>
      <c r="AJ283" s="31">
        <f t="shared" si="171"/>
        <v>20.700757685295457</v>
      </c>
      <c r="AK283" s="31">
        <f t="shared" si="172"/>
        <v>13.488196923484168</v>
      </c>
      <c r="AL283" s="15">
        <f t="shared" si="160"/>
        <v>0</v>
      </c>
      <c r="AM283" s="15">
        <f t="shared" si="161"/>
        <v>0</v>
      </c>
      <c r="AN283" s="15">
        <f t="shared" si="162"/>
        <v>0</v>
      </c>
      <c r="AO283" s="15">
        <f t="shared" si="163"/>
        <v>0</v>
      </c>
      <c r="AP283" s="31">
        <f t="shared" si="173"/>
        <v>0</v>
      </c>
      <c r="AQ283" s="31">
        <f t="shared" si="174"/>
        <v>0</v>
      </c>
    </row>
    <row r="284" spans="8:43" x14ac:dyDescent="0.25">
      <c r="H284" s="15">
        <v>3.81</v>
      </c>
      <c r="I284" s="45">
        <f t="shared" si="164"/>
        <v>64565.422903465616</v>
      </c>
      <c r="J284" s="32">
        <f t="shared" si="165"/>
        <v>57.290165104517072</v>
      </c>
      <c r="K284" s="32">
        <f t="shared" si="166"/>
        <v>-3.2409007699081691</v>
      </c>
      <c r="L284" s="15">
        <f t="shared" si="140"/>
        <v>3.8729613733905581</v>
      </c>
      <c r="M284" s="15">
        <f t="shared" si="141"/>
        <v>-14.832408874179485</v>
      </c>
      <c r="N284" s="15">
        <f t="shared" si="142"/>
        <v>0.29435662450868322</v>
      </c>
      <c r="O284" s="15">
        <f t="shared" si="143"/>
        <v>-89.511544020546125</v>
      </c>
      <c r="P284" s="15">
        <f t="shared" si="144"/>
        <v>-41.386049253147512</v>
      </c>
      <c r="Q284" s="15">
        <f t="shared" si="145"/>
        <v>-2.4201149684211058</v>
      </c>
      <c r="R284" s="15">
        <f t="shared" si="146"/>
        <v>-7.7506874481413288E-3</v>
      </c>
      <c r="S284" s="31">
        <f t="shared" si="167"/>
        <v>-106.76406786314672</v>
      </c>
      <c r="T284" s="31">
        <f t="shared" si="168"/>
        <v>-29.338580003822006</v>
      </c>
      <c r="U284" s="15">
        <f t="shared" si="147"/>
        <v>6500</v>
      </c>
      <c r="V284" s="15">
        <f t="shared" si="148"/>
        <v>-89.999572014727988</v>
      </c>
      <c r="W284" s="15">
        <f t="shared" si="149"/>
        <v>-102.53387616496239</v>
      </c>
      <c r="X284" s="15">
        <f t="shared" si="150"/>
        <v>89.469016104914061</v>
      </c>
      <c r="Y284" s="15">
        <f t="shared" si="151"/>
        <v>40.660950000074074</v>
      </c>
      <c r="Z284" s="15">
        <f t="shared" si="152"/>
        <v>-35.729186224290672</v>
      </c>
      <c r="AA284" s="15">
        <f t="shared" si="153"/>
        <v>-1.8111670560815851</v>
      </c>
      <c r="AB284" s="31">
        <f t="shared" si="169"/>
        <v>-36.259742134104599</v>
      </c>
      <c r="AC284" s="31">
        <f t="shared" si="170"/>
        <v>12.574173911887209</v>
      </c>
      <c r="AD284" s="15">
        <f t="shared" si="154"/>
        <v>84.850673468424972</v>
      </c>
      <c r="AE284" s="15">
        <f t="shared" si="155"/>
        <v>20.939139953743975</v>
      </c>
      <c r="AF284" s="15">
        <f t="shared" si="156"/>
        <v>0.26148814727212272</v>
      </c>
      <c r="AG284" s="15">
        <f t="shared" si="157"/>
        <v>9.0457497745780226E-5</v>
      </c>
      <c r="AH284" s="15">
        <f t="shared" si="158"/>
        <v>-64.798186513928698</v>
      </c>
      <c r="AI284" s="15">
        <f t="shared" si="159"/>
        <v>-7.415725089215095</v>
      </c>
      <c r="AJ284" s="31">
        <f t="shared" si="171"/>
        <v>20.313975101768392</v>
      </c>
      <c r="AK284" s="31">
        <f t="shared" si="172"/>
        <v>13.523505322026626</v>
      </c>
      <c r="AL284" s="15">
        <f t="shared" si="160"/>
        <v>0</v>
      </c>
      <c r="AM284" s="15">
        <f t="shared" si="161"/>
        <v>0</v>
      </c>
      <c r="AN284" s="15">
        <f t="shared" si="162"/>
        <v>0</v>
      </c>
      <c r="AO284" s="15">
        <f t="shared" si="163"/>
        <v>0</v>
      </c>
      <c r="AP284" s="31">
        <f t="shared" si="173"/>
        <v>0</v>
      </c>
      <c r="AQ284" s="31">
        <f t="shared" si="174"/>
        <v>0</v>
      </c>
    </row>
    <row r="285" spans="8:43" x14ac:dyDescent="0.25">
      <c r="H285" s="15">
        <v>3.82</v>
      </c>
      <c r="I285" s="45">
        <f t="shared" si="164"/>
        <v>66069.34480075966</v>
      </c>
      <c r="J285" s="32">
        <f t="shared" si="165"/>
        <v>55.895562906056313</v>
      </c>
      <c r="K285" s="32">
        <f t="shared" si="166"/>
        <v>-3.4631015431030399</v>
      </c>
      <c r="L285" s="15">
        <f t="shared" si="140"/>
        <v>3.8729613733905581</v>
      </c>
      <c r="M285" s="15">
        <f t="shared" si="141"/>
        <v>-15.162163022648871</v>
      </c>
      <c r="N285" s="15">
        <f t="shared" si="142"/>
        <v>0.30774886946487534</v>
      </c>
      <c r="O285" s="15">
        <f t="shared" si="143"/>
        <v>-89.522662115618019</v>
      </c>
      <c r="P285" s="15">
        <f t="shared" si="144"/>
        <v>-41.586035047397871</v>
      </c>
      <c r="Q285" s="15">
        <f t="shared" si="145"/>
        <v>-2.4764173054032534</v>
      </c>
      <c r="R285" s="15">
        <f t="shared" si="146"/>
        <v>-8.1156250050966935E-3</v>
      </c>
      <c r="S285" s="31">
        <f t="shared" si="167"/>
        <v>-107.16124244367015</v>
      </c>
      <c r="T285" s="31">
        <f t="shared" si="168"/>
        <v>-29.525538490673128</v>
      </c>
      <c r="U285" s="15">
        <f t="shared" si="147"/>
        <v>6500</v>
      </c>
      <c r="V285" s="15">
        <f t="shared" si="148"/>
        <v>-89.999581756862185</v>
      </c>
      <c r="W285" s="15">
        <f t="shared" si="149"/>
        <v>-102.73387616495148</v>
      </c>
      <c r="X285" s="15">
        <f t="shared" si="150"/>
        <v>89.481102105411225</v>
      </c>
      <c r="Y285" s="15">
        <f t="shared" si="151"/>
        <v>40.860933213030762</v>
      </c>
      <c r="Z285" s="15">
        <f t="shared" si="152"/>
        <v>-36.356833230067423</v>
      </c>
      <c r="AA285" s="15">
        <f t="shared" si="153"/>
        <v>-1.8804075604756034</v>
      </c>
      <c r="AB285" s="31">
        <f t="shared" si="169"/>
        <v>-36.875312881518383</v>
      </c>
      <c r="AC285" s="31">
        <f t="shared" si="170"/>
        <v>12.50491662046079</v>
      </c>
      <c r="AD285" s="15">
        <f t="shared" si="154"/>
        <v>84.967277528338414</v>
      </c>
      <c r="AE285" s="15">
        <f t="shared" si="155"/>
        <v>21.137565125790289</v>
      </c>
      <c r="AF285" s="15">
        <f t="shared" si="156"/>
        <v>0.26757890111494659</v>
      </c>
      <c r="AG285" s="15">
        <f t="shared" si="157"/>
        <v>9.4720581783846482E-5</v>
      </c>
      <c r="AH285" s="15">
        <f t="shared" si="158"/>
        <v>-65.302738198208516</v>
      </c>
      <c r="AI285" s="15">
        <f t="shared" si="159"/>
        <v>-7.580139519262775</v>
      </c>
      <c r="AJ285" s="31">
        <f t="shared" si="171"/>
        <v>19.932118231244843</v>
      </c>
      <c r="AK285" s="31">
        <f t="shared" si="172"/>
        <v>13.557520327109298</v>
      </c>
      <c r="AL285" s="15">
        <f t="shared" si="160"/>
        <v>0</v>
      </c>
      <c r="AM285" s="15">
        <f t="shared" si="161"/>
        <v>0</v>
      </c>
      <c r="AN285" s="15">
        <f t="shared" si="162"/>
        <v>0</v>
      </c>
      <c r="AO285" s="15">
        <f t="shared" si="163"/>
        <v>0</v>
      </c>
      <c r="AP285" s="31">
        <f t="shared" si="173"/>
        <v>0</v>
      </c>
      <c r="AQ285" s="31">
        <f t="shared" si="174"/>
        <v>0</v>
      </c>
    </row>
    <row r="286" spans="8:43" x14ac:dyDescent="0.25">
      <c r="H286" s="15">
        <v>3.83</v>
      </c>
      <c r="I286" s="45">
        <f t="shared" si="164"/>
        <v>67608.297539198233</v>
      </c>
      <c r="J286" s="32">
        <f t="shared" si="165"/>
        <v>54.493736896391354</v>
      </c>
      <c r="K286" s="32">
        <f t="shared" si="166"/>
        <v>-3.6880881619652115</v>
      </c>
      <c r="L286" s="15">
        <f t="shared" si="140"/>
        <v>3.8729613733905581</v>
      </c>
      <c r="M286" s="15">
        <f t="shared" si="141"/>
        <v>-15.49853653408722</v>
      </c>
      <c r="N286" s="15">
        <f t="shared" si="142"/>
        <v>0.32172814911003778</v>
      </c>
      <c r="O286" s="15">
        <f t="shared" si="143"/>
        <v>-89.53352716668509</v>
      </c>
      <c r="P286" s="15">
        <f t="shared" si="144"/>
        <v>-41.786021480968913</v>
      </c>
      <c r="Q286" s="15">
        <f t="shared" si="145"/>
        <v>-2.5340261377858591</v>
      </c>
      <c r="R286" s="15">
        <f t="shared" si="146"/>
        <v>-8.4977286744938735E-3</v>
      </c>
      <c r="S286" s="31">
        <f t="shared" si="167"/>
        <v>-107.56608983855817</v>
      </c>
      <c r="T286" s="31">
        <f t="shared" si="168"/>
        <v>-29.711927748268405</v>
      </c>
      <c r="U286" s="15">
        <f t="shared" si="147"/>
        <v>6500</v>
      </c>
      <c r="V286" s="15">
        <f t="shared" si="148"/>
        <v>-89.999591277238295</v>
      </c>
      <c r="W286" s="15">
        <f t="shared" si="149"/>
        <v>-102.93387616494107</v>
      </c>
      <c r="X286" s="15">
        <f t="shared" si="150"/>
        <v>89.492913039571732</v>
      </c>
      <c r="Y286" s="15">
        <f t="shared" si="151"/>
        <v>41.060917181468291</v>
      </c>
      <c r="Z286" s="15">
        <f t="shared" si="152"/>
        <v>-36.98878884022416</v>
      </c>
      <c r="AA286" s="15">
        <f t="shared" si="153"/>
        <v>-1.95174720359284</v>
      </c>
      <c r="AB286" s="31">
        <f t="shared" si="169"/>
        <v>-37.495467077890723</v>
      </c>
      <c r="AC286" s="31">
        <f t="shared" si="170"/>
        <v>12.433560945791497</v>
      </c>
      <c r="AD286" s="15">
        <f t="shared" si="154"/>
        <v>85.081267756817837</v>
      </c>
      <c r="AE286" s="15">
        <f t="shared" si="155"/>
        <v>21.336060643496978</v>
      </c>
      <c r="AF286" s="15">
        <f t="shared" si="156"/>
        <v>0.27381152057839203</v>
      </c>
      <c r="AG286" s="15">
        <f t="shared" si="157"/>
        <v>9.9184574299621345E-5</v>
      </c>
      <c r="AH286" s="15">
        <f t="shared" si="158"/>
        <v>-65.799785464555981</v>
      </c>
      <c r="AI286" s="15">
        <f t="shared" si="159"/>
        <v>-7.7458811875595792</v>
      </c>
      <c r="AJ286" s="31">
        <f t="shared" si="171"/>
        <v>19.555293812840247</v>
      </c>
      <c r="AK286" s="31">
        <f t="shared" si="172"/>
        <v>13.590278640511698</v>
      </c>
      <c r="AL286" s="15">
        <f t="shared" si="160"/>
        <v>0</v>
      </c>
      <c r="AM286" s="15">
        <f t="shared" si="161"/>
        <v>0</v>
      </c>
      <c r="AN286" s="15">
        <f t="shared" si="162"/>
        <v>0</v>
      </c>
      <c r="AO286" s="15">
        <f t="shared" si="163"/>
        <v>0</v>
      </c>
      <c r="AP286" s="31">
        <f t="shared" si="173"/>
        <v>0</v>
      </c>
      <c r="AQ286" s="31">
        <f t="shared" si="174"/>
        <v>0</v>
      </c>
    </row>
    <row r="287" spans="8:43" x14ac:dyDescent="0.25">
      <c r="H287" s="15">
        <v>3.84</v>
      </c>
      <c r="I287" s="45">
        <f t="shared" si="164"/>
        <v>69183.097091893695</v>
      </c>
      <c r="J287" s="32">
        <f t="shared" si="165"/>
        <v>53.084947780923287</v>
      </c>
      <c r="K287" s="32">
        <f t="shared" si="166"/>
        <v>-3.9158291358785036</v>
      </c>
      <c r="L287" s="15">
        <f t="shared" si="140"/>
        <v>3.8729613733905581</v>
      </c>
      <c r="M287" s="15">
        <f t="shared" si="141"/>
        <v>-15.841614971711625</v>
      </c>
      <c r="N287" s="15">
        <f t="shared" si="142"/>
        <v>0.33631818332244151</v>
      </c>
      <c r="O287" s="15">
        <f t="shared" si="143"/>
        <v>-89.544144931413783</v>
      </c>
      <c r="P287" s="15">
        <f t="shared" si="144"/>
        <v>-41.98600852509027</v>
      </c>
      <c r="Q287" s="15">
        <f t="shared" si="145"/>
        <v>-2.5929715443484485</v>
      </c>
      <c r="R287" s="15">
        <f t="shared" si="146"/>
        <v>-8.8978043059000471E-3</v>
      </c>
      <c r="S287" s="31">
        <f t="shared" si="167"/>
        <v>-107.97873144747385</v>
      </c>
      <c r="T287" s="31">
        <f t="shared" si="168"/>
        <v>-29.897724833808763</v>
      </c>
      <c r="U287" s="15">
        <f t="shared" si="147"/>
        <v>6500</v>
      </c>
      <c r="V287" s="15">
        <f t="shared" si="148"/>
        <v>-89.999600580904229</v>
      </c>
      <c r="W287" s="15">
        <f t="shared" si="149"/>
        <v>-103.13387616493111</v>
      </c>
      <c r="X287" s="15">
        <f t="shared" si="150"/>
        <v>89.504455165691809</v>
      </c>
      <c r="Y287" s="15">
        <f t="shared" si="151"/>
        <v>41.260901871389748</v>
      </c>
      <c r="Z287" s="15">
        <f t="shared" si="152"/>
        <v>-37.624773105315214</v>
      </c>
      <c r="AA287" s="15">
        <f t="shared" si="153"/>
        <v>-2.0252138679043243</v>
      </c>
      <c r="AB287" s="31">
        <f t="shared" si="169"/>
        <v>-38.119918520527634</v>
      </c>
      <c r="AC287" s="31">
        <f t="shared" si="170"/>
        <v>12.360078971411429</v>
      </c>
      <c r="AD287" s="15">
        <f t="shared" si="154"/>
        <v>85.192700981484478</v>
      </c>
      <c r="AE287" s="15">
        <f t="shared" si="155"/>
        <v>21.53462338737274</v>
      </c>
      <c r="AF287" s="15">
        <f t="shared" si="156"/>
        <v>0.28018930968945183</v>
      </c>
      <c r="AG287" s="15">
        <f t="shared" si="157"/>
        <v>1.0385894338358652E-4</v>
      </c>
      <c r="AH287" s="15">
        <f t="shared" si="158"/>
        <v>-66.289292542249157</v>
      </c>
      <c r="AI287" s="15">
        <f t="shared" si="159"/>
        <v>-7.9129105197972924</v>
      </c>
      <c r="AJ287" s="31">
        <f t="shared" si="171"/>
        <v>19.183597748924768</v>
      </c>
      <c r="AK287" s="31">
        <f t="shared" si="172"/>
        <v>13.62181672651883</v>
      </c>
      <c r="AL287" s="15">
        <f t="shared" si="160"/>
        <v>0</v>
      </c>
      <c r="AM287" s="15">
        <f t="shared" si="161"/>
        <v>0</v>
      </c>
      <c r="AN287" s="15">
        <f t="shared" si="162"/>
        <v>0</v>
      </c>
      <c r="AO287" s="15">
        <f t="shared" si="163"/>
        <v>0</v>
      </c>
      <c r="AP287" s="31">
        <f t="shared" si="173"/>
        <v>0</v>
      </c>
      <c r="AQ287" s="31">
        <f t="shared" si="174"/>
        <v>0</v>
      </c>
    </row>
    <row r="288" spans="8:43" x14ac:dyDescent="0.25">
      <c r="H288" s="15">
        <v>3.85</v>
      </c>
      <c r="I288" s="45">
        <f t="shared" si="164"/>
        <v>70794.578438413824</v>
      </c>
      <c r="J288" s="32">
        <f t="shared" si="165"/>
        <v>51.669456922696945</v>
      </c>
      <c r="K288" s="32">
        <f t="shared" si="166"/>
        <v>-4.1462907952064221</v>
      </c>
      <c r="L288" s="15">
        <f t="shared" si="140"/>
        <v>3.8729613733905581</v>
      </c>
      <c r="M288" s="15">
        <f t="shared" si="141"/>
        <v>-16.191481794596942</v>
      </c>
      <c r="N288" s="15">
        <f t="shared" si="142"/>
        <v>0.35154347165643146</v>
      </c>
      <c r="O288" s="15">
        <f t="shared" si="143"/>
        <v>-89.554521036564779</v>
      </c>
      <c r="P288" s="15">
        <f t="shared" si="144"/>
        <v>-42.185996152286151</v>
      </c>
      <c r="Q288" s="15">
        <f t="shared" si="145"/>
        <v>-2.6532842793336133</v>
      </c>
      <c r="R288" s="15">
        <f t="shared" si="146"/>
        <v>-9.3166954230517376E-3</v>
      </c>
      <c r="S288" s="31">
        <f t="shared" si="167"/>
        <v>-108.39928711049534</v>
      </c>
      <c r="T288" s="31">
        <f t="shared" si="168"/>
        <v>-30.08290606378781</v>
      </c>
      <c r="U288" s="15">
        <f t="shared" si="147"/>
        <v>6500</v>
      </c>
      <c r="V288" s="15">
        <f t="shared" si="148"/>
        <v>-89.999609672792843</v>
      </c>
      <c r="W288" s="15">
        <f t="shared" si="149"/>
        <v>-103.33387616492161</v>
      </c>
      <c r="X288" s="15">
        <f t="shared" si="150"/>
        <v>89.515734599810159</v>
      </c>
      <c r="Y288" s="15">
        <f t="shared" si="151"/>
        <v>41.460887250327858</v>
      </c>
      <c r="Z288" s="15">
        <f t="shared" si="152"/>
        <v>-38.264496379585147</v>
      </c>
      <c r="AA288" s="15">
        <f t="shared" si="153"/>
        <v>-2.1008336965492256</v>
      </c>
      <c r="AB288" s="31">
        <f t="shared" si="169"/>
        <v>-38.748371452567831</v>
      </c>
      <c r="AC288" s="31">
        <f t="shared" si="170"/>
        <v>12.284444521714141</v>
      </c>
      <c r="AD288" s="15">
        <f t="shared" si="154"/>
        <v>85.301632911825976</v>
      </c>
      <c r="AE288" s="15">
        <f t="shared" si="155"/>
        <v>21.733250374270753</v>
      </c>
      <c r="AF288" s="15">
        <f t="shared" si="156"/>
        <v>0.28671564940376859</v>
      </c>
      <c r="AG288" s="15">
        <f t="shared" si="157"/>
        <v>1.0875360330095122E-4</v>
      </c>
      <c r="AH288" s="15">
        <f t="shared" si="158"/>
        <v>-66.771233075469638</v>
      </c>
      <c r="AI288" s="15">
        <f t="shared" si="159"/>
        <v>-8.0811883810068075</v>
      </c>
      <c r="AJ288" s="31">
        <f t="shared" si="171"/>
        <v>18.817115485760112</v>
      </c>
      <c r="AK288" s="31">
        <f t="shared" si="172"/>
        <v>13.652170746867245</v>
      </c>
      <c r="AL288" s="15">
        <f t="shared" si="160"/>
        <v>0</v>
      </c>
      <c r="AM288" s="15">
        <f t="shared" si="161"/>
        <v>0</v>
      </c>
      <c r="AN288" s="15">
        <f t="shared" si="162"/>
        <v>0</v>
      </c>
      <c r="AO288" s="15">
        <f t="shared" si="163"/>
        <v>0</v>
      </c>
      <c r="AP288" s="31">
        <f t="shared" si="173"/>
        <v>0</v>
      </c>
      <c r="AQ288" s="31">
        <f t="shared" si="174"/>
        <v>0</v>
      </c>
    </row>
    <row r="289" spans="8:43" x14ac:dyDescent="0.25">
      <c r="H289" s="15">
        <v>3.86</v>
      </c>
      <c r="I289" s="45">
        <f t="shared" si="164"/>
        <v>72443.596007499029</v>
      </c>
      <c r="J289" s="32">
        <f t="shared" si="165"/>
        <v>50.247526414066598</v>
      </c>
      <c r="K289" s="32">
        <f t="shared" si="166"/>
        <v>-4.3794372441306919</v>
      </c>
      <c r="L289" s="15">
        <f t="shared" si="140"/>
        <v>3.8729613733905581</v>
      </c>
      <c r="M289" s="15">
        <f t="shared" si="141"/>
        <v>-16.548218101727336</v>
      </c>
      <c r="N289" s="15">
        <f t="shared" si="142"/>
        <v>0.36742930310414812</v>
      </c>
      <c r="O289" s="15">
        <f t="shared" si="143"/>
        <v>-89.564660980962415</v>
      </c>
      <c r="P289" s="15">
        <f t="shared" si="144"/>
        <v>-42.385984336317037</v>
      </c>
      <c r="Q289" s="15">
        <f t="shared" si="145"/>
        <v>-2.7149957863948488</v>
      </c>
      <c r="R289" s="15">
        <f t="shared" si="146"/>
        <v>-9.7552849701425318E-3</v>
      </c>
      <c r="S289" s="31">
        <f t="shared" si="167"/>
        <v>-108.8278748690846</v>
      </c>
      <c r="T289" s="31">
        <f t="shared" si="168"/>
        <v>-30.267447005918068</v>
      </c>
      <c r="U289" s="15">
        <f t="shared" si="147"/>
        <v>6500</v>
      </c>
      <c r="V289" s="15">
        <f t="shared" si="148"/>
        <v>-89.999618557724816</v>
      </c>
      <c r="W289" s="15">
        <f t="shared" si="149"/>
        <v>-103.53387616491254</v>
      </c>
      <c r="X289" s="15">
        <f t="shared" si="150"/>
        <v>89.526757318932994</v>
      </c>
      <c r="Y289" s="15">
        <f t="shared" si="151"/>
        <v>41.66087328727621</v>
      </c>
      <c r="Z289" s="15">
        <f t="shared" si="152"/>
        <v>-38.907659883279393</v>
      </c>
      <c r="AA289" s="15">
        <f t="shared" si="153"/>
        <v>-2.178630994271177</v>
      </c>
      <c r="AB289" s="31">
        <f t="shared" si="169"/>
        <v>-39.380521122071215</v>
      </c>
      <c r="AC289" s="31">
        <f t="shared" si="170"/>
        <v>12.206633260949605</v>
      </c>
      <c r="AD289" s="15">
        <f t="shared" si="154"/>
        <v>85.408118153242626</v>
      </c>
      <c r="AE289" s="15">
        <f t="shared" si="155"/>
        <v>21.931938751603532</v>
      </c>
      <c r="AF289" s="15">
        <f t="shared" si="156"/>
        <v>0.29339399939524263</v>
      </c>
      <c r="AG289" s="15">
        <f t="shared" si="157"/>
        <v>1.1387893552355477E-4</v>
      </c>
      <c r="AH289" s="15">
        <f t="shared" si="158"/>
        <v>-67.245589747415465</v>
      </c>
      <c r="AI289" s="15">
        <f t="shared" si="159"/>
        <v>-8.2506761297012829</v>
      </c>
      <c r="AJ289" s="31">
        <f t="shared" si="171"/>
        <v>18.45592240522241</v>
      </c>
      <c r="AK289" s="31">
        <f t="shared" si="172"/>
        <v>13.681376500837771</v>
      </c>
      <c r="AL289" s="15">
        <f t="shared" si="160"/>
        <v>0</v>
      </c>
      <c r="AM289" s="15">
        <f t="shared" si="161"/>
        <v>0</v>
      </c>
      <c r="AN289" s="15">
        <f t="shared" si="162"/>
        <v>0</v>
      </c>
      <c r="AO289" s="15">
        <f t="shared" si="163"/>
        <v>0</v>
      </c>
      <c r="AP289" s="31">
        <f t="shared" si="173"/>
        <v>0</v>
      </c>
      <c r="AQ289" s="31">
        <f t="shared" si="174"/>
        <v>0</v>
      </c>
    </row>
    <row r="290" spans="8:43" x14ac:dyDescent="0.25">
      <c r="H290" s="15">
        <v>3.87</v>
      </c>
      <c r="I290" s="45">
        <f t="shared" si="164"/>
        <v>74131.02413009177</v>
      </c>
      <c r="J290" s="32">
        <f t="shared" si="165"/>
        <v>48.819419116593807</v>
      </c>
      <c r="K290" s="32">
        <f t="shared" si="166"/>
        <v>-4.6152303152079437</v>
      </c>
      <c r="L290" s="15">
        <f t="shared" si="140"/>
        <v>3.8729613733905581</v>
      </c>
      <c r="M290" s="15">
        <f t="shared" si="141"/>
        <v>-16.911902363813308</v>
      </c>
      <c r="N290" s="15">
        <f t="shared" si="142"/>
        <v>0.38400176443189332</v>
      </c>
      <c r="O290" s="15">
        <f t="shared" si="143"/>
        <v>-89.574570138397306</v>
      </c>
      <c r="P290" s="15">
        <f t="shared" si="144"/>
        <v>-42.585973052124125</v>
      </c>
      <c r="Q290" s="15">
        <f t="shared" si="145"/>
        <v>-2.7781382127432481</v>
      </c>
      <c r="R290" s="15">
        <f t="shared" si="146"/>
        <v>-1.0214497137649365E-2</v>
      </c>
      <c r="S290" s="31">
        <f t="shared" si="167"/>
        <v>-109.26461071495386</v>
      </c>
      <c r="T290" s="31">
        <f t="shared" si="168"/>
        <v>-30.451322472564918</v>
      </c>
      <c r="U290" s="15">
        <f t="shared" si="147"/>
        <v>6500</v>
      </c>
      <c r="V290" s="15">
        <f t="shared" si="148"/>
        <v>-89.999627240411044</v>
      </c>
      <c r="W290" s="15">
        <f t="shared" si="149"/>
        <v>-103.73387616490388</v>
      </c>
      <c r="X290" s="15">
        <f t="shared" si="150"/>
        <v>89.537529164186296</v>
      </c>
      <c r="Y290" s="15">
        <f t="shared" si="151"/>
        <v>41.860859952623493</v>
      </c>
      <c r="Z290" s="15">
        <f t="shared" si="152"/>
        <v>-39.553956317211387</v>
      </c>
      <c r="AA290" s="15">
        <f t="shared" si="153"/>
        <v>-2.2586281336306406</v>
      </c>
      <c r="AB290" s="31">
        <f t="shared" si="169"/>
        <v>-40.016054393436136</v>
      </c>
      <c r="AC290" s="31">
        <f t="shared" si="170"/>
        <v>12.12662278694609</v>
      </c>
      <c r="AD290" s="15">
        <f t="shared" si="154"/>
        <v>85.512210221502997</v>
      </c>
      <c r="AE290" s="15">
        <f t="shared" si="155"/>
        <v>22.130685791787869</v>
      </c>
      <c r="AF290" s="15">
        <f t="shared" si="156"/>
        <v>0.30022789988716192</v>
      </c>
      <c r="AG290" s="15">
        <f t="shared" si="157"/>
        <v>1.1924581072764569E-4</v>
      </c>
      <c r="AH290" s="15">
        <f t="shared" si="158"/>
        <v>-67.712353896406356</v>
      </c>
      <c r="AI290" s="15">
        <f t="shared" si="159"/>
        <v>-8.4213356671877104</v>
      </c>
      <c r="AJ290" s="31">
        <f t="shared" si="171"/>
        <v>18.100084224983803</v>
      </c>
      <c r="AK290" s="31">
        <f t="shared" si="172"/>
        <v>13.709469370410885</v>
      </c>
      <c r="AL290" s="15">
        <f t="shared" si="160"/>
        <v>0</v>
      </c>
      <c r="AM290" s="15">
        <f t="shared" si="161"/>
        <v>0</v>
      </c>
      <c r="AN290" s="15">
        <f t="shared" si="162"/>
        <v>0</v>
      </c>
      <c r="AO290" s="15">
        <f t="shared" si="163"/>
        <v>0</v>
      </c>
      <c r="AP290" s="31">
        <f t="shared" si="173"/>
        <v>0</v>
      </c>
      <c r="AQ290" s="31">
        <f t="shared" si="174"/>
        <v>0</v>
      </c>
    </row>
    <row r="291" spans="8:43" x14ac:dyDescent="0.25">
      <c r="H291" s="15">
        <v>3.88</v>
      </c>
      <c r="I291" s="45">
        <f t="shared" si="164"/>
        <v>75857.757502918394</v>
      </c>
      <c r="J291" s="32">
        <f t="shared" si="165"/>
        <v>47.385398669186912</v>
      </c>
      <c r="K291" s="32">
        <f t="shared" si="166"/>
        <v>-4.8536295266615088</v>
      </c>
      <c r="L291" s="15">
        <f t="shared" si="140"/>
        <v>3.8729613733905581</v>
      </c>
      <c r="M291" s="15">
        <f t="shared" si="141"/>
        <v>-17.282610142889425</v>
      </c>
      <c r="N291" s="15">
        <f t="shared" si="142"/>
        <v>0.40128774692757796</v>
      </c>
      <c r="O291" s="15">
        <f t="shared" si="143"/>
        <v>-89.584253760463369</v>
      </c>
      <c r="P291" s="15">
        <f t="shared" si="144"/>
        <v>-42.785962275776193</v>
      </c>
      <c r="Q291" s="15">
        <f t="shared" si="145"/>
        <v>-2.8427444234888664</v>
      </c>
      <c r="R291" s="15">
        <f t="shared" si="146"/>
        <v>-1.0695299271102267E-2</v>
      </c>
      <c r="S291" s="31">
        <f t="shared" si="167"/>
        <v>-109.70960832684166</v>
      </c>
      <c r="T291" s="31">
        <f t="shared" si="168"/>
        <v>-30.634506515854756</v>
      </c>
      <c r="U291" s="15">
        <f t="shared" si="147"/>
        <v>6500</v>
      </c>
      <c r="V291" s="15">
        <f t="shared" si="148"/>
        <v>-89.999635725455207</v>
      </c>
      <c r="W291" s="15">
        <f t="shared" si="149"/>
        <v>-103.93387616489561</v>
      </c>
      <c r="X291" s="15">
        <f t="shared" si="150"/>
        <v>89.548055843897345</v>
      </c>
      <c r="Y291" s="15">
        <f t="shared" si="151"/>
        <v>42.0608472180908</v>
      </c>
      <c r="Z291" s="15">
        <f t="shared" si="152"/>
        <v>-40.203070527095022</v>
      </c>
      <c r="AA291" s="15">
        <f t="shared" si="153"/>
        <v>-2.3408454672337413</v>
      </c>
      <c r="AB291" s="31">
        <f t="shared" si="169"/>
        <v>-40.654650408652884</v>
      </c>
      <c r="AC291" s="31">
        <f t="shared" si="170"/>
        <v>12.044392718818564</v>
      </c>
      <c r="AD291" s="15">
        <f t="shared" si="154"/>
        <v>85.613961557553907</v>
      </c>
      <c r="AE291" s="15">
        <f t="shared" si="155"/>
        <v>22.329488886912241</v>
      </c>
      <c r="AF291" s="15">
        <f t="shared" si="156"/>
        <v>0.30722097352580879</v>
      </c>
      <c r="AG291" s="15">
        <f t="shared" si="157"/>
        <v>1.2486561185971902E-4</v>
      </c>
      <c r="AH291" s="15">
        <f t="shared" si="158"/>
        <v>-68.171525126398265</v>
      </c>
      <c r="AI291" s="15">
        <f t="shared" si="159"/>
        <v>-8.5931294821494166</v>
      </c>
      <c r="AJ291" s="31">
        <f t="shared" si="171"/>
        <v>17.749657404681457</v>
      </c>
      <c r="AK291" s="31">
        <f t="shared" si="172"/>
        <v>13.736484270374683</v>
      </c>
      <c r="AL291" s="15">
        <f t="shared" si="160"/>
        <v>0</v>
      </c>
      <c r="AM291" s="15">
        <f t="shared" si="161"/>
        <v>0</v>
      </c>
      <c r="AN291" s="15">
        <f t="shared" si="162"/>
        <v>0</v>
      </c>
      <c r="AO291" s="15">
        <f t="shared" si="163"/>
        <v>0</v>
      </c>
      <c r="AP291" s="31">
        <f t="shared" si="173"/>
        <v>0</v>
      </c>
      <c r="AQ291" s="31">
        <f t="shared" si="174"/>
        <v>0</v>
      </c>
    </row>
    <row r="292" spans="8:43" x14ac:dyDescent="0.25">
      <c r="H292" s="15">
        <v>3.89</v>
      </c>
      <c r="I292" s="45">
        <f t="shared" si="164"/>
        <v>77624.711662869318</v>
      </c>
      <c r="J292" s="32">
        <f t="shared" si="165"/>
        <v>45.945729465104392</v>
      </c>
      <c r="K292" s="32">
        <f t="shared" si="166"/>
        <v>-5.0945920434269567</v>
      </c>
      <c r="L292" s="15">
        <f t="shared" si="140"/>
        <v>3.8729613733905581</v>
      </c>
      <c r="M292" s="15">
        <f t="shared" si="141"/>
        <v>-17.660413799780702</v>
      </c>
      <c r="N292" s="15">
        <f t="shared" si="142"/>
        <v>0.41931495138778369</v>
      </c>
      <c r="O292" s="15">
        <f t="shared" si="143"/>
        <v>-89.593716979331077</v>
      </c>
      <c r="P292" s="15">
        <f t="shared" si="144"/>
        <v>-42.985951984418861</v>
      </c>
      <c r="Q292" s="15">
        <f t="shared" si="145"/>
        <v>-2.9088480161718855</v>
      </c>
      <c r="R292" s="15">
        <f t="shared" si="146"/>
        <v>-1.1198703866474558E-2</v>
      </c>
      <c r="S292" s="31">
        <f t="shared" si="167"/>
        <v>-110.16297879528366</v>
      </c>
      <c r="T292" s="31">
        <f t="shared" si="168"/>
        <v>-30.816972424632585</v>
      </c>
      <c r="U292" s="15">
        <f t="shared" si="147"/>
        <v>6500</v>
      </c>
      <c r="V292" s="15">
        <f t="shared" si="148"/>
        <v>-89.999644017356175</v>
      </c>
      <c r="W292" s="15">
        <f t="shared" si="149"/>
        <v>-104.13387616488771</v>
      </c>
      <c r="X292" s="15">
        <f t="shared" si="150"/>
        <v>89.55834293660682</v>
      </c>
      <c r="Y292" s="15">
        <f t="shared" si="151"/>
        <v>42.260835056671638</v>
      </c>
      <c r="Z292" s="15">
        <f t="shared" si="152"/>
        <v>-40.854680214629539</v>
      </c>
      <c r="AA292" s="15">
        <f t="shared" si="153"/>
        <v>-2.4253012466871375</v>
      </c>
      <c r="AB292" s="31">
        <f t="shared" si="169"/>
        <v>-41.295981295378894</v>
      </c>
      <c r="AC292" s="31">
        <f t="shared" si="170"/>
        <v>11.959924777953905</v>
      </c>
      <c r="AD292" s="15">
        <f t="shared" si="154"/>
        <v>85.713423542634374</v>
      </c>
      <c r="AE292" s="15">
        <f t="shared" si="155"/>
        <v>22.52834554361888</v>
      </c>
      <c r="AF292" s="15">
        <f t="shared" si="156"/>
        <v>0.3143769272975212</v>
      </c>
      <c r="AG292" s="15">
        <f t="shared" si="157"/>
        <v>1.3075025826458602E-4</v>
      </c>
      <c r="AH292" s="15">
        <f t="shared" si="158"/>
        <v>-68.62311091416494</v>
      </c>
      <c r="AI292" s="15">
        <f t="shared" si="159"/>
        <v>-8.766020690625421</v>
      </c>
      <c r="AJ292" s="31">
        <f t="shared" si="171"/>
        <v>17.40468955576695</v>
      </c>
      <c r="AK292" s="31">
        <f t="shared" si="172"/>
        <v>13.762455603251723</v>
      </c>
      <c r="AL292" s="15">
        <f t="shared" si="160"/>
        <v>0</v>
      </c>
      <c r="AM292" s="15">
        <f t="shared" si="161"/>
        <v>0</v>
      </c>
      <c r="AN292" s="15">
        <f t="shared" si="162"/>
        <v>0</v>
      </c>
      <c r="AO292" s="15">
        <f t="shared" si="163"/>
        <v>0</v>
      </c>
      <c r="AP292" s="31">
        <f t="shared" si="173"/>
        <v>0</v>
      </c>
      <c r="AQ292" s="31">
        <f t="shared" si="174"/>
        <v>0</v>
      </c>
    </row>
    <row r="293" spans="8:43" x14ac:dyDescent="0.25">
      <c r="H293" s="15">
        <v>3.9</v>
      </c>
      <c r="I293" s="45">
        <f t="shared" si="164"/>
        <v>79432.82347242815</v>
      </c>
      <c r="J293" s="32">
        <f t="shared" si="165"/>
        <v>44.500676599038378</v>
      </c>
      <c r="K293" s="32">
        <f t="shared" si="166"/>
        <v>-5.3380726429562895</v>
      </c>
      <c r="L293" s="15">
        <f t="shared" si="140"/>
        <v>3.8729613733905581</v>
      </c>
      <c r="M293" s="15">
        <f t="shared" si="141"/>
        <v>-18.045382189606141</v>
      </c>
      <c r="N293" s="15">
        <f t="shared" si="142"/>
        <v>0.43811189116552252</v>
      </c>
      <c r="O293" s="15">
        <f t="shared" si="143"/>
        <v>-89.602964810457934</v>
      </c>
      <c r="P293" s="15">
        <f t="shared" si="144"/>
        <v>-43.185942156226112</v>
      </c>
      <c r="Q293" s="15">
        <f t="shared" si="145"/>
        <v>-2.9764833354779019</v>
      </c>
      <c r="R293" s="15">
        <f t="shared" si="146"/>
        <v>-1.1725770655937754E-2</v>
      </c>
      <c r="S293" s="31">
        <f t="shared" si="167"/>
        <v>-110.62483033554199</v>
      </c>
      <c r="T293" s="31">
        <f t="shared" si="168"/>
        <v>-30.998692723451565</v>
      </c>
      <c r="U293" s="15">
        <f t="shared" si="147"/>
        <v>6500</v>
      </c>
      <c r="V293" s="15">
        <f t="shared" si="148"/>
        <v>-89.999652120510433</v>
      </c>
      <c r="W293" s="15">
        <f t="shared" si="149"/>
        <v>-104.33387616488017</v>
      </c>
      <c r="X293" s="15">
        <f t="shared" si="150"/>
        <v>89.568395894013022</v>
      </c>
      <c r="Y293" s="15">
        <f t="shared" si="151"/>
        <v>42.460823442574693</v>
      </c>
      <c r="Z293" s="15">
        <f t="shared" si="152"/>
        <v>-41.508456691821429</v>
      </c>
      <c r="AA293" s="15">
        <f t="shared" si="153"/>
        <v>-2.5120115489479784</v>
      </c>
      <c r="AB293" s="31">
        <f t="shared" si="169"/>
        <v>-41.93971291831884</v>
      </c>
      <c r="AC293" s="31">
        <f t="shared" si="170"/>
        <v>11.873202861603662</v>
      </c>
      <c r="AD293" s="15">
        <f t="shared" si="154"/>
        <v>85.810646513646702</v>
      </c>
      <c r="AE293" s="15">
        <f t="shared" si="155"/>
        <v>22.727253378193009</v>
      </c>
      <c r="AF293" s="15">
        <f t="shared" si="156"/>
        <v>0.32169955449020293</v>
      </c>
      <c r="AG293" s="15">
        <f t="shared" si="157"/>
        <v>1.3691223096435012E-4</v>
      </c>
      <c r="AH293" s="15">
        <f t="shared" si="158"/>
        <v>-69.067126215237707</v>
      </c>
      <c r="AI293" s="15">
        <f t="shared" si="159"/>
        <v>-8.9399730715323589</v>
      </c>
      <c r="AJ293" s="31">
        <f t="shared" si="171"/>
        <v>17.065219852899205</v>
      </c>
      <c r="AK293" s="31">
        <f t="shared" si="172"/>
        <v>13.787417218891614</v>
      </c>
      <c r="AL293" s="15">
        <f t="shared" si="160"/>
        <v>0</v>
      </c>
      <c r="AM293" s="15">
        <f t="shared" si="161"/>
        <v>0</v>
      </c>
      <c r="AN293" s="15">
        <f t="shared" si="162"/>
        <v>0</v>
      </c>
      <c r="AO293" s="15">
        <f t="shared" si="163"/>
        <v>0</v>
      </c>
      <c r="AP293" s="31">
        <f t="shared" si="173"/>
        <v>0</v>
      </c>
      <c r="AQ293" s="31">
        <f t="shared" si="174"/>
        <v>0</v>
      </c>
    </row>
    <row r="294" spans="8:43" x14ac:dyDescent="0.25">
      <c r="H294" s="15">
        <v>3.91</v>
      </c>
      <c r="I294" s="45">
        <f t="shared" si="164"/>
        <v>81283.05161641007</v>
      </c>
      <c r="J294" s="32">
        <f t="shared" si="165"/>
        <v>43.050505786047992</v>
      </c>
      <c r="K294" s="32">
        <f t="shared" si="166"/>
        <v>-5.5840236867599398</v>
      </c>
      <c r="L294" s="15">
        <f t="shared" si="140"/>
        <v>3.8729613733905581</v>
      </c>
      <c r="M294" s="15">
        <f t="shared" si="141"/>
        <v>-18.437580345578077</v>
      </c>
      <c r="N294" s="15">
        <f t="shared" si="142"/>
        <v>0.45770789309289689</v>
      </c>
      <c r="O294" s="15">
        <f t="shared" si="143"/>
        <v>-89.612002155237946</v>
      </c>
      <c r="P294" s="15">
        <f t="shared" si="144"/>
        <v>-43.385932770354181</v>
      </c>
      <c r="Q294" s="15">
        <f t="shared" si="145"/>
        <v>-3.0456854881309789</v>
      </c>
      <c r="R294" s="15">
        <f t="shared" si="146"/>
        <v>-1.2277608787865633E-2</v>
      </c>
      <c r="S294" s="31">
        <f t="shared" si="167"/>
        <v>-111.09526798894701</v>
      </c>
      <c r="T294" s="31">
        <f t="shared" si="168"/>
        <v>-31.179639173784185</v>
      </c>
      <c r="U294" s="15">
        <f t="shared" si="147"/>
        <v>6500</v>
      </c>
      <c r="V294" s="15">
        <f t="shared" si="148"/>
        <v>-89.999660039214405</v>
      </c>
      <c r="W294" s="15">
        <f t="shared" si="149"/>
        <v>-104.53387616487296</v>
      </c>
      <c r="X294" s="15">
        <f t="shared" si="150"/>
        <v>89.578220043849726</v>
      </c>
      <c r="Y294" s="15">
        <f t="shared" si="151"/>
        <v>42.660812351169248</v>
      </c>
      <c r="Z294" s="15">
        <f t="shared" si="152"/>
        <v>-42.164065674552887</v>
      </c>
      <c r="AA294" s="15">
        <f t="shared" si="153"/>
        <v>-2.6009902106885905</v>
      </c>
      <c r="AB294" s="31">
        <f t="shared" si="169"/>
        <v>-42.585505669917566</v>
      </c>
      <c r="AC294" s="31">
        <f t="shared" si="170"/>
        <v>11.784213108464808</v>
      </c>
      <c r="AD294" s="15">
        <f t="shared" si="154"/>
        <v>85.905679778741117</v>
      </c>
      <c r="AE294" s="15">
        <f t="shared" si="155"/>
        <v>22.926210111852185</v>
      </c>
      <c r="AF294" s="15">
        <f t="shared" si="156"/>
        <v>0.32919273670031712</v>
      </c>
      <c r="AG294" s="15">
        <f t="shared" si="157"/>
        <v>1.4336459912102833E-4</v>
      </c>
      <c r="AH294" s="15">
        <f t="shared" si="158"/>
        <v>-69.503593070528865</v>
      </c>
      <c r="AI294" s="15">
        <f t="shared" si="159"/>
        <v>-9.1149510978918702</v>
      </c>
      <c r="AJ294" s="31">
        <f t="shared" si="171"/>
        <v>16.731279444912573</v>
      </c>
      <c r="AK294" s="31">
        <f t="shared" si="172"/>
        <v>13.811402378559437</v>
      </c>
      <c r="AL294" s="15">
        <f t="shared" si="160"/>
        <v>0</v>
      </c>
      <c r="AM294" s="15">
        <f t="shared" si="161"/>
        <v>0</v>
      </c>
      <c r="AN294" s="15">
        <f t="shared" si="162"/>
        <v>0</v>
      </c>
      <c r="AO294" s="15">
        <f t="shared" si="163"/>
        <v>0</v>
      </c>
      <c r="AP294" s="31">
        <f t="shared" si="173"/>
        <v>0</v>
      </c>
      <c r="AQ294" s="31">
        <f t="shared" si="174"/>
        <v>0</v>
      </c>
    </row>
    <row r="295" spans="8:43" x14ac:dyDescent="0.25">
      <c r="H295" s="15">
        <v>3.92</v>
      </c>
      <c r="I295" s="45">
        <f t="shared" si="164"/>
        <v>83176.377110267087</v>
      </c>
      <c r="J295" s="32">
        <f t="shared" si="165"/>
        <v>41.595483254635973</v>
      </c>
      <c r="K295" s="32">
        <f t="shared" si="166"/>
        <v>-5.8323950986272663</v>
      </c>
      <c r="L295" s="15">
        <f t="shared" si="140"/>
        <v>3.8729613733905581</v>
      </c>
      <c r="M295" s="15">
        <f t="shared" si="141"/>
        <v>-18.837069151451661</v>
      </c>
      <c r="N295" s="15">
        <f t="shared" si="142"/>
        <v>0.47813309608657273</v>
      </c>
      <c r="O295" s="15">
        <f t="shared" si="143"/>
        <v>-89.620833803591154</v>
      </c>
      <c r="P295" s="15">
        <f t="shared" si="144"/>
        <v>-43.5859238068971</v>
      </c>
      <c r="Q295" s="15">
        <f t="shared" si="145"/>
        <v>-3.1164903579569145</v>
      </c>
      <c r="R295" s="15">
        <f t="shared" si="146"/>
        <v>-1.2855379105193809E-2</v>
      </c>
      <c r="S295" s="31">
        <f t="shared" si="167"/>
        <v>-111.57439331299973</v>
      </c>
      <c r="T295" s="31">
        <f t="shared" si="168"/>
        <v>-31.359782777650757</v>
      </c>
      <c r="U295" s="15">
        <f t="shared" si="147"/>
        <v>6500</v>
      </c>
      <c r="V295" s="15">
        <f t="shared" si="148"/>
        <v>-89.999667777666644</v>
      </c>
      <c r="W295" s="15">
        <f t="shared" si="149"/>
        <v>-104.73387616486606</v>
      </c>
      <c r="X295" s="15">
        <f t="shared" si="150"/>
        <v>89.587820592699273</v>
      </c>
      <c r="Y295" s="15">
        <f t="shared" si="151"/>
        <v>42.860801758932809</v>
      </c>
      <c r="Z295" s="15">
        <f t="shared" si="152"/>
        <v>-42.821168110963036</v>
      </c>
      <c r="AA295" s="15">
        <f t="shared" si="153"/>
        <v>-2.6922487712366436</v>
      </c>
      <c r="AB295" s="31">
        <f t="shared" si="169"/>
        <v>-43.233015295930407</v>
      </c>
      <c r="AC295" s="31">
        <f t="shared" si="170"/>
        <v>11.692943955687218</v>
      </c>
      <c r="AD295" s="15">
        <f t="shared" si="154"/>
        <v>85.998571633073311</v>
      </c>
      <c r="AE295" s="15">
        <f t="shared" si="155"/>
        <v>23.125213566227892</v>
      </c>
      <c r="AF295" s="15">
        <f t="shared" si="156"/>
        <v>0.33686044588638164</v>
      </c>
      <c r="AG295" s="15">
        <f t="shared" si="157"/>
        <v>1.5012104774448162E-4</v>
      </c>
      <c r="AH295" s="15">
        <f t="shared" si="158"/>
        <v>-69.932540215393587</v>
      </c>
      <c r="AI295" s="15">
        <f t="shared" si="159"/>
        <v>-9.2909199639393663</v>
      </c>
      <c r="AJ295" s="31">
        <f t="shared" si="171"/>
        <v>16.402891863566111</v>
      </c>
      <c r="AK295" s="31">
        <f t="shared" si="172"/>
        <v>13.834443723336271</v>
      </c>
      <c r="AL295" s="15">
        <f t="shared" si="160"/>
        <v>0</v>
      </c>
      <c r="AM295" s="15">
        <f t="shared" si="161"/>
        <v>0</v>
      </c>
      <c r="AN295" s="15">
        <f t="shared" si="162"/>
        <v>0</v>
      </c>
      <c r="AO295" s="15">
        <f t="shared" si="163"/>
        <v>0</v>
      </c>
      <c r="AP295" s="31">
        <f t="shared" si="173"/>
        <v>0</v>
      </c>
      <c r="AQ295" s="31">
        <f t="shared" si="174"/>
        <v>0</v>
      </c>
    </row>
    <row r="296" spans="8:43" x14ac:dyDescent="0.25">
      <c r="H296" s="15">
        <v>3.93</v>
      </c>
      <c r="I296" s="45">
        <f t="shared" si="164"/>
        <v>85113.803820237779</v>
      </c>
      <c r="J296" s="32">
        <f t="shared" si="165"/>
        <v>40.135875616711509</v>
      </c>
      <c r="K296" s="32">
        <f t="shared" si="166"/>
        <v>-6.0831343504163371</v>
      </c>
      <c r="L296" s="15">
        <f t="shared" si="140"/>
        <v>3.8729613733905581</v>
      </c>
      <c r="M296" s="15">
        <f t="shared" si="141"/>
        <v>-19.243905003088223</v>
      </c>
      <c r="N296" s="15">
        <f t="shared" si="142"/>
        <v>0.49941844723876588</v>
      </c>
      <c r="O296" s="15">
        <f t="shared" si="143"/>
        <v>-89.629464436494786</v>
      </c>
      <c r="P296" s="15">
        <f t="shared" si="144"/>
        <v>-43.785915246844802</v>
      </c>
      <c r="Q296" s="15">
        <f t="shared" si="145"/>
        <v>-3.1889346211087211</v>
      </c>
      <c r="R296" s="15">
        <f t="shared" si="146"/>
        <v>-1.3460296526294407E-2</v>
      </c>
      <c r="S296" s="31">
        <f t="shared" si="167"/>
        <v>-112.06230406069172</v>
      </c>
      <c r="T296" s="31">
        <f t="shared" si="168"/>
        <v>-31.539093783867369</v>
      </c>
      <c r="U296" s="15">
        <f t="shared" si="147"/>
        <v>6500</v>
      </c>
      <c r="V296" s="15">
        <f t="shared" si="148"/>
        <v>-89.99967533997021</v>
      </c>
      <c r="W296" s="15">
        <f t="shared" si="149"/>
        <v>-104.9338761648595</v>
      </c>
      <c r="X296" s="15">
        <f t="shared" si="150"/>
        <v>89.597202628742082</v>
      </c>
      <c r="Y296" s="15">
        <f t="shared" si="151"/>
        <v>43.060791643401444</v>
      </c>
      <c r="Z296" s="15">
        <f t="shared" si="152"/>
        <v>-43.479421039815456</v>
      </c>
      <c r="AA296" s="15">
        <f t="shared" si="153"/>
        <v>-2.7857964245857674</v>
      </c>
      <c r="AB296" s="31">
        <f t="shared" si="169"/>
        <v>-43.881893751043584</v>
      </c>
      <c r="AC296" s="31">
        <f t="shared" si="170"/>
        <v>11.599386186813293</v>
      </c>
      <c r="AD296" s="15">
        <f t="shared" si="154"/>
        <v>86.089369374698578</v>
      </c>
      <c r="AE296" s="15">
        <f t="shared" si="155"/>
        <v>23.324261659033301</v>
      </c>
      <c r="AF296" s="15">
        <f t="shared" si="156"/>
        <v>0.34470674647006733</v>
      </c>
      <c r="AG296" s="15">
        <f t="shared" si="157"/>
        <v>1.5719590671502804E-4</v>
      </c>
      <c r="AH296" s="15">
        <f t="shared" si="158"/>
        <v>-70.354002692721835</v>
      </c>
      <c r="AI296" s="15">
        <f t="shared" si="159"/>
        <v>-9.4678456083022802</v>
      </c>
      <c r="AJ296" s="31">
        <f t="shared" si="171"/>
        <v>16.080073428446809</v>
      </c>
      <c r="AK296" s="31">
        <f t="shared" si="172"/>
        <v>13.856573246637737</v>
      </c>
      <c r="AL296" s="15">
        <f t="shared" si="160"/>
        <v>0</v>
      </c>
      <c r="AM296" s="15">
        <f t="shared" si="161"/>
        <v>0</v>
      </c>
      <c r="AN296" s="15">
        <f t="shared" si="162"/>
        <v>0</v>
      </c>
      <c r="AO296" s="15">
        <f t="shared" si="163"/>
        <v>0</v>
      </c>
      <c r="AP296" s="31">
        <f t="shared" si="173"/>
        <v>0</v>
      </c>
      <c r="AQ296" s="31">
        <f t="shared" si="174"/>
        <v>0</v>
      </c>
    </row>
    <row r="297" spans="8:43" x14ac:dyDescent="0.25">
      <c r="H297" s="15">
        <v>3.94</v>
      </c>
      <c r="I297" s="45">
        <f t="shared" si="164"/>
        <v>87096.358995608185</v>
      </c>
      <c r="J297" s="32">
        <f t="shared" si="165"/>
        <v>38.671949717597265</v>
      </c>
      <c r="K297" s="32">
        <f t="shared" si="166"/>
        <v>-6.3361864562416628</v>
      </c>
      <c r="L297" s="15">
        <f t="shared" si="140"/>
        <v>3.8729613733905581</v>
      </c>
      <c r="M297" s="15">
        <f t="shared" si="141"/>
        <v>-19.658139459707233</v>
      </c>
      <c r="N297" s="15">
        <f t="shared" si="142"/>
        <v>0.52159569519186444</v>
      </c>
      <c r="O297" s="15">
        <f t="shared" si="143"/>
        <v>-89.637898628457094</v>
      </c>
      <c r="P297" s="15">
        <f t="shared" si="144"/>
        <v>-43.985907072042551</v>
      </c>
      <c r="Q297" s="15">
        <f t="shared" si="145"/>
        <v>-3.2630557614446367</v>
      </c>
      <c r="R297" s="15">
        <f t="shared" si="146"/>
        <v>-1.4093632532781696E-2</v>
      </c>
      <c r="S297" s="31">
        <f t="shared" si="167"/>
        <v>-112.55909384960896</v>
      </c>
      <c r="T297" s="31">
        <f t="shared" si="168"/>
        <v>-31.717541697118502</v>
      </c>
      <c r="U297" s="15">
        <f t="shared" si="147"/>
        <v>6500</v>
      </c>
      <c r="V297" s="15">
        <f t="shared" si="148"/>
        <v>-89.999682730134737</v>
      </c>
      <c r="W297" s="15">
        <f t="shared" si="149"/>
        <v>-105.13387616485323</v>
      </c>
      <c r="X297" s="15">
        <f t="shared" si="150"/>
        <v>89.606371124444195</v>
      </c>
      <c r="Y297" s="15">
        <f t="shared" si="151"/>
        <v>43.260781983121994</v>
      </c>
      <c r="Z297" s="15">
        <f t="shared" si="152"/>
        <v>-44.138478473671618</v>
      </c>
      <c r="AA297" s="15">
        <f t="shared" si="153"/>
        <v>-2.881639980896948</v>
      </c>
      <c r="AB297" s="31">
        <f t="shared" si="169"/>
        <v>-44.53179007936216</v>
      </c>
      <c r="AC297" s="31">
        <f t="shared" si="170"/>
        <v>11.503532970228926</v>
      </c>
      <c r="AD297" s="15">
        <f t="shared" si="154"/>
        <v>86.178119320567134</v>
      </c>
      <c r="AE297" s="15">
        <f t="shared" si="155"/>
        <v>23.523352399909363</v>
      </c>
      <c r="AF297" s="15">
        <f t="shared" si="156"/>
        <v>0.35273579748595241</v>
      </c>
      <c r="AG297" s="15">
        <f t="shared" si="157"/>
        <v>1.646041811669628E-4</v>
      </c>
      <c r="AH297" s="15">
        <f t="shared" si="158"/>
        <v>-70.768021471484701</v>
      </c>
      <c r="AI297" s="15">
        <f t="shared" si="159"/>
        <v>-9.6456947334426175</v>
      </c>
      <c r="AJ297" s="31">
        <f t="shared" si="171"/>
        <v>15.762833646568382</v>
      </c>
      <c r="AK297" s="31">
        <f t="shared" si="172"/>
        <v>13.877822270647911</v>
      </c>
      <c r="AL297" s="15">
        <f t="shared" si="160"/>
        <v>0</v>
      </c>
      <c r="AM297" s="15">
        <f t="shared" si="161"/>
        <v>0</v>
      </c>
      <c r="AN297" s="15">
        <f t="shared" si="162"/>
        <v>0</v>
      </c>
      <c r="AO297" s="15">
        <f t="shared" si="163"/>
        <v>0</v>
      </c>
      <c r="AP297" s="31">
        <f t="shared" si="173"/>
        <v>0</v>
      </c>
      <c r="AQ297" s="31">
        <f t="shared" si="174"/>
        <v>0</v>
      </c>
    </row>
    <row r="298" spans="8:43" x14ac:dyDescent="0.25">
      <c r="H298" s="15">
        <v>3.95</v>
      </c>
      <c r="I298" s="45">
        <f t="shared" si="164"/>
        <v>89125.093813374682</v>
      </c>
      <c r="J298" s="32">
        <f t="shared" si="165"/>
        <v>37.203972469553591</v>
      </c>
      <c r="K298" s="32">
        <f t="shared" si="166"/>
        <v>-6.5914939758192599</v>
      </c>
      <c r="L298" s="15">
        <f t="shared" si="140"/>
        <v>3.8729613733905581</v>
      </c>
      <c r="M298" s="15">
        <f t="shared" si="141"/>
        <v>-20.079818885529185</v>
      </c>
      <c r="N298" s="15">
        <f t="shared" si="142"/>
        <v>0.54469738059194306</v>
      </c>
      <c r="O298" s="15">
        <f t="shared" si="143"/>
        <v>-89.646140849935335</v>
      </c>
      <c r="P298" s="15">
        <f t="shared" si="144"/>
        <v>-44.185899265152656</v>
      </c>
      <c r="Q298" s="15">
        <f t="shared" si="145"/>
        <v>-3.3388920860485847</v>
      </c>
      <c r="R298" s="15">
        <f t="shared" si="146"/>
        <v>-1.475671776878573E-2</v>
      </c>
      <c r="S298" s="31">
        <f t="shared" si="167"/>
        <v>-113.06485182151312</v>
      </c>
      <c r="T298" s="31">
        <f t="shared" si="168"/>
        <v>-31.895095290064535</v>
      </c>
      <c r="U298" s="15">
        <f t="shared" si="147"/>
        <v>6500</v>
      </c>
      <c r="V298" s="15">
        <f t="shared" si="148"/>
        <v>-89.999689952078583</v>
      </c>
      <c r="W298" s="15">
        <f t="shared" si="149"/>
        <v>-105.33387616484724</v>
      </c>
      <c r="X298" s="15">
        <f t="shared" si="150"/>
        <v>89.615330939184119</v>
      </c>
      <c r="Y298" s="15">
        <f t="shared" si="151"/>
        <v>43.460772757606669</v>
      </c>
      <c r="Z298" s="15">
        <f t="shared" si="152"/>
        <v>-44.797992301405387</v>
      </c>
      <c r="AA298" s="15">
        <f t="shared" si="153"/>
        <v>-2.9797838378318691</v>
      </c>
      <c r="AB298" s="31">
        <f t="shared" si="169"/>
        <v>-45.182351314299851</v>
      </c>
      <c r="AC298" s="31">
        <f t="shared" si="170"/>
        <v>11.405379887784674</v>
      </c>
      <c r="AD298" s="15">
        <f t="shared" si="154"/>
        <v>86.264866822589852</v>
      </c>
      <c r="AE298" s="15">
        <f t="shared" si="155"/>
        <v>23.722483886443481</v>
      </c>
      <c r="AF298" s="15">
        <f t="shared" si="156"/>
        <v>0.3609518547810841</v>
      </c>
      <c r="AG298" s="15">
        <f t="shared" si="157"/>
        <v>1.7236158328884631E-4</v>
      </c>
      <c r="AH298" s="15">
        <f t="shared" si="158"/>
        <v>-71.174643072004372</v>
      </c>
      <c r="AI298" s="15">
        <f t="shared" si="159"/>
        <v>-9.8244348215661663</v>
      </c>
      <c r="AJ298" s="31">
        <f t="shared" si="171"/>
        <v>15.451175605366558</v>
      </c>
      <c r="AK298" s="31">
        <f t="shared" si="172"/>
        <v>13.898221426460603</v>
      </c>
      <c r="AL298" s="15">
        <f t="shared" si="160"/>
        <v>0</v>
      </c>
      <c r="AM298" s="15">
        <f t="shared" si="161"/>
        <v>0</v>
      </c>
      <c r="AN298" s="15">
        <f t="shared" si="162"/>
        <v>0</v>
      </c>
      <c r="AO298" s="15">
        <f t="shared" si="163"/>
        <v>0</v>
      </c>
      <c r="AP298" s="31">
        <f t="shared" si="173"/>
        <v>0</v>
      </c>
      <c r="AQ298" s="31">
        <f t="shared" si="174"/>
        <v>0</v>
      </c>
    </row>
    <row r="299" spans="8:43" x14ac:dyDescent="0.25">
      <c r="H299" s="15">
        <v>3.96</v>
      </c>
      <c r="I299" s="45">
        <f t="shared" si="164"/>
        <v>91201.083935591087</v>
      </c>
      <c r="J299" s="32">
        <f t="shared" si="165"/>
        <v>35.732210672559596</v>
      </c>
      <c r="K299" s="32">
        <f t="shared" si="166"/>
        <v>-6.8489970276463268</v>
      </c>
      <c r="L299" s="15">
        <f t="shared" si="140"/>
        <v>3.8729613733905581</v>
      </c>
      <c r="M299" s="15">
        <f t="shared" si="141"/>
        <v>-20.508984082639696</v>
      </c>
      <c r="N299" s="15">
        <f t="shared" si="142"/>
        <v>0.568756823414446</v>
      </c>
      <c r="O299" s="15">
        <f t="shared" si="143"/>
        <v>-89.654195469699175</v>
      </c>
      <c r="P299" s="15">
        <f t="shared" si="144"/>
        <v>-44.385891809617576</v>
      </c>
      <c r="Q299" s="15">
        <f t="shared" si="145"/>
        <v>-3.4164827408811851</v>
      </c>
      <c r="R299" s="15">
        <f t="shared" si="146"/>
        <v>-1.5450944756343139E-2</v>
      </c>
      <c r="S299" s="31">
        <f t="shared" si="167"/>
        <v>-113.57966229322005</v>
      </c>
      <c r="T299" s="31">
        <f t="shared" si="168"/>
        <v>-32.071722618694515</v>
      </c>
      <c r="U299" s="15">
        <f t="shared" si="147"/>
        <v>6500</v>
      </c>
      <c r="V299" s="15">
        <f t="shared" si="148"/>
        <v>-89.999697009630907</v>
      </c>
      <c r="W299" s="15">
        <f t="shared" si="149"/>
        <v>-105.53387616484152</v>
      </c>
      <c r="X299" s="15">
        <f t="shared" si="150"/>
        <v>89.624086821820384</v>
      </c>
      <c r="Y299" s="15">
        <f t="shared" si="151"/>
        <v>43.660763947289638</v>
      </c>
      <c r="Z299" s="15">
        <f t="shared" si="152"/>
        <v>-45.457613204359539</v>
      </c>
      <c r="AA299" s="15">
        <f t="shared" si="153"/>
        <v>-3.0802299619733802</v>
      </c>
      <c r="AB299" s="31">
        <f t="shared" si="169"/>
        <v>-45.833223392170062</v>
      </c>
      <c r="AC299" s="31">
        <f t="shared" si="170"/>
        <v>11.304924953331856</v>
      </c>
      <c r="AD299" s="15">
        <f t="shared" si="154"/>
        <v>86.349656283744608</v>
      </c>
      <c r="AE299" s="15">
        <f t="shared" si="155"/>
        <v>23.92165430035358</v>
      </c>
      <c r="AF299" s="15">
        <f t="shared" si="156"/>
        <v>0.36935927326545659</v>
      </c>
      <c r="AG299" s="15">
        <f t="shared" si="157"/>
        <v>1.8048456566006001E-4</v>
      </c>
      <c r="AH299" s="15">
        <f t="shared" si="158"/>
        <v>-71.573919199060356</v>
      </c>
      <c r="AI299" s="15">
        <f t="shared" si="159"/>
        <v>-10.004034147202908</v>
      </c>
      <c r="AJ299" s="31">
        <f t="shared" si="171"/>
        <v>15.145096357949711</v>
      </c>
      <c r="AK299" s="31">
        <f t="shared" si="172"/>
        <v>13.917800637716333</v>
      </c>
      <c r="AL299" s="15">
        <f t="shared" si="160"/>
        <v>0</v>
      </c>
      <c r="AM299" s="15">
        <f t="shared" si="161"/>
        <v>0</v>
      </c>
      <c r="AN299" s="15">
        <f t="shared" si="162"/>
        <v>0</v>
      </c>
      <c r="AO299" s="15">
        <f t="shared" si="163"/>
        <v>0</v>
      </c>
      <c r="AP299" s="31">
        <f t="shared" si="173"/>
        <v>0</v>
      </c>
      <c r="AQ299" s="31">
        <f t="shared" si="174"/>
        <v>0</v>
      </c>
    </row>
    <row r="300" spans="8:43" x14ac:dyDescent="0.25">
      <c r="H300" s="15">
        <v>3.97</v>
      </c>
      <c r="I300" s="45">
        <f t="shared" si="164"/>
        <v>93325.430079699217</v>
      </c>
      <c r="J300" s="32">
        <f t="shared" si="165"/>
        <v>34.256930826256287</v>
      </c>
      <c r="K300" s="32">
        <f t="shared" si="166"/>
        <v>-7.1086333126075427</v>
      </c>
      <c r="L300" s="15">
        <f t="shared" si="140"/>
        <v>3.8729613733905581</v>
      </c>
      <c r="M300" s="15">
        <f t="shared" si="141"/>
        <v>-20.945669916047386</v>
      </c>
      <c r="N300" s="15">
        <f t="shared" si="142"/>
        <v>0.59380810695534891</v>
      </c>
      <c r="O300" s="15">
        <f t="shared" si="143"/>
        <v>-89.662066757140437</v>
      </c>
      <c r="P300" s="15">
        <f t="shared" si="144"/>
        <v>-44.585884689624905</v>
      </c>
      <c r="Q300" s="15">
        <f t="shared" si="145"/>
        <v>-3.4958677265485707</v>
      </c>
      <c r="R300" s="15">
        <f t="shared" si="146"/>
        <v>-1.6177770731842359E-2</v>
      </c>
      <c r="S300" s="31">
        <f t="shared" si="167"/>
        <v>-114.10360439973638</v>
      </c>
      <c r="T300" s="31">
        <f t="shared" si="168"/>
        <v>-32.247391041136439</v>
      </c>
      <c r="U300" s="15">
        <f t="shared" si="147"/>
        <v>6500</v>
      </c>
      <c r="V300" s="15">
        <f t="shared" si="148"/>
        <v>-89.999703906533725</v>
      </c>
      <c r="W300" s="15">
        <f t="shared" si="149"/>
        <v>-105.73387616483603</v>
      </c>
      <c r="X300" s="15">
        <f t="shared" si="150"/>
        <v>89.632643413201066</v>
      </c>
      <c r="Y300" s="15">
        <f t="shared" si="151"/>
        <v>43.860755533485516</v>
      </c>
      <c r="Z300" s="15">
        <f t="shared" si="152"/>
        <v>-46.116991580285863</v>
      </c>
      <c r="AA300" s="15">
        <f t="shared" si="153"/>
        <v>-3.182977880499736</v>
      </c>
      <c r="AB300" s="31">
        <f t="shared" si="169"/>
        <v>-46.484052073618521</v>
      </c>
      <c r="AC300" s="31">
        <f t="shared" si="170"/>
        <v>11.202168621006861</v>
      </c>
      <c r="AD300" s="15">
        <f t="shared" si="154"/>
        <v>86.432531174196797</v>
      </c>
      <c r="AE300" s="15">
        <f t="shared" si="155"/>
        <v>24.120861903831695</v>
      </c>
      <c r="AF300" s="15">
        <f t="shared" si="156"/>
        <v>0.37796250921459001</v>
      </c>
      <c r="AG300" s="15">
        <f t="shared" si="157"/>
        <v>1.8899035611197483E-4</v>
      </c>
      <c r="AH300" s="15">
        <f t="shared" si="158"/>
        <v>-71.965906383800188</v>
      </c>
      <c r="AI300" s="15">
        <f t="shared" si="159"/>
        <v>-10.184461786665773</v>
      </c>
      <c r="AJ300" s="31">
        <f t="shared" si="171"/>
        <v>14.844587299611192</v>
      </c>
      <c r="AK300" s="31">
        <f t="shared" si="172"/>
        <v>13.936589107522034</v>
      </c>
      <c r="AL300" s="15">
        <f t="shared" si="160"/>
        <v>0</v>
      </c>
      <c r="AM300" s="15">
        <f t="shared" si="161"/>
        <v>0</v>
      </c>
      <c r="AN300" s="15">
        <f t="shared" si="162"/>
        <v>0</v>
      </c>
      <c r="AO300" s="15">
        <f t="shared" si="163"/>
        <v>0</v>
      </c>
      <c r="AP300" s="31">
        <f t="shared" si="173"/>
        <v>0</v>
      </c>
      <c r="AQ300" s="31">
        <f t="shared" si="174"/>
        <v>0</v>
      </c>
    </row>
    <row r="301" spans="8:43" x14ac:dyDescent="0.25">
      <c r="H301" s="15">
        <v>3.98</v>
      </c>
      <c r="I301" s="45">
        <f t="shared" si="164"/>
        <v>95499.258602143687</v>
      </c>
      <c r="J301" s="32">
        <f t="shared" si="165"/>
        <v>32.778398937050227</v>
      </c>
      <c r="K301" s="32">
        <f t="shared" si="166"/>
        <v>-7.3703381485050503</v>
      </c>
      <c r="L301" s="15">
        <f t="shared" si="140"/>
        <v>3.8729613733905581</v>
      </c>
      <c r="M301" s="15">
        <f t="shared" si="141"/>
        <v>-21.389904932053508</v>
      </c>
      <c r="N301" s="15">
        <f t="shared" si="142"/>
        <v>0.61988605828264465</v>
      </c>
      <c r="O301" s="15">
        <f t="shared" si="143"/>
        <v>-89.669758884530779</v>
      </c>
      <c r="P301" s="15">
        <f t="shared" si="144"/>
        <v>-44.785877890073792</v>
      </c>
      <c r="Q301" s="15">
        <f t="shared" si="145"/>
        <v>-3.577087914174673</v>
      </c>
      <c r="R301" s="15">
        <f t="shared" si="146"/>
        <v>-1.6938720608542325E-2</v>
      </c>
      <c r="S301" s="31">
        <f t="shared" si="167"/>
        <v>-114.63675173075896</v>
      </c>
      <c r="T301" s="31">
        <f t="shared" si="168"/>
        <v>-32.42206724013473</v>
      </c>
      <c r="U301" s="15">
        <f t="shared" si="147"/>
        <v>6500</v>
      </c>
      <c r="V301" s="15">
        <f t="shared" si="148"/>
        <v>-89.999710646443887</v>
      </c>
      <c r="W301" s="15">
        <f t="shared" si="149"/>
        <v>-105.93387616483083</v>
      </c>
      <c r="X301" s="15">
        <f t="shared" si="150"/>
        <v>89.641005248616622</v>
      </c>
      <c r="Y301" s="15">
        <f t="shared" si="151"/>
        <v>44.060747498349741</v>
      </c>
      <c r="Z301" s="15">
        <f t="shared" si="152"/>
        <v>-46.775778469115949</v>
      </c>
      <c r="AA301" s="15">
        <f t="shared" si="153"/>
        <v>-3.2880246831873219</v>
      </c>
      <c r="AB301" s="31">
        <f t="shared" si="169"/>
        <v>-47.134483866943214</v>
      </c>
      <c r="AC301" s="31">
        <f t="shared" si="170"/>
        <v>11.097113783188698</v>
      </c>
      <c r="AD301" s="15">
        <f t="shared" si="154"/>
        <v>86.513534047409195</v>
      </c>
      <c r="AE301" s="15">
        <f t="shared" si="155"/>
        <v>24.320105036040847</v>
      </c>
      <c r="AF301" s="15">
        <f t="shared" si="156"/>
        <v>0.38676612262539023</v>
      </c>
      <c r="AG301" s="15">
        <f t="shared" si="157"/>
        <v>1.9789699426407464E-4</v>
      </c>
      <c r="AH301" s="15">
        <f t="shared" si="158"/>
        <v>-72.350665635282184</v>
      </c>
      <c r="AI301" s="15">
        <f t="shared" si="159"/>
        <v>-10.365687624594129</v>
      </c>
      <c r="AJ301" s="31">
        <f t="shared" si="171"/>
        <v>14.5496345347524</v>
      </c>
      <c r="AK301" s="31">
        <f t="shared" si="172"/>
        <v>13.954615308440983</v>
      </c>
      <c r="AL301" s="15">
        <f t="shared" si="160"/>
        <v>0</v>
      </c>
      <c r="AM301" s="15">
        <f t="shared" si="161"/>
        <v>0</v>
      </c>
      <c r="AN301" s="15">
        <f t="shared" si="162"/>
        <v>0</v>
      </c>
      <c r="AO301" s="15">
        <f t="shared" si="163"/>
        <v>0</v>
      </c>
      <c r="AP301" s="31">
        <f t="shared" si="173"/>
        <v>0</v>
      </c>
      <c r="AQ301" s="31">
        <f t="shared" si="174"/>
        <v>0</v>
      </c>
    </row>
    <row r="302" spans="8:43" x14ac:dyDescent="0.25">
      <c r="H302" s="15">
        <v>3.99</v>
      </c>
      <c r="I302" s="45">
        <f t="shared" si="164"/>
        <v>97723.722095581164</v>
      </c>
      <c r="J302" s="32">
        <f t="shared" si="165"/>
        <v>31.296880324377845</v>
      </c>
      <c r="K302" s="32">
        <f t="shared" si="166"/>
        <v>-7.6340445159113912</v>
      </c>
      <c r="L302" s="15">
        <f t="shared" si="140"/>
        <v>3.8729613733905581</v>
      </c>
      <c r="M302" s="15">
        <f t="shared" si="141"/>
        <v>-21.841710971205394</v>
      </c>
      <c r="N302" s="15">
        <f t="shared" si="142"/>
        <v>0.64702622494682849</v>
      </c>
      <c r="O302" s="15">
        <f t="shared" si="143"/>
        <v>-89.677275929228173</v>
      </c>
      <c r="P302" s="15">
        <f t="shared" si="144"/>
        <v>-44.985871396542969</v>
      </c>
      <c r="Q302" s="15">
        <f t="shared" si="145"/>
        <v>-3.6601850613612581</v>
      </c>
      <c r="R302" s="15">
        <f t="shared" si="146"/>
        <v>-1.7735390070379393E-2</v>
      </c>
      <c r="S302" s="31">
        <f t="shared" si="167"/>
        <v>-115.17917196179482</v>
      </c>
      <c r="T302" s="31">
        <f t="shared" si="168"/>
        <v>-32.595717249401552</v>
      </c>
      <c r="U302" s="15">
        <f t="shared" si="147"/>
        <v>6500</v>
      </c>
      <c r="V302" s="15">
        <f t="shared" si="148"/>
        <v>-89.999717232934941</v>
      </c>
      <c r="W302" s="15">
        <f t="shared" si="149"/>
        <v>-106.13387616482584</v>
      </c>
      <c r="X302" s="15">
        <f t="shared" si="150"/>
        <v>89.649176760197278</v>
      </c>
      <c r="Y302" s="15">
        <f t="shared" si="151"/>
        <v>44.260739824840769</v>
      </c>
      <c r="Z302" s="15">
        <f t="shared" si="152"/>
        <v>-47.433626474587946</v>
      </c>
      <c r="AA302" s="15">
        <f t="shared" si="153"/>
        <v>-3.3953650347238677</v>
      </c>
      <c r="AB302" s="31">
        <f t="shared" si="169"/>
        <v>-47.784166947325609</v>
      </c>
      <c r="AC302" s="31">
        <f t="shared" si="170"/>
        <v>10.989765758148179</v>
      </c>
      <c r="AD302" s="15">
        <f t="shared" si="154"/>
        <v>86.592706556218971</v>
      </c>
      <c r="AE302" s="15">
        <f t="shared" si="155"/>
        <v>24.519382109759185</v>
      </c>
      <c r="AF302" s="15">
        <f t="shared" si="156"/>
        <v>0.39577477962650981</v>
      </c>
      <c r="AG302" s="15">
        <f t="shared" si="157"/>
        <v>2.072233697619354E-4</v>
      </c>
      <c r="AH302" s="15">
        <f t="shared" si="158"/>
        <v>-72.728262102347202</v>
      </c>
      <c r="AI302" s="15">
        <f t="shared" si="159"/>
        <v>-10.547682357786968</v>
      </c>
      <c r="AJ302" s="31">
        <f t="shared" si="171"/>
        <v>14.260219233498276</v>
      </c>
      <c r="AK302" s="31">
        <f t="shared" si="172"/>
        <v>13.97190697534198</v>
      </c>
      <c r="AL302" s="15">
        <f t="shared" si="160"/>
        <v>0</v>
      </c>
      <c r="AM302" s="15">
        <f t="shared" si="161"/>
        <v>0</v>
      </c>
      <c r="AN302" s="15">
        <f t="shared" si="162"/>
        <v>0</v>
      </c>
      <c r="AO302" s="15">
        <f t="shared" si="163"/>
        <v>0</v>
      </c>
      <c r="AP302" s="31">
        <f t="shared" si="173"/>
        <v>0</v>
      </c>
      <c r="AQ302" s="31">
        <f t="shared" si="174"/>
        <v>0</v>
      </c>
    </row>
    <row r="303" spans="8:43" x14ac:dyDescent="0.25">
      <c r="H303" s="15">
        <v>4</v>
      </c>
      <c r="I303" s="45">
        <f t="shared" si="164"/>
        <v>100000</v>
      </c>
      <c r="J303" s="32">
        <f t="shared" si="165"/>
        <v>29.812639430048776</v>
      </c>
      <c r="K303" s="32">
        <f t="shared" si="166"/>
        <v>-7.8996831156435245</v>
      </c>
      <c r="L303" s="15">
        <f t="shared" si="140"/>
        <v>3.8729613733905581</v>
      </c>
      <c r="M303" s="15">
        <f t="shared" si="141"/>
        <v>-22.301102777264678</v>
      </c>
      <c r="N303" s="15">
        <f t="shared" si="142"/>
        <v>0.67526484775485163</v>
      </c>
      <c r="O303" s="15">
        <f t="shared" si="143"/>
        <v>-89.684621875833528</v>
      </c>
      <c r="P303" s="15">
        <f t="shared" si="144"/>
        <v>-45.185865195260092</v>
      </c>
      <c r="Q303" s="15">
        <f t="shared" si="145"/>
        <v>-3.745201828218351</v>
      </c>
      <c r="R303" s="15">
        <f t="shared" si="146"/>
        <v>-1.85694488024578E-2</v>
      </c>
      <c r="S303" s="31">
        <f t="shared" si="167"/>
        <v>-115.73092648131656</v>
      </c>
      <c r="T303" s="31">
        <f t="shared" si="168"/>
        <v>-32.768306484042739</v>
      </c>
      <c r="U303" s="15">
        <f t="shared" si="147"/>
        <v>6500</v>
      </c>
      <c r="V303" s="15">
        <f t="shared" si="148"/>
        <v>-89.999723669499161</v>
      </c>
      <c r="W303" s="15">
        <f t="shared" si="149"/>
        <v>-106.33387616482108</v>
      </c>
      <c r="X303" s="15">
        <f t="shared" si="150"/>
        <v>89.65716227925617</v>
      </c>
      <c r="Y303" s="15">
        <f t="shared" si="151"/>
        <v>44.460732496683931</v>
      </c>
      <c r="Z303" s="15">
        <f t="shared" si="152"/>
        <v>-48.090190675804408</v>
      </c>
      <c r="AA303" s="15">
        <f t="shared" si="153"/>
        <v>-3.5049911972216434</v>
      </c>
      <c r="AB303" s="31">
        <f t="shared" si="169"/>
        <v>-48.432752066047399</v>
      </c>
      <c r="AC303" s="31">
        <f t="shared" si="170"/>
        <v>10.880132267498324</v>
      </c>
      <c r="AD303" s="15">
        <f t="shared" si="154"/>
        <v>86.67008946886061</v>
      </c>
      <c r="AE303" s="15">
        <f t="shared" si="155"/>
        <v>24.718691608165845</v>
      </c>
      <c r="AF303" s="15">
        <f t="shared" si="156"/>
        <v>0.40499325494445043</v>
      </c>
      <c r="AG303" s="15">
        <f t="shared" si="157"/>
        <v>2.1698926232881132E-4</v>
      </c>
      <c r="AH303" s="15">
        <f t="shared" si="158"/>
        <v>-73.09876474639232</v>
      </c>
      <c r="AI303" s="15">
        <f t="shared" si="159"/>
        <v>-10.730417496527282</v>
      </c>
      <c r="AJ303" s="31">
        <f t="shared" si="171"/>
        <v>13.976317977412734</v>
      </c>
      <c r="AK303" s="31">
        <f t="shared" si="172"/>
        <v>13.988491100900889</v>
      </c>
      <c r="AL303" s="15">
        <f t="shared" si="160"/>
        <v>0</v>
      </c>
      <c r="AM303" s="15">
        <f t="shared" si="161"/>
        <v>0</v>
      </c>
      <c r="AN303" s="15">
        <f t="shared" si="162"/>
        <v>0</v>
      </c>
      <c r="AO303" s="15">
        <f t="shared" si="163"/>
        <v>0</v>
      </c>
      <c r="AP303" s="31">
        <f t="shared" si="173"/>
        <v>0</v>
      </c>
      <c r="AQ303" s="31">
        <f t="shared" si="174"/>
        <v>0</v>
      </c>
    </row>
    <row r="304" spans="8:43" x14ac:dyDescent="0.25">
      <c r="H304" s="15">
        <v>4.01</v>
      </c>
      <c r="I304" s="45">
        <f t="shared" si="164"/>
        <v>102329.29922807548</v>
      </c>
      <c r="J304" s="32">
        <f>180+S304+AB304+AJ304+AP304</f>
        <v>28.325939634421871</v>
      </c>
      <c r="K304" s="32">
        <f>T304+AC304+AK304+AQ304</f>
        <v>-8.167182438051336</v>
      </c>
      <c r="L304" s="15">
        <f t="shared" si="140"/>
        <v>3.8729613733905581</v>
      </c>
      <c r="M304" s="15">
        <f t="shared" si="141"/>
        <v>-22.768087603784977</v>
      </c>
      <c r="N304" s="15">
        <f t="shared" si="142"/>
        <v>0.70463882942050482</v>
      </c>
      <c r="O304" s="15">
        <f t="shared" si="143"/>
        <v>-89.691800618298373</v>
      </c>
      <c r="P304" s="15">
        <f t="shared" si="144"/>
        <v>-45.385859273072668</v>
      </c>
      <c r="Q304" s="15">
        <f t="shared" si="145"/>
        <v>-3.8321817934460833</v>
      </c>
      <c r="R304" s="15">
        <f t="shared" si="146"/>
        <v>-1.9442643863839596E-2</v>
      </c>
      <c r="S304" s="31">
        <f>M304+O304+Q304</f>
        <v>-116.29207001552943</v>
      </c>
      <c r="T304" s="31">
        <f>20*LOG(L304)+N304+P304+R304</f>
        <v>-32.939799775251039</v>
      </c>
      <c r="U304" s="15">
        <f t="shared" si="147"/>
        <v>6500</v>
      </c>
      <c r="V304" s="15">
        <f t="shared" si="148"/>
        <v>-89.999729959549299</v>
      </c>
      <c r="W304" s="15">
        <f t="shared" si="149"/>
        <v>-106.53387616481652</v>
      </c>
      <c r="X304" s="15">
        <f t="shared" si="150"/>
        <v>89.66496603857955</v>
      </c>
      <c r="Y304" s="15">
        <f t="shared" si="151"/>
        <v>44.660725498336937</v>
      </c>
      <c r="Z304" s="15">
        <f t="shared" si="152"/>
        <v>-48.745129522916784</v>
      </c>
      <c r="AA304" s="15">
        <f t="shared" si="153"/>
        <v>-3.6168930627293028</v>
      </c>
      <c r="AB304" s="31">
        <f>V304+X304+Z304</f>
        <v>-49.079893443886533</v>
      </c>
      <c r="AC304" s="31">
        <f>20*LOG(U304)+W304+Y304+AA304</f>
        <v>10.768223403648228</v>
      </c>
      <c r="AD304" s="15">
        <f t="shared" si="154"/>
        <v>86.745722684916686</v>
      </c>
      <c r="AE304" s="15">
        <f t="shared" si="155"/>
        <v>24.918032081762806</v>
      </c>
      <c r="AF304" s="15">
        <f t="shared" si="156"/>
        <v>0.41442643442668042</v>
      </c>
      <c r="AG304" s="15">
        <f t="shared" si="157"/>
        <v>2.2721538369628087E-4</v>
      </c>
      <c r="AH304" s="15">
        <f t="shared" si="158"/>
        <v>-73.462246025505536</v>
      </c>
      <c r="AI304" s="15">
        <f t="shared" si="159"/>
        <v>-10.913865363595027</v>
      </c>
      <c r="AJ304" s="31">
        <f>AD304+AF304+AH304</f>
        <v>13.697903093837837</v>
      </c>
      <c r="AK304" s="31">
        <f>AE304+AG304+AI304</f>
        <v>14.004393933551475</v>
      </c>
      <c r="AL304" s="15">
        <f t="shared" si="160"/>
        <v>0</v>
      </c>
      <c r="AM304" s="15">
        <f t="shared" si="161"/>
        <v>0</v>
      </c>
      <c r="AN304" s="15">
        <f t="shared" si="162"/>
        <v>0</v>
      </c>
      <c r="AO304" s="15">
        <f t="shared" si="163"/>
        <v>0</v>
      </c>
      <c r="AP304" s="31">
        <f>AL304+AN304</f>
        <v>0</v>
      </c>
      <c r="AQ304" s="31">
        <f>AM304+AO304</f>
        <v>0</v>
      </c>
    </row>
    <row r="305" spans="8:43" x14ac:dyDescent="0.25">
      <c r="H305" s="15">
        <v>4.0199999999999996</v>
      </c>
      <c r="I305" s="45">
        <f t="shared" si="164"/>
        <v>104712.85480509003</v>
      </c>
      <c r="J305" s="32">
        <f t="shared" ref="J305:J368" si="175">180+S305+AB305+AJ305+AP305</f>
        <v>26.837043082920502</v>
      </c>
      <c r="K305" s="32">
        <f t="shared" ref="K305:K368" si="176">T305+AC305+AK305+AQ305</f>
        <v>-8.4364688442111806</v>
      </c>
      <c r="L305" s="15">
        <f t="shared" si="140"/>
        <v>3.8729613733905581</v>
      </c>
      <c r="M305" s="15">
        <f t="shared" si="141"/>
        <v>-23.242664820059876</v>
      </c>
      <c r="N305" s="15">
        <f t="shared" si="142"/>
        <v>0.73518569891510677</v>
      </c>
      <c r="O305" s="15">
        <f t="shared" si="143"/>
        <v>-89.698815961984963</v>
      </c>
      <c r="P305" s="15">
        <f t="shared" si="144"/>
        <v>-45.585853617420042</v>
      </c>
      <c r="Q305" s="15">
        <f t="shared" si="145"/>
        <v>-3.9211694704470372</v>
      </c>
      <c r="R305" s="15">
        <f t="shared" si="146"/>
        <v>-2.0356803208360079E-2</v>
      </c>
      <c r="S305" s="31">
        <f t="shared" ref="S305:S368" si="177">M305+O305+Q305</f>
        <v>-116.86265025249187</v>
      </c>
      <c r="T305" s="31">
        <f t="shared" ref="T305:T368" si="178">20*LOG(L305)+N305+P305+R305</f>
        <v>-33.110161409448331</v>
      </c>
      <c r="U305" s="15">
        <f t="shared" si="147"/>
        <v>6500</v>
      </c>
      <c r="V305" s="15">
        <f t="shared" si="148"/>
        <v>-89.9997361064204</v>
      </c>
      <c r="W305" s="15">
        <f t="shared" si="149"/>
        <v>-106.73387616481219</v>
      </c>
      <c r="X305" s="15">
        <f t="shared" si="150"/>
        <v>89.672592174665098</v>
      </c>
      <c r="Y305" s="15">
        <f t="shared" si="151"/>
        <v>44.860718814956925</v>
      </c>
      <c r="Z305" s="15">
        <f t="shared" si="152"/>
        <v>-49.398105711320312</v>
      </c>
      <c r="AA305" s="15">
        <f t="shared" si="153"/>
        <v>-3.7310581954532358</v>
      </c>
      <c r="AB305" s="31">
        <f t="shared" ref="AB305:AB368" si="179">V305+X305+Z305</f>
        <v>-49.725249643075614</v>
      </c>
      <c r="AC305" s="31">
        <f t="shared" ref="AC305:AC368" si="180">20*LOG(U305)+W305+Y305+AA305</f>
        <v>10.654051587548615</v>
      </c>
      <c r="AD305" s="15">
        <f t="shared" si="154"/>
        <v>86.819645251178713</v>
      </c>
      <c r="AE305" s="15">
        <f t="shared" si="155"/>
        <v>25.117402145427373</v>
      </c>
      <c r="AF305" s="15">
        <f t="shared" si="156"/>
        <v>0.42407931762305628</v>
      </c>
      <c r="AG305" s="15">
        <f t="shared" si="157"/>
        <v>2.3792342150832387E-4</v>
      </c>
      <c r="AH305" s="15">
        <f t="shared" si="158"/>
        <v>-73.818781590313776</v>
      </c>
      <c r="AI305" s="15">
        <f t="shared" si="159"/>
        <v>-11.097999091160347</v>
      </c>
      <c r="AJ305" s="31">
        <f t="shared" ref="AJ305:AJ368" si="181">AD305+AF305+AH305</f>
        <v>13.424942978487991</v>
      </c>
      <c r="AK305" s="31">
        <f t="shared" ref="AK305:AK368" si="182">AE305+AG305+AI305</f>
        <v>14.019640977688535</v>
      </c>
      <c r="AL305" s="15">
        <f t="shared" si="160"/>
        <v>0</v>
      </c>
      <c r="AM305" s="15">
        <f t="shared" si="161"/>
        <v>0</v>
      </c>
      <c r="AN305" s="15">
        <f t="shared" si="162"/>
        <v>0</v>
      </c>
      <c r="AO305" s="15">
        <f t="shared" si="163"/>
        <v>0</v>
      </c>
      <c r="AP305" s="31">
        <f t="shared" ref="AP305:AP368" si="183">AL305+AN305</f>
        <v>0</v>
      </c>
      <c r="AQ305" s="31">
        <f t="shared" ref="AQ305:AQ368" si="184">AM305+AO305</f>
        <v>0</v>
      </c>
    </row>
    <row r="306" spans="8:43" x14ac:dyDescent="0.25">
      <c r="H306" s="15">
        <v>4.03</v>
      </c>
      <c r="I306" s="45">
        <f t="shared" si="164"/>
        <v>107151.9305237607</v>
      </c>
      <c r="J306" s="32">
        <f t="shared" si="175"/>
        <v>25.3462105260732</v>
      </c>
      <c r="K306" s="32">
        <f t="shared" si="176"/>
        <v>-8.7074666590103611</v>
      </c>
      <c r="L306" s="15">
        <f t="shared" si="140"/>
        <v>3.8729613733905581</v>
      </c>
      <c r="M306" s="15">
        <f t="shared" si="141"/>
        <v>-23.724825518371002</v>
      </c>
      <c r="N306" s="15">
        <f t="shared" si="142"/>
        <v>0.76694357135639346</v>
      </c>
      <c r="O306" s="15">
        <f t="shared" si="143"/>
        <v>-89.705671625679472</v>
      </c>
      <c r="P306" s="15">
        <f t="shared" si="144"/>
        <v>-45.785848216306839</v>
      </c>
      <c r="Q306" s="15">
        <f t="shared" si="145"/>
        <v>-4.0122103234464275</v>
      </c>
      <c r="R306" s="15">
        <f t="shared" si="146"/>
        <v>-2.1313839359426382E-2</v>
      </c>
      <c r="S306" s="31">
        <f t="shared" si="177"/>
        <v>-117.4427074674969</v>
      </c>
      <c r="T306" s="31">
        <f t="shared" si="178"/>
        <v>-33.279355172044909</v>
      </c>
      <c r="U306" s="15">
        <f t="shared" si="147"/>
        <v>6500</v>
      </c>
      <c r="V306" s="15">
        <f t="shared" si="148"/>
        <v>-89.999742113371653</v>
      </c>
      <c r="W306" s="15">
        <f t="shared" si="149"/>
        <v>-106.93387616480804</v>
      </c>
      <c r="X306" s="15">
        <f t="shared" si="150"/>
        <v>89.680044729909653</v>
      </c>
      <c r="Y306" s="15">
        <f t="shared" si="151"/>
        <v>45.060712432368959</v>
      </c>
      <c r="Z306" s="15">
        <f t="shared" si="152"/>
        <v>-50.048787028997758</v>
      </c>
      <c r="AA306" s="15">
        <f t="shared" si="153"/>
        <v>-3.8474718833161137</v>
      </c>
      <c r="AB306" s="31">
        <f t="shared" si="179"/>
        <v>-50.368484412459757</v>
      </c>
      <c r="AC306" s="31">
        <f t="shared" si="180"/>
        <v>10.537631517101918</v>
      </c>
      <c r="AD306" s="15">
        <f t="shared" si="154"/>
        <v>86.891895377402875</v>
      </c>
      <c r="AE306" s="15">
        <f t="shared" si="155"/>
        <v>25.316800475590256</v>
      </c>
      <c r="AF306" s="15">
        <f t="shared" si="156"/>
        <v>0.43395702042688555</v>
      </c>
      <c r="AG306" s="15">
        <f t="shared" si="157"/>
        <v>2.4913608529704537E-4</v>
      </c>
      <c r="AH306" s="15">
        <f t="shared" si="158"/>
        <v>-74.168449991799903</v>
      </c>
      <c r="AI306" s="15">
        <f t="shared" si="159"/>
        <v>-11.282792615742924</v>
      </c>
      <c r="AJ306" s="31">
        <f t="shared" si="181"/>
        <v>13.15740240602986</v>
      </c>
      <c r="AK306" s="31">
        <f t="shared" si="182"/>
        <v>14.03425699593263</v>
      </c>
      <c r="AL306" s="15">
        <f t="shared" si="160"/>
        <v>0</v>
      </c>
      <c r="AM306" s="15">
        <f t="shared" si="161"/>
        <v>0</v>
      </c>
      <c r="AN306" s="15">
        <f t="shared" si="162"/>
        <v>0</v>
      </c>
      <c r="AO306" s="15">
        <f t="shared" si="163"/>
        <v>0</v>
      </c>
      <c r="AP306" s="31">
        <f t="shared" si="183"/>
        <v>0</v>
      </c>
      <c r="AQ306" s="31">
        <f t="shared" si="184"/>
        <v>0</v>
      </c>
    </row>
    <row r="307" spans="8:43" x14ac:dyDescent="0.25">
      <c r="H307" s="15">
        <v>4.04</v>
      </c>
      <c r="I307" s="45">
        <f t="shared" si="164"/>
        <v>109647.81961431856</v>
      </c>
      <c r="J307" s="32">
        <f t="shared" si="175"/>
        <v>23.853701175878058</v>
      </c>
      <c r="K307" s="32">
        <f t="shared" si="176"/>
        <v>-8.9800982760078725</v>
      </c>
      <c r="L307" s="15">
        <f t="shared" si="140"/>
        <v>3.8729613733905581</v>
      </c>
      <c r="M307" s="15">
        <f t="shared" si="141"/>
        <v>-24.214552124632473</v>
      </c>
      <c r="N307" s="15">
        <f t="shared" si="142"/>
        <v>0.799951103290236</v>
      </c>
      <c r="O307" s="15">
        <f t="shared" si="143"/>
        <v>-89.712371243559872</v>
      </c>
      <c r="P307" s="15">
        <f t="shared" si="144"/>
        <v>-45.985843058277503</v>
      </c>
      <c r="Q307" s="15">
        <f t="shared" si="145"/>
        <v>-4.1053507835951581</v>
      </c>
      <c r="R307" s="15">
        <f t="shared" si="146"/>
        <v>-2.231575324494612E-2</v>
      </c>
      <c r="S307" s="31">
        <f t="shared" si="177"/>
        <v>-118.0322741517875</v>
      </c>
      <c r="T307" s="31">
        <f t="shared" si="178"/>
        <v>-33.447344395967249</v>
      </c>
      <c r="U307" s="15">
        <f t="shared" si="147"/>
        <v>6500</v>
      </c>
      <c r="V307" s="15">
        <f t="shared" si="148"/>
        <v>-89.999747983587994</v>
      </c>
      <c r="W307" s="15">
        <f t="shared" si="149"/>
        <v>-107.13387616480406</v>
      </c>
      <c r="X307" s="15">
        <f t="shared" si="150"/>
        <v>89.687327654747406</v>
      </c>
      <c r="Y307" s="15">
        <f t="shared" si="151"/>
        <v>45.260706337036012</v>
      </c>
      <c r="Z307" s="15">
        <f t="shared" si="152"/>
        <v>-50.696847171962617</v>
      </c>
      <c r="AA307" s="15">
        <f t="shared" si="153"/>
        <v>-3.9661171984023409</v>
      </c>
      <c r="AB307" s="31">
        <f t="shared" si="179"/>
        <v>-51.009267500803205</v>
      </c>
      <c r="AC307" s="31">
        <f t="shared" si="180"/>
        <v>10.418980106686721</v>
      </c>
      <c r="AD307" s="15">
        <f t="shared" si="154"/>
        <v>86.962510451946429</v>
      </c>
      <c r="AE307" s="15">
        <f t="shared" si="155"/>
        <v>25.516225807533996</v>
      </c>
      <c r="AF307" s="15">
        <f t="shared" si="156"/>
        <v>0.4440647777769739</v>
      </c>
      <c r="AG307" s="15">
        <f t="shared" si="157"/>
        <v>2.6087715462246171E-4</v>
      </c>
      <c r="AH307" s="15">
        <f t="shared" si="158"/>
        <v>-74.511332401254634</v>
      </c>
      <c r="AI307" s="15">
        <f t="shared" si="159"/>
        <v>-11.468220671415963</v>
      </c>
      <c r="AJ307" s="31">
        <f t="shared" si="181"/>
        <v>12.895242828468767</v>
      </c>
      <c r="AK307" s="31">
        <f t="shared" si="182"/>
        <v>14.048266013272656</v>
      </c>
      <c r="AL307" s="15">
        <f t="shared" si="160"/>
        <v>0</v>
      </c>
      <c r="AM307" s="15">
        <f t="shared" si="161"/>
        <v>0</v>
      </c>
      <c r="AN307" s="15">
        <f t="shared" si="162"/>
        <v>0</v>
      </c>
      <c r="AO307" s="15">
        <f t="shared" si="163"/>
        <v>0</v>
      </c>
      <c r="AP307" s="31">
        <f t="shared" si="183"/>
        <v>0</v>
      </c>
      <c r="AQ307" s="31">
        <f t="shared" si="184"/>
        <v>0</v>
      </c>
    </row>
    <row r="308" spans="8:43" x14ac:dyDescent="0.25">
      <c r="H308" s="15">
        <v>4.05</v>
      </c>
      <c r="I308" s="45">
        <f t="shared" si="164"/>
        <v>112201.84543019639</v>
      </c>
      <c r="J308" s="32">
        <f t="shared" si="175"/>
        <v>22.359772580839675</v>
      </c>
      <c r="K308" s="32">
        <f t="shared" si="176"/>
        <v>-9.2542842738575324</v>
      </c>
      <c r="L308" s="15">
        <f t="shared" si="140"/>
        <v>3.8729613733905581</v>
      </c>
      <c r="M308" s="15">
        <f t="shared" si="141"/>
        <v>-24.711818014693876</v>
      </c>
      <c r="N308" s="15">
        <f t="shared" si="142"/>
        <v>0.83424744324001432</v>
      </c>
      <c r="O308" s="15">
        <f t="shared" si="143"/>
        <v>-89.718918367119016</v>
      </c>
      <c r="P308" s="15">
        <f t="shared" si="144"/>
        <v>-46.185838132392014</v>
      </c>
      <c r="Q308" s="15">
        <f t="shared" si="145"/>
        <v>-4.2006382650287435</v>
      </c>
      <c r="R308" s="15">
        <f t="shared" si="146"/>
        <v>-2.3364638198682647E-2</v>
      </c>
      <c r="S308" s="31">
        <f t="shared" si="177"/>
        <v>-118.63137464684164</v>
      </c>
      <c r="T308" s="31">
        <f t="shared" si="178"/>
        <v>-33.614092015085724</v>
      </c>
      <c r="U308" s="15">
        <f t="shared" si="147"/>
        <v>6500</v>
      </c>
      <c r="V308" s="15">
        <f t="shared" si="148"/>
        <v>-89.999753720181886</v>
      </c>
      <c r="W308" s="15">
        <f t="shared" si="149"/>
        <v>-107.3338761648003</v>
      </c>
      <c r="X308" s="15">
        <f t="shared" si="150"/>
        <v>89.694444809739579</v>
      </c>
      <c r="Y308" s="15">
        <f t="shared" si="151"/>
        <v>45.460700516030258</v>
      </c>
      <c r="Z308" s="15">
        <f t="shared" si="152"/>
        <v>-51.341966523121158</v>
      </c>
      <c r="AA308" s="15">
        <f t="shared" si="153"/>
        <v>-4.0869750657692272</v>
      </c>
      <c r="AB308" s="31">
        <f t="shared" si="179"/>
        <v>-51.647275433563465</v>
      </c>
      <c r="AC308" s="31">
        <f t="shared" si="180"/>
        <v>10.298116418317843</v>
      </c>
      <c r="AD308" s="15">
        <f t="shared" si="154"/>
        <v>87.031527057271944</v>
      </c>
      <c r="AE308" s="15">
        <f t="shared" si="155"/>
        <v>25.715676932807</v>
      </c>
      <c r="AF308" s="15">
        <f t="shared" si="156"/>
        <v>0.4544079464220438</v>
      </c>
      <c r="AG308" s="15">
        <f t="shared" si="157"/>
        <v>2.7317152947646333E-4</v>
      </c>
      <c r="AH308" s="15">
        <f t="shared" si="158"/>
        <v>-74.847512342449207</v>
      </c>
      <c r="AI308" s="15">
        <f t="shared" si="159"/>
        <v>-11.654258781426126</v>
      </c>
      <c r="AJ308" s="31">
        <f t="shared" si="181"/>
        <v>12.638422661244775</v>
      </c>
      <c r="AK308" s="31">
        <f t="shared" si="182"/>
        <v>14.061691322910349</v>
      </c>
      <c r="AL308" s="15">
        <f t="shared" si="160"/>
        <v>0</v>
      </c>
      <c r="AM308" s="15">
        <f t="shared" si="161"/>
        <v>0</v>
      </c>
      <c r="AN308" s="15">
        <f t="shared" si="162"/>
        <v>0</v>
      </c>
      <c r="AO308" s="15">
        <f t="shared" si="163"/>
        <v>0</v>
      </c>
      <c r="AP308" s="31">
        <f t="shared" si="183"/>
        <v>0</v>
      </c>
      <c r="AQ308" s="31">
        <f t="shared" si="184"/>
        <v>0</v>
      </c>
    </row>
    <row r="309" spans="8:43" x14ac:dyDescent="0.25">
      <c r="H309" s="15">
        <v>4.0599999999999996</v>
      </c>
      <c r="I309" s="45">
        <f t="shared" si="164"/>
        <v>114815.36214968831</v>
      </c>
      <c r="J309" s="32">
        <f t="shared" si="175"/>
        <v>20.864680521528797</v>
      </c>
      <c r="K309" s="32">
        <f t="shared" si="176"/>
        <v>-9.5299435439847855</v>
      </c>
      <c r="L309" s="15">
        <f t="shared" si="140"/>
        <v>3.8729613733905581</v>
      </c>
      <c r="M309" s="15">
        <f t="shared" si="141"/>
        <v>-25.216587138723678</v>
      </c>
      <c r="N309" s="15">
        <f t="shared" si="142"/>
        <v>0.86987217742177236</v>
      </c>
      <c r="O309" s="15">
        <f t="shared" si="143"/>
        <v>-89.725316467044166</v>
      </c>
      <c r="P309" s="15">
        <f t="shared" si="144"/>
        <v>-46.385833428202673</v>
      </c>
      <c r="Q309" s="15">
        <f t="shared" si="145"/>
        <v>-4.2981211808526218</v>
      </c>
      <c r="R309" s="15">
        <f t="shared" si="146"/>
        <v>-2.4462684134545089E-2</v>
      </c>
      <c r="S309" s="31">
        <f t="shared" si="177"/>
        <v>-119.24002478662047</v>
      </c>
      <c r="T309" s="31">
        <f t="shared" si="178"/>
        <v>-33.779560622650486</v>
      </c>
      <c r="U309" s="15">
        <f t="shared" si="147"/>
        <v>6500</v>
      </c>
      <c r="V309" s="15">
        <f t="shared" si="148"/>
        <v>-89.999759326194976</v>
      </c>
      <c r="W309" s="15">
        <f t="shared" si="149"/>
        <v>-107.53387616479669</v>
      </c>
      <c r="X309" s="15">
        <f t="shared" si="150"/>
        <v>89.701399967616879</v>
      </c>
      <c r="Y309" s="15">
        <f t="shared" si="151"/>
        <v>45.660694957005632</v>
      </c>
      <c r="Z309" s="15">
        <f t="shared" si="152"/>
        <v>-51.983832890287601</v>
      </c>
      <c r="AA309" s="15">
        <f t="shared" si="153"/>
        <v>-4.2100243400391939</v>
      </c>
      <c r="AB309" s="31">
        <f t="shared" si="179"/>
        <v>-52.282192248865698</v>
      </c>
      <c r="AC309" s="31">
        <f t="shared" si="180"/>
        <v>10.175061585026857</v>
      </c>
      <c r="AD309" s="15">
        <f t="shared" si="154"/>
        <v>87.098980985308032</v>
      </c>
      <c r="AE309" s="15">
        <f t="shared" si="155"/>
        <v>25.915152696748535</v>
      </c>
      <c r="AF309" s="15">
        <f t="shared" si="156"/>
        <v>0.46499200774893873</v>
      </c>
      <c r="AG309" s="15">
        <f t="shared" si="157"/>
        <v>2.8604528306455375E-4</v>
      </c>
      <c r="AH309" s="15">
        <f t="shared" si="158"/>
        <v>-75.177075436042003</v>
      </c>
      <c r="AI309" s="15">
        <f t="shared" si="159"/>
        <v>-11.840883248392757</v>
      </c>
      <c r="AJ309" s="31">
        <f t="shared" si="181"/>
        <v>12.386897557014962</v>
      </c>
      <c r="AK309" s="31">
        <f t="shared" si="182"/>
        <v>14.074555493638844</v>
      </c>
      <c r="AL309" s="15">
        <f t="shared" si="160"/>
        <v>0</v>
      </c>
      <c r="AM309" s="15">
        <f t="shared" si="161"/>
        <v>0</v>
      </c>
      <c r="AN309" s="15">
        <f t="shared" si="162"/>
        <v>0</v>
      </c>
      <c r="AO309" s="15">
        <f t="shared" si="163"/>
        <v>0</v>
      </c>
      <c r="AP309" s="31">
        <f t="shared" si="183"/>
        <v>0</v>
      </c>
      <c r="AQ309" s="31">
        <f t="shared" si="184"/>
        <v>0</v>
      </c>
    </row>
    <row r="310" spans="8:43" x14ac:dyDescent="0.25">
      <c r="H310" s="15">
        <v>4.07</v>
      </c>
      <c r="I310" s="45">
        <f t="shared" si="164"/>
        <v>117489.75549395318</v>
      </c>
      <c r="J310" s="32">
        <f t="shared" si="175"/>
        <v>19.368678927976127</v>
      </c>
      <c r="K310" s="32">
        <f t="shared" si="176"/>
        <v>-9.8069934291196237</v>
      </c>
      <c r="L310" s="15">
        <f t="shared" si="140"/>
        <v>3.8729613733905581</v>
      </c>
      <c r="M310" s="15">
        <f t="shared" si="141"/>
        <v>-25.72881365624745</v>
      </c>
      <c r="N310" s="15">
        <f t="shared" si="142"/>
        <v>0.90686527055002475</v>
      </c>
      <c r="O310" s="15">
        <f t="shared" si="143"/>
        <v>-89.731568935053971</v>
      </c>
      <c r="P310" s="15">
        <f t="shared" si="144"/>
        <v>-46.585828935731982</v>
      </c>
      <c r="Q310" s="15">
        <f t="shared" si="145"/>
        <v>-4.397848959021891</v>
      </c>
      <c r="R310" s="15">
        <f t="shared" si="146"/>
        <v>-2.5612181900501442E-2</v>
      </c>
      <c r="S310" s="31">
        <f t="shared" si="177"/>
        <v>-119.85823155032331</v>
      </c>
      <c r="T310" s="31">
        <f t="shared" si="178"/>
        <v>-33.943712534817493</v>
      </c>
      <c r="U310" s="15">
        <f t="shared" si="147"/>
        <v>6500</v>
      </c>
      <c r="V310" s="15">
        <f t="shared" si="148"/>
        <v>-89.999764804599621</v>
      </c>
      <c r="W310" s="15">
        <f t="shared" si="149"/>
        <v>-107.73387616479324</v>
      </c>
      <c r="X310" s="15">
        <f t="shared" si="150"/>
        <v>89.708196815275741</v>
      </c>
      <c r="Y310" s="15">
        <f t="shared" si="151"/>
        <v>45.8606896481717</v>
      </c>
      <c r="Z310" s="15">
        <f t="shared" si="152"/>
        <v>-52.622142199541692</v>
      </c>
      <c r="AA310" s="15">
        <f t="shared" si="153"/>
        <v>-4.3352418891331981</v>
      </c>
      <c r="AB310" s="31">
        <f t="shared" si="179"/>
        <v>-52.913710188865572</v>
      </c>
      <c r="AC310" s="31">
        <f t="shared" si="180"/>
        <v>10.049838727102372</v>
      </c>
      <c r="AD310" s="15">
        <f t="shared" si="154"/>
        <v>87.164907252656221</v>
      </c>
      <c r="AE310" s="15">
        <f t="shared" si="155"/>
        <v>26.114651996120077</v>
      </c>
      <c r="AF310" s="15">
        <f t="shared" si="156"/>
        <v>0.47582257067605122</v>
      </c>
      <c r="AG310" s="15">
        <f t="shared" si="157"/>
        <v>2.9952571706351407E-4</v>
      </c>
      <c r="AH310" s="15">
        <f t="shared" si="158"/>
        <v>-75.500109156167255</v>
      </c>
      <c r="AI310" s="15">
        <f t="shared" si="159"/>
        <v>-12.028071143241645</v>
      </c>
      <c r="AJ310" s="31">
        <f t="shared" si="181"/>
        <v>12.14062066716501</v>
      </c>
      <c r="AK310" s="31">
        <f t="shared" si="182"/>
        <v>14.086880378595497</v>
      </c>
      <c r="AL310" s="15">
        <f t="shared" si="160"/>
        <v>0</v>
      </c>
      <c r="AM310" s="15">
        <f t="shared" si="161"/>
        <v>0</v>
      </c>
      <c r="AN310" s="15">
        <f t="shared" si="162"/>
        <v>0</v>
      </c>
      <c r="AO310" s="15">
        <f t="shared" si="163"/>
        <v>0</v>
      </c>
      <c r="AP310" s="31">
        <f t="shared" si="183"/>
        <v>0</v>
      </c>
      <c r="AQ310" s="31">
        <f t="shared" si="184"/>
        <v>0</v>
      </c>
    </row>
    <row r="311" spans="8:43" x14ac:dyDescent="0.25">
      <c r="H311" s="15">
        <v>4.08</v>
      </c>
      <c r="I311" s="45">
        <f t="shared" si="164"/>
        <v>120226.44346174151</v>
      </c>
      <c r="J311" s="32">
        <f t="shared" si="175"/>
        <v>17.872019819642873</v>
      </c>
      <c r="K311" s="32">
        <f t="shared" si="176"/>
        <v>-10.085349872201723</v>
      </c>
      <c r="L311" s="15">
        <f t="shared" si="140"/>
        <v>3.8729613733905581</v>
      </c>
      <c r="M311" s="15">
        <f t="shared" si="141"/>
        <v>-26.248441584557504</v>
      </c>
      <c r="N311" s="15">
        <f t="shared" si="142"/>
        <v>0.94526700168929156</v>
      </c>
      <c r="O311" s="15">
        <f t="shared" si="143"/>
        <v>-89.737679085693728</v>
      </c>
      <c r="P311" s="15">
        <f t="shared" si="144"/>
        <v>-46.785824645451441</v>
      </c>
      <c r="Q311" s="15">
        <f t="shared" si="145"/>
        <v>-4.4998720580807534</v>
      </c>
      <c r="R311" s="15">
        <f t="shared" si="146"/>
        <v>-2.6815527818948911E-2</v>
      </c>
      <c r="S311" s="31">
        <f t="shared" si="177"/>
        <v>-120.48599272833199</v>
      </c>
      <c r="T311" s="31">
        <f t="shared" si="178"/>
        <v>-34.106509859316134</v>
      </c>
      <c r="U311" s="15">
        <f t="shared" si="147"/>
        <v>6500</v>
      </c>
      <c r="V311" s="15">
        <f t="shared" si="148"/>
        <v>-89.999770158300549</v>
      </c>
      <c r="W311" s="15">
        <f t="shared" si="149"/>
        <v>-107.93387616478995</v>
      </c>
      <c r="X311" s="15">
        <f t="shared" si="150"/>
        <v>89.714838955729093</v>
      </c>
      <c r="Y311" s="15">
        <f t="shared" si="151"/>
        <v>46.060684578268585</v>
      </c>
      <c r="Z311" s="15">
        <f t="shared" si="152"/>
        <v>-53.256599140605232</v>
      </c>
      <c r="AA311" s="15">
        <f t="shared" si="153"/>
        <v>-4.4626026844594833</v>
      </c>
      <c r="AB311" s="31">
        <f t="shared" si="179"/>
        <v>-53.541530343176689</v>
      </c>
      <c r="AC311" s="31">
        <f t="shared" si="180"/>
        <v>9.9224728618762654</v>
      </c>
      <c r="AD311" s="15">
        <f t="shared" si="154"/>
        <v>87.229340115634713</v>
      </c>
      <c r="AE311" s="15">
        <f t="shared" si="155"/>
        <v>26.314173776838658</v>
      </c>
      <c r="AF311" s="15">
        <f t="shared" si="156"/>
        <v>0.48690537461344757</v>
      </c>
      <c r="AG311" s="15">
        <f t="shared" si="157"/>
        <v>3.1364141949748322E-4</v>
      </c>
      <c r="AH311" s="15">
        <f t="shared" si="158"/>
        <v>-75.816702599096601</v>
      </c>
      <c r="AI311" s="15">
        <f t="shared" si="159"/>
        <v>-12.215800293020012</v>
      </c>
      <c r="AJ311" s="31">
        <f t="shared" si="181"/>
        <v>11.899542891151555</v>
      </c>
      <c r="AK311" s="31">
        <f t="shared" si="182"/>
        <v>14.098687125238145</v>
      </c>
      <c r="AL311" s="15">
        <f t="shared" si="160"/>
        <v>0</v>
      </c>
      <c r="AM311" s="15">
        <f t="shared" si="161"/>
        <v>0</v>
      </c>
      <c r="AN311" s="15">
        <f t="shared" si="162"/>
        <v>0</v>
      </c>
      <c r="AO311" s="15">
        <f t="shared" si="163"/>
        <v>0</v>
      </c>
      <c r="AP311" s="31">
        <f t="shared" si="183"/>
        <v>0</v>
      </c>
      <c r="AQ311" s="31">
        <f t="shared" si="184"/>
        <v>0</v>
      </c>
    </row>
    <row r="312" spans="8:43" x14ac:dyDescent="0.25">
      <c r="H312" s="15">
        <v>4.09</v>
      </c>
      <c r="I312" s="45">
        <f t="shared" si="164"/>
        <v>123026.87708123817</v>
      </c>
      <c r="J312" s="32">
        <f t="shared" si="175"/>
        <v>16.374953268125026</v>
      </c>
      <c r="K312" s="32">
        <f t="shared" si="176"/>
        <v>-10.364927575096466</v>
      </c>
      <c r="L312" s="15">
        <f t="shared" si="140"/>
        <v>3.8729613733905581</v>
      </c>
      <c r="M312" s="15">
        <f t="shared" si="141"/>
        <v>-26.775404463339914</v>
      </c>
      <c r="N312" s="15">
        <f t="shared" si="142"/>
        <v>0.98511789514002979</v>
      </c>
      <c r="O312" s="15">
        <f t="shared" si="143"/>
        <v>-89.743650158089977</v>
      </c>
      <c r="P312" s="15">
        <f t="shared" si="144"/>
        <v>-46.985820548261358</v>
      </c>
      <c r="Q312" s="15">
        <f t="shared" si="145"/>
        <v>-4.6042419827242025</v>
      </c>
      <c r="R312" s="15">
        <f t="shared" si="146"/>
        <v>-2.8075228420625025E-2</v>
      </c>
      <c r="S312" s="31">
        <f t="shared" si="177"/>
        <v>-121.12329660415409</v>
      </c>
      <c r="T312" s="31">
        <f t="shared" si="178"/>
        <v>-34.267914569276989</v>
      </c>
      <c r="U312" s="15">
        <f t="shared" si="147"/>
        <v>6500</v>
      </c>
      <c r="V312" s="15">
        <f t="shared" si="148"/>
        <v>-89.999775390136364</v>
      </c>
      <c r="W312" s="15">
        <f t="shared" si="149"/>
        <v>-108.1338761647868</v>
      </c>
      <c r="X312" s="15">
        <f t="shared" si="150"/>
        <v>89.72132991001321</v>
      </c>
      <c r="Y312" s="15">
        <f t="shared" si="151"/>
        <v>46.26067973654316</v>
      </c>
      <c r="Z312" s="15">
        <f t="shared" si="152"/>
        <v>-53.88691776142575</v>
      </c>
      <c r="AA312" s="15">
        <f t="shared" si="153"/>
        <v>-4.5920798968350578</v>
      </c>
      <c r="AB312" s="31">
        <f t="shared" si="179"/>
        <v>-54.165363241548903</v>
      </c>
      <c r="AC312" s="31">
        <f t="shared" si="180"/>
        <v>9.792990807778418</v>
      </c>
      <c r="AD312" s="15">
        <f t="shared" si="154"/>
        <v>87.292313085150937</v>
      </c>
      <c r="AE312" s="15">
        <f t="shared" si="155"/>
        <v>26.513717031808191</v>
      </c>
      <c r="AF312" s="15">
        <f t="shared" si="156"/>
        <v>0.49824629249120028</v>
      </c>
      <c r="AG312" s="15">
        <f t="shared" si="157"/>
        <v>3.2842232531899026E-4</v>
      </c>
      <c r="AH312" s="15">
        <f t="shared" si="158"/>
        <v>-76.126946263814119</v>
      </c>
      <c r="AI312" s="15">
        <f t="shared" si="159"/>
        <v>-12.404049267731402</v>
      </c>
      <c r="AJ312" s="31">
        <f t="shared" si="181"/>
        <v>11.663613113828021</v>
      </c>
      <c r="AK312" s="31">
        <f t="shared" si="182"/>
        <v>14.109996186402107</v>
      </c>
      <c r="AL312" s="15">
        <f t="shared" si="160"/>
        <v>0</v>
      </c>
      <c r="AM312" s="15">
        <f t="shared" si="161"/>
        <v>0</v>
      </c>
      <c r="AN312" s="15">
        <f t="shared" si="162"/>
        <v>0</v>
      </c>
      <c r="AO312" s="15">
        <f t="shared" si="163"/>
        <v>0</v>
      </c>
      <c r="AP312" s="31">
        <f t="shared" si="183"/>
        <v>0</v>
      </c>
      <c r="AQ312" s="31">
        <f t="shared" si="184"/>
        <v>0</v>
      </c>
    </row>
    <row r="313" spans="8:43" x14ac:dyDescent="0.25">
      <c r="H313" s="15">
        <v>4.0999999999999996</v>
      </c>
      <c r="I313" s="45">
        <f t="shared" si="164"/>
        <v>125892.54117941672</v>
      </c>
      <c r="J313" s="32">
        <f t="shared" si="175"/>
        <v>14.877727382159307</v>
      </c>
      <c r="K313" s="32">
        <f t="shared" si="176"/>
        <v>-10.645640166487553</v>
      </c>
      <c r="L313" s="15">
        <f t="shared" si="140"/>
        <v>3.8729613733905581</v>
      </c>
      <c r="M313" s="15">
        <f t="shared" si="141"/>
        <v>-27.30962503847617</v>
      </c>
      <c r="N313" s="15">
        <f t="shared" si="142"/>
        <v>1.0264586463845418</v>
      </c>
      <c r="O313" s="15">
        <f t="shared" si="143"/>
        <v>-89.749485317665204</v>
      </c>
      <c r="P313" s="15">
        <f t="shared" si="144"/>
        <v>-47.185816635471596</v>
      </c>
      <c r="Q313" s="15">
        <f t="shared" si="145"/>
        <v>-4.7110112991412274</v>
      </c>
      <c r="R313" s="15">
        <f t="shared" si="146"/>
        <v>-2.9393905379202088E-2</v>
      </c>
      <c r="S313" s="31">
        <f t="shared" si="177"/>
        <v>-121.77012165528261</v>
      </c>
      <c r="T313" s="31">
        <f t="shared" si="178"/>
        <v>-34.427888582201291</v>
      </c>
      <c r="U313" s="15">
        <f t="shared" si="147"/>
        <v>6500</v>
      </c>
      <c r="V313" s="15">
        <f t="shared" si="148"/>
        <v>-89.999780502881066</v>
      </c>
      <c r="W313" s="15">
        <f t="shared" si="149"/>
        <v>-108.33387616478379</v>
      </c>
      <c r="X313" s="15">
        <f t="shared" si="150"/>
        <v>89.727673119051147</v>
      </c>
      <c r="Y313" s="15">
        <f t="shared" si="151"/>
        <v>46.46067511272625</v>
      </c>
      <c r="Z313" s="15">
        <f t="shared" si="152"/>
        <v>-54.512822009680477</v>
      </c>
      <c r="AA313" s="15">
        <f t="shared" si="153"/>
        <v>-4.7236449973899823</v>
      </c>
      <c r="AB313" s="31">
        <f t="shared" si="179"/>
        <v>-54.784929393510396</v>
      </c>
      <c r="AC313" s="31">
        <f t="shared" si="180"/>
        <v>9.6614210834095928</v>
      </c>
      <c r="AD313" s="15">
        <f t="shared" si="154"/>
        <v>87.353858941395515</v>
      </c>
      <c r="AE313" s="15">
        <f t="shared" si="155"/>
        <v>26.713280798844504</v>
      </c>
      <c r="AF313" s="15">
        <f t="shared" si="156"/>
        <v>0.50985133385745418</v>
      </c>
      <c r="AG313" s="15">
        <f t="shared" si="157"/>
        <v>3.4389977985281009E-4</v>
      </c>
      <c r="AH313" s="15">
        <f t="shared" si="158"/>
        <v>-76.430931844300659</v>
      </c>
      <c r="AI313" s="15">
        <f t="shared" si="159"/>
        <v>-12.592797366320212</v>
      </c>
      <c r="AJ313" s="31">
        <f t="shared" si="181"/>
        <v>11.432778430952311</v>
      </c>
      <c r="AK313" s="31">
        <f t="shared" si="182"/>
        <v>14.120827332304145</v>
      </c>
      <c r="AL313" s="15">
        <f t="shared" si="160"/>
        <v>0</v>
      </c>
      <c r="AM313" s="15">
        <f t="shared" si="161"/>
        <v>0</v>
      </c>
      <c r="AN313" s="15">
        <f t="shared" si="162"/>
        <v>0</v>
      </c>
      <c r="AO313" s="15">
        <f t="shared" si="163"/>
        <v>0</v>
      </c>
      <c r="AP313" s="31">
        <f t="shared" si="183"/>
        <v>0</v>
      </c>
      <c r="AQ313" s="31">
        <f t="shared" si="184"/>
        <v>0</v>
      </c>
    </row>
    <row r="314" spans="8:43" x14ac:dyDescent="0.25">
      <c r="H314" s="15">
        <v>4.1100000000000003</v>
      </c>
      <c r="I314" s="45">
        <f t="shared" si="164"/>
        <v>128824.9551693136</v>
      </c>
      <c r="J314" s="32">
        <f t="shared" si="175"/>
        <v>13.38058831391411</v>
      </c>
      <c r="K314" s="32">
        <f t="shared" si="176"/>
        <v>-10.927400378245506</v>
      </c>
      <c r="L314" s="15">
        <f t="shared" si="140"/>
        <v>3.8729613733905581</v>
      </c>
      <c r="M314" s="15">
        <f t="shared" si="141"/>
        <v>-27.851014968070121</v>
      </c>
      <c r="N314" s="15">
        <f t="shared" si="142"/>
        <v>1.0693300431586574</v>
      </c>
      <c r="O314" s="15">
        <f t="shared" si="143"/>
        <v>-89.755187657813806</v>
      </c>
      <c r="P314" s="15">
        <f t="shared" si="144"/>
        <v>-47.385812898783122</v>
      </c>
      <c r="Q314" s="15">
        <f t="shared" si="145"/>
        <v>-4.8202336500956475</v>
      </c>
      <c r="R314" s="15">
        <f t="shared" si="146"/>
        <v>-3.07743006539947E-2</v>
      </c>
      <c r="S314" s="31">
        <f t="shared" si="177"/>
        <v>-122.42643627597957</v>
      </c>
      <c r="T314" s="31">
        <f t="shared" si="178"/>
        <v>-34.586393844013493</v>
      </c>
      <c r="U314" s="15">
        <f t="shared" si="147"/>
        <v>6500</v>
      </c>
      <c r="V314" s="15">
        <f t="shared" si="148"/>
        <v>-89.99978549924549</v>
      </c>
      <c r="W314" s="15">
        <f t="shared" si="149"/>
        <v>-108.53387616478093</v>
      </c>
      <c r="X314" s="15">
        <f t="shared" si="150"/>
        <v>89.733871945473965</v>
      </c>
      <c r="Y314" s="15">
        <f t="shared" si="151"/>
        <v>46.660670697010801</v>
      </c>
      <c r="Z314" s="15">
        <f t="shared" si="152"/>
        <v>-55.13404621944786</v>
      </c>
      <c r="AA314" s="15">
        <f t="shared" si="153"/>
        <v>-4.8572678626869497</v>
      </c>
      <c r="AB314" s="31">
        <f t="shared" si="179"/>
        <v>-55.399959773219386</v>
      </c>
      <c r="AC314" s="31">
        <f t="shared" si="180"/>
        <v>9.5277938024000299</v>
      </c>
      <c r="AD314" s="15">
        <f t="shared" si="154"/>
        <v>87.41400974835156</v>
      </c>
      <c r="AE314" s="15">
        <f t="shared" si="155"/>
        <v>26.912864158690248</v>
      </c>
      <c r="AF314" s="15">
        <f t="shared" si="156"/>
        <v>0.52172664804779512</v>
      </c>
      <c r="AG314" s="15">
        <f t="shared" si="157"/>
        <v>3.6010660522770108E-4</v>
      </c>
      <c r="AH314" s="15">
        <f t="shared" si="158"/>
        <v>-76.728752033286284</v>
      </c>
      <c r="AI314" s="15">
        <f t="shared" si="159"/>
        <v>-12.782024601927519</v>
      </c>
      <c r="AJ314" s="31">
        <f t="shared" si="181"/>
        <v>11.206984363113065</v>
      </c>
      <c r="AK314" s="31">
        <f t="shared" si="182"/>
        <v>14.131199663367957</v>
      </c>
      <c r="AL314" s="15">
        <f t="shared" si="160"/>
        <v>0</v>
      </c>
      <c r="AM314" s="15">
        <f t="shared" si="161"/>
        <v>0</v>
      </c>
      <c r="AN314" s="15">
        <f t="shared" si="162"/>
        <v>0</v>
      </c>
      <c r="AO314" s="15">
        <f t="shared" si="163"/>
        <v>0</v>
      </c>
      <c r="AP314" s="31">
        <f t="shared" si="183"/>
        <v>0</v>
      </c>
      <c r="AQ314" s="31">
        <f t="shared" si="184"/>
        <v>0</v>
      </c>
    </row>
    <row r="315" spans="8:43" x14ac:dyDescent="0.25">
      <c r="H315" s="15">
        <v>4.12</v>
      </c>
      <c r="I315" s="45">
        <f t="shared" si="164"/>
        <v>131825.6738556409</v>
      </c>
      <c r="J315" s="32">
        <f t="shared" si="175"/>
        <v>11.8837802849825</v>
      </c>
      <c r="K315" s="32">
        <f t="shared" si="176"/>
        <v>-11.210120229511643</v>
      </c>
      <c r="L315" s="15">
        <f t="shared" si="140"/>
        <v>3.8729613733905581</v>
      </c>
      <c r="M315" s="15">
        <f t="shared" si="141"/>
        <v>-28.399474553820166</v>
      </c>
      <c r="N315" s="15">
        <f t="shared" si="142"/>
        <v>1.1137728817582531</v>
      </c>
      <c r="O315" s="15">
        <f t="shared" si="143"/>
        <v>-89.760760201539924</v>
      </c>
      <c r="P315" s="15">
        <f t="shared" si="144"/>
        <v>-47.585809330270308</v>
      </c>
      <c r="Q315" s="15">
        <f t="shared" si="145"/>
        <v>-4.9319637696972709</v>
      </c>
      <c r="R315" s="15">
        <f t="shared" si="146"/>
        <v>-3.2219281848266348E-2</v>
      </c>
      <c r="S315" s="31">
        <f t="shared" si="177"/>
        <v>-123.09219852505737</v>
      </c>
      <c r="T315" s="31">
        <f t="shared" si="178"/>
        <v>-34.743392418095354</v>
      </c>
      <c r="U315" s="15">
        <f t="shared" si="147"/>
        <v>6500</v>
      </c>
      <c r="V315" s="15">
        <f t="shared" si="148"/>
        <v>-89.999790381878768</v>
      </c>
      <c r="W315" s="15">
        <f t="shared" si="149"/>
        <v>-108.7338761647782</v>
      </c>
      <c r="X315" s="15">
        <f t="shared" si="150"/>
        <v>89.739929675400674</v>
      </c>
      <c r="Y315" s="15">
        <f t="shared" si="151"/>
        <v>46.860666480031071</v>
      </c>
      <c r="Z315" s="15">
        <f t="shared" si="152"/>
        <v>-55.750335541825784</v>
      </c>
      <c r="AA315" s="15">
        <f t="shared" si="153"/>
        <v>-4.9929168832806168</v>
      </c>
      <c r="AB315" s="31">
        <f t="shared" si="179"/>
        <v>-56.010196248303878</v>
      </c>
      <c r="AC315" s="31">
        <f t="shared" si="180"/>
        <v>9.3921405648293721</v>
      </c>
      <c r="AD315" s="15">
        <f t="shared" si="154"/>
        <v>87.472796868113392</v>
      </c>
      <c r="AE315" s="15">
        <f t="shared" si="155"/>
        <v>27.112466233116017</v>
      </c>
      <c r="AF315" s="15">
        <f t="shared" si="156"/>
        <v>0.53387852742752318</v>
      </c>
      <c r="AG315" s="15">
        <f t="shared" si="157"/>
        <v>3.7707716992683928E-4</v>
      </c>
      <c r="AH315" s="15">
        <f t="shared" si="158"/>
        <v>-77.020500337197163</v>
      </c>
      <c r="AI315" s="15">
        <f t="shared" si="159"/>
        <v>-12.971711686531604</v>
      </c>
      <c r="AJ315" s="31">
        <f t="shared" si="181"/>
        <v>10.986175058343747</v>
      </c>
      <c r="AK315" s="31">
        <f t="shared" si="182"/>
        <v>14.141131623754339</v>
      </c>
      <c r="AL315" s="15">
        <f t="shared" si="160"/>
        <v>0</v>
      </c>
      <c r="AM315" s="15">
        <f t="shared" si="161"/>
        <v>0</v>
      </c>
      <c r="AN315" s="15">
        <f t="shared" si="162"/>
        <v>0</v>
      </c>
      <c r="AO315" s="15">
        <f t="shared" si="163"/>
        <v>0</v>
      </c>
      <c r="AP315" s="31">
        <f t="shared" si="183"/>
        <v>0</v>
      </c>
      <c r="AQ315" s="31">
        <f t="shared" si="184"/>
        <v>0</v>
      </c>
    </row>
    <row r="316" spans="8:43" x14ac:dyDescent="0.25">
      <c r="H316" s="15">
        <v>4.13</v>
      </c>
      <c r="I316" s="45">
        <f t="shared" si="164"/>
        <v>134896.28825916557</v>
      </c>
      <c r="J316" s="32">
        <f t="shared" si="175"/>
        <v>10.387545629960705</v>
      </c>
      <c r="K316" s="32">
        <f t="shared" si="176"/>
        <v>-11.49371121768495</v>
      </c>
      <c r="L316" s="15">
        <f t="shared" si="140"/>
        <v>3.8729613733905581</v>
      </c>
      <c r="M316" s="15">
        <f t="shared" si="141"/>
        <v>-28.954892500899913</v>
      </c>
      <c r="N316" s="15">
        <f t="shared" si="142"/>
        <v>1.1598278787355936</v>
      </c>
      <c r="O316" s="15">
        <f t="shared" si="143"/>
        <v>-89.766205903058022</v>
      </c>
      <c r="P316" s="15">
        <f t="shared" si="144"/>
        <v>-47.785805922364297</v>
      </c>
      <c r="Q316" s="15">
        <f t="shared" si="145"/>
        <v>-5.0462574978123413</v>
      </c>
      <c r="R316" s="15">
        <f t="shared" si="146"/>
        <v>-3.3731847790820009E-2</v>
      </c>
      <c r="S316" s="31">
        <f t="shared" si="177"/>
        <v>-123.76735590177029</v>
      </c>
      <c r="T316" s="31">
        <f t="shared" si="178"/>
        <v>-34.898846579154558</v>
      </c>
      <c r="U316" s="15">
        <f t="shared" si="147"/>
        <v>6500</v>
      </c>
      <c r="V316" s="15">
        <f t="shared" si="148"/>
        <v>-89.999795153369746</v>
      </c>
      <c r="W316" s="15">
        <f t="shared" si="149"/>
        <v>-108.93387616477557</v>
      </c>
      <c r="X316" s="15">
        <f t="shared" si="150"/>
        <v>89.745849520177856</v>
      </c>
      <c r="Y316" s="15">
        <f t="shared" si="151"/>
        <v>47.060662452842891</v>
      </c>
      <c r="Z316" s="15">
        <f t="shared" si="152"/>
        <v>-56.361446318799004</v>
      </c>
      <c r="AA316" s="15">
        <f t="shared" si="153"/>
        <v>-5.1305590749420169</v>
      </c>
      <c r="AB316" s="31">
        <f t="shared" si="179"/>
        <v>-56.615391951990894</v>
      </c>
      <c r="AC316" s="31">
        <f t="shared" si="180"/>
        <v>9.2544943459824189</v>
      </c>
      <c r="AD316" s="15">
        <f t="shared" si="154"/>
        <v>87.530250975010077</v>
      </c>
      <c r="AE316" s="15">
        <f t="shared" si="155"/>
        <v>27.312086183104128</v>
      </c>
      <c r="AF316" s="15">
        <f t="shared" si="156"/>
        <v>0.54631341070846873</v>
      </c>
      <c r="AG316" s="15">
        <f t="shared" si="157"/>
        <v>3.9484746162630411E-4</v>
      </c>
      <c r="AH316" s="15">
        <f t="shared" si="158"/>
        <v>-77.306270901996655</v>
      </c>
      <c r="AI316" s="15">
        <f t="shared" si="159"/>
        <v>-13.161840015078567</v>
      </c>
      <c r="AJ316" s="31">
        <f t="shared" si="181"/>
        <v>10.770293483721886</v>
      </c>
      <c r="AK316" s="31">
        <f t="shared" si="182"/>
        <v>14.150641015487189</v>
      </c>
      <c r="AL316" s="15">
        <f t="shared" si="160"/>
        <v>0</v>
      </c>
      <c r="AM316" s="15">
        <f t="shared" si="161"/>
        <v>0</v>
      </c>
      <c r="AN316" s="15">
        <f t="shared" si="162"/>
        <v>0</v>
      </c>
      <c r="AO316" s="15">
        <f t="shared" si="163"/>
        <v>0</v>
      </c>
      <c r="AP316" s="31">
        <f t="shared" si="183"/>
        <v>0</v>
      </c>
      <c r="AQ316" s="31">
        <f t="shared" si="184"/>
        <v>0</v>
      </c>
    </row>
    <row r="317" spans="8:43" x14ac:dyDescent="0.25">
      <c r="H317" s="15">
        <v>4.1399999999999997</v>
      </c>
      <c r="I317" s="45">
        <f t="shared" si="164"/>
        <v>138038.42646028841</v>
      </c>
      <c r="J317" s="32">
        <f t="shared" si="175"/>
        <v>8.8921248550028338</v>
      </c>
      <c r="K317" s="32">
        <f t="shared" si="176"/>
        <v>-11.778084515451241</v>
      </c>
      <c r="L317" s="15">
        <f t="shared" si="140"/>
        <v>3.8729613733905581</v>
      </c>
      <c r="M317" s="15">
        <f t="shared" si="141"/>
        <v>-29.517145709522982</v>
      </c>
      <c r="N317" s="15">
        <f t="shared" si="142"/>
        <v>1.2075355781889636</v>
      </c>
      <c r="O317" s="15">
        <f t="shared" si="143"/>
        <v>-89.771527649357353</v>
      </c>
      <c r="P317" s="15">
        <f t="shared" si="144"/>
        <v>-47.985802667836808</v>
      </c>
      <c r="Q317" s="15">
        <f t="shared" si="145"/>
        <v>-5.1631717940581598</v>
      </c>
      <c r="R317" s="15">
        <f t="shared" si="146"/>
        <v>-3.5315134348684427E-2</v>
      </c>
      <c r="S317" s="31">
        <f t="shared" si="177"/>
        <v>-124.45184515293849</v>
      </c>
      <c r="T317" s="31">
        <f t="shared" si="178"/>
        <v>-35.052718911731567</v>
      </c>
      <c r="U317" s="15">
        <f t="shared" si="147"/>
        <v>6500</v>
      </c>
      <c r="V317" s="15">
        <f t="shared" si="148"/>
        <v>-89.999799816248327</v>
      </c>
      <c r="W317" s="15">
        <f t="shared" si="149"/>
        <v>-109.13387616477307</v>
      </c>
      <c r="X317" s="15">
        <f t="shared" si="150"/>
        <v>89.751634618079692</v>
      </c>
      <c r="Y317" s="15">
        <f t="shared" si="151"/>
        <v>47.260658606904514</v>
      </c>
      <c r="Z317" s="15">
        <f t="shared" si="152"/>
        <v>-56.967146400164339</v>
      </c>
      <c r="AA317" s="15">
        <f t="shared" si="153"/>
        <v>-5.2701601917827752</v>
      </c>
      <c r="AB317" s="31">
        <f t="shared" si="179"/>
        <v>-57.215311598332974</v>
      </c>
      <c r="AC317" s="31">
        <f t="shared" si="180"/>
        <v>9.1148893832057816</v>
      </c>
      <c r="AD317" s="15">
        <f t="shared" si="154"/>
        <v>87.586402069529825</v>
      </c>
      <c r="AE317" s="15">
        <f t="shared" si="155"/>
        <v>27.511723207111327</v>
      </c>
      <c r="AF317" s="15">
        <f t="shared" si="156"/>
        <v>0.55903788634200002</v>
      </c>
      <c r="AG317" s="15">
        <f t="shared" si="157"/>
        <v>4.1345516343693441E-4</v>
      </c>
      <c r="AH317" s="15">
        <f t="shared" si="158"/>
        <v>-77.586158349597525</v>
      </c>
      <c r="AI317" s="15">
        <f t="shared" si="159"/>
        <v>-13.352391649200218</v>
      </c>
      <c r="AJ317" s="31">
        <f t="shared" si="181"/>
        <v>10.559281606274297</v>
      </c>
      <c r="AK317" s="31">
        <f t="shared" si="182"/>
        <v>14.159745013074545</v>
      </c>
      <c r="AL317" s="15">
        <f t="shared" si="160"/>
        <v>0</v>
      </c>
      <c r="AM317" s="15">
        <f t="shared" si="161"/>
        <v>0</v>
      </c>
      <c r="AN317" s="15">
        <f t="shared" si="162"/>
        <v>0</v>
      </c>
      <c r="AO317" s="15">
        <f t="shared" si="163"/>
        <v>0</v>
      </c>
      <c r="AP317" s="31">
        <f t="shared" si="183"/>
        <v>0</v>
      </c>
      <c r="AQ317" s="31">
        <f t="shared" si="184"/>
        <v>0</v>
      </c>
    </row>
    <row r="318" spans="8:43" x14ac:dyDescent="0.25">
      <c r="H318" s="15">
        <v>4.1500000000000004</v>
      </c>
      <c r="I318" s="45">
        <f t="shared" si="164"/>
        <v>141253.7544622756</v>
      </c>
      <c r="J318" s="32">
        <f t="shared" si="175"/>
        <v>7.397756708295816</v>
      </c>
      <c r="K318" s="32">
        <f t="shared" si="176"/>
        <v>-12.063151172954377</v>
      </c>
      <c r="L318" s="15">
        <f t="shared" si="140"/>
        <v>3.8729613733905581</v>
      </c>
      <c r="M318" s="15">
        <f t="shared" si="141"/>
        <v>-30.086099101349703</v>
      </c>
      <c r="N318" s="15">
        <f t="shared" si="142"/>
        <v>1.2569362548994554</v>
      </c>
      <c r="O318" s="15">
        <f t="shared" si="143"/>
        <v>-89.776728261730753</v>
      </c>
      <c r="P318" s="15">
        <f t="shared" si="144"/>
        <v>-48.18579955978494</v>
      </c>
      <c r="Q318" s="15">
        <f t="shared" si="145"/>
        <v>-5.2827647513229481</v>
      </c>
      <c r="R318" s="15">
        <f t="shared" si="146"/>
        <v>-3.6972420478806986E-2</v>
      </c>
      <c r="S318" s="31">
        <f t="shared" si="177"/>
        <v>-125.1455921144034</v>
      </c>
      <c r="T318" s="31">
        <f t="shared" si="178"/>
        <v>-35.204972413099327</v>
      </c>
      <c r="U318" s="15">
        <f t="shared" si="147"/>
        <v>6500</v>
      </c>
      <c r="V318" s="15">
        <f t="shared" si="148"/>
        <v>-89.999804372986844</v>
      </c>
      <c r="W318" s="15">
        <f t="shared" si="149"/>
        <v>-109.33387616477069</v>
      </c>
      <c r="X318" s="15">
        <f t="shared" si="150"/>
        <v>89.75728803596958</v>
      </c>
      <c r="Y318" s="15">
        <f t="shared" si="151"/>
        <v>47.460654934058738</v>
      </c>
      <c r="Z318" s="15">
        <f t="shared" si="152"/>
        <v>-57.567215403808945</v>
      </c>
      <c r="AA318" s="15">
        <f t="shared" si="153"/>
        <v>-5.4116848405319811</v>
      </c>
      <c r="AB318" s="31">
        <f t="shared" si="179"/>
        <v>-57.809731740826209</v>
      </c>
      <c r="AC318" s="31">
        <f t="shared" si="180"/>
        <v>8.9733610616131845</v>
      </c>
      <c r="AD318" s="15">
        <f t="shared" si="154"/>
        <v>87.641279492041377</v>
      </c>
      <c r="AE318" s="15">
        <f t="shared" si="155"/>
        <v>27.711376539407468</v>
      </c>
      <c r="AF318" s="15">
        <f t="shared" si="156"/>
        <v>0.57205869598994497</v>
      </c>
      <c r="AG318" s="15">
        <f t="shared" si="157"/>
        <v>4.3293973376898066E-4</v>
      </c>
      <c r="AH318" s="15">
        <f t="shared" si="158"/>
        <v>-77.860257624505891</v>
      </c>
      <c r="AI318" s="15">
        <f t="shared" si="159"/>
        <v>-13.543349300609471</v>
      </c>
      <c r="AJ318" s="31">
        <f t="shared" si="181"/>
        <v>10.353080563525424</v>
      </c>
      <c r="AK318" s="31">
        <f t="shared" si="182"/>
        <v>14.168460178531767</v>
      </c>
      <c r="AL318" s="15">
        <f t="shared" si="160"/>
        <v>0</v>
      </c>
      <c r="AM318" s="15">
        <f t="shared" si="161"/>
        <v>0</v>
      </c>
      <c r="AN318" s="15">
        <f t="shared" si="162"/>
        <v>0</v>
      </c>
      <c r="AO318" s="15">
        <f t="shared" si="163"/>
        <v>0</v>
      </c>
      <c r="AP318" s="31">
        <f t="shared" si="183"/>
        <v>0</v>
      </c>
      <c r="AQ318" s="31">
        <f t="shared" si="184"/>
        <v>0</v>
      </c>
    </row>
    <row r="319" spans="8:43" x14ac:dyDescent="0.25">
      <c r="H319" s="15">
        <v>4.16</v>
      </c>
      <c r="I319" s="45">
        <f t="shared" si="164"/>
        <v>144543.9770745929</v>
      </c>
      <c r="J319" s="32">
        <f t="shared" si="175"/>
        <v>5.9046782590214377</v>
      </c>
      <c r="K319" s="32">
        <f t="shared" si="176"/>
        <v>-12.348822324175401</v>
      </c>
      <c r="L319" s="15">
        <f t="shared" si="140"/>
        <v>3.8729613733905581</v>
      </c>
      <c r="M319" s="15">
        <f t="shared" si="141"/>
        <v>-30.661605483836549</v>
      </c>
      <c r="N319" s="15">
        <f t="shared" si="142"/>
        <v>1.3080698136206457</v>
      </c>
      <c r="O319" s="15">
        <f t="shared" si="143"/>
        <v>-89.781810497268793</v>
      </c>
      <c r="P319" s="15">
        <f t="shared" si="144"/>
        <v>-48.385796591616355</v>
      </c>
      <c r="Q319" s="15">
        <f t="shared" si="145"/>
        <v>-5.4050956087471311</v>
      </c>
      <c r="R319" s="15">
        <f t="shared" si="146"/>
        <v>-3.870713452680348E-2</v>
      </c>
      <c r="S319" s="31">
        <f t="shared" si="177"/>
        <v>-125.84851158985248</v>
      </c>
      <c r="T319" s="31">
        <f t="shared" si="178"/>
        <v>-35.35557060025755</v>
      </c>
      <c r="U319" s="15">
        <f t="shared" si="147"/>
        <v>6500</v>
      </c>
      <c r="V319" s="15">
        <f t="shared" si="148"/>
        <v>-89.999808826001313</v>
      </c>
      <c r="W319" s="15">
        <f t="shared" si="149"/>
        <v>-109.5338761647684</v>
      </c>
      <c r="X319" s="15">
        <f t="shared" si="150"/>
        <v>89.762812770923944</v>
      </c>
      <c r="Y319" s="15">
        <f t="shared" si="151"/>
        <v>47.660651426515344</v>
      </c>
      <c r="Z319" s="15">
        <f t="shared" si="152"/>
        <v>-58.161444920091284</v>
      </c>
      <c r="AA319" s="15">
        <f t="shared" si="153"/>
        <v>-5.5550965952429205</v>
      </c>
      <c r="AB319" s="31">
        <f t="shared" si="179"/>
        <v>-58.398440975168654</v>
      </c>
      <c r="AC319" s="31">
        <f t="shared" si="180"/>
        <v>8.8299457993611359</v>
      </c>
      <c r="AD319" s="15">
        <f t="shared" si="154"/>
        <v>87.694911936310035</v>
      </c>
      <c r="AE319" s="15">
        <f t="shared" si="155"/>
        <v>27.911045448486476</v>
      </c>
      <c r="AF319" s="15">
        <f t="shared" si="156"/>
        <v>0.58538273807512953</v>
      </c>
      <c r="AG319" s="15">
        <f t="shared" si="157"/>
        <v>4.5334248991550456E-4</v>
      </c>
      <c r="AH319" s="15">
        <f t="shared" si="158"/>
        <v>-78.128663850342591</v>
      </c>
      <c r="AI319" s="15">
        <f t="shared" si="159"/>
        <v>-13.734696314255377</v>
      </c>
      <c r="AJ319" s="31">
        <f t="shared" si="181"/>
        <v>10.15163082404257</v>
      </c>
      <c r="AK319" s="31">
        <f t="shared" si="182"/>
        <v>14.176802476721015</v>
      </c>
      <c r="AL319" s="15">
        <f t="shared" si="160"/>
        <v>0</v>
      </c>
      <c r="AM319" s="15">
        <f t="shared" si="161"/>
        <v>0</v>
      </c>
      <c r="AN319" s="15">
        <f t="shared" si="162"/>
        <v>0</v>
      </c>
      <c r="AO319" s="15">
        <f t="shared" si="163"/>
        <v>0</v>
      </c>
      <c r="AP319" s="31">
        <f t="shared" si="183"/>
        <v>0</v>
      </c>
      <c r="AQ319" s="31">
        <f t="shared" si="184"/>
        <v>0</v>
      </c>
    </row>
    <row r="320" spans="8:43" x14ac:dyDescent="0.25">
      <c r="H320" s="15">
        <v>4.17</v>
      </c>
      <c r="I320" s="45">
        <f t="shared" si="164"/>
        <v>147910.83881682088</v>
      </c>
      <c r="J320" s="32">
        <f t="shared" si="175"/>
        <v>4.4131249810485613</v>
      </c>
      <c r="K320" s="32">
        <f t="shared" si="176"/>
        <v>-12.635009396556459</v>
      </c>
      <c r="L320" s="15">
        <f t="shared" si="140"/>
        <v>3.8729613733905581</v>
      </c>
      <c r="M320" s="15">
        <f t="shared" si="141"/>
        <v>-31.243505455538578</v>
      </c>
      <c r="N320" s="15">
        <f t="shared" si="142"/>
        <v>1.3609756848798953</v>
      </c>
      <c r="O320" s="15">
        <f t="shared" si="143"/>
        <v>-89.786777050319898</v>
      </c>
      <c r="P320" s="15">
        <f t="shared" si="144"/>
        <v>-48.585793757035475</v>
      </c>
      <c r="Q320" s="15">
        <f t="shared" si="145"/>
        <v>-5.5302247640981879</v>
      </c>
      <c r="R320" s="15">
        <f t="shared" si="146"/>
        <v>-4.0522860780861245E-2</v>
      </c>
      <c r="S320" s="31">
        <f t="shared" si="177"/>
        <v>-126.56050726995667</v>
      </c>
      <c r="T320" s="31">
        <f t="shared" si="178"/>
        <v>-35.50447762067148</v>
      </c>
      <c r="U320" s="15">
        <f t="shared" si="147"/>
        <v>6500</v>
      </c>
      <c r="V320" s="15">
        <f t="shared" si="148"/>
        <v>-89.999813177652811</v>
      </c>
      <c r="W320" s="15">
        <f t="shared" si="149"/>
        <v>-109.73387616476623</v>
      </c>
      <c r="X320" s="15">
        <f t="shared" si="150"/>
        <v>89.768211751819194</v>
      </c>
      <c r="Y320" s="15">
        <f t="shared" si="151"/>
        <v>47.86064807683475</v>
      </c>
      <c r="Z320" s="15">
        <f t="shared" si="152"/>
        <v>-58.749638661501471</v>
      </c>
      <c r="AA320" s="15">
        <f t="shared" si="153"/>
        <v>-5.7003581117393978</v>
      </c>
      <c r="AB320" s="31">
        <f t="shared" si="179"/>
        <v>-58.981240087335088</v>
      </c>
      <c r="AC320" s="31">
        <f t="shared" si="180"/>
        <v>8.684680933186236</v>
      </c>
      <c r="AD320" s="15">
        <f t="shared" si="154"/>
        <v>87.747327462805572</v>
      </c>
      <c r="AE320" s="15">
        <f t="shared" si="155"/>
        <v>28.110729235547179</v>
      </c>
      <c r="AF320" s="15">
        <f t="shared" si="156"/>
        <v>0.59901707141334126</v>
      </c>
      <c r="AG320" s="15">
        <f t="shared" si="157"/>
        <v>4.7470669560279165E-4</v>
      </c>
      <c r="AH320" s="15">
        <f t="shared" si="158"/>
        <v>-78.391472195878592</v>
      </c>
      <c r="AI320" s="15">
        <f t="shared" si="159"/>
        <v>-13.926416651313996</v>
      </c>
      <c r="AJ320" s="31">
        <f t="shared" si="181"/>
        <v>9.9548723383403228</v>
      </c>
      <c r="AK320" s="31">
        <f t="shared" si="182"/>
        <v>14.184787290928785</v>
      </c>
      <c r="AL320" s="15">
        <f t="shared" si="160"/>
        <v>0</v>
      </c>
      <c r="AM320" s="15">
        <f t="shared" si="161"/>
        <v>0</v>
      </c>
      <c r="AN320" s="15">
        <f t="shared" si="162"/>
        <v>0</v>
      </c>
      <c r="AO320" s="15">
        <f t="shared" si="163"/>
        <v>0</v>
      </c>
      <c r="AP320" s="31">
        <f t="shared" si="183"/>
        <v>0</v>
      </c>
      <c r="AQ320" s="31">
        <f t="shared" si="184"/>
        <v>0</v>
      </c>
    </row>
    <row r="321" spans="8:43" x14ac:dyDescent="0.25">
      <c r="H321" s="15">
        <v>4.1800000000000104</v>
      </c>
      <c r="I321" s="45">
        <f t="shared" si="164"/>
        <v>151356.12484362445</v>
      </c>
      <c r="J321" s="32">
        <f t="shared" si="175"/>
        <v>2.9233308373648441</v>
      </c>
      <c r="K321" s="32">
        <f t="shared" si="176"/>
        <v>-12.921624322884487</v>
      </c>
      <c r="L321" s="15">
        <f t="shared" si="140"/>
        <v>3.8729613733905581</v>
      </c>
      <c r="M321" s="15">
        <f t="shared" si="141"/>
        <v>-31.831627355238691</v>
      </c>
      <c r="N321" s="15">
        <f t="shared" si="142"/>
        <v>1.4156927177028245</v>
      </c>
      <c r="O321" s="15">
        <f t="shared" si="143"/>
        <v>-89.791630553917557</v>
      </c>
      <c r="P321" s="15">
        <f t="shared" si="144"/>
        <v>-48.785791050030213</v>
      </c>
      <c r="Q321" s="15">
        <f t="shared" si="145"/>
        <v>-5.6582137854656951</v>
      </c>
      <c r="R321" s="15">
        <f t="shared" si="146"/>
        <v>-4.2423346289006472E-2</v>
      </c>
      <c r="S321" s="31">
        <f t="shared" si="177"/>
        <v>-127.28147169462194</v>
      </c>
      <c r="T321" s="31">
        <f t="shared" si="178"/>
        <v>-35.651658366351434</v>
      </c>
      <c r="U321" s="15">
        <f t="shared" si="147"/>
        <v>6500</v>
      </c>
      <c r="V321" s="15">
        <f t="shared" si="148"/>
        <v>-89.999817430248612</v>
      </c>
      <c r="W321" s="15">
        <f t="shared" si="149"/>
        <v>-109.93387616476434</v>
      </c>
      <c r="X321" s="15">
        <f t="shared" si="150"/>
        <v>89.773487840882765</v>
      </c>
      <c r="Y321" s="15">
        <f t="shared" si="151"/>
        <v>48.060644877912409</v>
      </c>
      <c r="Z321" s="15">
        <f t="shared" si="152"/>
        <v>-59.331612559161997</v>
      </c>
      <c r="AA321" s="15">
        <f t="shared" si="153"/>
        <v>-5.8474312411477936</v>
      </c>
      <c r="AB321" s="31">
        <f t="shared" si="179"/>
        <v>-59.557942148527843</v>
      </c>
      <c r="AC321" s="31">
        <f t="shared" si="180"/>
        <v>8.5376046048573873</v>
      </c>
      <c r="AD321" s="15">
        <f t="shared" si="154"/>
        <v>87.798553511800534</v>
      </c>
      <c r="AE321" s="15">
        <f t="shared" si="155"/>
        <v>28.310427233040571</v>
      </c>
      <c r="AF321" s="15">
        <f t="shared" si="156"/>
        <v>0.61296891892849836</v>
      </c>
      <c r="AG321" s="15">
        <f t="shared" si="157"/>
        <v>4.9707765264027641E-4</v>
      </c>
      <c r="AH321" s="15">
        <f t="shared" si="158"/>
        <v>-78.648777750214407</v>
      </c>
      <c r="AI321" s="15">
        <f t="shared" si="159"/>
        <v>-14.118494872083648</v>
      </c>
      <c r="AJ321" s="31">
        <f t="shared" si="181"/>
        <v>9.7627446805146292</v>
      </c>
      <c r="AK321" s="31">
        <f t="shared" si="182"/>
        <v>14.192429438609562</v>
      </c>
      <c r="AL321" s="15">
        <f t="shared" si="160"/>
        <v>0</v>
      </c>
      <c r="AM321" s="15">
        <f t="shared" si="161"/>
        <v>0</v>
      </c>
      <c r="AN321" s="15">
        <f t="shared" si="162"/>
        <v>0</v>
      </c>
      <c r="AO321" s="15">
        <f t="shared" si="163"/>
        <v>0</v>
      </c>
      <c r="AP321" s="31">
        <f t="shared" si="183"/>
        <v>0</v>
      </c>
      <c r="AQ321" s="31">
        <f t="shared" si="184"/>
        <v>0</v>
      </c>
    </row>
    <row r="322" spans="8:43" x14ac:dyDescent="0.25">
      <c r="H322" s="15">
        <v>4.1900000000000004</v>
      </c>
      <c r="I322" s="45">
        <f t="shared" si="164"/>
        <v>154881.66189124854</v>
      </c>
      <c r="J322" s="32">
        <f t="shared" si="175"/>
        <v>1.4355283611004097</v>
      </c>
      <c r="K322" s="32">
        <f t="shared" si="176"/>
        <v>-13.208579754431112</v>
      </c>
      <c r="L322" s="15">
        <f t="shared" si="140"/>
        <v>3.8729613733905581</v>
      </c>
      <c r="M322" s="15">
        <f t="shared" si="141"/>
        <v>-32.425787257600192</v>
      </c>
      <c r="N322" s="15">
        <f t="shared" si="142"/>
        <v>1.4722590697249294</v>
      </c>
      <c r="O322" s="15">
        <f t="shared" si="143"/>
        <v>-89.796373581174819</v>
      </c>
      <c r="P322" s="15">
        <f t="shared" si="144"/>
        <v>-48.985788464858317</v>
      </c>
      <c r="Q322" s="15">
        <f t="shared" si="145"/>
        <v>-5.7891254221974782</v>
      </c>
      <c r="R322" s="15">
        <f t="shared" si="146"/>
        <v>-4.441250794792817E-2</v>
      </c>
      <c r="S322" s="31">
        <f t="shared" si="177"/>
        <v>-128.0112862609725</v>
      </c>
      <c r="T322" s="31">
        <f t="shared" si="178"/>
        <v>-35.797078590816348</v>
      </c>
      <c r="U322" s="15">
        <f t="shared" si="147"/>
        <v>6500</v>
      </c>
      <c r="V322" s="15">
        <f t="shared" si="148"/>
        <v>-89.999821586043524</v>
      </c>
      <c r="W322" s="15">
        <f t="shared" si="149"/>
        <v>-110.1338761647622</v>
      </c>
      <c r="X322" s="15">
        <f t="shared" si="150"/>
        <v>89.778643835208754</v>
      </c>
      <c r="Y322" s="15">
        <f t="shared" si="151"/>
        <v>48.260641822962725</v>
      </c>
      <c r="Z322" s="15">
        <f t="shared" si="152"/>
        <v>-59.907194808075388</v>
      </c>
      <c r="AA322" s="15">
        <f t="shared" si="153"/>
        <v>-5.9962771419028584</v>
      </c>
      <c r="AB322" s="31">
        <f t="shared" si="179"/>
        <v>-60.128372558910158</v>
      </c>
      <c r="AC322" s="31">
        <f t="shared" si="180"/>
        <v>8.3887556491547812</v>
      </c>
      <c r="AD322" s="15">
        <f t="shared" si="154"/>
        <v>87.848616916257185</v>
      </c>
      <c r="AE322" s="15">
        <f t="shared" si="155"/>
        <v>28.510138803279776</v>
      </c>
      <c r="AF322" s="15">
        <f t="shared" si="156"/>
        <v>0.62724567145278654</v>
      </c>
      <c r="AG322" s="15">
        <f t="shared" si="157"/>
        <v>5.2050279689499395E-4</v>
      </c>
      <c r="AH322" s="15">
        <f t="shared" si="158"/>
        <v>-78.900675406726904</v>
      </c>
      <c r="AI322" s="15">
        <f t="shared" si="159"/>
        <v>-14.310916118846217</v>
      </c>
      <c r="AJ322" s="31">
        <f t="shared" si="181"/>
        <v>9.5751871809830646</v>
      </c>
      <c r="AK322" s="31">
        <f t="shared" si="182"/>
        <v>14.199743187230455</v>
      </c>
      <c r="AL322" s="15">
        <f t="shared" si="160"/>
        <v>0</v>
      </c>
      <c r="AM322" s="15">
        <f t="shared" si="161"/>
        <v>0</v>
      </c>
      <c r="AN322" s="15">
        <f t="shared" si="162"/>
        <v>0</v>
      </c>
      <c r="AO322" s="15">
        <f t="shared" si="163"/>
        <v>0</v>
      </c>
      <c r="AP322" s="31">
        <f t="shared" si="183"/>
        <v>0</v>
      </c>
      <c r="AQ322" s="31">
        <f t="shared" si="184"/>
        <v>0</v>
      </c>
    </row>
    <row r="323" spans="8:43" x14ac:dyDescent="0.25">
      <c r="H323" s="15">
        <v>4.2</v>
      </c>
      <c r="I323" s="45">
        <f t="shared" si="164"/>
        <v>158489.31924611147</v>
      </c>
      <c r="J323" s="32">
        <f t="shared" si="175"/>
        <v>-5.005127112184482E-2</v>
      </c>
      <c r="K323" s="32">
        <f t="shared" si="176"/>
        <v>-13.495789274340506</v>
      </c>
      <c r="L323" s="15">
        <f t="shared" ref="L323:L386" si="185">A_PS</f>
        <v>3.8729613733905581</v>
      </c>
      <c r="M323" s="15">
        <f t="shared" ref="M323:M386" si="186">-180/PI()*ATAN($I323/z_RHP/1000)</f>
        <v>-33.025789017834974</v>
      </c>
      <c r="N323" s="15">
        <f t="shared" ref="N323:N386" si="187">20*LOG(SQRT(($I323/z_RHP/1000)^2+1))</f>
        <v>1.5307120952069364</v>
      </c>
      <c r="O323" s="15">
        <f t="shared" ref="O323:O386" si="188">-180/PI()*ATAN($I323/p_small)</f>
        <v>-89.801008646647347</v>
      </c>
      <c r="P323" s="15">
        <f t="shared" ref="P323:P386" si="189">-20*LOG(SQRT(($I323/p_small)^2+1))</f>
        <v>-49.18578599603704</v>
      </c>
      <c r="Q323" s="15">
        <f t="shared" ref="Q323:Q386" si="190">-180/PI()*ATAN($I323/p_large/1000)</f>
        <v>-5.9230236149955502</v>
      </c>
      <c r="R323" s="15">
        <f t="shared" ref="R323:R386" si="191">-20*LOG(SQRT(($I323/p_large/1000)^2+1))</f>
        <v>-4.649443987162602E-2</v>
      </c>
      <c r="S323" s="31">
        <f t="shared" si="177"/>
        <v>-128.74982127947786</v>
      </c>
      <c r="T323" s="31">
        <f t="shared" si="178"/>
        <v>-35.940705028436767</v>
      </c>
      <c r="U323" s="15">
        <f t="shared" ref="U323:U386" si="192">A_EA</f>
        <v>6500</v>
      </c>
      <c r="V323" s="15">
        <f t="shared" ref="V323:V386" si="193">-180/PI()*ATAN($I323/p_EA)</f>
        <v>-89.999825647240996</v>
      </c>
      <c r="W323" s="15">
        <f t="shared" ref="W323:W386" si="194">-20*LOG(SQRT(($I323/p_EA)^2+1))</f>
        <v>-110.33387616476027</v>
      </c>
      <c r="X323" s="15">
        <f t="shared" ref="X323:X386" si="195">180/PI()*ATAN($I323/z_comp)</f>
        <v>89.783682468239391</v>
      </c>
      <c r="Y323" s="15">
        <f t="shared" ref="Y323:Y386" si="196">20*LOG(SQRT(($I323/z_comp)^2+1))</f>
        <v>48.46063890550657</v>
      </c>
      <c r="Z323" s="15">
        <f t="shared" ref="Z323:Z386" si="197">IF(p_comp="",0,-180/PI()*ATAN($I323/p_comp/1000))</f>
        <v>-60.476225863345476</v>
      </c>
      <c r="AA323" s="15">
        <f t="shared" ref="AA323:AA386" si="198">IF(p_comp="",0,-20*LOG(SQRT(($I323/p_comp/1000)^2+1)))</f>
        <v>-6.1468563896649062</v>
      </c>
      <c r="AB323" s="31">
        <f t="shared" si="179"/>
        <v>-60.692369042347082</v>
      </c>
      <c r="AC323" s="31">
        <f t="shared" si="180"/>
        <v>8.2381734839385086</v>
      </c>
      <c r="AD323" s="15">
        <f t="shared" ref="AD323:AD386" si="199">IF(z_esr_1="",0,180/PI()*ATAN($I323/z_esr_1/1000))</f>
        <v>87.897543914503146</v>
      </c>
      <c r="AE323" s="15">
        <f t="shared" ref="AE323:AE386" si="200">IF(z_esr_1="",0,20*LOG(SQRT(($I323/z_esr_1/1000)^2+1)))</f>
        <v>28.709863337113845</v>
      </c>
      <c r="AF323" s="15">
        <f t="shared" ref="AF323:AF386" si="201">180/PI()*ATAN($I323/z_esr_2/1000)</f>
        <v>0.6418548916139194</v>
      </c>
      <c r="AG323" s="15">
        <f t="shared" ref="AG323:AG386" si="202">20*LOG(SQRT(($I323/z_esr_2/1000)^2+1))</f>
        <v>5.4503179876344337E-4</v>
      </c>
      <c r="AH323" s="15">
        <f t="shared" ref="AH323:AH386" si="203">IF(p_esr="",0,-180/PI()*ATAN($I323/p_esr/1000))</f>
        <v>-79.14725975541397</v>
      </c>
      <c r="AI323" s="15">
        <f t="shared" ref="AI323:AI386" si="204">IF(p_esr="",0,-20*LOG(SQRT(($I323/p_esr/1000)^2+1)))</f>
        <v>-14.503666098754859</v>
      </c>
      <c r="AJ323" s="31">
        <f t="shared" si="181"/>
        <v>9.3921390507030935</v>
      </c>
      <c r="AK323" s="31">
        <f t="shared" si="182"/>
        <v>14.206742270157751</v>
      </c>
      <c r="AL323" s="15">
        <f t="shared" ref="AL323:AL386" si="205">IF(z_ff="",0,180/PI()*ATAN($I323/z_ff/1000))</f>
        <v>0</v>
      </c>
      <c r="AM323" s="15">
        <f t="shared" ref="AM323:AM386" si="206">IF(z_ff="",0,20*LOG(SQRT(($I323/z_ff/1000)^2+1)))</f>
        <v>0</v>
      </c>
      <c r="AN323" s="15">
        <f t="shared" ref="AN323:AN386" si="207">IF(p_ff="",0,-180/PI()*ATAN($I323/p_ff/1000))</f>
        <v>0</v>
      </c>
      <c r="AO323" s="15">
        <f t="shared" ref="AO323:AO386" si="208">IF(p_ff="",0,-20*LOG(SQRT(($I323/p_ff/1000)^2+1)))</f>
        <v>0</v>
      </c>
      <c r="AP323" s="31">
        <f t="shared" si="183"/>
        <v>0</v>
      </c>
      <c r="AQ323" s="31">
        <f t="shared" si="184"/>
        <v>0</v>
      </c>
    </row>
    <row r="324" spans="8:43" x14ac:dyDescent="0.25">
      <c r="H324" s="15">
        <v>4.2100000000000097</v>
      </c>
      <c r="I324" s="45">
        <f t="shared" ref="I324:I387" si="209">10*10^H324</f>
        <v>162181.00973589683</v>
      </c>
      <c r="J324" s="32">
        <f t="shared" si="175"/>
        <v>-1.533178177692335</v>
      </c>
      <c r="K324" s="32">
        <f t="shared" si="176"/>
        <v>-13.783167610237596</v>
      </c>
      <c r="L324" s="15">
        <f t="shared" si="185"/>
        <v>3.8729613733905581</v>
      </c>
      <c r="M324" s="15">
        <f t="shared" si="186"/>
        <v>-33.631424367586803</v>
      </c>
      <c r="N324" s="15">
        <f t="shared" si="187"/>
        <v>1.5910882315167831</v>
      </c>
      <c r="O324" s="15">
        <f t="shared" si="188"/>
        <v>-89.805538207665435</v>
      </c>
      <c r="P324" s="15">
        <f t="shared" si="189"/>
        <v>-49.385783638329926</v>
      </c>
      <c r="Q324" s="15">
        <f t="shared" si="190"/>
        <v>-6.0599735050779326</v>
      </c>
      <c r="R324" s="15">
        <f t="shared" si="191"/>
        <v>-4.8673421048073345E-2</v>
      </c>
      <c r="S324" s="31">
        <f t="shared" si="177"/>
        <v>-129.49693608033016</v>
      </c>
      <c r="T324" s="31">
        <f t="shared" si="178"/>
        <v>-36.082505515596253</v>
      </c>
      <c r="U324" s="15">
        <f t="shared" si="192"/>
        <v>6500</v>
      </c>
      <c r="V324" s="15">
        <f t="shared" si="193"/>
        <v>-89.999829615994315</v>
      </c>
      <c r="W324" s="15">
        <f t="shared" si="194"/>
        <v>-110.53387616475867</v>
      </c>
      <c r="X324" s="15">
        <f t="shared" si="195"/>
        <v>89.788606411212712</v>
      </c>
      <c r="Y324" s="15">
        <f t="shared" si="196"/>
        <v>48.660636119355956</v>
      </c>
      <c r="Z324" s="15">
        <f t="shared" si="197"/>
        <v>-61.038558389831636</v>
      </c>
      <c r="AA324" s="15">
        <f t="shared" si="198"/>
        <v>-6.2991290846275563</v>
      </c>
      <c r="AB324" s="31">
        <f t="shared" si="179"/>
        <v>-61.249781594613239</v>
      </c>
      <c r="AC324" s="31">
        <f t="shared" si="180"/>
        <v>8.0858980028268483</v>
      </c>
      <c r="AD324" s="15">
        <f t="shared" si="199"/>
        <v>87.945360162693603</v>
      </c>
      <c r="AE324" s="15">
        <f t="shared" si="200"/>
        <v>28.909600252656396</v>
      </c>
      <c r="AF324" s="15">
        <f t="shared" si="201"/>
        <v>0.6568043178109797</v>
      </c>
      <c r="AG324" s="15">
        <f t="shared" si="202"/>
        <v>5.7071666838696261E-4</v>
      </c>
      <c r="AH324" s="15">
        <f t="shared" si="203"/>
        <v>-79.388624983253521</v>
      </c>
      <c r="AI324" s="15">
        <f t="shared" si="204"/>
        <v>-14.696731066792976</v>
      </c>
      <c r="AJ324" s="31">
        <f t="shared" si="181"/>
        <v>9.2135394972510625</v>
      </c>
      <c r="AK324" s="31">
        <f t="shared" si="182"/>
        <v>14.213439902531809</v>
      </c>
      <c r="AL324" s="15">
        <f t="shared" si="205"/>
        <v>0</v>
      </c>
      <c r="AM324" s="15">
        <f t="shared" si="206"/>
        <v>0</v>
      </c>
      <c r="AN324" s="15">
        <f t="shared" si="207"/>
        <v>0</v>
      </c>
      <c r="AO324" s="15">
        <f t="shared" si="208"/>
        <v>0</v>
      </c>
      <c r="AP324" s="31">
        <f t="shared" si="183"/>
        <v>0</v>
      </c>
      <c r="AQ324" s="31">
        <f t="shared" si="184"/>
        <v>0</v>
      </c>
    </row>
    <row r="325" spans="8:43" x14ac:dyDescent="0.25">
      <c r="H325" s="15">
        <v>4.2200000000000104</v>
      </c>
      <c r="I325" s="45">
        <f t="shared" si="209"/>
        <v>165958.69074376026</v>
      </c>
      <c r="J325" s="32">
        <f t="shared" si="175"/>
        <v>-3.0136237265568724</v>
      </c>
      <c r="K325" s="32">
        <f t="shared" si="176"/>
        <v>-14.070630845043839</v>
      </c>
      <c r="L325" s="15">
        <f t="shared" si="185"/>
        <v>3.8729613733905581</v>
      </c>
      <c r="M325" s="15">
        <f t="shared" si="186"/>
        <v>-34.242473063958592</v>
      </c>
      <c r="N325" s="15">
        <f t="shared" si="187"/>
        <v>1.6534228846904455</v>
      </c>
      <c r="O325" s="15">
        <f t="shared" si="188"/>
        <v>-89.809964665635647</v>
      </c>
      <c r="P325" s="15">
        <f t="shared" si="189"/>
        <v>-49.585781386735746</v>
      </c>
      <c r="Q325" s="15">
        <f t="shared" si="190"/>
        <v>-6.2000414423138439</v>
      </c>
      <c r="R325" s="15">
        <f t="shared" si="191"/>
        <v>-5.0953923292067764E-2</v>
      </c>
      <c r="S325" s="31">
        <f t="shared" si="177"/>
        <v>-130.25247917190808</v>
      </c>
      <c r="T325" s="31">
        <f t="shared" si="178"/>
        <v>-36.222449113072408</v>
      </c>
      <c r="U325" s="15">
        <f t="shared" si="192"/>
        <v>6500</v>
      </c>
      <c r="V325" s="15">
        <f t="shared" si="193"/>
        <v>-89.999833494407795</v>
      </c>
      <c r="W325" s="15">
        <f t="shared" si="194"/>
        <v>-110.73387616475694</v>
      </c>
      <c r="X325" s="15">
        <f t="shared" si="195"/>
        <v>89.793418274577348</v>
      </c>
      <c r="Y325" s="15">
        <f t="shared" si="196"/>
        <v>48.860633458600944</v>
      </c>
      <c r="Z325" s="15">
        <f t="shared" si="197"/>
        <v>-61.594057167948066</v>
      </c>
      <c r="AA325" s="15">
        <f t="shared" si="198"/>
        <v>-6.4530549557550501</v>
      </c>
      <c r="AB325" s="31">
        <f t="shared" si="179"/>
        <v>-61.800472387778512</v>
      </c>
      <c r="AC325" s="31">
        <f t="shared" si="180"/>
        <v>7.931969470946072</v>
      </c>
      <c r="AD325" s="15">
        <f t="shared" si="199"/>
        <v>87.992090747061354</v>
      </c>
      <c r="AE325" s="15">
        <f t="shared" si="200"/>
        <v>29.10934899407178</v>
      </c>
      <c r="AF325" s="15">
        <f t="shared" si="201"/>
        <v>0.67210186828115159</v>
      </c>
      <c r="AG325" s="15">
        <f t="shared" si="202"/>
        <v>5.9761186581035837E-4</v>
      </c>
      <c r="AH325" s="15">
        <f t="shared" si="203"/>
        <v>-79.624864782212782</v>
      </c>
      <c r="AI325" s="15">
        <f t="shared" si="204"/>
        <v>-14.890097808855094</v>
      </c>
      <c r="AJ325" s="31">
        <f t="shared" si="181"/>
        <v>9.0393278331297182</v>
      </c>
      <c r="AK325" s="31">
        <f t="shared" si="182"/>
        <v>14.219848797082497</v>
      </c>
      <c r="AL325" s="15">
        <f t="shared" si="205"/>
        <v>0</v>
      </c>
      <c r="AM325" s="15">
        <f t="shared" si="206"/>
        <v>0</v>
      </c>
      <c r="AN325" s="15">
        <f t="shared" si="207"/>
        <v>0</v>
      </c>
      <c r="AO325" s="15">
        <f t="shared" si="208"/>
        <v>0</v>
      </c>
      <c r="AP325" s="31">
        <f t="shared" si="183"/>
        <v>0</v>
      </c>
      <c r="AQ325" s="31">
        <f t="shared" si="184"/>
        <v>0</v>
      </c>
    </row>
    <row r="326" spans="8:43" x14ac:dyDescent="0.25">
      <c r="H326" s="15">
        <v>4.2300000000000102</v>
      </c>
      <c r="I326" s="45">
        <f t="shared" si="209"/>
        <v>169824.36524617841</v>
      </c>
      <c r="J326" s="32">
        <f t="shared" si="175"/>
        <v>-4.491160509757897</v>
      </c>
      <c r="K326" s="32">
        <f t="shared" si="176"/>
        <v>-14.358096624985865</v>
      </c>
      <c r="L326" s="15">
        <f t="shared" si="185"/>
        <v>3.8729613733905581</v>
      </c>
      <c r="M326" s="15">
        <f t="shared" si="186"/>
        <v>-34.858703093248145</v>
      </c>
      <c r="N326" s="15">
        <f t="shared" si="187"/>
        <v>1.7177503147244826</v>
      </c>
      <c r="O326" s="15">
        <f t="shared" si="188"/>
        <v>-89.814290367313134</v>
      </c>
      <c r="P326" s="15">
        <f t="shared" si="189"/>
        <v>-49.785779236478888</v>
      </c>
      <c r="Q326" s="15">
        <f t="shared" si="190"/>
        <v>-6.3432949922295556</v>
      </c>
      <c r="R326" s="15">
        <f t="shared" si="191"/>
        <v>-5.3340619502373038E-2</v>
      </c>
      <c r="S326" s="31">
        <f t="shared" si="177"/>
        <v>-131.01628845279083</v>
      </c>
      <c r="T326" s="31">
        <f t="shared" si="178"/>
        <v>-36.360506228991817</v>
      </c>
      <c r="U326" s="15">
        <f t="shared" si="192"/>
        <v>6500</v>
      </c>
      <c r="V326" s="15">
        <f t="shared" si="193"/>
        <v>-89.999837284537804</v>
      </c>
      <c r="W326" s="15">
        <f t="shared" si="194"/>
        <v>-110.93387616475528</v>
      </c>
      <c r="X326" s="15">
        <f t="shared" si="195"/>
        <v>89.798120609375275</v>
      </c>
      <c r="Y326" s="15">
        <f t="shared" si="196"/>
        <v>49.060630917598075</v>
      </c>
      <c r="Z326" s="15">
        <f t="shared" si="197"/>
        <v>-62.142598958479248</v>
      </c>
      <c r="AA326" s="15">
        <f t="shared" si="198"/>
        <v>-6.6085934615363566</v>
      </c>
      <c r="AB326" s="31">
        <f t="shared" si="179"/>
        <v>-62.344315633641777</v>
      </c>
      <c r="AC326" s="31">
        <f t="shared" si="180"/>
        <v>7.7764284241635568</v>
      </c>
      <c r="AD326" s="15">
        <f t="shared" si="199"/>
        <v>88.037760195954505</v>
      </c>
      <c r="AE326" s="15">
        <f t="shared" si="200"/>
        <v>29.309109030415733</v>
      </c>
      <c r="AF326" s="15">
        <f t="shared" si="201"/>
        <v>0.68775564525928945</v>
      </c>
      <c r="AG326" s="15">
        <f t="shared" si="202"/>
        <v>6.2577441632588268E-4</v>
      </c>
      <c r="AH326" s="15">
        <f t="shared" si="203"/>
        <v>-79.85607226453908</v>
      </c>
      <c r="AI326" s="15">
        <f t="shared" si="204"/>
        <v>-15.083753624989662</v>
      </c>
      <c r="AJ326" s="31">
        <f t="shared" si="181"/>
        <v>8.8694435766747119</v>
      </c>
      <c r="AK326" s="31">
        <f t="shared" si="182"/>
        <v>14.225981179842396</v>
      </c>
      <c r="AL326" s="15">
        <f t="shared" si="205"/>
        <v>0</v>
      </c>
      <c r="AM326" s="15">
        <f t="shared" si="206"/>
        <v>0</v>
      </c>
      <c r="AN326" s="15">
        <f t="shared" si="207"/>
        <v>0</v>
      </c>
      <c r="AO326" s="15">
        <f t="shared" si="208"/>
        <v>0</v>
      </c>
      <c r="AP326" s="31">
        <f t="shared" si="183"/>
        <v>0</v>
      </c>
      <c r="AQ326" s="31">
        <f t="shared" si="184"/>
        <v>0</v>
      </c>
    </row>
    <row r="327" spans="8:43" x14ac:dyDescent="0.25">
      <c r="H327" s="15">
        <v>4.24000000000001</v>
      </c>
      <c r="I327" s="45">
        <f t="shared" si="209"/>
        <v>173780.08287494161</v>
      </c>
      <c r="J327" s="32">
        <f t="shared" si="175"/>
        <v>-5.9655623416699299</v>
      </c>
      <c r="K327" s="32">
        <f t="shared" si="176"/>
        <v>-14.645484363788938</v>
      </c>
      <c r="L327" s="15">
        <f t="shared" si="185"/>
        <v>3.8729613733905581</v>
      </c>
      <c r="M327" s="15">
        <f t="shared" si="186"/>
        <v>-35.479870930563848</v>
      </c>
      <c r="N327" s="15">
        <f t="shared" si="187"/>
        <v>1.784103521289901</v>
      </c>
      <c r="O327" s="15">
        <f t="shared" si="188"/>
        <v>-89.818517606044793</v>
      </c>
      <c r="P327" s="15">
        <f t="shared" si="189"/>
        <v>-49.985777182998532</v>
      </c>
      <c r="Q327" s="15">
        <f t="shared" si="190"/>
        <v>-6.48980294177397</v>
      </c>
      <c r="R327" s="15">
        <f t="shared" si="191"/>
        <v>-5.5838392231025012E-2</v>
      </c>
      <c r="S327" s="31">
        <f t="shared" si="177"/>
        <v>-131.7881914783826</v>
      </c>
      <c r="T327" s="31">
        <f t="shared" si="178"/>
        <v>-36.49664874167469</v>
      </c>
      <c r="U327" s="15">
        <f t="shared" si="192"/>
        <v>6500</v>
      </c>
      <c r="V327" s="15">
        <f t="shared" si="193"/>
        <v>-89.999840988393913</v>
      </c>
      <c r="W327" s="15">
        <f t="shared" si="194"/>
        <v>-111.1338761647537</v>
      </c>
      <c r="X327" s="15">
        <f t="shared" si="195"/>
        <v>89.802715908593129</v>
      </c>
      <c r="Y327" s="15">
        <f t="shared" si="196"/>
        <v>49.260628490957799</v>
      </c>
      <c r="Z327" s="15">
        <f t="shared" si="197"/>
        <v>-62.684072329411286</v>
      </c>
      <c r="AA327" s="15">
        <f t="shared" si="198"/>
        <v>-6.7657038868948565</v>
      </c>
      <c r="AB327" s="31">
        <f t="shared" si="179"/>
        <v>-62.881197409212071</v>
      </c>
      <c r="AC327" s="31">
        <f t="shared" si="180"/>
        <v>7.6193155721663555</v>
      </c>
      <c r="AD327" s="15">
        <f t="shared" si="199"/>
        <v>88.082392491661651</v>
      </c>
      <c r="AE327" s="15">
        <f t="shared" si="200"/>
        <v>29.508879854525464</v>
      </c>
      <c r="AF327" s="15">
        <f t="shared" si="201"/>
        <v>0.70377393923214249</v>
      </c>
      <c r="AG327" s="15">
        <f t="shared" si="202"/>
        <v>6.5526403121755937E-4</v>
      </c>
      <c r="AH327" s="15">
        <f t="shared" si="203"/>
        <v>-80.082339884969045</v>
      </c>
      <c r="AI327" s="15">
        <f t="shared" si="204"/>
        <v>-15.277686312837286</v>
      </c>
      <c r="AJ327" s="31">
        <f t="shared" si="181"/>
        <v>8.7038265459247413</v>
      </c>
      <c r="AK327" s="31">
        <f t="shared" si="182"/>
        <v>14.231848805719395</v>
      </c>
      <c r="AL327" s="15">
        <f t="shared" si="205"/>
        <v>0</v>
      </c>
      <c r="AM327" s="15">
        <f t="shared" si="206"/>
        <v>0</v>
      </c>
      <c r="AN327" s="15">
        <f t="shared" si="207"/>
        <v>0</v>
      </c>
      <c r="AO327" s="15">
        <f t="shared" si="208"/>
        <v>0</v>
      </c>
      <c r="AP327" s="31">
        <f t="shared" si="183"/>
        <v>0</v>
      </c>
      <c r="AQ327" s="31">
        <f t="shared" si="184"/>
        <v>0</v>
      </c>
    </row>
    <row r="328" spans="8:43" x14ac:dyDescent="0.25">
      <c r="H328" s="15">
        <v>4.2500000000000098</v>
      </c>
      <c r="I328" s="45">
        <f t="shared" si="209"/>
        <v>177827.94100389644</v>
      </c>
      <c r="J328" s="32">
        <f t="shared" si="175"/>
        <v>-7.4366042843314943</v>
      </c>
      <c r="K328" s="32">
        <f t="shared" si="176"/>
        <v>-14.932715442072336</v>
      </c>
      <c r="L328" s="15">
        <f t="shared" si="185"/>
        <v>3.8729613733905581</v>
      </c>
      <c r="M328" s="15">
        <f t="shared" si="186"/>
        <v>-36.105721856083903</v>
      </c>
      <c r="N328" s="15">
        <f t="shared" si="187"/>
        <v>1.8525141305900819</v>
      </c>
      <c r="O328" s="15">
        <f t="shared" si="188"/>
        <v>-89.822648622984403</v>
      </c>
      <c r="P328" s="15">
        <f t="shared" si="189"/>
        <v>-50.185775221939124</v>
      </c>
      <c r="Q328" s="15">
        <f t="shared" si="190"/>
        <v>-6.639635303729281</v>
      </c>
      <c r="R328" s="15">
        <f t="shared" si="191"/>
        <v>-5.8452342572602907E-2</v>
      </c>
      <c r="S328" s="31">
        <f t="shared" si="177"/>
        <v>-132.5680057827976</v>
      </c>
      <c r="T328" s="31">
        <f t="shared" si="178"/>
        <v>-36.630850121656678</v>
      </c>
      <c r="U328" s="15">
        <f t="shared" si="192"/>
        <v>6500</v>
      </c>
      <c r="V328" s="15">
        <f t="shared" si="193"/>
        <v>-89.999844607939963</v>
      </c>
      <c r="W328" s="15">
        <f t="shared" si="194"/>
        <v>-111.3338761647522</v>
      </c>
      <c r="X328" s="15">
        <f t="shared" si="195"/>
        <v>89.807206608482744</v>
      </c>
      <c r="Y328" s="15">
        <f t="shared" si="196"/>
        <v>49.460626173533065</v>
      </c>
      <c r="Z328" s="15">
        <f t="shared" si="197"/>
        <v>-63.218377447887093</v>
      </c>
      <c r="AA328" s="15">
        <f t="shared" si="198"/>
        <v>-6.9243454359489531</v>
      </c>
      <c r="AB328" s="31">
        <f t="shared" si="179"/>
        <v>-63.411015447344312</v>
      </c>
      <c r="AC328" s="31">
        <f t="shared" si="180"/>
        <v>7.4606717056890277</v>
      </c>
      <c r="AD328" s="15">
        <f t="shared" si="199"/>
        <v>88.126011082026167</v>
      </c>
      <c r="AE328" s="15">
        <f t="shared" si="200"/>
        <v>29.708660981959447</v>
      </c>
      <c r="AF328" s="15">
        <f t="shared" si="201"/>
        <v>0.72016523328946935</v>
      </c>
      <c r="AG328" s="15">
        <f t="shared" si="202"/>
        <v>6.8614323422490819E-4</v>
      </c>
      <c r="AH328" s="15">
        <f t="shared" si="203"/>
        <v>-80.303759369505215</v>
      </c>
      <c r="AI328" s="15">
        <f t="shared" si="204"/>
        <v>-15.471884151298358</v>
      </c>
      <c r="AJ328" s="31">
        <f t="shared" si="181"/>
        <v>8.542416945810416</v>
      </c>
      <c r="AK328" s="31">
        <f t="shared" si="182"/>
        <v>14.237462973895315</v>
      </c>
      <c r="AL328" s="15">
        <f t="shared" si="205"/>
        <v>0</v>
      </c>
      <c r="AM328" s="15">
        <f t="shared" si="206"/>
        <v>0</v>
      </c>
      <c r="AN328" s="15">
        <f t="shared" si="207"/>
        <v>0</v>
      </c>
      <c r="AO328" s="15">
        <f t="shared" si="208"/>
        <v>0</v>
      </c>
      <c r="AP328" s="31">
        <f t="shared" si="183"/>
        <v>0</v>
      </c>
      <c r="AQ328" s="31">
        <f t="shared" si="184"/>
        <v>0</v>
      </c>
    </row>
    <row r="329" spans="8:43" x14ac:dyDescent="0.25">
      <c r="H329" s="15">
        <v>4.2600000000000096</v>
      </c>
      <c r="I329" s="45">
        <f t="shared" si="209"/>
        <v>181970.08586100259</v>
      </c>
      <c r="J329" s="32">
        <f t="shared" si="175"/>
        <v>-8.904062702853011</v>
      </c>
      <c r="K329" s="32">
        <f t="shared" si="176"/>
        <v>-15.219713400980424</v>
      </c>
      <c r="L329" s="15">
        <f t="shared" si="185"/>
        <v>3.8729613733905581</v>
      </c>
      <c r="M329" s="15">
        <f t="shared" si="186"/>
        <v>-36.735990328256591</v>
      </c>
      <c r="N329" s="15">
        <f t="shared" si="187"/>
        <v>1.9230122841097963</v>
      </c>
      <c r="O329" s="15">
        <f t="shared" si="188"/>
        <v>-89.826685608279902</v>
      </c>
      <c r="P329" s="15">
        <f t="shared" si="189"/>
        <v>-50.385773349141097</v>
      </c>
      <c r="Q329" s="15">
        <f t="shared" si="190"/>
        <v>-6.7928633196425396</v>
      </c>
      <c r="R329" s="15">
        <f t="shared" si="191"/>
        <v>-6.1187799380946692E-2</v>
      </c>
      <c r="S329" s="31">
        <f t="shared" si="177"/>
        <v>-133.35553925617904</v>
      </c>
      <c r="T329" s="31">
        <f t="shared" si="178"/>
        <v>-36.763085552147281</v>
      </c>
      <c r="U329" s="15">
        <f t="shared" si="192"/>
        <v>6500</v>
      </c>
      <c r="V329" s="15">
        <f t="shared" si="193"/>
        <v>-89.9998481450951</v>
      </c>
      <c r="W329" s="15">
        <f t="shared" si="194"/>
        <v>-111.53387616475075</v>
      </c>
      <c r="X329" s="15">
        <f t="shared" si="195"/>
        <v>89.811595089851863</v>
      </c>
      <c r="Y329" s="15">
        <f t="shared" si="196"/>
        <v>49.660623960408472</v>
      </c>
      <c r="Z329" s="15">
        <f t="shared" si="197"/>
        <v>-63.74542584043995</v>
      </c>
      <c r="AA329" s="15">
        <f t="shared" si="198"/>
        <v>-7.0844773203687295</v>
      </c>
      <c r="AB329" s="31">
        <f t="shared" si="179"/>
        <v>-63.933678895683187</v>
      </c>
      <c r="AC329" s="31">
        <f t="shared" si="180"/>
        <v>7.3005376081461053</v>
      </c>
      <c r="AD329" s="15">
        <f t="shared" si="199"/>
        <v>88.168638891849852</v>
      </c>
      <c r="AE329" s="15">
        <f t="shared" si="200"/>
        <v>29.908451949984041</v>
      </c>
      <c r="AF329" s="15">
        <f t="shared" si="201"/>
        <v>0.73693820757408923</v>
      </c>
      <c r="AG329" s="15">
        <f t="shared" si="202"/>
        <v>7.1847749391193991E-4</v>
      </c>
      <c r="AH329" s="15">
        <f t="shared" si="203"/>
        <v>-80.520421650414718</v>
      </c>
      <c r="AI329" s="15">
        <f t="shared" si="204"/>
        <v>-15.666335884457201</v>
      </c>
      <c r="AJ329" s="31">
        <f t="shared" si="181"/>
        <v>8.3851554490092184</v>
      </c>
      <c r="AK329" s="31">
        <f t="shared" si="182"/>
        <v>14.242834543020752</v>
      </c>
      <c r="AL329" s="15">
        <f t="shared" si="205"/>
        <v>0</v>
      </c>
      <c r="AM329" s="15">
        <f t="shared" si="206"/>
        <v>0</v>
      </c>
      <c r="AN329" s="15">
        <f t="shared" si="207"/>
        <v>0</v>
      </c>
      <c r="AO329" s="15">
        <f t="shared" si="208"/>
        <v>0</v>
      </c>
      <c r="AP329" s="31">
        <f t="shared" si="183"/>
        <v>0</v>
      </c>
      <c r="AQ329" s="31">
        <f t="shared" si="184"/>
        <v>0</v>
      </c>
    </row>
    <row r="330" spans="8:43" x14ac:dyDescent="0.25">
      <c r="H330" s="15">
        <v>4.2700000000000102</v>
      </c>
      <c r="I330" s="45">
        <f t="shared" si="209"/>
        <v>186208.71366629141</v>
      </c>
      <c r="J330" s="32">
        <f t="shared" si="175"/>
        <v>-10.367715353421161</v>
      </c>
      <c r="K330" s="32">
        <f t="shared" si="176"/>
        <v>-15.506404129113708</v>
      </c>
      <c r="L330" s="15">
        <f t="shared" si="185"/>
        <v>3.8729613733905581</v>
      </c>
      <c r="M330" s="15">
        <f t="shared" si="186"/>
        <v>-37.370400413756585</v>
      </c>
      <c r="N330" s="15">
        <f t="shared" si="187"/>
        <v>1.9956265300201617</v>
      </c>
      <c r="O330" s="15">
        <f t="shared" si="188"/>
        <v>-89.830630702233918</v>
      </c>
      <c r="P330" s="15">
        <f t="shared" si="189"/>
        <v>-50.585771560632125</v>
      </c>
      <c r="Q330" s="15">
        <f t="shared" si="190"/>
        <v>-6.9495594611465057</v>
      </c>
      <c r="R330" s="15">
        <f t="shared" si="191"/>
        <v>-6.4050328820510233E-2</v>
      </c>
      <c r="S330" s="31">
        <f t="shared" si="177"/>
        <v>-134.150590577137</v>
      </c>
      <c r="T330" s="31">
        <f t="shared" si="178"/>
        <v>-36.893332047167512</v>
      </c>
      <c r="U330" s="15">
        <f t="shared" si="192"/>
        <v>6500</v>
      </c>
      <c r="V330" s="15">
        <f t="shared" si="193"/>
        <v>-89.999851601734747</v>
      </c>
      <c r="W330" s="15">
        <f t="shared" si="194"/>
        <v>-111.7338761647494</v>
      </c>
      <c r="X330" s="15">
        <f t="shared" si="195"/>
        <v>89.815883679325282</v>
      </c>
      <c r="Y330" s="15">
        <f t="shared" si="196"/>
        <v>49.860621846889856</v>
      </c>
      <c r="Z330" s="15">
        <f t="shared" si="197"/>
        <v>-64.265140124681466</v>
      </c>
      <c r="AA330" s="15">
        <f t="shared" si="198"/>
        <v>-7.2460588431244375</v>
      </c>
      <c r="AB330" s="31">
        <f t="shared" si="179"/>
        <v>-64.449108047090931</v>
      </c>
      <c r="AC330" s="31">
        <f t="shared" si="180"/>
        <v>7.1389539718731285</v>
      </c>
      <c r="AD330" s="15">
        <f t="shared" si="199"/>
        <v>88.210298334087852</v>
      </c>
      <c r="AE330" s="15">
        <f t="shared" si="200"/>
        <v>30.108252316604908</v>
      </c>
      <c r="AF330" s="15">
        <f t="shared" si="201"/>
        <v>0.75410174383298967</v>
      </c>
      <c r="AG330" s="15">
        <f t="shared" si="202"/>
        <v>7.5233536229303533E-4</v>
      </c>
      <c r="AH330" s="15">
        <f t="shared" si="203"/>
        <v>-80.732416807114078</v>
      </c>
      <c r="AI330" s="15">
        <f t="shared" si="204"/>
        <v>-15.861030705786526</v>
      </c>
      <c r="AJ330" s="31">
        <f t="shared" si="181"/>
        <v>8.2319832708067651</v>
      </c>
      <c r="AK330" s="31">
        <f t="shared" si="182"/>
        <v>14.247973946180675</v>
      </c>
      <c r="AL330" s="15">
        <f t="shared" si="205"/>
        <v>0</v>
      </c>
      <c r="AM330" s="15">
        <f t="shared" si="206"/>
        <v>0</v>
      </c>
      <c r="AN330" s="15">
        <f t="shared" si="207"/>
        <v>0</v>
      </c>
      <c r="AO330" s="15">
        <f t="shared" si="208"/>
        <v>0</v>
      </c>
      <c r="AP330" s="31">
        <f t="shared" si="183"/>
        <v>0</v>
      </c>
      <c r="AQ330" s="31">
        <f t="shared" si="184"/>
        <v>0</v>
      </c>
    </row>
    <row r="331" spans="8:43" x14ac:dyDescent="0.25">
      <c r="H331" s="15">
        <v>4.28000000000001</v>
      </c>
      <c r="I331" s="45">
        <f t="shared" si="209"/>
        <v>190546.07179632946</v>
      </c>
      <c r="J331" s="32">
        <f t="shared" si="175"/>
        <v>-11.827341505902098</v>
      </c>
      <c r="K331" s="32">
        <f t="shared" si="176"/>
        <v>-15.79271604185843</v>
      </c>
      <c r="L331" s="15">
        <f t="shared" si="185"/>
        <v>3.8729613733905581</v>
      </c>
      <c r="M331" s="15">
        <f t="shared" si="186"/>
        <v>-38.008666273505618</v>
      </c>
      <c r="N331" s="15">
        <f t="shared" si="187"/>
        <v>2.0703837180141891</v>
      </c>
      <c r="O331" s="15">
        <f t="shared" si="188"/>
        <v>-89.834485996437778</v>
      </c>
      <c r="P331" s="15">
        <f t="shared" si="189"/>
        <v>-50.785769852618621</v>
      </c>
      <c r="Q331" s="15">
        <f t="shared" si="190"/>
        <v>-7.1097974295300457</v>
      </c>
      <c r="R331" s="15">
        <f t="shared" si="191"/>
        <v>-6.7045744259224868E-2</v>
      </c>
      <c r="S331" s="31">
        <f t="shared" si="177"/>
        <v>-134.95294969947344</v>
      </c>
      <c r="T331" s="31">
        <f t="shared" si="178"/>
        <v>-37.021568566598695</v>
      </c>
      <c r="U331" s="15">
        <f t="shared" si="192"/>
        <v>6500</v>
      </c>
      <c r="V331" s="15">
        <f t="shared" si="193"/>
        <v>-89.999854979691662</v>
      </c>
      <c r="W331" s="15">
        <f t="shared" si="194"/>
        <v>-111.93387616474809</v>
      </c>
      <c r="X331" s="15">
        <f t="shared" si="195"/>
        <v>89.820074650577581</v>
      </c>
      <c r="Y331" s="15">
        <f t="shared" si="196"/>
        <v>50.060619828494268</v>
      </c>
      <c r="Z331" s="15">
        <f t="shared" si="197"/>
        <v>-64.777453715607166</v>
      </c>
      <c r="AA331" s="15">
        <f t="shared" si="198"/>
        <v>-7.4090494774713029</v>
      </c>
      <c r="AB331" s="31">
        <f t="shared" si="179"/>
        <v>-64.957234044721247</v>
      </c>
      <c r="AC331" s="31">
        <f t="shared" si="180"/>
        <v>6.9759613191319936</v>
      </c>
      <c r="AD331" s="15">
        <f t="shared" si="199"/>
        <v>88.251011320835502</v>
      </c>
      <c r="AE331" s="15">
        <f t="shared" si="200"/>
        <v>30.30806165964114</v>
      </c>
      <c r="AF331" s="15">
        <f t="shared" si="201"/>
        <v>0.77166493007166426</v>
      </c>
      <c r="AG331" s="15">
        <f t="shared" si="202"/>
        <v>7.8778861994183483E-4</v>
      </c>
      <c r="AH331" s="15">
        <f t="shared" si="203"/>
        <v>-80.939834012614583</v>
      </c>
      <c r="AI331" s="15">
        <f t="shared" si="204"/>
        <v>-16.05595824265281</v>
      </c>
      <c r="AJ331" s="31">
        <f t="shared" si="181"/>
        <v>8.0828422382925851</v>
      </c>
      <c r="AK331" s="31">
        <f t="shared" si="182"/>
        <v>14.252891205608272</v>
      </c>
      <c r="AL331" s="15">
        <f t="shared" si="205"/>
        <v>0</v>
      </c>
      <c r="AM331" s="15">
        <f t="shared" si="206"/>
        <v>0</v>
      </c>
      <c r="AN331" s="15">
        <f t="shared" si="207"/>
        <v>0</v>
      </c>
      <c r="AO331" s="15">
        <f t="shared" si="208"/>
        <v>0</v>
      </c>
      <c r="AP331" s="31">
        <f t="shared" si="183"/>
        <v>0</v>
      </c>
      <c r="AQ331" s="31">
        <f t="shared" si="184"/>
        <v>0</v>
      </c>
    </row>
    <row r="332" spans="8:43" x14ac:dyDescent="0.25">
      <c r="H332" s="15">
        <v>4.2900000000000098</v>
      </c>
      <c r="I332" s="45">
        <f t="shared" si="209"/>
        <v>194984.459975809</v>
      </c>
      <c r="J332" s="32">
        <f t="shared" si="175"/>
        <v>-13.282722102483334</v>
      </c>
      <c r="K332" s="32">
        <f t="shared" si="176"/>
        <v>-16.078580252255403</v>
      </c>
      <c r="L332" s="15">
        <f t="shared" si="185"/>
        <v>3.8729613733905581</v>
      </c>
      <c r="M332" s="15">
        <f t="shared" si="186"/>
        <v>-38.650492703543279</v>
      </c>
      <c r="N332" s="15">
        <f t="shared" si="187"/>
        <v>2.1473088983486748</v>
      </c>
      <c r="O332" s="15">
        <f t="shared" si="188"/>
        <v>-89.838253534879769</v>
      </c>
      <c r="P332" s="15">
        <f t="shared" si="189"/>
        <v>-50.985768221477741</v>
      </c>
      <c r="Q332" s="15">
        <f t="shared" si="190"/>
        <v>-7.2736521534099854</v>
      </c>
      <c r="R332" s="15">
        <f t="shared" si="191"/>
        <v>-7.0180116509206053E-2</v>
      </c>
      <c r="S332" s="31">
        <f t="shared" si="177"/>
        <v>-135.76239839183305</v>
      </c>
      <c r="T332" s="31">
        <f t="shared" si="178"/>
        <v>-37.147776127373312</v>
      </c>
      <c r="U332" s="15">
        <f t="shared" si="192"/>
        <v>6500</v>
      </c>
      <c r="V332" s="15">
        <f t="shared" si="193"/>
        <v>-89.999858280756897</v>
      </c>
      <c r="W332" s="15">
        <f t="shared" si="194"/>
        <v>-112.13387616474682</v>
      </c>
      <c r="X332" s="15">
        <f t="shared" si="195"/>
        <v>89.824170225537742</v>
      </c>
      <c r="Y332" s="15">
        <f t="shared" si="196"/>
        <v>50.260617900940552</v>
      </c>
      <c r="Z332" s="15">
        <f t="shared" si="197"/>
        <v>-65.282310509641164</v>
      </c>
      <c r="AA332" s="15">
        <f t="shared" si="198"/>
        <v>-7.5734089410612748</v>
      </c>
      <c r="AB332" s="31">
        <f t="shared" si="179"/>
        <v>-65.457998564860318</v>
      </c>
      <c r="AC332" s="31">
        <f t="shared" si="180"/>
        <v>6.811599927989568</v>
      </c>
      <c r="AD332" s="15">
        <f t="shared" si="199"/>
        <v>88.290799274109531</v>
      </c>
      <c r="AE332" s="15">
        <f t="shared" si="200"/>
        <v>30.50787957584059</v>
      </c>
      <c r="AF332" s="15">
        <f t="shared" si="201"/>
        <v>0.78963706531390099</v>
      </c>
      <c r="AG332" s="15">
        <f t="shared" si="202"/>
        <v>8.249124279479875E-4</v>
      </c>
      <c r="AH332" s="15">
        <f t="shared" si="203"/>
        <v>-81.142761485213398</v>
      </c>
      <c r="AI332" s="15">
        <f t="shared" si="204"/>
        <v>-16.251108541140198</v>
      </c>
      <c r="AJ332" s="31">
        <f t="shared" si="181"/>
        <v>7.9376748542100302</v>
      </c>
      <c r="AK332" s="31">
        <f t="shared" si="182"/>
        <v>14.25759594712834</v>
      </c>
      <c r="AL332" s="15">
        <f t="shared" si="205"/>
        <v>0</v>
      </c>
      <c r="AM332" s="15">
        <f t="shared" si="206"/>
        <v>0</v>
      </c>
      <c r="AN332" s="15">
        <f t="shared" si="207"/>
        <v>0</v>
      </c>
      <c r="AO332" s="15">
        <f t="shared" si="208"/>
        <v>0</v>
      </c>
      <c r="AP332" s="31">
        <f t="shared" si="183"/>
        <v>0</v>
      </c>
      <c r="AQ332" s="31">
        <f t="shared" si="184"/>
        <v>0</v>
      </c>
    </row>
    <row r="333" spans="8:43" x14ac:dyDescent="0.25">
      <c r="H333" s="15">
        <v>4.3000000000000096</v>
      </c>
      <c r="I333" s="45">
        <f t="shared" si="209"/>
        <v>199526.23149689252</v>
      </c>
      <c r="J333" s="32">
        <f t="shared" si="175"/>
        <v>-14.733639953192721</v>
      </c>
      <c r="K333" s="32">
        <f t="shared" si="176"/>
        <v>-16.363930732595268</v>
      </c>
      <c r="L333" s="15">
        <f t="shared" si="185"/>
        <v>3.8729613733905581</v>
      </c>
      <c r="M333" s="15">
        <f t="shared" si="186"/>
        <v>-39.295575729000738</v>
      </c>
      <c r="N333" s="15">
        <f t="shared" si="187"/>
        <v>2.2264252258599861</v>
      </c>
      <c r="O333" s="15">
        <f t="shared" si="188"/>
        <v>-89.841935315028238</v>
      </c>
      <c r="P333" s="15">
        <f t="shared" si="189"/>
        <v>-51.185766663749739</v>
      </c>
      <c r="Q333" s="15">
        <f t="shared" si="190"/>
        <v>-7.4411997843471269</v>
      </c>
      <c r="R333" s="15">
        <f t="shared" si="191"/>
        <v>-7.3459784421217991E-2</v>
      </c>
      <c r="S333" s="31">
        <f t="shared" si="177"/>
        <v>-136.5787108283761</v>
      </c>
      <c r="T333" s="31">
        <f t="shared" si="178"/>
        <v>-37.271937910046006</v>
      </c>
      <c r="U333" s="15">
        <f t="shared" si="192"/>
        <v>6500</v>
      </c>
      <c r="V333" s="15">
        <f t="shared" si="193"/>
        <v>-89.999861506680716</v>
      </c>
      <c r="W333" s="15">
        <f t="shared" si="194"/>
        <v>-112.33387616474562</v>
      </c>
      <c r="X333" s="15">
        <f t="shared" si="195"/>
        <v>89.828172575566256</v>
      </c>
      <c r="Y333" s="15">
        <f t="shared" si="196"/>
        <v>50.460616060140268</v>
      </c>
      <c r="Z333" s="15">
        <f t="shared" si="197"/>
        <v>-65.779664549470183</v>
      </c>
      <c r="AA333" s="15">
        <f t="shared" si="198"/>
        <v>-7.739097265115193</v>
      </c>
      <c r="AB333" s="31">
        <f t="shared" si="179"/>
        <v>-65.951353480584643</v>
      </c>
      <c r="AC333" s="31">
        <f t="shared" si="180"/>
        <v>6.6459097631365704</v>
      </c>
      <c r="AD333" s="15">
        <f t="shared" si="199"/>
        <v>88.329683136424791</v>
      </c>
      <c r="AE333" s="15">
        <f t="shared" si="200"/>
        <v>30.707705680034294</v>
      </c>
      <c r="AF333" s="15">
        <f t="shared" si="201"/>
        <v>0.80802766446924823</v>
      </c>
      <c r="AG333" s="15">
        <f t="shared" si="202"/>
        <v>8.6378548700351905E-4</v>
      </c>
      <c r="AH333" s="15">
        <f t="shared" si="203"/>
        <v>-81.341286445126016</v>
      </c>
      <c r="AI333" s="15">
        <f t="shared" si="204"/>
        <v>-16.446472051207131</v>
      </c>
      <c r="AJ333" s="31">
        <f t="shared" si="181"/>
        <v>7.7964243557680248</v>
      </c>
      <c r="AK333" s="31">
        <f t="shared" si="182"/>
        <v>14.262097414314166</v>
      </c>
      <c r="AL333" s="15">
        <f t="shared" si="205"/>
        <v>0</v>
      </c>
      <c r="AM333" s="15">
        <f t="shared" si="206"/>
        <v>0</v>
      </c>
      <c r="AN333" s="15">
        <f t="shared" si="207"/>
        <v>0</v>
      </c>
      <c r="AO333" s="15">
        <f t="shared" si="208"/>
        <v>0</v>
      </c>
      <c r="AP333" s="31">
        <f t="shared" si="183"/>
        <v>0</v>
      </c>
      <c r="AQ333" s="31">
        <f t="shared" si="184"/>
        <v>0</v>
      </c>
    </row>
    <row r="334" spans="8:43" x14ac:dyDescent="0.25">
      <c r="H334" s="15">
        <v>4.3100000000000103</v>
      </c>
      <c r="I334" s="45">
        <f t="shared" si="209"/>
        <v>204173.79446695794</v>
      </c>
      <c r="J334" s="32">
        <f t="shared" si="175"/>
        <v>-16.179879968509653</v>
      </c>
      <c r="K334" s="32">
        <f t="shared" si="176"/>
        <v>-16.648704465983037</v>
      </c>
      <c r="L334" s="15">
        <f t="shared" si="185"/>
        <v>3.8729613733905581</v>
      </c>
      <c r="M334" s="15">
        <f t="shared" si="186"/>
        <v>-39.943603248897247</v>
      </c>
      <c r="N334" s="15">
        <f t="shared" si="187"/>
        <v>2.3077538697038316</v>
      </c>
      <c r="O334" s="15">
        <f t="shared" si="188"/>
        <v>-89.845533288890081</v>
      </c>
      <c r="P334" s="15">
        <f t="shared" si="189"/>
        <v>-51.385765176130533</v>
      </c>
      <c r="Q334" s="15">
        <f t="shared" si="190"/>
        <v>-7.6125176902400371</v>
      </c>
      <c r="R334" s="15">
        <f t="shared" si="191"/>
        <v>-7.6891365838090406E-2</v>
      </c>
      <c r="S334" s="31">
        <f t="shared" si="177"/>
        <v>-137.40165422802735</v>
      </c>
      <c r="T334" s="31">
        <f t="shared" si="178"/>
        <v>-37.394039359999837</v>
      </c>
      <c r="U334" s="15">
        <f t="shared" si="192"/>
        <v>6500</v>
      </c>
      <c r="V334" s="15">
        <f t="shared" si="193"/>
        <v>-89.999864659173539</v>
      </c>
      <c r="W334" s="15">
        <f t="shared" si="194"/>
        <v>-112.5338761647445</v>
      </c>
      <c r="X334" s="15">
        <f t="shared" si="195"/>
        <v>89.83208382260581</v>
      </c>
      <c r="Y334" s="15">
        <f t="shared" si="196"/>
        <v>50.660614302188932</v>
      </c>
      <c r="Z334" s="15">
        <f t="shared" si="197"/>
        <v>-66.269479672626588</v>
      </c>
      <c r="AA334" s="15">
        <f t="shared" si="198"/>
        <v>-7.9060748586294149</v>
      </c>
      <c r="AB334" s="31">
        <f t="shared" si="179"/>
        <v>-66.437260509194317</v>
      </c>
      <c r="AC334" s="31">
        <f t="shared" si="180"/>
        <v>6.4789304116721329</v>
      </c>
      <c r="AD334" s="15">
        <f t="shared" si="199"/>
        <v>88.367683381168519</v>
      </c>
      <c r="AE334" s="15">
        <f t="shared" si="200"/>
        <v>30.907539604328381</v>
      </c>
      <c r="AF334" s="15">
        <f t="shared" si="201"/>
        <v>0.82684646331043943</v>
      </c>
      <c r="AG334" s="15">
        <f t="shared" si="202"/>
        <v>9.0449020396406307E-4</v>
      </c>
      <c r="AH334" s="15">
        <f t="shared" si="203"/>
        <v>-81.535495075766946</v>
      </c>
      <c r="AI334" s="15">
        <f t="shared" si="204"/>
        <v>-16.642039612187677</v>
      </c>
      <c r="AJ334" s="31">
        <f t="shared" si="181"/>
        <v>7.6590347687120186</v>
      </c>
      <c r="AK334" s="31">
        <f t="shared" si="182"/>
        <v>14.266404482344669</v>
      </c>
      <c r="AL334" s="15">
        <f t="shared" si="205"/>
        <v>0</v>
      </c>
      <c r="AM334" s="15">
        <f t="shared" si="206"/>
        <v>0</v>
      </c>
      <c r="AN334" s="15">
        <f t="shared" si="207"/>
        <v>0</v>
      </c>
      <c r="AO334" s="15">
        <f t="shared" si="208"/>
        <v>0</v>
      </c>
      <c r="AP334" s="31">
        <f t="shared" si="183"/>
        <v>0</v>
      </c>
      <c r="AQ334" s="31">
        <f t="shared" si="184"/>
        <v>0</v>
      </c>
    </row>
    <row r="335" spans="8:43" x14ac:dyDescent="0.25">
      <c r="H335" s="15">
        <v>4.3200000000000101</v>
      </c>
      <c r="I335" s="45">
        <f t="shared" si="209"/>
        <v>208929.61308540907</v>
      </c>
      <c r="J335" s="32">
        <f t="shared" si="175"/>
        <v>-17.621229428648064</v>
      </c>
      <c r="K335" s="32">
        <f t="shared" si="176"/>
        <v>-16.932841587174643</v>
      </c>
      <c r="L335" s="15">
        <f t="shared" si="185"/>
        <v>3.8729613733905581</v>
      </c>
      <c r="M335" s="15">
        <f t="shared" si="186"/>
        <v>-40.594255728953804</v>
      </c>
      <c r="N335" s="15">
        <f t="shared" si="187"/>
        <v>2.3913139295421448</v>
      </c>
      <c r="O335" s="15">
        <f t="shared" si="188"/>
        <v>-89.849049364045058</v>
      </c>
      <c r="P335" s="15">
        <f t="shared" si="189"/>
        <v>-51.58576375546474</v>
      </c>
      <c r="Q335" s="15">
        <f t="shared" si="190"/>
        <v>-7.7876844463208013</v>
      </c>
      <c r="R335" s="15">
        <f t="shared" si="191"/>
        <v>-8.0481768911676882E-2</v>
      </c>
      <c r="S335" s="31">
        <f t="shared" si="177"/>
        <v>-138.23098953931967</v>
      </c>
      <c r="T335" s="31">
        <f t="shared" si="178"/>
        <v>-37.514068282569305</v>
      </c>
      <c r="U335" s="15">
        <f t="shared" si="192"/>
        <v>6500</v>
      </c>
      <c r="V335" s="15">
        <f t="shared" si="193"/>
        <v>-89.999867739906875</v>
      </c>
      <c r="W335" s="15">
        <f t="shared" si="194"/>
        <v>-112.73387616474341</v>
      </c>
      <c r="X335" s="15">
        <f t="shared" si="195"/>
        <v>89.835906040305417</v>
      </c>
      <c r="Y335" s="15">
        <f t="shared" si="196"/>
        <v>50.860612623357753</v>
      </c>
      <c r="Z335" s="15">
        <f t="shared" si="197"/>
        <v>-66.75172914666723</v>
      </c>
      <c r="AA335" s="15">
        <f t="shared" si="198"/>
        <v>-8.0743025676278322</v>
      </c>
      <c r="AB335" s="31">
        <f t="shared" si="179"/>
        <v>-66.915690846268689</v>
      </c>
      <c r="AC335" s="31">
        <f t="shared" si="180"/>
        <v>6.3107010238436274</v>
      </c>
      <c r="AD335" s="15">
        <f t="shared" si="199"/>
        <v>88.404820022774643</v>
      </c>
      <c r="AE335" s="15">
        <f t="shared" si="200"/>
        <v>31.107380997331799</v>
      </c>
      <c r="AF335" s="15">
        <f t="shared" si="201"/>
        <v>0.84610342356310508</v>
      </c>
      <c r="AG335" s="15">
        <f t="shared" si="202"/>
        <v>9.4711286623386259E-4</v>
      </c>
      <c r="AH335" s="15">
        <f t="shared" si="203"/>
        <v>-81.725472489397461</v>
      </c>
      <c r="AI335" s="15">
        <f t="shared" si="204"/>
        <v>-16.837802438647</v>
      </c>
      <c r="AJ335" s="31">
        <f t="shared" si="181"/>
        <v>7.5254509569402899</v>
      </c>
      <c r="AK335" s="31">
        <f t="shared" si="182"/>
        <v>14.270525671551034</v>
      </c>
      <c r="AL335" s="15">
        <f t="shared" si="205"/>
        <v>0</v>
      </c>
      <c r="AM335" s="15">
        <f t="shared" si="206"/>
        <v>0</v>
      </c>
      <c r="AN335" s="15">
        <f t="shared" si="207"/>
        <v>0</v>
      </c>
      <c r="AO335" s="15">
        <f t="shared" si="208"/>
        <v>0</v>
      </c>
      <c r="AP335" s="31">
        <f t="shared" si="183"/>
        <v>0</v>
      </c>
      <c r="AQ335" s="31">
        <f t="shared" si="184"/>
        <v>0</v>
      </c>
    </row>
    <row r="336" spans="8:43" x14ac:dyDescent="0.25">
      <c r="H336" s="15">
        <v>4.3300000000000098</v>
      </c>
      <c r="I336" s="45">
        <f t="shared" si="209"/>
        <v>213796.20895022844</v>
      </c>
      <c r="J336" s="32">
        <f t="shared" si="175"/>
        <v>-19.057478288451833</v>
      </c>
      <c r="K336" s="32">
        <f t="shared" si="176"/>
        <v>-17.21628551205638</v>
      </c>
      <c r="L336" s="15">
        <f t="shared" si="185"/>
        <v>3.8729613733905581</v>
      </c>
      <c r="M336" s="15">
        <f t="shared" si="186"/>
        <v>-41.247206939106327</v>
      </c>
      <c r="N336" s="15">
        <f t="shared" si="187"/>
        <v>2.4771223588634332</v>
      </c>
      <c r="O336" s="15">
        <f t="shared" si="188"/>
        <v>-89.85248540465679</v>
      </c>
      <c r="P336" s="15">
        <f t="shared" si="189"/>
        <v>-51.785762398738996</v>
      </c>
      <c r="Q336" s="15">
        <f t="shared" si="190"/>
        <v>-7.9667798235669052</v>
      </c>
      <c r="R336" s="15">
        <f t="shared" si="191"/>
        <v>-8.4238203787014784E-2</v>
      </c>
      <c r="S336" s="31">
        <f t="shared" si="177"/>
        <v>-139.06647216733001</v>
      </c>
      <c r="T336" s="31">
        <f t="shared" si="178"/>
        <v>-37.632014931397613</v>
      </c>
      <c r="U336" s="15">
        <f t="shared" si="192"/>
        <v>6500</v>
      </c>
      <c r="V336" s="15">
        <f t="shared" si="193"/>
        <v>-89.999870750514148</v>
      </c>
      <c r="W336" s="15">
        <f t="shared" si="194"/>
        <v>-112.93387616474236</v>
      </c>
      <c r="X336" s="15">
        <f t="shared" si="195"/>
        <v>89.839641255119361</v>
      </c>
      <c r="Y336" s="15">
        <f t="shared" si="196"/>
        <v>51.060611020085823</v>
      </c>
      <c r="Z336" s="15">
        <f t="shared" si="197"/>
        <v>-67.226395293666769</v>
      </c>
      <c r="AA336" s="15">
        <f t="shared" si="198"/>
        <v>-8.2437417295039541</v>
      </c>
      <c r="AB336" s="31">
        <f t="shared" si="179"/>
        <v>-67.386624789061557</v>
      </c>
      <c r="AC336" s="31">
        <f t="shared" si="180"/>
        <v>6.1412602586966241</v>
      </c>
      <c r="AD336" s="15">
        <f t="shared" si="199"/>
        <v>88.441112626699734</v>
      </c>
      <c r="AE336" s="15">
        <f t="shared" si="200"/>
        <v>31.307229523418549</v>
      </c>
      <c r="AF336" s="15">
        <f t="shared" si="201"/>
        <v>0.86580873811013004</v>
      </c>
      <c r="AG336" s="15">
        <f t="shared" si="202"/>
        <v>9.9174382435218375E-4</v>
      </c>
      <c r="AH336" s="15">
        <f t="shared" si="203"/>
        <v>-81.911302696870138</v>
      </c>
      <c r="AI336" s="15">
        <f t="shared" si="204"/>
        <v>-17.033752106598293</v>
      </c>
      <c r="AJ336" s="31">
        <f t="shared" si="181"/>
        <v>7.3956186679397291</v>
      </c>
      <c r="AK336" s="31">
        <f t="shared" si="182"/>
        <v>14.274469160644607</v>
      </c>
      <c r="AL336" s="15">
        <f t="shared" si="205"/>
        <v>0</v>
      </c>
      <c r="AM336" s="15">
        <f t="shared" si="206"/>
        <v>0</v>
      </c>
      <c r="AN336" s="15">
        <f t="shared" si="207"/>
        <v>0</v>
      </c>
      <c r="AO336" s="15">
        <f t="shared" si="208"/>
        <v>0</v>
      </c>
      <c r="AP336" s="31">
        <f t="shared" si="183"/>
        <v>0</v>
      </c>
      <c r="AQ336" s="31">
        <f t="shared" si="184"/>
        <v>0</v>
      </c>
    </row>
    <row r="337" spans="8:43" x14ac:dyDescent="0.25">
      <c r="H337" s="15">
        <v>4.3400000000000096</v>
      </c>
      <c r="I337" s="45">
        <f t="shared" si="209"/>
        <v>218776.16239496018</v>
      </c>
      <c r="J337" s="32">
        <f t="shared" si="175"/>
        <v>-20.488419516212744</v>
      </c>
      <c r="K337" s="32">
        <f t="shared" si="176"/>
        <v>-17.498983055210147</v>
      </c>
      <c r="L337" s="15">
        <f t="shared" si="185"/>
        <v>3.8729613733905581</v>
      </c>
      <c r="M337" s="15">
        <f t="shared" si="186"/>
        <v>-41.902124731912686</v>
      </c>
      <c r="N337" s="15">
        <f t="shared" si="187"/>
        <v>2.5651938960768916</v>
      </c>
      <c r="O337" s="15">
        <f t="shared" si="188"/>
        <v>-89.855843232460586</v>
      </c>
      <c r="P337" s="15">
        <f t="shared" si="189"/>
        <v>-51.985761103075568</v>
      </c>
      <c r="Q337" s="15">
        <f t="shared" si="190"/>
        <v>-8.1498847743330032</v>
      </c>
      <c r="R337" s="15">
        <f t="shared" si="191"/>
        <v>-8.8168194656517984E-2</v>
      </c>
      <c r="S337" s="31">
        <f t="shared" si="177"/>
        <v>-139.90785273870628</v>
      </c>
      <c r="T337" s="31">
        <f t="shared" si="178"/>
        <v>-37.747872089390228</v>
      </c>
      <c r="U337" s="15">
        <f t="shared" si="192"/>
        <v>6500</v>
      </c>
      <c r="V337" s="15">
        <f t="shared" si="193"/>
        <v>-89.999873692591635</v>
      </c>
      <c r="W337" s="15">
        <f t="shared" si="194"/>
        <v>-113.13387616474134</v>
      </c>
      <c r="X337" s="15">
        <f t="shared" si="195"/>
        <v>89.843291447380892</v>
      </c>
      <c r="Y337" s="15">
        <f t="shared" si="196"/>
        <v>51.260609488972442</v>
      </c>
      <c r="Z337" s="15">
        <f t="shared" si="197"/>
        <v>-67.693469106600659</v>
      </c>
      <c r="AA337" s="15">
        <f t="shared" si="198"/>
        <v>-8.4143542225275603</v>
      </c>
      <c r="AB337" s="31">
        <f t="shared" si="179"/>
        <v>-67.850051351811402</v>
      </c>
      <c r="AC337" s="31">
        <f t="shared" si="180"/>
        <v>5.9706462345606575</v>
      </c>
      <c r="AD337" s="15">
        <f t="shared" si="199"/>
        <v>88.476580319203265</v>
      </c>
      <c r="AE337" s="15">
        <f t="shared" si="200"/>
        <v>31.507084862022417</v>
      </c>
      <c r="AF337" s="15">
        <f t="shared" si="201"/>
        <v>0.88597283631302148</v>
      </c>
      <c r="AG337" s="15">
        <f t="shared" si="202"/>
        <v>1.0384776831373435E-3</v>
      </c>
      <c r="AH337" s="15">
        <f t="shared" si="203"/>
        <v>-82.093068581211341</v>
      </c>
      <c r="AI337" s="15">
        <f t="shared" si="204"/>
        <v>-17.229880540086132</v>
      </c>
      <c r="AJ337" s="31">
        <f t="shared" si="181"/>
        <v>7.2694845743049399</v>
      </c>
      <c r="AK337" s="31">
        <f t="shared" si="182"/>
        <v>14.278242799619424</v>
      </c>
      <c r="AL337" s="15">
        <f t="shared" si="205"/>
        <v>0</v>
      </c>
      <c r="AM337" s="15">
        <f t="shared" si="206"/>
        <v>0</v>
      </c>
      <c r="AN337" s="15">
        <f t="shared" si="207"/>
        <v>0</v>
      </c>
      <c r="AO337" s="15">
        <f t="shared" si="208"/>
        <v>0</v>
      </c>
      <c r="AP337" s="31">
        <f t="shared" si="183"/>
        <v>0</v>
      </c>
      <c r="AQ337" s="31">
        <f t="shared" si="184"/>
        <v>0</v>
      </c>
    </row>
    <row r="338" spans="8:43" x14ac:dyDescent="0.25">
      <c r="H338" s="15">
        <v>4.3500000000000103</v>
      </c>
      <c r="I338" s="45">
        <f t="shared" si="209"/>
        <v>223872.11385683939</v>
      </c>
      <c r="J338" s="32">
        <f t="shared" si="175"/>
        <v>-21.913849464117689</v>
      </c>
      <c r="K338" s="32">
        <f t="shared" si="176"/>
        <v>-17.780884535087331</v>
      </c>
      <c r="L338" s="15">
        <f t="shared" si="185"/>
        <v>3.8729613733905581</v>
      </c>
      <c r="M338" s="15">
        <f t="shared" si="186"/>
        <v>-42.558671857594014</v>
      </c>
      <c r="N338" s="15">
        <f t="shared" si="187"/>
        <v>2.6555410039658001</v>
      </c>
      <c r="O338" s="15">
        <f t="shared" si="188"/>
        <v>-89.85912462772886</v>
      </c>
      <c r="P338" s="15">
        <f t="shared" si="189"/>
        <v>-52.185759865726268</v>
      </c>
      <c r="Q338" s="15">
        <f t="shared" si="190"/>
        <v>-8.3370814149963106</v>
      </c>
      <c r="R338" s="15">
        <f t="shared" si="191"/>
        <v>-9.2279592185862097E-2</v>
      </c>
      <c r="S338" s="31">
        <f t="shared" si="177"/>
        <v>-140.75487790031917</v>
      </c>
      <c r="T338" s="31">
        <f t="shared" si="178"/>
        <v>-37.861635141681369</v>
      </c>
      <c r="U338" s="15">
        <f t="shared" si="192"/>
        <v>6500</v>
      </c>
      <c r="V338" s="15">
        <f t="shared" si="193"/>
        <v>-89.999876567699275</v>
      </c>
      <c r="W338" s="15">
        <f t="shared" si="194"/>
        <v>-113.33387616474042</v>
      </c>
      <c r="X338" s="15">
        <f t="shared" si="195"/>
        <v>89.846858552351691</v>
      </c>
      <c r="Y338" s="15">
        <f t="shared" si="196"/>
        <v>51.460608026770053</v>
      </c>
      <c r="Z338" s="15">
        <f t="shared" si="197"/>
        <v>-68.15294986004298</v>
      </c>
      <c r="AA338" s="15">
        <f t="shared" si="198"/>
        <v>-8.5861025106178381</v>
      </c>
      <c r="AB338" s="31">
        <f t="shared" si="179"/>
        <v>-68.305967875390564</v>
      </c>
      <c r="AC338" s="31">
        <f t="shared" si="180"/>
        <v>5.7988964842689121</v>
      </c>
      <c r="AD338" s="15">
        <f t="shared" si="199"/>
        <v>88.511241796934499</v>
      </c>
      <c r="AE338" s="15">
        <f t="shared" si="200"/>
        <v>31.706946706963343</v>
      </c>
      <c r="AF338" s="15">
        <f t="shared" si="201"/>
        <v>0.90660638945274941</v>
      </c>
      <c r="AG338" s="15">
        <f t="shared" si="202"/>
        <v>1.0874135018330245E-3</v>
      </c>
      <c r="AH338" s="15">
        <f t="shared" si="203"/>
        <v>-82.270851874795198</v>
      </c>
      <c r="AI338" s="15">
        <f t="shared" si="204"/>
        <v>-17.426179998140054</v>
      </c>
      <c r="AJ338" s="31">
        <f t="shared" si="181"/>
        <v>7.1469963115920478</v>
      </c>
      <c r="AK338" s="31">
        <f t="shared" si="182"/>
        <v>14.281854122325122</v>
      </c>
      <c r="AL338" s="15">
        <f t="shared" si="205"/>
        <v>0</v>
      </c>
      <c r="AM338" s="15">
        <f t="shared" si="206"/>
        <v>0</v>
      </c>
      <c r="AN338" s="15">
        <f t="shared" si="207"/>
        <v>0</v>
      </c>
      <c r="AO338" s="15">
        <f t="shared" si="208"/>
        <v>0</v>
      </c>
      <c r="AP338" s="31">
        <f t="shared" si="183"/>
        <v>0</v>
      </c>
      <c r="AQ338" s="31">
        <f t="shared" si="184"/>
        <v>0</v>
      </c>
    </row>
    <row r="339" spans="8:43" x14ac:dyDescent="0.25">
      <c r="H339" s="15">
        <v>4.3600000000000101</v>
      </c>
      <c r="I339" s="45">
        <f t="shared" si="209"/>
        <v>229086.76527678283</v>
      </c>
      <c r="J339" s="32">
        <f t="shared" si="175"/>
        <v>-23.333568267451611</v>
      </c>
      <c r="K339" s="32">
        <f t="shared" si="176"/>
        <v>-18.061943866397097</v>
      </c>
      <c r="L339" s="15">
        <f t="shared" si="185"/>
        <v>3.8729613733905581</v>
      </c>
      <c r="M339" s="15">
        <f t="shared" si="186"/>
        <v>-43.216506811032417</v>
      </c>
      <c r="N339" s="15">
        <f t="shared" si="187"/>
        <v>2.7481738180220527</v>
      </c>
      <c r="O339" s="15">
        <f t="shared" si="188"/>
        <v>-89.862331330214673</v>
      </c>
      <c r="P339" s="15">
        <f t="shared" si="189"/>
        <v>-52.385758684066516</v>
      </c>
      <c r="Q339" s="15">
        <f t="shared" si="190"/>
        <v>-8.5284530053978713</v>
      </c>
      <c r="R339" s="15">
        <f t="shared" si="191"/>
        <v>-9.6580586312139421E-2</v>
      </c>
      <c r="S339" s="31">
        <f t="shared" si="177"/>
        <v>-141.60729114664497</v>
      </c>
      <c r="T339" s="31">
        <f t="shared" si="178"/>
        <v>-37.97330214009164</v>
      </c>
      <c r="U339" s="15">
        <f t="shared" si="192"/>
        <v>6500</v>
      </c>
      <c r="V339" s="15">
        <f t="shared" si="193"/>
        <v>-89.999879377361452</v>
      </c>
      <c r="W339" s="15">
        <f t="shared" si="194"/>
        <v>-113.53387616473951</v>
      </c>
      <c r="X339" s="15">
        <f t="shared" si="195"/>
        <v>89.85034446124736</v>
      </c>
      <c r="Y339" s="15">
        <f t="shared" si="196"/>
        <v>51.660606630377124</v>
      </c>
      <c r="Z339" s="15">
        <f t="shared" si="197"/>
        <v>-68.604844717441168</v>
      </c>
      <c r="AA339" s="15">
        <f t="shared" si="198"/>
        <v>-8.7589496835075469</v>
      </c>
      <c r="AB339" s="31">
        <f t="shared" si="179"/>
        <v>-68.75437963355526</v>
      </c>
      <c r="AC339" s="31">
        <f t="shared" si="180"/>
        <v>5.6260479149871809</v>
      </c>
      <c r="AD339" s="15">
        <f t="shared" si="199"/>
        <v>88.545115336328337</v>
      </c>
      <c r="AE339" s="15">
        <f t="shared" si="200"/>
        <v>31.906814765803414</v>
      </c>
      <c r="AF339" s="15">
        <f t="shared" si="201"/>
        <v>0.92772031629247453</v>
      </c>
      <c r="AG339" s="15">
        <f t="shared" si="202"/>
        <v>1.1386550036222172E-3</v>
      </c>
      <c r="AH339" s="15">
        <f t="shared" si="203"/>
        <v>-82.444733139872199</v>
      </c>
      <c r="AI339" s="15">
        <f t="shared" si="204"/>
        <v>-17.622643062099677</v>
      </c>
      <c r="AJ339" s="31">
        <f t="shared" si="181"/>
        <v>7.0281025127486174</v>
      </c>
      <c r="AK339" s="31">
        <f t="shared" si="182"/>
        <v>14.28531035870736</v>
      </c>
      <c r="AL339" s="15">
        <f t="shared" si="205"/>
        <v>0</v>
      </c>
      <c r="AM339" s="15">
        <f t="shared" si="206"/>
        <v>0</v>
      </c>
      <c r="AN339" s="15">
        <f t="shared" si="207"/>
        <v>0</v>
      </c>
      <c r="AO339" s="15">
        <f t="shared" si="208"/>
        <v>0</v>
      </c>
      <c r="AP339" s="31">
        <f t="shared" si="183"/>
        <v>0</v>
      </c>
      <c r="AQ339" s="31">
        <f t="shared" si="184"/>
        <v>0</v>
      </c>
    </row>
    <row r="340" spans="8:43" x14ac:dyDescent="0.25">
      <c r="H340" s="15">
        <v>4.3700000000000099</v>
      </c>
      <c r="I340" s="45">
        <f t="shared" si="209"/>
        <v>234422.88153199785</v>
      </c>
      <c r="J340" s="32">
        <f t="shared" si="175"/>
        <v>-24.747380269156281</v>
      </c>
      <c r="K340" s="32">
        <f t="shared" si="176"/>
        <v>-18.342118639404298</v>
      </c>
      <c r="L340" s="15">
        <f t="shared" si="185"/>
        <v>3.8729613733905581</v>
      </c>
      <c r="M340" s="15">
        <f t="shared" si="186"/>
        <v>-43.87528470568251</v>
      </c>
      <c r="N340" s="15">
        <f t="shared" si="187"/>
        <v>2.8431001041131152</v>
      </c>
      <c r="O340" s="15">
        <f t="shared" si="188"/>
        <v>-89.865465040073701</v>
      </c>
      <c r="P340" s="15">
        <f t="shared" si="189"/>
        <v>-52.585757555589907</v>
      </c>
      <c r="Q340" s="15">
        <f t="shared" si="190"/>
        <v>-8.7240839248519233</v>
      </c>
      <c r="R340" s="15">
        <f t="shared" si="191"/>
        <v>-0.10107971941340774</v>
      </c>
      <c r="S340" s="31">
        <f t="shared" si="177"/>
        <v>-142.46483367060813</v>
      </c>
      <c r="T340" s="31">
        <f t="shared" si="178"/>
        <v>-38.082873858625234</v>
      </c>
      <c r="U340" s="15">
        <f t="shared" si="192"/>
        <v>6500</v>
      </c>
      <c r="V340" s="15">
        <f t="shared" si="193"/>
        <v>-89.999882123067934</v>
      </c>
      <c r="W340" s="15">
        <f t="shared" si="194"/>
        <v>-113.73387616473865</v>
      </c>
      <c r="X340" s="15">
        <f t="shared" si="195"/>
        <v>89.853751022239621</v>
      </c>
      <c r="Y340" s="15">
        <f t="shared" si="196"/>
        <v>51.860605296831821</v>
      </c>
      <c r="Z340" s="15">
        <f t="shared" si="197"/>
        <v>-69.049168337068323</v>
      </c>
      <c r="AA340" s="15">
        <f t="shared" si="198"/>
        <v>-8.9328594924438249</v>
      </c>
      <c r="AB340" s="31">
        <f t="shared" si="179"/>
        <v>-69.195299437896637</v>
      </c>
      <c r="AC340" s="31">
        <f t="shared" si="180"/>
        <v>5.4521367725064636</v>
      </c>
      <c r="AD340" s="15">
        <f t="shared" si="199"/>
        <v>88.578218802812799</v>
      </c>
      <c r="AE340" s="15">
        <f t="shared" si="200"/>
        <v>32.106688759231893</v>
      </c>
      <c r="AF340" s="15">
        <f t="shared" si="201"/>
        <v>0.94932578876472351</v>
      </c>
      <c r="AG340" s="15">
        <f t="shared" si="202"/>
        <v>1.1923107949991863E-3</v>
      </c>
      <c r="AH340" s="15">
        <f t="shared" si="203"/>
        <v>-82.614791752229038</v>
      </c>
      <c r="AI340" s="15">
        <f t="shared" si="204"/>
        <v>-17.819262623312419</v>
      </c>
      <c r="AJ340" s="31">
        <f t="shared" si="181"/>
        <v>6.9127528393484852</v>
      </c>
      <c r="AK340" s="31">
        <f t="shared" si="182"/>
        <v>14.288618446714473</v>
      </c>
      <c r="AL340" s="15">
        <f t="shared" si="205"/>
        <v>0</v>
      </c>
      <c r="AM340" s="15">
        <f t="shared" si="206"/>
        <v>0</v>
      </c>
      <c r="AN340" s="15">
        <f t="shared" si="207"/>
        <v>0</v>
      </c>
      <c r="AO340" s="15">
        <f t="shared" si="208"/>
        <v>0</v>
      </c>
      <c r="AP340" s="31">
        <f t="shared" si="183"/>
        <v>0</v>
      </c>
      <c r="AQ340" s="31">
        <f t="shared" si="184"/>
        <v>0</v>
      </c>
    </row>
    <row r="341" spans="8:43" x14ac:dyDescent="0.25">
      <c r="H341" s="15">
        <v>4.3800000000000097</v>
      </c>
      <c r="I341" s="45">
        <f t="shared" si="209"/>
        <v>239883.29190195477</v>
      </c>
      <c r="J341" s="32">
        <f t="shared" si="175"/>
        <v>-26.155094465854319</v>
      </c>
      <c r="K341" s="32">
        <f t="shared" si="176"/>
        <v>-18.621370185922359</v>
      </c>
      <c r="L341" s="15">
        <f t="shared" si="185"/>
        <v>3.8729613733905581</v>
      </c>
      <c r="M341" s="15">
        <f t="shared" si="186"/>
        <v>-44.534658169035779</v>
      </c>
      <c r="N341" s="15">
        <f t="shared" si="187"/>
        <v>2.9403252258545436</v>
      </c>
      <c r="O341" s="15">
        <f t="shared" si="188"/>
        <v>-89.868527418765382</v>
      </c>
      <c r="P341" s="15">
        <f t="shared" si="189"/>
        <v>-52.785756477902844</v>
      </c>
      <c r="Q341" s="15">
        <f t="shared" si="190"/>
        <v>-8.9240596444832523</v>
      </c>
      <c r="R341" s="15">
        <f t="shared" si="191"/>
        <v>-0.10578589984732667</v>
      </c>
      <c r="S341" s="31">
        <f t="shared" si="177"/>
        <v>-143.32724523228441</v>
      </c>
      <c r="T341" s="31">
        <f t="shared" si="178"/>
        <v>-38.190353839630667</v>
      </c>
      <c r="U341" s="15">
        <f t="shared" si="192"/>
        <v>6500</v>
      </c>
      <c r="V341" s="15">
        <f t="shared" si="193"/>
        <v>-89.99988480627448</v>
      </c>
      <c r="W341" s="15">
        <f t="shared" si="194"/>
        <v>-113.93387616473781</v>
      </c>
      <c r="X341" s="15">
        <f t="shared" si="195"/>
        <v>89.857080041435864</v>
      </c>
      <c r="Y341" s="15">
        <f t="shared" si="196"/>
        <v>52.060604023305558</v>
      </c>
      <c r="Z341" s="15">
        <f t="shared" si="197"/>
        <v>-69.485942478582729</v>
      </c>
      <c r="AA341" s="15">
        <f t="shared" si="198"/>
        <v>-9.1077963815871357</v>
      </c>
      <c r="AB341" s="31">
        <f t="shared" si="179"/>
        <v>-69.628747243421344</v>
      </c>
      <c r="AC341" s="31">
        <f t="shared" si="180"/>
        <v>5.2771986098377255</v>
      </c>
      <c r="AD341" s="15">
        <f t="shared" si="199"/>
        <v>88.61056965983073</v>
      </c>
      <c r="AE341" s="15">
        <f t="shared" si="200"/>
        <v>32.306568420477348</v>
      </c>
      <c r="AF341" s="15">
        <f t="shared" si="201"/>
        <v>0.97143423778547533</v>
      </c>
      <c r="AG341" s="15">
        <f t="shared" si="202"/>
        <v>1.2484945954278365E-3</v>
      </c>
      <c r="AH341" s="15">
        <f t="shared" si="203"/>
        <v>-82.781105887764767</v>
      </c>
      <c r="AI341" s="15">
        <f t="shared" si="204"/>
        <v>-18.016031871202195</v>
      </c>
      <c r="AJ341" s="31">
        <f t="shared" si="181"/>
        <v>6.8008980098514371</v>
      </c>
      <c r="AK341" s="31">
        <f t="shared" si="182"/>
        <v>14.291785043870583</v>
      </c>
      <c r="AL341" s="15">
        <f t="shared" si="205"/>
        <v>0</v>
      </c>
      <c r="AM341" s="15">
        <f t="shared" si="206"/>
        <v>0</v>
      </c>
      <c r="AN341" s="15">
        <f t="shared" si="207"/>
        <v>0</v>
      </c>
      <c r="AO341" s="15">
        <f t="shared" si="208"/>
        <v>0</v>
      </c>
      <c r="AP341" s="31">
        <f t="shared" si="183"/>
        <v>0</v>
      </c>
      <c r="AQ341" s="31">
        <f t="shared" si="184"/>
        <v>0</v>
      </c>
    </row>
    <row r="342" spans="8:43" x14ac:dyDescent="0.25">
      <c r="H342" s="15">
        <v>4.3900000000000103</v>
      </c>
      <c r="I342" s="45">
        <f t="shared" si="209"/>
        <v>245470.89156850934</v>
      </c>
      <c r="J342" s="32">
        <f t="shared" si="175"/>
        <v>-27.556524971032502</v>
      </c>
      <c r="K342" s="32">
        <f t="shared" si="176"/>
        <v>-18.899663631881985</v>
      </c>
      <c r="L342" s="15">
        <f t="shared" si="185"/>
        <v>3.8729613733905581</v>
      </c>
      <c r="M342" s="15">
        <f t="shared" si="186"/>
        <v>-45.194278254025861</v>
      </c>
      <c r="N342" s="15">
        <f t="shared" si="187"/>
        <v>3.0398521219783081</v>
      </c>
      <c r="O342" s="15">
        <f t="shared" si="188"/>
        <v>-89.871520089933412</v>
      </c>
      <c r="P342" s="15">
        <f t="shared" si="189"/>
        <v>-52.985755448719452</v>
      </c>
      <c r="Q342" s="15">
        <f t="shared" si="190"/>
        <v>-9.1284666956419791</v>
      </c>
      <c r="R342" s="15">
        <f t="shared" si="191"/>
        <v>-0.1107084158548373</v>
      </c>
      <c r="S342" s="31">
        <f t="shared" si="177"/>
        <v>-144.19426503960125</v>
      </c>
      <c r="T342" s="31">
        <f t="shared" si="178"/>
        <v>-38.295748430331017</v>
      </c>
      <c r="U342" s="15">
        <f t="shared" si="192"/>
        <v>6500</v>
      </c>
      <c r="V342" s="15">
        <f t="shared" si="193"/>
        <v>-89.99988742840381</v>
      </c>
      <c r="W342" s="15">
        <f t="shared" si="194"/>
        <v>-114.13387616473705</v>
      </c>
      <c r="X342" s="15">
        <f t="shared" si="195"/>
        <v>89.860333283836113</v>
      </c>
      <c r="Y342" s="15">
        <f t="shared" si="196"/>
        <v>52.260602807097086</v>
      </c>
      <c r="Z342" s="15">
        <f t="shared" si="197"/>
        <v>-69.915195611958552</v>
      </c>
      <c r="AA342" s="15">
        <f t="shared" si="198"/>
        <v>-9.2837255152845923</v>
      </c>
      <c r="AB342" s="31">
        <f t="shared" si="179"/>
        <v>-70.054749756526249</v>
      </c>
      <c r="AC342" s="31">
        <f t="shared" si="180"/>
        <v>5.1012682599325618</v>
      </c>
      <c r="AD342" s="15">
        <f t="shared" si="199"/>
        <v>88.642184977678326</v>
      </c>
      <c r="AE342" s="15">
        <f t="shared" si="200"/>
        <v>32.506453494746154</v>
      </c>
      <c r="AF342" s="15">
        <f t="shared" si="201"/>
        <v>0.99405735919776905</v>
      </c>
      <c r="AG342" s="15">
        <f t="shared" si="202"/>
        <v>1.3073254777762019E-3</v>
      </c>
      <c r="AH342" s="15">
        <f t="shared" si="203"/>
        <v>-82.943752511781099</v>
      </c>
      <c r="AI342" s="15">
        <f t="shared" si="204"/>
        <v>-18.212944281707458</v>
      </c>
      <c r="AJ342" s="31">
        <f t="shared" si="181"/>
        <v>6.6924898250949951</v>
      </c>
      <c r="AK342" s="31">
        <f t="shared" si="182"/>
        <v>14.294816538516471</v>
      </c>
      <c r="AL342" s="15">
        <f t="shared" si="205"/>
        <v>0</v>
      </c>
      <c r="AM342" s="15">
        <f t="shared" si="206"/>
        <v>0</v>
      </c>
      <c r="AN342" s="15">
        <f t="shared" si="207"/>
        <v>0</v>
      </c>
      <c r="AO342" s="15">
        <f t="shared" si="208"/>
        <v>0</v>
      </c>
      <c r="AP342" s="31">
        <f t="shared" si="183"/>
        <v>0</v>
      </c>
      <c r="AQ342" s="31">
        <f t="shared" si="184"/>
        <v>0</v>
      </c>
    </row>
    <row r="343" spans="8:43" x14ac:dyDescent="0.25">
      <c r="H343" s="15">
        <v>4.4000000000000101</v>
      </c>
      <c r="I343" s="45">
        <f t="shared" si="209"/>
        <v>251188.643150964</v>
      </c>
      <c r="J343" s="32">
        <f t="shared" si="175"/>
        <v>-28.951491490715043</v>
      </c>
      <c r="K343" s="32">
        <f t="shared" si="176"/>
        <v>-19.176967936451891</v>
      </c>
      <c r="L343" s="15">
        <f t="shared" si="185"/>
        <v>3.8729613733905581</v>
      </c>
      <c r="M343" s="15">
        <f t="shared" si="186"/>
        <v>-45.853795360571212</v>
      </c>
      <c r="N343" s="15">
        <f t="shared" si="187"/>
        <v>3.1416812938991789</v>
      </c>
      <c r="O343" s="15">
        <f t="shared" si="188"/>
        <v>-89.87444464026629</v>
      </c>
      <c r="P343" s="15">
        <f t="shared" si="189"/>
        <v>-53.185754465856689</v>
      </c>
      <c r="Q343" s="15">
        <f t="shared" si="190"/>
        <v>-9.3373926341330904</v>
      </c>
      <c r="R343" s="15">
        <f t="shared" si="191"/>
        <v>-0.11585694982306481</v>
      </c>
      <c r="S343" s="31">
        <f t="shared" si="177"/>
        <v>-145.0656326349706</v>
      </c>
      <c r="T343" s="31">
        <f t="shared" si="178"/>
        <v>-38.39906680951561</v>
      </c>
      <c r="U343" s="15">
        <f t="shared" si="192"/>
        <v>6500</v>
      </c>
      <c r="V343" s="15">
        <f t="shared" si="193"/>
        <v>-89.999889990846171</v>
      </c>
      <c r="W343" s="15">
        <f t="shared" si="194"/>
        <v>-114.33387616473627</v>
      </c>
      <c r="X343" s="15">
        <f t="shared" si="195"/>
        <v>89.863512474268632</v>
      </c>
      <c r="Y343" s="15">
        <f t="shared" si="196"/>
        <v>52.460601645626653</v>
      </c>
      <c r="Z343" s="15">
        <f t="shared" si="197"/>
        <v>-70.336962530383872</v>
      </c>
      <c r="AA343" s="15">
        <f t="shared" si="198"/>
        <v>-9.4606128014044195</v>
      </c>
      <c r="AB343" s="31">
        <f t="shared" si="179"/>
        <v>-70.473340046961411</v>
      </c>
      <c r="AC343" s="31">
        <f t="shared" si="180"/>
        <v>4.92437981234308</v>
      </c>
      <c r="AD343" s="15">
        <f t="shared" si="199"/>
        <v>88.673081442163181</v>
      </c>
      <c r="AE343" s="15">
        <f t="shared" si="200"/>
        <v>32.706343738685803</v>
      </c>
      <c r="AF343" s="15">
        <f t="shared" si="201"/>
        <v>1.0172071198473898</v>
      </c>
      <c r="AG343" s="15">
        <f t="shared" si="202"/>
        <v>1.3689281200376243E-3</v>
      </c>
      <c r="AH343" s="15">
        <f t="shared" si="203"/>
        <v>-83.102807370793599</v>
      </c>
      <c r="AI343" s="15">
        <f t="shared" si="204"/>
        <v>-18.409993606085205</v>
      </c>
      <c r="AJ343" s="31">
        <f t="shared" si="181"/>
        <v>6.5874811912169662</v>
      </c>
      <c r="AK343" s="31">
        <f t="shared" si="182"/>
        <v>14.297719060720635</v>
      </c>
      <c r="AL343" s="15">
        <f t="shared" si="205"/>
        <v>0</v>
      </c>
      <c r="AM343" s="15">
        <f t="shared" si="206"/>
        <v>0</v>
      </c>
      <c r="AN343" s="15">
        <f t="shared" si="207"/>
        <v>0</v>
      </c>
      <c r="AO343" s="15">
        <f t="shared" si="208"/>
        <v>0</v>
      </c>
      <c r="AP343" s="31">
        <f t="shared" si="183"/>
        <v>0</v>
      </c>
      <c r="AQ343" s="31">
        <f t="shared" si="184"/>
        <v>0</v>
      </c>
    </row>
    <row r="344" spans="8:43" x14ac:dyDescent="0.25">
      <c r="H344" s="15">
        <v>4.4100000000000099</v>
      </c>
      <c r="I344" s="45">
        <f t="shared" si="209"/>
        <v>257039.57827689245</v>
      </c>
      <c r="J344" s="32">
        <f t="shared" si="175"/>
        <v>-30.339819806677596</v>
      </c>
      <c r="K344" s="32">
        <f t="shared" si="176"/>
        <v>-19.453255917784244</v>
      </c>
      <c r="L344" s="15">
        <f t="shared" si="185"/>
        <v>3.8729613733905581</v>
      </c>
      <c r="M344" s="15">
        <f t="shared" si="186"/>
        <v>-46.512860161332377</v>
      </c>
      <c r="N344" s="15">
        <f t="shared" si="187"/>
        <v>3.2458108035909849</v>
      </c>
      <c r="O344" s="15">
        <f t="shared" si="188"/>
        <v>-89.877302620338327</v>
      </c>
      <c r="P344" s="15">
        <f t="shared" si="189"/>
        <v>-53.385753527229838</v>
      </c>
      <c r="Q344" s="15">
        <f t="shared" si="190"/>
        <v>-9.5509259999873066</v>
      </c>
      <c r="R344" s="15">
        <f t="shared" si="191"/>
        <v>-0.12124159289944327</v>
      </c>
      <c r="S344" s="31">
        <f t="shared" si="177"/>
        <v>-145.94108878165801</v>
      </c>
      <c r="T344" s="31">
        <f t="shared" si="178"/>
        <v>-38.500321004273339</v>
      </c>
      <c r="U344" s="15">
        <f t="shared" si="192"/>
        <v>6500</v>
      </c>
      <c r="V344" s="15">
        <f t="shared" si="193"/>
        <v>-89.999892494960235</v>
      </c>
      <c r="W344" s="15">
        <f t="shared" si="194"/>
        <v>-114.53387616473555</v>
      </c>
      <c r="X344" s="15">
        <f t="shared" si="195"/>
        <v>89.866619298303917</v>
      </c>
      <c r="Y344" s="15">
        <f t="shared" si="196"/>
        <v>52.660600536430742</v>
      </c>
      <c r="Z344" s="15">
        <f t="shared" si="197"/>
        <v>-70.751283968559477</v>
      </c>
      <c r="AA344" s="15">
        <f t="shared" si="198"/>
        <v>-9.6384249109272773</v>
      </c>
      <c r="AB344" s="31">
        <f t="shared" si="179"/>
        <v>-70.884557165215796</v>
      </c>
      <c r="AC344" s="31">
        <f t="shared" si="180"/>
        <v>4.7465665936250332</v>
      </c>
      <c r="AD344" s="15">
        <f t="shared" si="199"/>
        <v>88.703275363084671</v>
      </c>
      <c r="AE344" s="15">
        <f t="shared" si="200"/>
        <v>32.906238919872528</v>
      </c>
      <c r="AF344" s="15">
        <f t="shared" si="201"/>
        <v>1.0408957637933103</v>
      </c>
      <c r="AG344" s="15">
        <f t="shared" si="202"/>
        <v>1.4334330688526185E-3</v>
      </c>
      <c r="AH344" s="15">
        <f t="shared" si="203"/>
        <v>-83.258344986681777</v>
      </c>
      <c r="AI344" s="15">
        <f t="shared" si="204"/>
        <v>-18.607173860077321</v>
      </c>
      <c r="AJ344" s="31">
        <f t="shared" si="181"/>
        <v>6.4858261401962096</v>
      </c>
      <c r="AK344" s="31">
        <f t="shared" si="182"/>
        <v>14.300498492864062</v>
      </c>
      <c r="AL344" s="15">
        <f t="shared" si="205"/>
        <v>0</v>
      </c>
      <c r="AM344" s="15">
        <f t="shared" si="206"/>
        <v>0</v>
      </c>
      <c r="AN344" s="15">
        <f t="shared" si="207"/>
        <v>0</v>
      </c>
      <c r="AO344" s="15">
        <f t="shared" si="208"/>
        <v>0</v>
      </c>
      <c r="AP344" s="31">
        <f t="shared" si="183"/>
        <v>0</v>
      </c>
      <c r="AQ344" s="31">
        <f t="shared" si="184"/>
        <v>0</v>
      </c>
    </row>
    <row r="345" spans="8:43" x14ac:dyDescent="0.25">
      <c r="H345" s="15">
        <v>4.4200000000000097</v>
      </c>
      <c r="I345" s="45">
        <f t="shared" si="209"/>
        <v>263026.79918954434</v>
      </c>
      <c r="J345" s="32">
        <f t="shared" si="175"/>
        <v>-31.721342262033389</v>
      </c>
      <c r="K345" s="32">
        <f t="shared" si="176"/>
        <v>-19.728504265552026</v>
      </c>
      <c r="L345" s="15">
        <f t="shared" si="185"/>
        <v>3.8729613733905581</v>
      </c>
      <c r="M345" s="15">
        <f t="shared" si="186"/>
        <v>-47.171124525707633</v>
      </c>
      <c r="N345" s="15">
        <f t="shared" si="187"/>
        <v>3.352236281791539</v>
      </c>
      <c r="O345" s="15">
        <f t="shared" si="188"/>
        <v>-89.880095545431445</v>
      </c>
      <c r="P345" s="15">
        <f t="shared" si="189"/>
        <v>-53.585752630847963</v>
      </c>
      <c r="Q345" s="15">
        <f t="shared" si="190"/>
        <v>-9.7691562724872174</v>
      </c>
      <c r="R345" s="15">
        <f t="shared" si="191"/>
        <v>-0.12687285994690761</v>
      </c>
      <c r="S345" s="31">
        <f t="shared" si="177"/>
        <v>-146.82037634362629</v>
      </c>
      <c r="T345" s="31">
        <f t="shared" si="178"/>
        <v>-38.599525896738371</v>
      </c>
      <c r="U345" s="15">
        <f t="shared" si="192"/>
        <v>6500</v>
      </c>
      <c r="V345" s="15">
        <f t="shared" si="193"/>
        <v>-89.999894942073709</v>
      </c>
      <c r="W345" s="15">
        <f t="shared" si="194"/>
        <v>-114.73387616473487</v>
      </c>
      <c r="X345" s="15">
        <f t="shared" si="195"/>
        <v>89.869655403148059</v>
      </c>
      <c r="Y345" s="15">
        <f t="shared" si="196"/>
        <v>52.860599477156597</v>
      </c>
      <c r="Z345" s="15">
        <f t="shared" si="197"/>
        <v>-71.158206227671229</v>
      </c>
      <c r="AA345" s="15">
        <f t="shared" si="198"/>
        <v>-9.817129293995265</v>
      </c>
      <c r="AB345" s="31">
        <f t="shared" si="179"/>
        <v>-71.28844576659688</v>
      </c>
      <c r="AC345" s="31">
        <f t="shared" si="180"/>
        <v>4.5678611512835801</v>
      </c>
      <c r="AD345" s="15">
        <f t="shared" si="199"/>
        <v>88.732782682539309</v>
      </c>
      <c r="AE345" s="15">
        <f t="shared" si="200"/>
        <v>33.106138816321298</v>
      </c>
      <c r="AF345" s="15">
        <f t="shared" si="201"/>
        <v>1.0651358186554667</v>
      </c>
      <c r="AG345" s="15">
        <f t="shared" si="202"/>
        <v>1.5009770153893119E-3</v>
      </c>
      <c r="AH345" s="15">
        <f t="shared" si="203"/>
        <v>-83.410438653004988</v>
      </c>
      <c r="AI345" s="15">
        <f t="shared" si="204"/>
        <v>-18.804479313433923</v>
      </c>
      <c r="AJ345" s="31">
        <f t="shared" si="181"/>
        <v>6.3874798481897841</v>
      </c>
      <c r="AK345" s="31">
        <f t="shared" si="182"/>
        <v>14.303160479902765</v>
      </c>
      <c r="AL345" s="15">
        <f t="shared" si="205"/>
        <v>0</v>
      </c>
      <c r="AM345" s="15">
        <f t="shared" si="206"/>
        <v>0</v>
      </c>
      <c r="AN345" s="15">
        <f t="shared" si="207"/>
        <v>0</v>
      </c>
      <c r="AO345" s="15">
        <f t="shared" si="208"/>
        <v>0</v>
      </c>
      <c r="AP345" s="31">
        <f t="shared" si="183"/>
        <v>0</v>
      </c>
      <c r="AQ345" s="31">
        <f t="shared" si="184"/>
        <v>0</v>
      </c>
    </row>
    <row r="346" spans="8:43" x14ac:dyDescent="0.25">
      <c r="H346" s="15">
        <v>4.4300000000000104</v>
      </c>
      <c r="I346" s="45">
        <f t="shared" si="209"/>
        <v>269153.48039269837</v>
      </c>
      <c r="J346" s="32">
        <f t="shared" si="175"/>
        <v>-33.095898243896329</v>
      </c>
      <c r="K346" s="32">
        <f t="shared" si="176"/>
        <v>-20.002693540539884</v>
      </c>
      <c r="L346" s="15">
        <f t="shared" si="185"/>
        <v>3.8729613733905581</v>
      </c>
      <c r="M346" s="15">
        <f t="shared" si="186"/>
        <v>-47.828242436115389</v>
      </c>
      <c r="N346" s="15">
        <f t="shared" si="187"/>
        <v>3.4609509464627997</v>
      </c>
      <c r="O346" s="15">
        <f t="shared" si="188"/>
        <v>-89.882824896338406</v>
      </c>
      <c r="P346" s="15">
        <f t="shared" si="189"/>
        <v>-53.785751774809768</v>
      </c>
      <c r="Q346" s="15">
        <f t="shared" si="190"/>
        <v>-9.9921738201526722</v>
      </c>
      <c r="R346" s="15">
        <f t="shared" si="191"/>
        <v>-0.1327617048274459</v>
      </c>
      <c r="S346" s="31">
        <f t="shared" si="177"/>
        <v>-147.70324115260649</v>
      </c>
      <c r="T346" s="31">
        <f t="shared" si="178"/>
        <v>-38.696699220909451</v>
      </c>
      <c r="U346" s="15">
        <f t="shared" si="192"/>
        <v>6500</v>
      </c>
      <c r="V346" s="15">
        <f t="shared" si="193"/>
        <v>-89.999897333484071</v>
      </c>
      <c r="W346" s="15">
        <f t="shared" si="194"/>
        <v>-114.93387616473422</v>
      </c>
      <c r="X346" s="15">
        <f t="shared" si="195"/>
        <v>89.872622398515816</v>
      </c>
      <c r="Y346" s="15">
        <f t="shared" si="196"/>
        <v>53.060598465557419</v>
      </c>
      <c r="Z346" s="15">
        <f t="shared" si="197"/>
        <v>-71.55778080815719</v>
      </c>
      <c r="AA346" s="15">
        <f t="shared" si="198"/>
        <v>-9.9966941926241848</v>
      </c>
      <c r="AB346" s="31">
        <f t="shared" si="179"/>
        <v>-71.685055743125446</v>
      </c>
      <c r="AC346" s="31">
        <f t="shared" si="180"/>
        <v>4.3882952410561327</v>
      </c>
      <c r="AD346" s="15">
        <f t="shared" si="199"/>
        <v>88.76161898305395</v>
      </c>
      <c r="AE346" s="15">
        <f t="shared" si="200"/>
        <v>33.306043216018082</v>
      </c>
      <c r="AF346" s="15">
        <f t="shared" si="201"/>
        <v>1.0899401021026216</v>
      </c>
      <c r="AG346" s="15">
        <f t="shared" si="202"/>
        <v>1.5717030841629906E-3</v>
      </c>
      <c r="AH346" s="15">
        <f t="shared" si="203"/>
        <v>-83.559160433320955</v>
      </c>
      <c r="AI346" s="15">
        <f t="shared" si="204"/>
        <v>-19.001904479788809</v>
      </c>
      <c r="AJ346" s="31">
        <f t="shared" si="181"/>
        <v>6.2923986518356116</v>
      </c>
      <c r="AK346" s="31">
        <f t="shared" si="182"/>
        <v>14.305710439313433</v>
      </c>
      <c r="AL346" s="15">
        <f t="shared" si="205"/>
        <v>0</v>
      </c>
      <c r="AM346" s="15">
        <f t="shared" si="206"/>
        <v>0</v>
      </c>
      <c r="AN346" s="15">
        <f t="shared" si="207"/>
        <v>0</v>
      </c>
      <c r="AO346" s="15">
        <f t="shared" si="208"/>
        <v>0</v>
      </c>
      <c r="AP346" s="31">
        <f t="shared" si="183"/>
        <v>0</v>
      </c>
      <c r="AQ346" s="31">
        <f t="shared" si="184"/>
        <v>0</v>
      </c>
    </row>
    <row r="347" spans="8:43" x14ac:dyDescent="0.25">
      <c r="H347" s="15">
        <v>4.4400000000000102</v>
      </c>
      <c r="I347" s="45">
        <f t="shared" si="209"/>
        <v>275422.87033382355</v>
      </c>
      <c r="J347" s="32">
        <f t="shared" si="175"/>
        <v>-34.463334657763554</v>
      </c>
      <c r="K347" s="32">
        <f t="shared" si="176"/>
        <v>-20.275808161639233</v>
      </c>
      <c r="L347" s="15">
        <f t="shared" si="185"/>
        <v>3.8729613733905581</v>
      </c>
      <c r="M347" s="15">
        <f t="shared" si="186"/>
        <v>-48.483870890701084</v>
      </c>
      <c r="N347" s="15">
        <f t="shared" si="187"/>
        <v>3.5719456313406761</v>
      </c>
      <c r="O347" s="15">
        <f t="shared" si="188"/>
        <v>-89.885492120147589</v>
      </c>
      <c r="P347" s="15">
        <f t="shared" si="189"/>
        <v>-53.985750957299466</v>
      </c>
      <c r="Q347" s="15">
        <f t="shared" si="190"/>
        <v>-10.220069845377054</v>
      </c>
      <c r="R347" s="15">
        <f t="shared" si="191"/>
        <v>-0.13891953599855963</v>
      </c>
      <c r="S347" s="31">
        <f t="shared" si="177"/>
        <v>-148.58943285622573</v>
      </c>
      <c r="T347" s="31">
        <f t="shared" si="178"/>
        <v>-38.791861549692392</v>
      </c>
      <c r="U347" s="15">
        <f t="shared" si="192"/>
        <v>6500</v>
      </c>
      <c r="V347" s="15">
        <f t="shared" si="193"/>
        <v>-89.999899670459286</v>
      </c>
      <c r="W347" s="15">
        <f t="shared" si="194"/>
        <v>-115.13387616473359</v>
      </c>
      <c r="X347" s="15">
        <f t="shared" si="195"/>
        <v>89.875521857483676</v>
      </c>
      <c r="Y347" s="15">
        <f t="shared" si="196"/>
        <v>53.260597499487467</v>
      </c>
      <c r="Z347" s="15">
        <f t="shared" si="197"/>
        <v>-71.950064051241966</v>
      </c>
      <c r="AA347" s="15">
        <f t="shared" si="198"/>
        <v>-10.177088650285441</v>
      </c>
      <c r="AB347" s="31">
        <f t="shared" si="179"/>
        <v>-72.074441864217576</v>
      </c>
      <c r="AC347" s="31">
        <f t="shared" si="180"/>
        <v>4.2078998173255471</v>
      </c>
      <c r="AD347" s="15">
        <f t="shared" si="199"/>
        <v>88.789799495549644</v>
      </c>
      <c r="AE347" s="15">
        <f t="shared" si="200"/>
        <v>33.505951916472753</v>
      </c>
      <c r="AF347" s="15">
        <f t="shared" si="201"/>
        <v>1.1153217284829673</v>
      </c>
      <c r="AG347" s="15">
        <f t="shared" si="202"/>
        <v>1.6457611353920783E-3</v>
      </c>
      <c r="AH347" s="15">
        <f t="shared" si="203"/>
        <v>-83.704581161352863</v>
      </c>
      <c r="AI347" s="15">
        <f t="shared" si="204"/>
        <v>-19.199444106880534</v>
      </c>
      <c r="AJ347" s="31">
        <f t="shared" si="181"/>
        <v>6.2005400626797496</v>
      </c>
      <c r="AK347" s="31">
        <f t="shared" si="182"/>
        <v>14.308153570727612</v>
      </c>
      <c r="AL347" s="15">
        <f t="shared" si="205"/>
        <v>0</v>
      </c>
      <c r="AM347" s="15">
        <f t="shared" si="206"/>
        <v>0</v>
      </c>
      <c r="AN347" s="15">
        <f t="shared" si="207"/>
        <v>0</v>
      </c>
      <c r="AO347" s="15">
        <f t="shared" si="208"/>
        <v>0</v>
      </c>
      <c r="AP347" s="31">
        <f t="shared" si="183"/>
        <v>0</v>
      </c>
      <c r="AQ347" s="31">
        <f t="shared" si="184"/>
        <v>0</v>
      </c>
    </row>
    <row r="348" spans="8:43" x14ac:dyDescent="0.25">
      <c r="H348" s="15">
        <v>4.4500000000000099</v>
      </c>
      <c r="I348" s="45">
        <f t="shared" si="209"/>
        <v>281838.29312645196</v>
      </c>
      <c r="J348" s="32">
        <f t="shared" si="175"/>
        <v>-35.823506388284585</v>
      </c>
      <c r="K348" s="32">
        <f t="shared" si="176"/>
        <v>-20.54783638068416</v>
      </c>
      <c r="L348" s="15">
        <f t="shared" si="185"/>
        <v>3.8729613733905581</v>
      </c>
      <c r="M348" s="15">
        <f t="shared" si="186"/>
        <v>-49.137670786770578</v>
      </c>
      <c r="N348" s="15">
        <f t="shared" si="187"/>
        <v>3.685208824320179</v>
      </c>
      <c r="O348" s="15">
        <f t="shared" si="188"/>
        <v>-89.888098631010109</v>
      </c>
      <c r="P348" s="15">
        <f t="shared" si="189"/>
        <v>-54.185750176583028</v>
      </c>
      <c r="Q348" s="15">
        <f t="shared" si="190"/>
        <v>-10.452936323396257</v>
      </c>
      <c r="R348" s="15">
        <f t="shared" si="191"/>
        <v>-0.1453582324042606</v>
      </c>
      <c r="S348" s="31">
        <f t="shared" si="177"/>
        <v>-149.47870574117692</v>
      </c>
      <c r="T348" s="31">
        <f t="shared" si="178"/>
        <v>-38.885036272402147</v>
      </c>
      <c r="U348" s="15">
        <f t="shared" si="192"/>
        <v>6500</v>
      </c>
      <c r="V348" s="15">
        <f t="shared" si="193"/>
        <v>-89.999901954238453</v>
      </c>
      <c r="W348" s="15">
        <f t="shared" si="194"/>
        <v>-115.33387616473297</v>
      </c>
      <c r="X348" s="15">
        <f t="shared" si="195"/>
        <v>89.878355317323781</v>
      </c>
      <c r="Y348" s="15">
        <f t="shared" si="196"/>
        <v>53.460596576897615</v>
      </c>
      <c r="Z348" s="15">
        <f t="shared" si="197"/>
        <v>-72.335116790072476</v>
      </c>
      <c r="AA348" s="15">
        <f t="shared" si="198"/>
        <v>-10.358282518564483</v>
      </c>
      <c r="AB348" s="31">
        <f t="shared" si="179"/>
        <v>-72.456663426987149</v>
      </c>
      <c r="AC348" s="31">
        <f t="shared" si="180"/>
        <v>4.0267050264572752</v>
      </c>
      <c r="AD348" s="15">
        <f t="shared" si="199"/>
        <v>88.817339107138835</v>
      </c>
      <c r="AE348" s="15">
        <f t="shared" si="200"/>
        <v>33.705864724292091</v>
      </c>
      <c r="AF348" s="15">
        <f t="shared" si="201"/>
        <v>1.1412941156002405</v>
      </c>
      <c r="AG348" s="15">
        <f t="shared" si="202"/>
        <v>1.7233080815181321E-3</v>
      </c>
      <c r="AH348" s="15">
        <f t="shared" si="203"/>
        <v>-83.846770442859594</v>
      </c>
      <c r="AI348" s="15">
        <f t="shared" si="204"/>
        <v>-19.397093167112899</v>
      </c>
      <c r="AJ348" s="31">
        <f t="shared" si="181"/>
        <v>6.1118627798794876</v>
      </c>
      <c r="AK348" s="31">
        <f t="shared" si="182"/>
        <v>14.310494865260708</v>
      </c>
      <c r="AL348" s="15">
        <f t="shared" si="205"/>
        <v>0</v>
      </c>
      <c r="AM348" s="15">
        <f t="shared" si="206"/>
        <v>0</v>
      </c>
      <c r="AN348" s="15">
        <f t="shared" si="207"/>
        <v>0</v>
      </c>
      <c r="AO348" s="15">
        <f t="shared" si="208"/>
        <v>0</v>
      </c>
      <c r="AP348" s="31">
        <f t="shared" si="183"/>
        <v>0</v>
      </c>
      <c r="AQ348" s="31">
        <f t="shared" si="184"/>
        <v>0</v>
      </c>
    </row>
    <row r="349" spans="8:43" x14ac:dyDescent="0.25">
      <c r="H349" s="15">
        <v>4.4600000000000097</v>
      </c>
      <c r="I349" s="45">
        <f t="shared" si="209"/>
        <v>288403.15031266725</v>
      </c>
      <c r="J349" s="32">
        <f t="shared" si="175"/>
        <v>-37.17627674117368</v>
      </c>
      <c r="K349" s="32">
        <f t="shared" si="176"/>
        <v>-20.818770245644565</v>
      </c>
      <c r="L349" s="15">
        <f t="shared" si="185"/>
        <v>3.8729613733905581</v>
      </c>
      <c r="M349" s="15">
        <f t="shared" si="186"/>
        <v>-49.789307779477937</v>
      </c>
      <c r="N349" s="15">
        <f t="shared" si="187"/>
        <v>3.8007267153359821</v>
      </c>
      <c r="O349" s="15">
        <f t="shared" si="188"/>
        <v>-89.890645810889339</v>
      </c>
      <c r="P349" s="15">
        <f t="shared" si="189"/>
        <v>-54.385749431004498</v>
      </c>
      <c r="Q349" s="15">
        <f t="shared" si="190"/>
        <v>-10.690865935260971</v>
      </c>
      <c r="R349" s="15">
        <f t="shared" si="191"/>
        <v>-0.15209015963892433</v>
      </c>
      <c r="S349" s="31">
        <f t="shared" si="177"/>
        <v>-150.37081952562826</v>
      </c>
      <c r="T349" s="31">
        <f t="shared" si="178"/>
        <v>-38.976249563042479</v>
      </c>
      <c r="U349" s="15">
        <f t="shared" si="192"/>
        <v>6500</v>
      </c>
      <c r="V349" s="15">
        <f t="shared" si="193"/>
        <v>-89.999904186032452</v>
      </c>
      <c r="W349" s="15">
        <f t="shared" si="194"/>
        <v>-115.53387616473239</v>
      </c>
      <c r="X349" s="15">
        <f t="shared" si="195"/>
        <v>89.881124280318545</v>
      </c>
      <c r="Y349" s="15">
        <f t="shared" si="196"/>
        <v>53.66059569583097</v>
      </c>
      <c r="Z349" s="15">
        <f t="shared" si="197"/>
        <v>-72.713004011156372</v>
      </c>
      <c r="AA349" s="15">
        <f t="shared" si="198"/>
        <v>-10.540246461100512</v>
      </c>
      <c r="AB349" s="31">
        <f t="shared" si="179"/>
        <v>-72.831783916870279</v>
      </c>
      <c r="AC349" s="31">
        <f t="shared" si="180"/>
        <v>3.8447402028551814</v>
      </c>
      <c r="AD349" s="15">
        <f t="shared" si="199"/>
        <v>88.844252368758887</v>
      </c>
      <c r="AE349" s="15">
        <f t="shared" si="200"/>
        <v>33.905781454771848</v>
      </c>
      <c r="AF349" s="15">
        <f t="shared" si="201"/>
        <v>1.1678709916380703</v>
      </c>
      <c r="AG349" s="15">
        <f t="shared" si="202"/>
        <v>1.8045082185591831E-3</v>
      </c>
      <c r="AH349" s="15">
        <f t="shared" si="203"/>
        <v>-83.985796659072093</v>
      </c>
      <c r="AI349" s="15">
        <f t="shared" si="204"/>
        <v>-19.594846848447681</v>
      </c>
      <c r="AJ349" s="31">
        <f t="shared" si="181"/>
        <v>6.0263267013248623</v>
      </c>
      <c r="AK349" s="31">
        <f t="shared" si="182"/>
        <v>14.31273911454273</v>
      </c>
      <c r="AL349" s="15">
        <f t="shared" si="205"/>
        <v>0</v>
      </c>
      <c r="AM349" s="15">
        <f t="shared" si="206"/>
        <v>0</v>
      </c>
      <c r="AN349" s="15">
        <f t="shared" si="207"/>
        <v>0</v>
      </c>
      <c r="AO349" s="15">
        <f t="shared" si="208"/>
        <v>0</v>
      </c>
      <c r="AP349" s="31">
        <f t="shared" si="183"/>
        <v>0</v>
      </c>
      <c r="AQ349" s="31">
        <f t="shared" si="184"/>
        <v>0</v>
      </c>
    </row>
    <row r="350" spans="8:43" x14ac:dyDescent="0.25">
      <c r="H350" s="15">
        <v>4.4700000000000104</v>
      </c>
      <c r="I350" s="45">
        <f t="shared" si="209"/>
        <v>295120.9226666459</v>
      </c>
      <c r="J350" s="32">
        <f t="shared" si="175"/>
        <v>-38.521517861190517</v>
      </c>
      <c r="K350" s="32">
        <f t="shared" si="176"/>
        <v>-21.088605552765333</v>
      </c>
      <c r="L350" s="15">
        <f t="shared" si="185"/>
        <v>3.8729613733905581</v>
      </c>
      <c r="M350" s="15">
        <f t="shared" si="186"/>
        <v>-50.438453110587453</v>
      </c>
      <c r="N350" s="15">
        <f t="shared" si="187"/>
        <v>3.9184832533185587</v>
      </c>
      <c r="O350" s="15">
        <f t="shared" si="188"/>
        <v>-89.893135010293477</v>
      </c>
      <c r="P350" s="15">
        <f t="shared" si="189"/>
        <v>-54.58574871898243</v>
      </c>
      <c r="Q350" s="15">
        <f t="shared" si="190"/>
        <v>-10.933951994473698</v>
      </c>
      <c r="R350" s="15">
        <f t="shared" si="191"/>
        <v>-0.15912818635881504</v>
      </c>
      <c r="S350" s="31">
        <f t="shared" si="177"/>
        <v>-151.26554011535461</v>
      </c>
      <c r="T350" s="31">
        <f t="shared" si="178"/>
        <v>-39.065530339757721</v>
      </c>
      <c r="U350" s="15">
        <f t="shared" si="192"/>
        <v>6500</v>
      </c>
      <c r="V350" s="15">
        <f t="shared" si="193"/>
        <v>-89.999906367024636</v>
      </c>
      <c r="W350" s="15">
        <f t="shared" si="194"/>
        <v>-115.73387616473185</v>
      </c>
      <c r="X350" s="15">
        <f t="shared" si="195"/>
        <v>89.883830214557022</v>
      </c>
      <c r="Y350" s="15">
        <f t="shared" si="196"/>
        <v>53.860594854418707</v>
      </c>
      <c r="Z350" s="15">
        <f t="shared" si="197"/>
        <v>-73.083794526681416</v>
      </c>
      <c r="AA350" s="15">
        <f t="shared" si="198"/>
        <v>-10.72295195500925</v>
      </c>
      <c r="AB350" s="31">
        <f t="shared" si="179"/>
        <v>-73.199870679149029</v>
      </c>
      <c r="AC350" s="31">
        <f t="shared" si="180"/>
        <v>3.662033867534717</v>
      </c>
      <c r="AD350" s="15">
        <f t="shared" si="199"/>
        <v>88.870553502644654</v>
      </c>
      <c r="AE350" s="15">
        <f t="shared" si="200"/>
        <v>34.105701931506971</v>
      </c>
      <c r="AF350" s="15">
        <f t="shared" si="201"/>
        <v>1.1950664022353297</v>
      </c>
      <c r="AG350" s="15">
        <f t="shared" si="202"/>
        <v>1.8895335729785425E-3</v>
      </c>
      <c r="AH350" s="15">
        <f t="shared" si="203"/>
        <v>-84.121726971566858</v>
      </c>
      <c r="AI350" s="15">
        <f t="shared" si="204"/>
        <v>-19.792700545622278</v>
      </c>
      <c r="AJ350" s="31">
        <f t="shared" si="181"/>
        <v>5.9438929333131227</v>
      </c>
      <c r="AK350" s="31">
        <f t="shared" si="182"/>
        <v>14.314890919457671</v>
      </c>
      <c r="AL350" s="15">
        <f t="shared" si="205"/>
        <v>0</v>
      </c>
      <c r="AM350" s="15">
        <f t="shared" si="206"/>
        <v>0</v>
      </c>
      <c r="AN350" s="15">
        <f t="shared" si="207"/>
        <v>0</v>
      </c>
      <c r="AO350" s="15">
        <f t="shared" si="208"/>
        <v>0</v>
      </c>
      <c r="AP350" s="31">
        <f t="shared" si="183"/>
        <v>0</v>
      </c>
      <c r="AQ350" s="31">
        <f t="shared" si="184"/>
        <v>0</v>
      </c>
    </row>
    <row r="351" spans="8:43" x14ac:dyDescent="0.25">
      <c r="H351" s="15">
        <v>4.4800000000000102</v>
      </c>
      <c r="I351" s="45">
        <f t="shared" si="209"/>
        <v>301995.17204020906</v>
      </c>
      <c r="J351" s="32">
        <f t="shared" si="175"/>
        <v>-39.859111121344924</v>
      </c>
      <c r="K351" s="32">
        <f t="shared" si="176"/>
        <v>-21.357341788306847</v>
      </c>
      <c r="L351" s="15">
        <f t="shared" si="185"/>
        <v>3.8729613733905581</v>
      </c>
      <c r="M351" s="15">
        <f t="shared" si="186"/>
        <v>-51.084784402475925</v>
      </c>
      <c r="N351" s="15">
        <f t="shared" si="187"/>
        <v>4.0384602117322164</v>
      </c>
      <c r="O351" s="15">
        <f t="shared" si="188"/>
        <v>-89.895567548991394</v>
      </c>
      <c r="P351" s="15">
        <f t="shared" si="189"/>
        <v>-54.785748039006506</v>
      </c>
      <c r="Q351" s="15">
        <f t="shared" si="190"/>
        <v>-11.182288366942634</v>
      </c>
      <c r="R351" s="15">
        <f t="shared" si="191"/>
        <v>-0.16648570091230847</v>
      </c>
      <c r="S351" s="31">
        <f t="shared" si="177"/>
        <v>-152.16264031840996</v>
      </c>
      <c r="T351" s="31">
        <f t="shared" si="178"/>
        <v>-39.152910215921636</v>
      </c>
      <c r="U351" s="15">
        <f t="shared" si="192"/>
        <v>6500</v>
      </c>
      <c r="V351" s="15">
        <f t="shared" si="193"/>
        <v>-89.999908498371354</v>
      </c>
      <c r="W351" s="15">
        <f t="shared" si="194"/>
        <v>-115.93387616473134</v>
      </c>
      <c r="X351" s="15">
        <f t="shared" si="195"/>
        <v>89.886474554713075</v>
      </c>
      <c r="Y351" s="15">
        <f t="shared" si="196"/>
        <v>54.06059405087607</v>
      </c>
      <c r="Z351" s="15">
        <f t="shared" si="197"/>
        <v>-73.447560658179228</v>
      </c>
      <c r="AA351" s="15">
        <f t="shared" si="198"/>
        <v>-10.906371289986287</v>
      </c>
      <c r="AB351" s="31">
        <f t="shared" si="179"/>
        <v>-73.560994601837507</v>
      </c>
      <c r="AC351" s="31">
        <f t="shared" si="180"/>
        <v>3.4786137290155512</v>
      </c>
      <c r="AD351" s="15">
        <f t="shared" si="199"/>
        <v>88.896256409642817</v>
      </c>
      <c r="AE351" s="15">
        <f t="shared" si="200"/>
        <v>34.305625986019244</v>
      </c>
      <c r="AF351" s="15">
        <f t="shared" si="201"/>
        <v>1.2228947177152916</v>
      </c>
      <c r="AG351" s="15">
        <f t="shared" si="202"/>
        <v>1.9785642647985836E-3</v>
      </c>
      <c r="AH351" s="15">
        <f t="shared" si="203"/>
        <v>-84.25462732845557</v>
      </c>
      <c r="AI351" s="15">
        <f t="shared" si="204"/>
        <v>-19.9906498516848</v>
      </c>
      <c r="AJ351" s="31">
        <f t="shared" si="181"/>
        <v>5.8645237989025389</v>
      </c>
      <c r="AK351" s="31">
        <f t="shared" si="182"/>
        <v>14.31695469859924</v>
      </c>
      <c r="AL351" s="15">
        <f t="shared" si="205"/>
        <v>0</v>
      </c>
      <c r="AM351" s="15">
        <f t="shared" si="206"/>
        <v>0</v>
      </c>
      <c r="AN351" s="15">
        <f t="shared" si="207"/>
        <v>0</v>
      </c>
      <c r="AO351" s="15">
        <f t="shared" si="208"/>
        <v>0</v>
      </c>
      <c r="AP351" s="31">
        <f t="shared" si="183"/>
        <v>0</v>
      </c>
      <c r="AQ351" s="31">
        <f t="shared" si="184"/>
        <v>0</v>
      </c>
    </row>
    <row r="352" spans="8:43" x14ac:dyDescent="0.25">
      <c r="H352" s="15">
        <v>4.49000000000001</v>
      </c>
      <c r="I352" s="45">
        <f t="shared" si="209"/>
        <v>309029.54325136665</v>
      </c>
      <c r="J352" s="32">
        <f t="shared" si="175"/>
        <v>-41.188947478769478</v>
      </c>
      <c r="K352" s="32">
        <f t="shared" si="176"/>
        <v>-21.624982060598185</v>
      </c>
      <c r="L352" s="15">
        <f t="shared" si="185"/>
        <v>3.8729613733905581</v>
      </c>
      <c r="M352" s="15">
        <f t="shared" si="186"/>
        <v>-51.727986412938883</v>
      </c>
      <c r="N352" s="15">
        <f t="shared" si="187"/>
        <v>4.1606372621347001</v>
      </c>
      <c r="O352" s="15">
        <f t="shared" si="188"/>
        <v>-89.897944716712189</v>
      </c>
      <c r="P352" s="15">
        <f t="shared" si="189"/>
        <v>-54.985747389634447</v>
      </c>
      <c r="Q352" s="15">
        <f t="shared" si="190"/>
        <v>-11.435969383896776</v>
      </c>
      <c r="R352" s="15">
        <f t="shared" si="191"/>
        <v>-0.17417662815568169</v>
      </c>
      <c r="S352" s="31">
        <f t="shared" si="177"/>
        <v>-153.06190051354784</v>
      </c>
      <c r="T352" s="31">
        <f t="shared" si="178"/>
        <v>-39.238423443390467</v>
      </c>
      <c r="U352" s="15">
        <f t="shared" si="192"/>
        <v>6500</v>
      </c>
      <c r="V352" s="15">
        <f t="shared" si="193"/>
        <v>-89.999910581202712</v>
      </c>
      <c r="W352" s="15">
        <f t="shared" si="194"/>
        <v>-116.13387616473084</v>
      </c>
      <c r="X352" s="15">
        <f t="shared" si="195"/>
        <v>89.889058702805784</v>
      </c>
      <c r="Y352" s="15">
        <f t="shared" si="196"/>
        <v>54.260593283498665</v>
      </c>
      <c r="Z352" s="15">
        <f t="shared" si="197"/>
        <v>-73.804377931890329</v>
      </c>
      <c r="AA352" s="15">
        <f t="shared" si="198"/>
        <v>-11.090477565283244</v>
      </c>
      <c r="AB352" s="31">
        <f t="shared" si="179"/>
        <v>-73.915229810287258</v>
      </c>
      <c r="AC352" s="31">
        <f t="shared" si="180"/>
        <v>3.2945066863416983</v>
      </c>
      <c r="AD352" s="15">
        <f t="shared" si="199"/>
        <v>88.921374676371073</v>
      </c>
      <c r="AE352" s="15">
        <f t="shared" si="200"/>
        <v>34.505553457401746</v>
      </c>
      <c r="AF352" s="15">
        <f t="shared" si="201"/>
        <v>1.2513706404713945</v>
      </c>
      <c r="AG352" s="15">
        <f t="shared" si="202"/>
        <v>2.0717888877132126E-3</v>
      </c>
      <c r="AH352" s="15">
        <f t="shared" si="203"/>
        <v>-84.384562471776846</v>
      </c>
      <c r="AI352" s="15">
        <f t="shared" si="204"/>
        <v>-20.188690549838874</v>
      </c>
      <c r="AJ352" s="31">
        <f t="shared" si="181"/>
        <v>5.7881828450656201</v>
      </c>
      <c r="AK352" s="31">
        <f t="shared" si="182"/>
        <v>14.318934696450583</v>
      </c>
      <c r="AL352" s="15">
        <f t="shared" si="205"/>
        <v>0</v>
      </c>
      <c r="AM352" s="15">
        <f t="shared" si="206"/>
        <v>0</v>
      </c>
      <c r="AN352" s="15">
        <f t="shared" si="207"/>
        <v>0</v>
      </c>
      <c r="AO352" s="15">
        <f t="shared" si="208"/>
        <v>0</v>
      </c>
      <c r="AP352" s="31">
        <f t="shared" si="183"/>
        <v>0</v>
      </c>
      <c r="AQ352" s="31">
        <f t="shared" si="184"/>
        <v>0</v>
      </c>
    </row>
    <row r="353" spans="8:43" x14ac:dyDescent="0.25">
      <c r="H353" s="15">
        <v>4.5000000000000098</v>
      </c>
      <c r="I353" s="45">
        <f t="shared" si="209"/>
        <v>316227.76601684513</v>
      </c>
      <c r="J353" s="32">
        <f t="shared" si="175"/>
        <v>-42.510927793046818</v>
      </c>
      <c r="K353" s="32">
        <f t="shared" si="176"/>
        <v>-21.891533023161916</v>
      </c>
      <c r="L353" s="15">
        <f t="shared" si="185"/>
        <v>3.8729613733905581</v>
      </c>
      <c r="M353" s="15">
        <f t="shared" si="186"/>
        <v>-52.367751746803236</v>
      </c>
      <c r="N353" s="15">
        <f t="shared" si="187"/>
        <v>4.2849920551394334</v>
      </c>
      <c r="O353" s="15">
        <f t="shared" si="188"/>
        <v>-89.900267773828915</v>
      </c>
      <c r="P353" s="15">
        <f t="shared" si="189"/>
        <v>-55.185746769488837</v>
      </c>
      <c r="Q353" s="15">
        <f t="shared" si="190"/>
        <v>-11.695089747398852</v>
      </c>
      <c r="R353" s="15">
        <f t="shared" si="191"/>
        <v>-0.18221544641692813</v>
      </c>
      <c r="S353" s="31">
        <f t="shared" si="177"/>
        <v>-153.96310926803099</v>
      </c>
      <c r="T353" s="31">
        <f t="shared" si="178"/>
        <v>-39.32210684850137</v>
      </c>
      <c r="U353" s="15">
        <f t="shared" si="192"/>
        <v>6500</v>
      </c>
      <c r="V353" s="15">
        <f t="shared" si="193"/>
        <v>-89.999912616623035</v>
      </c>
      <c r="W353" s="15">
        <f t="shared" si="194"/>
        <v>-116.33387616473036</v>
      </c>
      <c r="X353" s="15">
        <f t="shared" si="195"/>
        <v>89.891584028942546</v>
      </c>
      <c r="Y353" s="15">
        <f t="shared" si="196"/>
        <v>54.460592550658802</v>
      </c>
      <c r="Z353" s="15">
        <f t="shared" si="197"/>
        <v>-74.154324786089006</v>
      </c>
      <c r="AA353" s="15">
        <f t="shared" si="198"/>
        <v>-11.275244684742292</v>
      </c>
      <c r="AB353" s="31">
        <f t="shared" si="179"/>
        <v>-74.262653373769496</v>
      </c>
      <c r="AC353" s="31">
        <f t="shared" si="180"/>
        <v>3.1097388340432683</v>
      </c>
      <c r="AD353" s="15">
        <f t="shared" si="199"/>
        <v>88.945921582224642</v>
      </c>
      <c r="AE353" s="15">
        <f t="shared" si="200"/>
        <v>34.705484191979025</v>
      </c>
      <c r="AF353" s="15">
        <f t="shared" si="201"/>
        <v>1.2805092125123883</v>
      </c>
      <c r="AG353" s="15">
        <f t="shared" si="202"/>
        <v>2.1694049069691411E-3</v>
      </c>
      <c r="AH353" s="15">
        <f t="shared" si="203"/>
        <v>-84.511595945983359</v>
      </c>
      <c r="AI353" s="15">
        <f t="shared" si="204"/>
        <v>-20.386818605589813</v>
      </c>
      <c r="AJ353" s="31">
        <f t="shared" si="181"/>
        <v>5.714834848753668</v>
      </c>
      <c r="AK353" s="31">
        <f t="shared" si="182"/>
        <v>14.320834991296184</v>
      </c>
      <c r="AL353" s="15">
        <f t="shared" si="205"/>
        <v>0</v>
      </c>
      <c r="AM353" s="15">
        <f t="shared" si="206"/>
        <v>0</v>
      </c>
      <c r="AN353" s="15">
        <f t="shared" si="207"/>
        <v>0</v>
      </c>
      <c r="AO353" s="15">
        <f t="shared" si="208"/>
        <v>0</v>
      </c>
      <c r="AP353" s="31">
        <f t="shared" si="183"/>
        <v>0</v>
      </c>
      <c r="AQ353" s="31">
        <f t="shared" si="184"/>
        <v>0</v>
      </c>
    </row>
    <row r="354" spans="8:43" x14ac:dyDescent="0.25">
      <c r="H354" s="15">
        <v>4.5100000000000096</v>
      </c>
      <c r="I354" s="45">
        <f t="shared" si="209"/>
        <v>323593.65692963556</v>
      </c>
      <c r="J354" s="32">
        <f t="shared" si="175"/>
        <v>-43.824963103166567</v>
      </c>
      <c r="K354" s="32">
        <f t="shared" si="176"/>
        <v>-22.157004789707848</v>
      </c>
      <c r="L354" s="15">
        <f t="shared" si="185"/>
        <v>3.8729613733905581</v>
      </c>
      <c r="M354" s="15">
        <f t="shared" si="186"/>
        <v>-53.00378152082618</v>
      </c>
      <c r="N354" s="15">
        <f t="shared" si="187"/>
        <v>4.4115003081119388</v>
      </c>
      <c r="O354" s="15">
        <f t="shared" si="188"/>
        <v>-89.902537952026634</v>
      </c>
      <c r="P354" s="15">
        <f t="shared" si="189"/>
        <v>-55.385746177254305</v>
      </c>
      <c r="Q354" s="15">
        <f t="shared" si="190"/>
        <v>-11.959744428088007</v>
      </c>
      <c r="R354" s="15">
        <f t="shared" si="191"/>
        <v>-0.19061720456529871</v>
      </c>
      <c r="S354" s="31">
        <f t="shared" si="177"/>
        <v>-154.86606390094084</v>
      </c>
      <c r="T354" s="31">
        <f t="shared" si="178"/>
        <v>-39.403999761442705</v>
      </c>
      <c r="U354" s="15">
        <f t="shared" si="192"/>
        <v>6500</v>
      </c>
      <c r="V354" s="15">
        <f t="shared" si="193"/>
        <v>-89.999914605711538</v>
      </c>
      <c r="W354" s="15">
        <f t="shared" si="194"/>
        <v>-116.53387616472989</v>
      </c>
      <c r="X354" s="15">
        <f t="shared" si="195"/>
        <v>89.89405187204548</v>
      </c>
      <c r="Y354" s="15">
        <f t="shared" si="196"/>
        <v>54.660591850802057</v>
      </c>
      <c r="Z354" s="15">
        <f t="shared" si="197"/>
        <v>-74.497482290538301</v>
      </c>
      <c r="AA354" s="15">
        <f t="shared" si="198"/>
        <v>-11.460647350068399</v>
      </c>
      <c r="AB354" s="31">
        <f t="shared" si="179"/>
        <v>-74.603345024204359</v>
      </c>
      <c r="AC354" s="31">
        <f t="shared" si="180"/>
        <v>2.9243354688608818</v>
      </c>
      <c r="AD354" s="15">
        <f t="shared" si="199"/>
        <v>88.969910106233073</v>
      </c>
      <c r="AE354" s="15">
        <f t="shared" si="200"/>
        <v>34.90541804298261</v>
      </c>
      <c r="AF354" s="15">
        <f t="shared" si="201"/>
        <v>1.3103258231697208</v>
      </c>
      <c r="AG354" s="15">
        <f t="shared" si="202"/>
        <v>2.2716190758814252E-3</v>
      </c>
      <c r="AH354" s="15">
        <f t="shared" si="203"/>
        <v>-84.635790107424157</v>
      </c>
      <c r="AI354" s="15">
        <f t="shared" si="204"/>
        <v>-20.58503015918452</v>
      </c>
      <c r="AJ354" s="31">
        <f t="shared" si="181"/>
        <v>5.6444458219786355</v>
      </c>
      <c r="AK354" s="31">
        <f t="shared" si="182"/>
        <v>14.322659502873975</v>
      </c>
      <c r="AL354" s="15">
        <f t="shared" si="205"/>
        <v>0</v>
      </c>
      <c r="AM354" s="15">
        <f t="shared" si="206"/>
        <v>0</v>
      </c>
      <c r="AN354" s="15">
        <f t="shared" si="207"/>
        <v>0</v>
      </c>
      <c r="AO354" s="15">
        <f t="shared" si="208"/>
        <v>0</v>
      </c>
      <c r="AP354" s="31">
        <f t="shared" si="183"/>
        <v>0</v>
      </c>
      <c r="AQ354" s="31">
        <f t="shared" si="184"/>
        <v>0</v>
      </c>
    </row>
    <row r="355" spans="8:43" x14ac:dyDescent="0.25">
      <c r="H355" s="15">
        <v>4.5200000000000102</v>
      </c>
      <c r="I355" s="45">
        <f t="shared" si="209"/>
        <v>331131.12148259912</v>
      </c>
      <c r="J355" s="32">
        <f t="shared" si="175"/>
        <v>-45.130974859708857</v>
      </c>
      <c r="K355" s="32">
        <f t="shared" si="176"/>
        <v>-22.421410841820407</v>
      </c>
      <c r="L355" s="15">
        <f t="shared" si="185"/>
        <v>3.8729613733905581</v>
      </c>
      <c r="M355" s="15">
        <f t="shared" si="186"/>
        <v>-53.63578597886076</v>
      </c>
      <c r="N355" s="15">
        <f t="shared" si="187"/>
        <v>4.5401358988911786</v>
      </c>
      <c r="O355" s="15">
        <f t="shared" si="188"/>
        <v>-89.904756454955333</v>
      </c>
      <c r="P355" s="15">
        <f t="shared" si="189"/>
        <v>-55.585745611674668</v>
      </c>
      <c r="Q355" s="15">
        <f t="shared" si="190"/>
        <v>-12.230028554779047</v>
      </c>
      <c r="R355" s="15">
        <f t="shared" si="191"/>
        <v>-0.19939753913919772</v>
      </c>
      <c r="S355" s="31">
        <f t="shared" si="177"/>
        <v>-155.77057098859513</v>
      </c>
      <c r="T355" s="31">
        <f t="shared" si="178"/>
        <v>-39.484143939657727</v>
      </c>
      <c r="U355" s="15">
        <f t="shared" si="192"/>
        <v>6500</v>
      </c>
      <c r="V355" s="15">
        <f t="shared" si="193"/>
        <v>-89.999916549522865</v>
      </c>
      <c r="W355" s="15">
        <f t="shared" si="194"/>
        <v>-116.73387616472948</v>
      </c>
      <c r="X355" s="15">
        <f t="shared" si="195"/>
        <v>89.896463540561001</v>
      </c>
      <c r="Y355" s="15">
        <f t="shared" si="196"/>
        <v>54.860591182443969</v>
      </c>
      <c r="Z355" s="15">
        <f t="shared" si="197"/>
        <v>-74.833933878163677</v>
      </c>
      <c r="AA355" s="15">
        <f t="shared" si="198"/>
        <v>-11.646661052510545</v>
      </c>
      <c r="AB355" s="31">
        <f t="shared" si="179"/>
        <v>-74.937386887125541</v>
      </c>
      <c r="AC355" s="31">
        <f t="shared" si="180"/>
        <v>2.7383210980610571</v>
      </c>
      <c r="AD355" s="15">
        <f t="shared" si="199"/>
        <v>88.993352933770097</v>
      </c>
      <c r="AE355" s="15">
        <f t="shared" si="200"/>
        <v>35.105354870240916</v>
      </c>
      <c r="AF355" s="15">
        <f t="shared" si="201"/>
        <v>1.3408362169699384</v>
      </c>
      <c r="AG355" s="15">
        <f t="shared" si="202"/>
        <v>2.3786478718109622E-3</v>
      </c>
      <c r="AH355" s="15">
        <f t="shared" si="203"/>
        <v>-84.757206134728222</v>
      </c>
      <c r="AI355" s="15">
        <f t="shared" si="204"/>
        <v>-20.783321518336461</v>
      </c>
      <c r="AJ355" s="31">
        <f t="shared" si="181"/>
        <v>5.576983016011809</v>
      </c>
      <c r="AK355" s="31">
        <f t="shared" si="182"/>
        <v>14.324411999776263</v>
      </c>
      <c r="AL355" s="15">
        <f t="shared" si="205"/>
        <v>0</v>
      </c>
      <c r="AM355" s="15">
        <f t="shared" si="206"/>
        <v>0</v>
      </c>
      <c r="AN355" s="15">
        <f t="shared" si="207"/>
        <v>0</v>
      </c>
      <c r="AO355" s="15">
        <f t="shared" si="208"/>
        <v>0</v>
      </c>
      <c r="AP355" s="31">
        <f t="shared" si="183"/>
        <v>0</v>
      </c>
      <c r="AQ355" s="31">
        <f t="shared" si="184"/>
        <v>0</v>
      </c>
    </row>
    <row r="356" spans="8:43" x14ac:dyDescent="0.25">
      <c r="H356" s="15">
        <v>4.53000000000001</v>
      </c>
      <c r="I356" s="45">
        <f t="shared" si="209"/>
        <v>338844.15613921074</v>
      </c>
      <c r="J356" s="32">
        <f t="shared" si="175"/>
        <v>-46.428895109305714</v>
      </c>
      <c r="K356" s="32">
        <f t="shared" si="176"/>
        <v>-22.684767930182204</v>
      </c>
      <c r="L356" s="15">
        <f t="shared" si="185"/>
        <v>3.8729613733905581</v>
      </c>
      <c r="M356" s="15">
        <f t="shared" si="186"/>
        <v>-54.263485054791175</v>
      </c>
      <c r="N356" s="15">
        <f t="shared" si="187"/>
        <v>4.6708709647957578</v>
      </c>
      <c r="O356" s="15">
        <f t="shared" si="188"/>
        <v>-89.906924458868019</v>
      </c>
      <c r="P356" s="15">
        <f t="shared" si="189"/>
        <v>-55.785745071550217</v>
      </c>
      <c r="Q356" s="15">
        <f t="shared" si="190"/>
        <v>-12.506037295543436</v>
      </c>
      <c r="R356" s="15">
        <f t="shared" si="191"/>
        <v>-0.20857269147960125</v>
      </c>
      <c r="S356" s="31">
        <f t="shared" si="177"/>
        <v>-156.67644680920262</v>
      </c>
      <c r="T356" s="31">
        <f t="shared" si="178"/>
        <v>-39.5625834859691</v>
      </c>
      <c r="U356" s="15">
        <f t="shared" si="192"/>
        <v>6500</v>
      </c>
      <c r="V356" s="15">
        <f t="shared" si="193"/>
        <v>-89.99991844908763</v>
      </c>
      <c r="W356" s="15">
        <f t="shared" si="194"/>
        <v>-116.93387616472906</v>
      </c>
      <c r="X356" s="15">
        <f t="shared" si="195"/>
        <v>89.898820313153479</v>
      </c>
      <c r="Y356" s="15">
        <f t="shared" si="196"/>
        <v>55.060590544166828</v>
      </c>
      <c r="Z356" s="15">
        <f t="shared" si="197"/>
        <v>-75.163765088961142</v>
      </c>
      <c r="AA356" s="15">
        <f t="shared" si="198"/>
        <v>-11.8332620631158</v>
      </c>
      <c r="AB356" s="31">
        <f t="shared" si="179"/>
        <v>-75.264863224895294</v>
      </c>
      <c r="AC356" s="31">
        <f t="shared" si="180"/>
        <v>2.5517194491790853</v>
      </c>
      <c r="AD356" s="15">
        <f t="shared" si="199"/>
        <v>89.016262463119119</v>
      </c>
      <c r="AE356" s="15">
        <f t="shared" si="200"/>
        <v>35.305294539883135</v>
      </c>
      <c r="AF356" s="15">
        <f t="shared" si="201"/>
        <v>1.3720565016749386</v>
      </c>
      <c r="AG356" s="15">
        <f t="shared" si="202"/>
        <v>2.4907179525229133E-3</v>
      </c>
      <c r="AH356" s="15">
        <f t="shared" si="203"/>
        <v>-84.875904040001856</v>
      </c>
      <c r="AI356" s="15">
        <f t="shared" si="204"/>
        <v>-20.981689151227854</v>
      </c>
      <c r="AJ356" s="31">
        <f t="shared" si="181"/>
        <v>5.5124149247921963</v>
      </c>
      <c r="AK356" s="31">
        <f t="shared" si="182"/>
        <v>14.326096106607807</v>
      </c>
      <c r="AL356" s="15">
        <f t="shared" si="205"/>
        <v>0</v>
      </c>
      <c r="AM356" s="15">
        <f t="shared" si="206"/>
        <v>0</v>
      </c>
      <c r="AN356" s="15">
        <f t="shared" si="207"/>
        <v>0</v>
      </c>
      <c r="AO356" s="15">
        <f t="shared" si="208"/>
        <v>0</v>
      </c>
      <c r="AP356" s="31">
        <f t="shared" si="183"/>
        <v>0</v>
      </c>
      <c r="AQ356" s="31">
        <f t="shared" si="184"/>
        <v>0</v>
      </c>
    </row>
    <row r="357" spans="8:43" x14ac:dyDescent="0.25">
      <c r="H357" s="15">
        <v>4.5400000000000098</v>
      </c>
      <c r="I357" s="45">
        <f t="shared" si="209"/>
        <v>346736.85045254003</v>
      </c>
      <c r="J357" s="32">
        <f t="shared" si="175"/>
        <v>-47.718666628901474</v>
      </c>
      <c r="K357" s="32">
        <f t="shared" si="176"/>
        <v>-22.947095970184371</v>
      </c>
      <c r="L357" s="15">
        <f t="shared" si="185"/>
        <v>3.8729613733905581</v>
      </c>
      <c r="M357" s="15">
        <f t="shared" si="186"/>
        <v>-54.88660888127184</v>
      </c>
      <c r="N357" s="15">
        <f t="shared" si="187"/>
        <v>4.8036760061534558</v>
      </c>
      <c r="O357" s="15">
        <f t="shared" si="188"/>
        <v>-89.909043113244209</v>
      </c>
      <c r="P357" s="15">
        <f t="shared" si="189"/>
        <v>-55.985744555735302</v>
      </c>
      <c r="Q357" s="15">
        <f t="shared" si="190"/>
        <v>-12.78786572989673</v>
      </c>
      <c r="R357" s="15">
        <f t="shared" si="191"/>
        <v>-0.2181595248104517</v>
      </c>
      <c r="S357" s="31">
        <f t="shared" si="177"/>
        <v>-157.58351772441279</v>
      </c>
      <c r="T357" s="31">
        <f t="shared" si="178"/>
        <v>-39.639364762127336</v>
      </c>
      <c r="U357" s="15">
        <f t="shared" si="192"/>
        <v>6500</v>
      </c>
      <c r="V357" s="15">
        <f t="shared" si="193"/>
        <v>-89.999920305413028</v>
      </c>
      <c r="W357" s="15">
        <f t="shared" si="194"/>
        <v>-117.13387616472866</v>
      </c>
      <c r="X357" s="15">
        <f t="shared" si="195"/>
        <v>89.901123439383014</v>
      </c>
      <c r="Y357" s="15">
        <f t="shared" si="196"/>
        <v>55.260589934616817</v>
      </c>
      <c r="Z357" s="15">
        <f t="shared" si="197"/>
        <v>-75.487063326091274</v>
      </c>
      <c r="AA357" s="15">
        <f t="shared" si="198"/>
        <v>-12.020427421711791</v>
      </c>
      <c r="AB357" s="31">
        <f t="shared" si="179"/>
        <v>-75.585860192121288</v>
      </c>
      <c r="AC357" s="31">
        <f t="shared" si="180"/>
        <v>2.3645534810334787</v>
      </c>
      <c r="AD357" s="15">
        <f t="shared" si="199"/>
        <v>89.038650811897313</v>
      </c>
      <c r="AE357" s="15">
        <f t="shared" si="200"/>
        <v>35.505236924056369</v>
      </c>
      <c r="AF357" s="15">
        <f t="shared" si="201"/>
        <v>1.4040031564928939</v>
      </c>
      <c r="AG357" s="15">
        <f t="shared" si="202"/>
        <v>2.6080666338706483E-3</v>
      </c>
      <c r="AH357" s="15">
        <f t="shared" si="203"/>
        <v>-84.991942680757603</v>
      </c>
      <c r="AI357" s="15">
        <f t="shared" si="204"/>
        <v>-21.180129679780748</v>
      </c>
      <c r="AJ357" s="31">
        <f t="shared" si="181"/>
        <v>5.4507112876326005</v>
      </c>
      <c r="AK357" s="31">
        <f t="shared" si="182"/>
        <v>14.32771531090949</v>
      </c>
      <c r="AL357" s="15">
        <f t="shared" si="205"/>
        <v>0</v>
      </c>
      <c r="AM357" s="15">
        <f t="shared" si="206"/>
        <v>0</v>
      </c>
      <c r="AN357" s="15">
        <f t="shared" si="207"/>
        <v>0</v>
      </c>
      <c r="AO357" s="15">
        <f t="shared" si="208"/>
        <v>0</v>
      </c>
      <c r="AP357" s="31">
        <f t="shared" si="183"/>
        <v>0</v>
      </c>
      <c r="AQ357" s="31">
        <f t="shared" si="184"/>
        <v>0</v>
      </c>
    </row>
    <row r="358" spans="8:43" x14ac:dyDescent="0.25">
      <c r="H358" s="15">
        <v>4.5500000000000096</v>
      </c>
      <c r="I358" s="45">
        <f t="shared" si="209"/>
        <v>354813.38923358335</v>
      </c>
      <c r="J358" s="32">
        <f t="shared" si="175"/>
        <v>-49.000243007815882</v>
      </c>
      <c r="K358" s="32">
        <f t="shared" si="176"/>
        <v>-23.208417932769905</v>
      </c>
      <c r="L358" s="15">
        <f t="shared" si="185"/>
        <v>3.8729613733905581</v>
      </c>
      <c r="M358" s="15">
        <f t="shared" si="186"/>
        <v>-55.504898242836525</v>
      </c>
      <c r="N358" s="15">
        <f t="shared" si="187"/>
        <v>4.9385199935804014</v>
      </c>
      <c r="O358" s="15">
        <f t="shared" si="188"/>
        <v>-89.911113541399331</v>
      </c>
      <c r="P358" s="15">
        <f t="shared" si="189"/>
        <v>-56.185744063135814</v>
      </c>
      <c r="Q358" s="15">
        <f t="shared" si="190"/>
        <v>-13.075608711718802</v>
      </c>
      <c r="R358" s="15">
        <f t="shared" si="191"/>
        <v>-0.22817554120135619</v>
      </c>
      <c r="S358" s="31">
        <f t="shared" si="177"/>
        <v>-158.49162049595466</v>
      </c>
      <c r="T358" s="31">
        <f t="shared" si="178"/>
        <v>-39.714536298491808</v>
      </c>
      <c r="U358" s="15">
        <f t="shared" si="192"/>
        <v>6500</v>
      </c>
      <c r="V358" s="15">
        <f t="shared" si="193"/>
        <v>-89.999922119483315</v>
      </c>
      <c r="W358" s="15">
        <f t="shared" si="194"/>
        <v>-117.33387616472827</v>
      </c>
      <c r="X358" s="15">
        <f t="shared" si="195"/>
        <v>89.903374140367845</v>
      </c>
      <c r="Y358" s="15">
        <f t="shared" si="196"/>
        <v>55.460589352500975</v>
      </c>
      <c r="Z358" s="15">
        <f t="shared" si="197"/>
        <v>-75.803917624051152</v>
      </c>
      <c r="AA358" s="15">
        <f t="shared" si="198"/>
        <v>-12.208134924764536</v>
      </c>
      <c r="AB358" s="31">
        <f t="shared" si="179"/>
        <v>-75.900465603166623</v>
      </c>
      <c r="AC358" s="31">
        <f t="shared" si="180"/>
        <v>2.1768453958652856</v>
      </c>
      <c r="AD358" s="15">
        <f t="shared" si="199"/>
        <v>89.060529823340786</v>
      </c>
      <c r="AE358" s="15">
        <f t="shared" si="200"/>
        <v>35.705181900655411</v>
      </c>
      <c r="AF358" s="15">
        <f t="shared" si="201"/>
        <v>1.4366930404625877</v>
      </c>
      <c r="AG358" s="15">
        <f t="shared" si="202"/>
        <v>2.7309423897791314E-3</v>
      </c>
      <c r="AH358" s="15">
        <f t="shared" si="203"/>
        <v>-85.105379772497969</v>
      </c>
      <c r="AI358" s="15">
        <f t="shared" si="204"/>
        <v>-21.378639873188575</v>
      </c>
      <c r="AJ358" s="31">
        <f t="shared" si="181"/>
        <v>5.3918430913054038</v>
      </c>
      <c r="AK358" s="31">
        <f t="shared" si="182"/>
        <v>14.329272969856618</v>
      </c>
      <c r="AL358" s="15">
        <f t="shared" si="205"/>
        <v>0</v>
      </c>
      <c r="AM358" s="15">
        <f t="shared" si="206"/>
        <v>0</v>
      </c>
      <c r="AN358" s="15">
        <f t="shared" si="207"/>
        <v>0</v>
      </c>
      <c r="AO358" s="15">
        <f t="shared" si="208"/>
        <v>0</v>
      </c>
      <c r="AP358" s="31">
        <f t="shared" si="183"/>
        <v>0</v>
      </c>
      <c r="AQ358" s="31">
        <f t="shared" si="184"/>
        <v>0</v>
      </c>
    </row>
    <row r="359" spans="8:43" x14ac:dyDescent="0.25">
      <c r="H359" s="15">
        <v>4.5600000000000103</v>
      </c>
      <c r="I359" s="45">
        <f t="shared" si="209"/>
        <v>363078.05477011006</v>
      </c>
      <c r="J359" s="32">
        <f t="shared" si="175"/>
        <v>-50.273588676103955</v>
      </c>
      <c r="K359" s="32">
        <f t="shared" si="176"/>
        <v>-23.46875973134642</v>
      </c>
      <c r="L359" s="15">
        <f t="shared" si="185"/>
        <v>3.8729613733905581</v>
      </c>
      <c r="M359" s="15">
        <f t="shared" si="186"/>
        <v>-56.118104972473766</v>
      </c>
      <c r="N359" s="15">
        <f t="shared" si="187"/>
        <v>5.0753704782340092</v>
      </c>
      <c r="O359" s="15">
        <f t="shared" si="188"/>
        <v>-89.913136841080131</v>
      </c>
      <c r="P359" s="15">
        <f t="shared" si="189"/>
        <v>-56.385743592706945</v>
      </c>
      <c r="Q359" s="15">
        <f t="shared" si="190"/>
        <v>-13.369360722538795</v>
      </c>
      <c r="R359" s="15">
        <f t="shared" si="191"/>
        <v>-0.23863889834145879</v>
      </c>
      <c r="S359" s="31">
        <f t="shared" si="177"/>
        <v>-159.40060253609269</v>
      </c>
      <c r="T359" s="31">
        <f t="shared" si="178"/>
        <v>-39.788148700549428</v>
      </c>
      <c r="U359" s="15">
        <f t="shared" si="192"/>
        <v>6500</v>
      </c>
      <c r="V359" s="15">
        <f t="shared" si="193"/>
        <v>-89.999923892260298</v>
      </c>
      <c r="W359" s="15">
        <f t="shared" si="194"/>
        <v>-117.53387616472793</v>
      </c>
      <c r="X359" s="15">
        <f t="shared" si="195"/>
        <v>89.905573609431599</v>
      </c>
      <c r="Y359" s="15">
        <f t="shared" si="196"/>
        <v>55.660588796584619</v>
      </c>
      <c r="Z359" s="15">
        <f t="shared" si="197"/>
        <v>-76.114418428767323</v>
      </c>
      <c r="AA359" s="15">
        <f t="shared" si="198"/>
        <v>-12.396363112250741</v>
      </c>
      <c r="AB359" s="31">
        <f t="shared" si="179"/>
        <v>-76.208768711596022</v>
      </c>
      <c r="AC359" s="31">
        <f t="shared" si="180"/>
        <v>1.9886166524630635</v>
      </c>
      <c r="AD359" s="15">
        <f t="shared" si="199"/>
        <v>89.081911072453593</v>
      </c>
      <c r="AE359" s="15">
        <f t="shared" si="200"/>
        <v>35.905129353064702</v>
      </c>
      <c r="AF359" s="15">
        <f t="shared" si="201"/>
        <v>1.470143401014006</v>
      </c>
      <c r="AG359" s="15">
        <f t="shared" si="202"/>
        <v>2.859605375588711E-3</v>
      </c>
      <c r="AH359" s="15">
        <f t="shared" si="203"/>
        <v>-85.216271901882834</v>
      </c>
      <c r="AI359" s="15">
        <f t="shared" si="204"/>
        <v>-21.57721664170035</v>
      </c>
      <c r="AJ359" s="31">
        <f t="shared" si="181"/>
        <v>5.3357825715847582</v>
      </c>
      <c r="AK359" s="31">
        <f t="shared" si="182"/>
        <v>14.330772316739942</v>
      </c>
      <c r="AL359" s="15">
        <f t="shared" si="205"/>
        <v>0</v>
      </c>
      <c r="AM359" s="15">
        <f t="shared" si="206"/>
        <v>0</v>
      </c>
      <c r="AN359" s="15">
        <f t="shared" si="207"/>
        <v>0</v>
      </c>
      <c r="AO359" s="15">
        <f t="shared" si="208"/>
        <v>0</v>
      </c>
      <c r="AP359" s="31">
        <f t="shared" si="183"/>
        <v>0</v>
      </c>
      <c r="AQ359" s="31">
        <f t="shared" si="184"/>
        <v>0</v>
      </c>
    </row>
    <row r="360" spans="8:43" x14ac:dyDescent="0.25">
      <c r="H360" s="15">
        <v>4.5700000000000101</v>
      </c>
      <c r="I360" s="45">
        <f t="shared" si="209"/>
        <v>371535.22909718135</v>
      </c>
      <c r="J360" s="32">
        <f t="shared" si="175"/>
        <v>-51.538678878183816</v>
      </c>
      <c r="K360" s="32">
        <f t="shared" si="176"/>
        <v>-23.728150105580934</v>
      </c>
      <c r="L360" s="15">
        <f t="shared" si="185"/>
        <v>3.8729613733905581</v>
      </c>
      <c r="M360" s="15">
        <f t="shared" si="186"/>
        <v>-56.725992291276235</v>
      </c>
      <c r="N360" s="15">
        <f t="shared" si="187"/>
        <v>5.2141937042694133</v>
      </c>
      <c r="O360" s="15">
        <f t="shared" si="188"/>
        <v>-89.915114085046696</v>
      </c>
      <c r="P360" s="15">
        <f t="shared" si="189"/>
        <v>-56.585743143450784</v>
      </c>
      <c r="Q360" s="15">
        <f t="shared" si="190"/>
        <v>-13.669215714823428</v>
      </c>
      <c r="R360" s="15">
        <f t="shared" si="191"/>
        <v>-0.24956842604661469</v>
      </c>
      <c r="S360" s="31">
        <f t="shared" si="177"/>
        <v>-160.31032209114636</v>
      </c>
      <c r="T360" s="31">
        <f t="shared" si="178"/>
        <v>-39.860254552963021</v>
      </c>
      <c r="U360" s="15">
        <f t="shared" si="192"/>
        <v>6500</v>
      </c>
      <c r="V360" s="15">
        <f t="shared" si="193"/>
        <v>-89.999925624683968</v>
      </c>
      <c r="W360" s="15">
        <f t="shared" si="194"/>
        <v>-117.73387616472758</v>
      </c>
      <c r="X360" s="15">
        <f t="shared" si="195"/>
        <v>89.907723012735957</v>
      </c>
      <c r="Y360" s="15">
        <f t="shared" si="196"/>
        <v>55.860588265688527</v>
      </c>
      <c r="Z360" s="15">
        <f t="shared" si="197"/>
        <v>-76.418657389406945</v>
      </c>
      <c r="AA360" s="15">
        <f t="shared" si="198"/>
        <v>-12.585091253674401</v>
      </c>
      <c r="AB360" s="31">
        <f t="shared" si="179"/>
        <v>-76.510860001354956</v>
      </c>
      <c r="AC360" s="31">
        <f t="shared" si="180"/>
        <v>1.799887980143664</v>
      </c>
      <c r="AD360" s="15">
        <f t="shared" si="199"/>
        <v>89.102805872023225</v>
      </c>
      <c r="AE360" s="15">
        <f t="shared" si="200"/>
        <v>36.105079169911612</v>
      </c>
      <c r="AF360" s="15">
        <f t="shared" si="201"/>
        <v>1.5043718827078452</v>
      </c>
      <c r="AG360" s="15">
        <f t="shared" si="202"/>
        <v>2.9943279758010977E-3</v>
      </c>
      <c r="AH360" s="15">
        <f t="shared" si="203"/>
        <v>-85.324674540413568</v>
      </c>
      <c r="AI360" s="15">
        <f t="shared" si="204"/>
        <v>-21.775857030648989</v>
      </c>
      <c r="AJ360" s="31">
        <f t="shared" si="181"/>
        <v>5.2825032143175008</v>
      </c>
      <c r="AK360" s="31">
        <f t="shared" si="182"/>
        <v>14.332216467238421</v>
      </c>
      <c r="AL360" s="15">
        <f t="shared" si="205"/>
        <v>0</v>
      </c>
      <c r="AM360" s="15">
        <f t="shared" si="206"/>
        <v>0</v>
      </c>
      <c r="AN360" s="15">
        <f t="shared" si="207"/>
        <v>0</v>
      </c>
      <c r="AO360" s="15">
        <f t="shared" si="208"/>
        <v>0</v>
      </c>
      <c r="AP360" s="31">
        <f t="shared" si="183"/>
        <v>0</v>
      </c>
      <c r="AQ360" s="31">
        <f t="shared" si="184"/>
        <v>0</v>
      </c>
    </row>
    <row r="361" spans="8:43" x14ac:dyDescent="0.25">
      <c r="H361" s="15">
        <v>4.5800000000000098</v>
      </c>
      <c r="I361" s="45">
        <f t="shared" si="209"/>
        <v>380189.39632057026</v>
      </c>
      <c r="J361" s="32">
        <f t="shared" si="175"/>
        <v>-52.795499591182804</v>
      </c>
      <c r="K361" s="32">
        <f t="shared" si="176"/>
        <v>-23.986620502861491</v>
      </c>
      <c r="L361" s="15">
        <f t="shared" si="185"/>
        <v>3.8729613733905581</v>
      </c>
      <c r="M361" s="15">
        <f t="shared" si="186"/>
        <v>-57.328335091269757</v>
      </c>
      <c r="N361" s="15">
        <f t="shared" si="187"/>
        <v>5.3549547227444352</v>
      </c>
      <c r="O361" s="15">
        <f t="shared" si="188"/>
        <v>-89.917046321641095</v>
      </c>
      <c r="P361" s="15">
        <f t="shared" si="189"/>
        <v>-56.785742714414447</v>
      </c>
      <c r="Q361" s="15">
        <f t="shared" si="190"/>
        <v>-13.975266944919889</v>
      </c>
      <c r="R361" s="15">
        <f t="shared" si="191"/>
        <v>-0.26098364241490424</v>
      </c>
      <c r="S361" s="31">
        <f t="shared" si="177"/>
        <v>-161.22064835783075</v>
      </c>
      <c r="T361" s="31">
        <f t="shared" si="178"/>
        <v>-39.930908321819956</v>
      </c>
      <c r="U361" s="15">
        <f t="shared" si="192"/>
        <v>6500</v>
      </c>
      <c r="V361" s="15">
        <f t="shared" si="193"/>
        <v>-89.999927317672856</v>
      </c>
      <c r="W361" s="15">
        <f t="shared" si="194"/>
        <v>-117.93387616472725</v>
      </c>
      <c r="X361" s="15">
        <f t="shared" si="195"/>
        <v>89.909823489898812</v>
      </c>
      <c r="Y361" s="15">
        <f t="shared" si="196"/>
        <v>56.060587758686651</v>
      </c>
      <c r="Z361" s="15">
        <f t="shared" si="197"/>
        <v>-76.716727161668118</v>
      </c>
      <c r="AA361" s="15">
        <f t="shared" si="198"/>
        <v>-12.774299333350283</v>
      </c>
      <c r="AB361" s="31">
        <f t="shared" si="179"/>
        <v>-76.806830989442162</v>
      </c>
      <c r="AC361" s="31">
        <f t="shared" si="180"/>
        <v>1.6106793934662296</v>
      </c>
      <c r="AD361" s="15">
        <f t="shared" si="199"/>
        <v>89.123225278505231</v>
      </c>
      <c r="AE361" s="15">
        <f t="shared" si="200"/>
        <v>36.305031244831149</v>
      </c>
      <c r="AF361" s="15">
        <f t="shared" si="201"/>
        <v>1.5393965361567625</v>
      </c>
      <c r="AG361" s="15">
        <f t="shared" si="202"/>
        <v>3.1353953773772245E-3</v>
      </c>
      <c r="AH361" s="15">
        <f t="shared" si="203"/>
        <v>-85.430642058571877</v>
      </c>
      <c r="AI361" s="15">
        <f t="shared" si="204"/>
        <v>-21.974558214716289</v>
      </c>
      <c r="AJ361" s="31">
        <f t="shared" si="181"/>
        <v>5.2319797560901122</v>
      </c>
      <c r="AK361" s="31">
        <f t="shared" si="182"/>
        <v>14.333608425492237</v>
      </c>
      <c r="AL361" s="15">
        <f t="shared" si="205"/>
        <v>0</v>
      </c>
      <c r="AM361" s="15">
        <f t="shared" si="206"/>
        <v>0</v>
      </c>
      <c r="AN361" s="15">
        <f t="shared" si="207"/>
        <v>0</v>
      </c>
      <c r="AO361" s="15">
        <f t="shared" si="208"/>
        <v>0</v>
      </c>
      <c r="AP361" s="31">
        <f t="shared" si="183"/>
        <v>0</v>
      </c>
      <c r="AQ361" s="31">
        <f t="shared" si="184"/>
        <v>0</v>
      </c>
    </row>
    <row r="362" spans="8:43" x14ac:dyDescent="0.25">
      <c r="H362" s="15">
        <v>4.5900000000000096</v>
      </c>
      <c r="I362" s="45">
        <f t="shared" si="209"/>
        <v>389045.14499428979</v>
      </c>
      <c r="J362" s="32">
        <f t="shared" si="175"/>
        <v>-54.044047387900818</v>
      </c>
      <c r="K362" s="32">
        <f t="shared" si="176"/>
        <v>-24.244204958170691</v>
      </c>
      <c r="L362" s="15">
        <f t="shared" si="185"/>
        <v>3.8729613733905581</v>
      </c>
      <c r="M362" s="15">
        <f t="shared" si="186"/>
        <v>-57.924920161992418</v>
      </c>
      <c r="N362" s="15">
        <f t="shared" si="187"/>
        <v>5.4976175062394379</v>
      </c>
      <c r="O362" s="15">
        <f t="shared" si="188"/>
        <v>-89.918934575343158</v>
      </c>
      <c r="P362" s="15">
        <f t="shared" si="189"/>
        <v>-56.985742304687875</v>
      </c>
      <c r="Q362" s="15">
        <f t="shared" si="190"/>
        <v>-14.287606795317673</v>
      </c>
      <c r="R362" s="15">
        <f t="shared" si="191"/>
        <v>-0.27290476953810661</v>
      </c>
      <c r="S362" s="31">
        <f t="shared" si="177"/>
        <v>-162.13146153265325</v>
      </c>
      <c r="T362" s="31">
        <f t="shared" si="178"/>
        <v>-40.000166255721581</v>
      </c>
      <c r="U362" s="15">
        <f t="shared" si="192"/>
        <v>6500</v>
      </c>
      <c r="V362" s="15">
        <f t="shared" si="193"/>
        <v>-89.999928972124593</v>
      </c>
      <c r="W362" s="15">
        <f t="shared" si="194"/>
        <v>-118.13387616472693</v>
      </c>
      <c r="X362" s="15">
        <f t="shared" si="195"/>
        <v>89.911876154598303</v>
      </c>
      <c r="Y362" s="15">
        <f t="shared" si="196"/>
        <v>56.260587274503564</v>
      </c>
      <c r="Z362" s="15">
        <f t="shared" si="197"/>
        <v>-77.008721222275724</v>
      </c>
      <c r="AA362" s="15">
        <f t="shared" si="198"/>
        <v>-12.963968035067332</v>
      </c>
      <c r="AB362" s="31">
        <f t="shared" si="179"/>
        <v>-77.096774039802014</v>
      </c>
      <c r="AC362" s="31">
        <f t="shared" si="180"/>
        <v>1.4210102075664182</v>
      </c>
      <c r="AD362" s="15">
        <f t="shared" si="199"/>
        <v>89.143180097779378</v>
      </c>
      <c r="AE362" s="15">
        <f t="shared" si="200"/>
        <v>36.504985476240925</v>
      </c>
      <c r="AF362" s="15">
        <f t="shared" si="201"/>
        <v>1.5752358271309437</v>
      </c>
      <c r="AG362" s="15">
        <f t="shared" si="202"/>
        <v>3.283106169771133E-3</v>
      </c>
      <c r="AH362" s="15">
        <f t="shared" si="203"/>
        <v>-85.534227740355874</v>
      </c>
      <c r="AI362" s="15">
        <f t="shared" si="204"/>
        <v>-22.173317492426222</v>
      </c>
      <c r="AJ362" s="31">
        <f t="shared" si="181"/>
        <v>5.1841881845544435</v>
      </c>
      <c r="AK362" s="31">
        <f t="shared" si="182"/>
        <v>14.334951089984472</v>
      </c>
      <c r="AL362" s="15">
        <f t="shared" si="205"/>
        <v>0</v>
      </c>
      <c r="AM362" s="15">
        <f t="shared" si="206"/>
        <v>0</v>
      </c>
      <c r="AN362" s="15">
        <f t="shared" si="207"/>
        <v>0</v>
      </c>
      <c r="AO362" s="15">
        <f t="shared" si="208"/>
        <v>0</v>
      </c>
      <c r="AP362" s="31">
        <f t="shared" si="183"/>
        <v>0</v>
      </c>
      <c r="AQ362" s="31">
        <f t="shared" si="184"/>
        <v>0</v>
      </c>
    </row>
    <row r="363" spans="8:43" x14ac:dyDescent="0.25">
      <c r="H363" s="15">
        <v>4.6000000000000103</v>
      </c>
      <c r="I363" s="45">
        <f t="shared" si="209"/>
        <v>398107.17055350728</v>
      </c>
      <c r="J363" s="32">
        <f t="shared" si="175"/>
        <v>-55.28432924472888</v>
      </c>
      <c r="K363" s="32">
        <f t="shared" si="176"/>
        <v>-24.500939973073095</v>
      </c>
      <c r="L363" s="15">
        <f t="shared" si="185"/>
        <v>3.8729613733905581</v>
      </c>
      <c r="M363" s="15">
        <f t="shared" si="186"/>
        <v>-58.515546361834829</v>
      </c>
      <c r="N363" s="15">
        <f t="shared" si="187"/>
        <v>5.6421450634881936</v>
      </c>
      <c r="O363" s="15">
        <f t="shared" si="188"/>
        <v>-89.920779847313582</v>
      </c>
      <c r="P363" s="15">
        <f t="shared" si="189"/>
        <v>-57.185741913402026</v>
      </c>
      <c r="Q363" s="15">
        <f t="shared" si="190"/>
        <v>-14.606326585914385</v>
      </c>
      <c r="R363" s="15">
        <f t="shared" si="191"/>
        <v>-0.28535274866910576</v>
      </c>
      <c r="S363" s="31">
        <f t="shared" si="177"/>
        <v>-163.04265279506279</v>
      </c>
      <c r="T363" s="31">
        <f t="shared" si="178"/>
        <v>-40.068086286317971</v>
      </c>
      <c r="U363" s="15">
        <f t="shared" si="192"/>
        <v>6500</v>
      </c>
      <c r="V363" s="15">
        <f t="shared" si="193"/>
        <v>-89.999930588916428</v>
      </c>
      <c r="W363" s="15">
        <f t="shared" si="194"/>
        <v>-118.33387616472665</v>
      </c>
      <c r="X363" s="15">
        <f t="shared" si="195"/>
        <v>89.913882095163402</v>
      </c>
      <c r="Y363" s="15">
        <f t="shared" si="196"/>
        <v>56.460586812112261</v>
      </c>
      <c r="Z363" s="15">
        <f t="shared" si="197"/>
        <v>-77.294733694384547</v>
      </c>
      <c r="AA363" s="15">
        <f t="shared" si="198"/>
        <v>-13.15407872623812</v>
      </c>
      <c r="AB363" s="31">
        <f t="shared" si="179"/>
        <v>-77.380782188137573</v>
      </c>
      <c r="AC363" s="31">
        <f t="shared" si="180"/>
        <v>1.2308990540046079</v>
      </c>
      <c r="AD363" s="15">
        <f t="shared" si="199"/>
        <v>89.162680890780223</v>
      </c>
      <c r="AE363" s="15">
        <f t="shared" si="200"/>
        <v>36.704941767126343</v>
      </c>
      <c r="AF363" s="15">
        <f t="shared" si="201"/>
        <v>1.6119086458506859</v>
      </c>
      <c r="AG363" s="15">
        <f t="shared" si="202"/>
        <v>3.437772972906697E-3</v>
      </c>
      <c r="AH363" s="15">
        <f t="shared" si="203"/>
        <v>-85.635483798159427</v>
      </c>
      <c r="AI363" s="15">
        <f t="shared" si="204"/>
        <v>-22.372132280858985</v>
      </c>
      <c r="AJ363" s="31">
        <f t="shared" si="181"/>
        <v>5.1391057384714856</v>
      </c>
      <c r="AK363" s="31">
        <f t="shared" si="182"/>
        <v>14.336247259240267</v>
      </c>
      <c r="AL363" s="15">
        <f t="shared" si="205"/>
        <v>0</v>
      </c>
      <c r="AM363" s="15">
        <f t="shared" si="206"/>
        <v>0</v>
      </c>
      <c r="AN363" s="15">
        <f t="shared" si="207"/>
        <v>0</v>
      </c>
      <c r="AO363" s="15">
        <f t="shared" si="208"/>
        <v>0</v>
      </c>
      <c r="AP363" s="31">
        <f t="shared" si="183"/>
        <v>0</v>
      </c>
      <c r="AQ363" s="31">
        <f t="shared" si="184"/>
        <v>0</v>
      </c>
    </row>
    <row r="364" spans="8:43" x14ac:dyDescent="0.25">
      <c r="H364" s="15">
        <v>4.6100000000000199</v>
      </c>
      <c r="I364" s="45">
        <f t="shared" si="209"/>
        <v>407380.27780413168</v>
      </c>
      <c r="J364" s="32">
        <f t="shared" si="175"/>
        <v>-56.516362295266077</v>
      </c>
      <c r="K364" s="32">
        <f t="shared" si="176"/>
        <v>-24.756864394466319</v>
      </c>
      <c r="L364" s="15">
        <f t="shared" si="185"/>
        <v>3.8729613733905581</v>
      </c>
      <c r="M364" s="15">
        <f t="shared" si="186"/>
        <v>-59.100024735553632</v>
      </c>
      <c r="N364" s="15">
        <f t="shared" si="187"/>
        <v>5.7884995533506896</v>
      </c>
      <c r="O364" s="15">
        <f t="shared" si="188"/>
        <v>-89.922583115924667</v>
      </c>
      <c r="P364" s="15">
        <f t="shared" si="189"/>
        <v>-57.385741539727078</v>
      </c>
      <c r="Q364" s="15">
        <f t="shared" si="190"/>
        <v>-14.931516373993155</v>
      </c>
      <c r="R364" s="15">
        <f t="shared" si="191"/>
        <v>-0.29834925473729129</v>
      </c>
      <c r="S364" s="31">
        <f t="shared" si="177"/>
        <v>-163.95412422547147</v>
      </c>
      <c r="T364" s="31">
        <f t="shared" si="178"/>
        <v>-40.134727928848719</v>
      </c>
      <c r="U364" s="15">
        <f t="shared" si="192"/>
        <v>6500</v>
      </c>
      <c r="V364" s="15">
        <f t="shared" si="193"/>
        <v>-89.999932168905588</v>
      </c>
      <c r="W364" s="15">
        <f t="shared" si="194"/>
        <v>-118.53387616472654</v>
      </c>
      <c r="X364" s="15">
        <f t="shared" si="195"/>
        <v>89.915842375150632</v>
      </c>
      <c r="Y364" s="15">
        <f t="shared" si="196"/>
        <v>56.660586370532123</v>
      </c>
      <c r="Z364" s="15">
        <f t="shared" si="197"/>
        <v>-77.574859183567241</v>
      </c>
      <c r="AA364" s="15">
        <f t="shared" si="198"/>
        <v>-13.344613441631918</v>
      </c>
      <c r="AB364" s="31">
        <f t="shared" si="179"/>
        <v>-77.658948977322197</v>
      </c>
      <c r="AC364" s="31">
        <f t="shared" si="180"/>
        <v>1.0403638970307831</v>
      </c>
      <c r="AD364" s="15">
        <f t="shared" si="199"/>
        <v>89.18173797900414</v>
      </c>
      <c r="AE364" s="15">
        <f t="shared" si="200"/>
        <v>36.904900024835484</v>
      </c>
      <c r="AF364" s="15">
        <f t="shared" si="201"/>
        <v>1.6494343164685579</v>
      </c>
      <c r="AG364" s="15">
        <f t="shared" si="202"/>
        <v>3.5997230944151267E-3</v>
      </c>
      <c r="AH364" s="15">
        <f t="shared" si="203"/>
        <v>-85.734461387945103</v>
      </c>
      <c r="AI364" s="15">
        <f t="shared" si="204"/>
        <v>-22.571000110578289</v>
      </c>
      <c r="AJ364" s="31">
        <f t="shared" si="181"/>
        <v>5.0967109075275943</v>
      </c>
      <c r="AK364" s="31">
        <f t="shared" si="182"/>
        <v>14.337499637351613</v>
      </c>
      <c r="AL364" s="15">
        <f t="shared" si="205"/>
        <v>0</v>
      </c>
      <c r="AM364" s="15">
        <f t="shared" si="206"/>
        <v>0</v>
      </c>
      <c r="AN364" s="15">
        <f t="shared" si="207"/>
        <v>0</v>
      </c>
      <c r="AO364" s="15">
        <f t="shared" si="208"/>
        <v>0</v>
      </c>
      <c r="AP364" s="31">
        <f t="shared" si="183"/>
        <v>0</v>
      </c>
      <c r="AQ364" s="31">
        <f t="shared" si="184"/>
        <v>0</v>
      </c>
    </row>
    <row r="365" spans="8:43" x14ac:dyDescent="0.25">
      <c r="H365" s="15">
        <v>4.6200000000000196</v>
      </c>
      <c r="I365" s="45">
        <f t="shared" si="209"/>
        <v>416869.38347035483</v>
      </c>
      <c r="J365" s="32">
        <f t="shared" si="175"/>
        <v>-57.740173530750695</v>
      </c>
      <c r="K365" s="32">
        <f t="shared" si="176"/>
        <v>-25.012019293689733</v>
      </c>
      <c r="L365" s="15">
        <f t="shared" si="185"/>
        <v>3.8729613733905581</v>
      </c>
      <c r="M365" s="15">
        <f t="shared" si="186"/>
        <v>-59.678178579731252</v>
      </c>
      <c r="N365" s="15">
        <f t="shared" si="187"/>
        <v>5.9366423974986375</v>
      </c>
      <c r="O365" s="15">
        <f t="shared" si="188"/>
        <v>-89.924345337278993</v>
      </c>
      <c r="P365" s="15">
        <f t="shared" si="189"/>
        <v>-57.585741182870066</v>
      </c>
      <c r="Q365" s="15">
        <f t="shared" si="190"/>
        <v>-15.263264742646804</v>
      </c>
      <c r="R365" s="15">
        <f t="shared" si="191"/>
        <v>-0.31191671009582944</v>
      </c>
      <c r="S365" s="31">
        <f t="shared" si="177"/>
        <v>-164.86578865965706</v>
      </c>
      <c r="T365" s="31">
        <f t="shared" si="178"/>
        <v>-40.200152183202292</v>
      </c>
      <c r="U365" s="15">
        <f t="shared" si="192"/>
        <v>6500</v>
      </c>
      <c r="V365" s="15">
        <f t="shared" si="193"/>
        <v>-89.999933712929803</v>
      </c>
      <c r="W365" s="15">
        <f t="shared" si="194"/>
        <v>-118.73387616472627</v>
      </c>
      <c r="X365" s="15">
        <f t="shared" si="195"/>
        <v>89.917758033908029</v>
      </c>
      <c r="Y365" s="15">
        <f t="shared" si="196"/>
        <v>56.860585948826156</v>
      </c>
      <c r="Z365" s="15">
        <f t="shared" si="197"/>
        <v>-77.849192624046808</v>
      </c>
      <c r="AA365" s="15">
        <f t="shared" si="198"/>
        <v>-13.535554866780872</v>
      </c>
      <c r="AB365" s="31">
        <f t="shared" si="179"/>
        <v>-77.931368303068581</v>
      </c>
      <c r="AC365" s="31">
        <f t="shared" si="180"/>
        <v>0.84942205017612871</v>
      </c>
      <c r="AD365" s="15">
        <f t="shared" si="199"/>
        <v>89.200361449895766</v>
      </c>
      <c r="AE365" s="15">
        <f t="shared" si="200"/>
        <v>37.104860160882488</v>
      </c>
      <c r="AF365" s="15">
        <f t="shared" si="201"/>
        <v>1.6878326067434912</v>
      </c>
      <c r="AG365" s="15">
        <f t="shared" si="202"/>
        <v>3.769299217436752E-3</v>
      </c>
      <c r="AH365" s="15">
        <f t="shared" si="203"/>
        <v>-85.831210624664322</v>
      </c>
      <c r="AI365" s="15">
        <f t="shared" si="204"/>
        <v>-22.769918620763498</v>
      </c>
      <c r="AJ365" s="31">
        <f t="shared" si="181"/>
        <v>5.0569834319749418</v>
      </c>
      <c r="AK365" s="31">
        <f t="shared" si="182"/>
        <v>14.338710839336429</v>
      </c>
      <c r="AL365" s="15">
        <f t="shared" si="205"/>
        <v>0</v>
      </c>
      <c r="AM365" s="15">
        <f t="shared" si="206"/>
        <v>0</v>
      </c>
      <c r="AN365" s="15">
        <f t="shared" si="207"/>
        <v>0</v>
      </c>
      <c r="AO365" s="15">
        <f t="shared" si="208"/>
        <v>0</v>
      </c>
      <c r="AP365" s="31">
        <f t="shared" si="183"/>
        <v>0</v>
      </c>
      <c r="AQ365" s="31">
        <f t="shared" si="184"/>
        <v>0</v>
      </c>
    </row>
    <row r="366" spans="8:43" x14ac:dyDescent="0.25">
      <c r="H366" s="15">
        <v>4.6300000000000097</v>
      </c>
      <c r="I366" s="45">
        <f t="shared" si="209"/>
        <v>426579.51880160259</v>
      </c>
      <c r="J366" s="32">
        <f t="shared" si="175"/>
        <v>-58.955799448788653</v>
      </c>
      <c r="K366" s="32">
        <f t="shared" si="176"/>
        <v>-25.266447846527477</v>
      </c>
      <c r="L366" s="15">
        <f t="shared" si="185"/>
        <v>3.8729613733905581</v>
      </c>
      <c r="M366" s="15">
        <f t="shared" si="186"/>
        <v>-60.249843458287238</v>
      </c>
      <c r="N366" s="15">
        <f t="shared" si="187"/>
        <v>6.0865343912312353</v>
      </c>
      <c r="O366" s="15">
        <f t="shared" si="188"/>
        <v>-89.926067445716313</v>
      </c>
      <c r="P366" s="15">
        <f t="shared" si="189"/>
        <v>-57.785740842074034</v>
      </c>
      <c r="Q366" s="15">
        <f t="shared" si="190"/>
        <v>-15.601658577422894</v>
      </c>
      <c r="R366" s="15">
        <f t="shared" si="191"/>
        <v>-0.32607829737655408</v>
      </c>
      <c r="S366" s="31">
        <f t="shared" si="177"/>
        <v>-165.77756948142644</v>
      </c>
      <c r="T366" s="31">
        <f t="shared" si="178"/>
        <v>-40.264421435954389</v>
      </c>
      <c r="U366" s="15">
        <f t="shared" si="192"/>
        <v>6500</v>
      </c>
      <c r="V366" s="15">
        <f t="shared" si="193"/>
        <v>-89.999935221807746</v>
      </c>
      <c r="W366" s="15">
        <f t="shared" si="194"/>
        <v>-118.9338761647258</v>
      </c>
      <c r="X366" s="15">
        <f t="shared" si="195"/>
        <v>89.919630087126066</v>
      </c>
      <c r="Y366" s="15">
        <f t="shared" si="196"/>
        <v>57.060585546099823</v>
      </c>
      <c r="Z366" s="15">
        <f t="shared" si="197"/>
        <v>-78.117829134823566</v>
      </c>
      <c r="AA366" s="15">
        <f t="shared" si="198"/>
        <v>-13.726886321144265</v>
      </c>
      <c r="AB366" s="31">
        <f t="shared" si="179"/>
        <v>-78.198134269505246</v>
      </c>
      <c r="AC366" s="31">
        <f t="shared" si="180"/>
        <v>0.65809019308686878</v>
      </c>
      <c r="AD366" s="15">
        <f t="shared" si="199"/>
        <v>89.21856116211606</v>
      </c>
      <c r="AE366" s="15">
        <f t="shared" si="200"/>
        <v>37.304822090761142</v>
      </c>
      <c r="AF366" s="15">
        <f t="shared" si="201"/>
        <v>1.7271237379096502</v>
      </c>
      <c r="AG366" s="15">
        <f t="shared" si="202"/>
        <v>3.9468601204436012E-3</v>
      </c>
      <c r="AH366" s="15">
        <f t="shared" si="203"/>
        <v>-85.925780597882678</v>
      </c>
      <c r="AI366" s="15">
        <f t="shared" si="204"/>
        <v>-22.968885554541544</v>
      </c>
      <c r="AJ366" s="31">
        <f t="shared" si="181"/>
        <v>5.0199043021430327</v>
      </c>
      <c r="AK366" s="31">
        <f t="shared" si="182"/>
        <v>14.339883396340042</v>
      </c>
      <c r="AL366" s="15">
        <f t="shared" si="205"/>
        <v>0</v>
      </c>
      <c r="AM366" s="15">
        <f t="shared" si="206"/>
        <v>0</v>
      </c>
      <c r="AN366" s="15">
        <f t="shared" si="207"/>
        <v>0</v>
      </c>
      <c r="AO366" s="15">
        <f t="shared" si="208"/>
        <v>0</v>
      </c>
      <c r="AP366" s="31">
        <f t="shared" si="183"/>
        <v>0</v>
      </c>
      <c r="AQ366" s="31">
        <f t="shared" si="184"/>
        <v>0</v>
      </c>
    </row>
    <row r="367" spans="8:43" x14ac:dyDescent="0.25">
      <c r="H367" s="15">
        <v>4.6400000000000103</v>
      </c>
      <c r="I367" s="45">
        <f t="shared" si="209"/>
        <v>436515.83224017685</v>
      </c>
      <c r="J367" s="32">
        <f t="shared" si="175"/>
        <v>-60.163285652144296</v>
      </c>
      <c r="K367" s="32">
        <f t="shared" si="176"/>
        <v>-25.520195214573945</v>
      </c>
      <c r="L367" s="15">
        <f t="shared" si="185"/>
        <v>3.8729613733905581</v>
      </c>
      <c r="M367" s="15">
        <f t="shared" si="186"/>
        <v>-60.814867170412356</v>
      </c>
      <c r="N367" s="15">
        <f t="shared" si="187"/>
        <v>6.2381358118836179</v>
      </c>
      <c r="O367" s="15">
        <f t="shared" si="188"/>
        <v>-89.92775035430887</v>
      </c>
      <c r="P367" s="15">
        <f t="shared" si="189"/>
        <v>-57.985740516616538</v>
      </c>
      <c r="Q367" s="15">
        <f t="shared" si="190"/>
        <v>-15.946782830996227</v>
      </c>
      <c r="R367" s="15">
        <f t="shared" si="191"/>
        <v>-0.34085797131960471</v>
      </c>
      <c r="S367" s="31">
        <f t="shared" si="177"/>
        <v>-166.68940035571745</v>
      </c>
      <c r="T367" s="31">
        <f t="shared" si="178"/>
        <v>-40.327599363787563</v>
      </c>
      <c r="U367" s="15">
        <f t="shared" si="192"/>
        <v>6500</v>
      </c>
      <c r="V367" s="15">
        <f t="shared" si="193"/>
        <v>-89.999936696339418</v>
      </c>
      <c r="W367" s="15">
        <f t="shared" si="194"/>
        <v>-119.13387616472556</v>
      </c>
      <c r="X367" s="15">
        <f t="shared" si="195"/>
        <v>89.921459527376172</v>
      </c>
      <c r="Y367" s="15">
        <f t="shared" si="196"/>
        <v>57.260585161499343</v>
      </c>
      <c r="Z367" s="15">
        <f t="shared" si="197"/>
        <v>-78.380863885329958</v>
      </c>
      <c r="AA367" s="15">
        <f t="shared" si="198"/>
        <v>-13.91859174110466</v>
      </c>
      <c r="AB367" s="31">
        <f t="shared" si="179"/>
        <v>-78.459341054293205</v>
      </c>
      <c r="AC367" s="31">
        <f t="shared" si="180"/>
        <v>0.4663843885262331</v>
      </c>
      <c r="AD367" s="15">
        <f t="shared" si="199"/>
        <v>89.236346750694395</v>
      </c>
      <c r="AE367" s="15">
        <f t="shared" si="200"/>
        <v>37.504785733766177</v>
      </c>
      <c r="AF367" s="15">
        <f t="shared" si="201"/>
        <v>1.7673283947420289</v>
      </c>
      <c r="AG367" s="15">
        <f t="shared" si="202"/>
        <v>4.1327814305088389E-3</v>
      </c>
      <c r="AH367" s="15">
        <f t="shared" si="203"/>
        <v>-86.018219387570056</v>
      </c>
      <c r="AI367" s="15">
        <f t="shared" si="204"/>
        <v>-23.167898754509295</v>
      </c>
      <c r="AJ367" s="31">
        <f t="shared" si="181"/>
        <v>4.9854557578663616</v>
      </c>
      <c r="AK367" s="31">
        <f t="shared" si="182"/>
        <v>14.341019760687388</v>
      </c>
      <c r="AL367" s="15">
        <f t="shared" si="205"/>
        <v>0</v>
      </c>
      <c r="AM367" s="15">
        <f t="shared" si="206"/>
        <v>0</v>
      </c>
      <c r="AN367" s="15">
        <f t="shared" si="207"/>
        <v>0</v>
      </c>
      <c r="AO367" s="15">
        <f t="shared" si="208"/>
        <v>0</v>
      </c>
      <c r="AP367" s="31">
        <f t="shared" si="183"/>
        <v>0</v>
      </c>
      <c r="AQ367" s="31">
        <f t="shared" si="184"/>
        <v>0</v>
      </c>
    </row>
    <row r="368" spans="8:43" x14ac:dyDescent="0.25">
      <c r="H368" s="15">
        <v>4.6500000000000101</v>
      </c>
      <c r="I368" s="45">
        <f t="shared" si="209"/>
        <v>446683.5921509742</v>
      </c>
      <c r="J368" s="32">
        <f t="shared" si="175"/>
        <v>-61.36268639965202</v>
      </c>
      <c r="K368" s="32">
        <f t="shared" si="176"/>
        <v>-25.773308428366562</v>
      </c>
      <c r="L368" s="15">
        <f t="shared" si="185"/>
        <v>3.8729613733905581</v>
      </c>
      <c r="M368" s="15">
        <f t="shared" si="186"/>
        <v>-61.373109673539453</v>
      </c>
      <c r="N368" s="15">
        <f t="shared" si="187"/>
        <v>6.3914065243420399</v>
      </c>
      <c r="O368" s="15">
        <f t="shared" si="188"/>
        <v>-89.92939495534543</v>
      </c>
      <c r="P368" s="15">
        <f t="shared" si="189"/>
        <v>-58.185740205806994</v>
      </c>
      <c r="Q368" s="15">
        <f t="shared" si="190"/>
        <v>-16.298720275724154</v>
      </c>
      <c r="R368" s="15">
        <f t="shared" si="191"/>
        <v>-0.35628046943652869</v>
      </c>
      <c r="S368" s="31">
        <f t="shared" si="177"/>
        <v>-167.60122490460904</v>
      </c>
      <c r="T368" s="31">
        <f t="shared" si="178"/>
        <v>-40.389750838636516</v>
      </c>
      <c r="U368" s="15">
        <f t="shared" si="192"/>
        <v>6500</v>
      </c>
      <c r="V368" s="15">
        <f t="shared" si="193"/>
        <v>-89.999938137306657</v>
      </c>
      <c r="W368" s="15">
        <f t="shared" si="194"/>
        <v>-119.33387616472532</v>
      </c>
      <c r="X368" s="15">
        <f t="shared" si="195"/>
        <v>89.923247324636833</v>
      </c>
      <c r="Y368" s="15">
        <f t="shared" si="196"/>
        <v>57.4605847942087</v>
      </c>
      <c r="Z368" s="15">
        <f t="shared" si="197"/>
        <v>-78.638391970242509</v>
      </c>
      <c r="AA368" s="15">
        <f t="shared" si="198"/>
        <v>-14.110655662864618</v>
      </c>
      <c r="AB368" s="31">
        <f t="shared" si="179"/>
        <v>-78.715082782912333</v>
      </c>
      <c r="AC368" s="31">
        <f t="shared" si="180"/>
        <v>0.27432009947587055</v>
      </c>
      <c r="AD368" s="15">
        <f t="shared" si="199"/>
        <v>89.253727632066955</v>
      </c>
      <c r="AE368" s="15">
        <f t="shared" si="200"/>
        <v>37.704751012821397</v>
      </c>
      <c r="AF368" s="15">
        <f t="shared" si="201"/>
        <v>1.8084677358208887</v>
      </c>
      <c r="AG368" s="15">
        <f t="shared" si="202"/>
        <v>4.3274564115552633E-3</v>
      </c>
      <c r="AH368" s="15">
        <f t="shared" si="203"/>
        <v>-86.108574080018485</v>
      </c>
      <c r="AI368" s="15">
        <f t="shared" si="204"/>
        <v>-23.366956158438867</v>
      </c>
      <c r="AJ368" s="31">
        <f t="shared" si="181"/>
        <v>4.9536212878693533</v>
      </c>
      <c r="AK368" s="31">
        <f t="shared" si="182"/>
        <v>14.342122310794082</v>
      </c>
      <c r="AL368" s="15">
        <f t="shared" si="205"/>
        <v>0</v>
      </c>
      <c r="AM368" s="15">
        <f t="shared" si="206"/>
        <v>0</v>
      </c>
      <c r="AN368" s="15">
        <f t="shared" si="207"/>
        <v>0</v>
      </c>
      <c r="AO368" s="15">
        <f t="shared" si="208"/>
        <v>0</v>
      </c>
      <c r="AP368" s="31">
        <f t="shared" si="183"/>
        <v>0</v>
      </c>
      <c r="AQ368" s="31">
        <f t="shared" si="184"/>
        <v>0</v>
      </c>
    </row>
    <row r="369" spans="8:43" x14ac:dyDescent="0.25">
      <c r="H369" s="15">
        <v>4.6600000000000197</v>
      </c>
      <c r="I369" s="45">
        <f t="shared" si="209"/>
        <v>457088.18961489608</v>
      </c>
      <c r="J369" s="32">
        <f t="shared" ref="J369:J403" si="210">180+S369+AB369+AJ369+AP369</f>
        <v>-62.554064111573084</v>
      </c>
      <c r="K369" s="32">
        <f t="shared" ref="K369:K403" si="211">T369+AC369+AK369+AQ369</f>
        <v>-26.025836272628879</v>
      </c>
      <c r="L369" s="15">
        <f t="shared" si="185"/>
        <v>3.8729613733905581</v>
      </c>
      <c r="M369" s="15">
        <f t="shared" si="186"/>
        <v>-61.924442964168279</v>
      </c>
      <c r="N369" s="15">
        <f t="shared" si="187"/>
        <v>6.5463060832349962</v>
      </c>
      <c r="O369" s="15">
        <f t="shared" si="188"/>
        <v>-89.931002120804422</v>
      </c>
      <c r="P369" s="15">
        <f t="shared" si="189"/>
        <v>-58.385739908986366</v>
      </c>
      <c r="Q369" s="15">
        <f t="shared" si="190"/>
        <v>-16.65755124399961</v>
      </c>
      <c r="R369" s="15">
        <f t="shared" si="191"/>
        <v>-0.3723713213574662</v>
      </c>
      <c r="S369" s="31">
        <f t="shared" ref="S369:S403" si="212">M369+O369+Q369</f>
        <v>-168.51299632897232</v>
      </c>
      <c r="T369" s="31">
        <f t="shared" ref="T369:T403" si="213">20*LOG(L369)+N369+P369+R369</f>
        <v>-40.450941834843874</v>
      </c>
      <c r="U369" s="15">
        <f t="shared" si="192"/>
        <v>6500</v>
      </c>
      <c r="V369" s="15">
        <f t="shared" si="193"/>
        <v>-89.999939545473467</v>
      </c>
      <c r="W369" s="15">
        <f t="shared" si="194"/>
        <v>-119.53387616472529</v>
      </c>
      <c r="X369" s="15">
        <f t="shared" si="195"/>
        <v>89.924994426807885</v>
      </c>
      <c r="Y369" s="15">
        <f t="shared" si="196"/>
        <v>57.660584443449004</v>
      </c>
      <c r="Z369" s="15">
        <f t="shared" si="197"/>
        <v>-78.890508293081325</v>
      </c>
      <c r="AA369" s="15">
        <f t="shared" si="198"/>
        <v>-14.303063205310151</v>
      </c>
      <c r="AB369" s="31">
        <f t="shared" ref="AB369:AB403" si="214">V369+X369+Z369</f>
        <v>-78.965453411746907</v>
      </c>
      <c r="AC369" s="31">
        <f t="shared" ref="AC369:AC403" si="215">20*LOG(U369)+W369+Y369+AA369</f>
        <v>8.1912206270681409E-2</v>
      </c>
      <c r="AD369" s="15">
        <f t="shared" si="199"/>
        <v>89.270713009004197</v>
      </c>
      <c r="AE369" s="15">
        <f t="shared" si="200"/>
        <v>37.90471785431761</v>
      </c>
      <c r="AF369" s="15">
        <f t="shared" si="201"/>
        <v>1.8505634039978622</v>
      </c>
      <c r="AG369" s="15">
        <f t="shared" si="202"/>
        <v>4.5312967892304013E-3</v>
      </c>
      <c r="AH369" s="15">
        <f t="shared" si="203"/>
        <v>-86.19689078385592</v>
      </c>
      <c r="AI369" s="15">
        <f t="shared" si="204"/>
        <v>-23.566055795162526</v>
      </c>
      <c r="AJ369" s="31">
        <f t="shared" ref="AJ369:AJ403" si="216">AD369+AF369+AH369</f>
        <v>4.9243856291461441</v>
      </c>
      <c r="AK369" s="31">
        <f t="shared" ref="AK369:AK403" si="217">AE369+AG369+AI369</f>
        <v>14.343193355944315</v>
      </c>
      <c r="AL369" s="15">
        <f t="shared" si="205"/>
        <v>0</v>
      </c>
      <c r="AM369" s="15">
        <f t="shared" si="206"/>
        <v>0</v>
      </c>
      <c r="AN369" s="15">
        <f t="shared" si="207"/>
        <v>0</v>
      </c>
      <c r="AO369" s="15">
        <f t="shared" si="208"/>
        <v>0</v>
      </c>
      <c r="AP369" s="31">
        <f t="shared" ref="AP369:AP403" si="218">AL369+AN369</f>
        <v>0</v>
      </c>
      <c r="AQ369" s="31">
        <f t="shared" ref="AQ369:AQ403" si="219">AM369+AO369</f>
        <v>0</v>
      </c>
    </row>
    <row r="370" spans="8:43" x14ac:dyDescent="0.25">
      <c r="H370" s="15">
        <v>4.6700000000000204</v>
      </c>
      <c r="I370" s="45">
        <f t="shared" si="209"/>
        <v>467735.14128722053</v>
      </c>
      <c r="J370" s="32">
        <f t="shared" si="210"/>
        <v>-63.737488831888513</v>
      </c>
      <c r="K370" s="32">
        <f t="shared" si="211"/>
        <v>-26.277829173889366</v>
      </c>
      <c r="L370" s="15">
        <f t="shared" si="185"/>
        <v>3.8729613733905581</v>
      </c>
      <c r="M370" s="15">
        <f t="shared" si="186"/>
        <v>-62.468750919491235</v>
      </c>
      <c r="N370" s="15">
        <f t="shared" si="187"/>
        <v>6.7027938314166668</v>
      </c>
      <c r="O370" s="15">
        <f t="shared" si="188"/>
        <v>-89.932572702816088</v>
      </c>
      <c r="P370" s="15">
        <f t="shared" si="189"/>
        <v>-58.585739625524667</v>
      </c>
      <c r="Q370" s="15">
        <f t="shared" si="190"/>
        <v>-17.023353356363408</v>
      </c>
      <c r="R370" s="15">
        <f t="shared" si="191"/>
        <v>-0.38915685670418887</v>
      </c>
      <c r="S370" s="31">
        <f t="shared" si="212"/>
        <v>-169.42467697867073</v>
      </c>
      <c r="T370" s="31">
        <f t="shared" si="213"/>
        <v>-40.511239338547227</v>
      </c>
      <c r="U370" s="15">
        <f t="shared" si="192"/>
        <v>6500</v>
      </c>
      <c r="V370" s="15">
        <f t="shared" si="193"/>
        <v>-89.999940921586514</v>
      </c>
      <c r="W370" s="15">
        <f t="shared" si="194"/>
        <v>-119.73387616472507</v>
      </c>
      <c r="X370" s="15">
        <f t="shared" si="195"/>
        <v>89.926701760213035</v>
      </c>
      <c r="Y370" s="15">
        <f t="shared" si="196"/>
        <v>57.860584108475912</v>
      </c>
      <c r="Z370" s="15">
        <f t="shared" si="197"/>
        <v>-79.137307458215915</v>
      </c>
      <c r="AA370" s="15">
        <f t="shared" si="198"/>
        <v>-14.495800052893665</v>
      </c>
      <c r="AB370" s="31">
        <f t="shared" si="214"/>
        <v>-79.210546619589394</v>
      </c>
      <c r="AC370" s="31">
        <f t="shared" si="215"/>
        <v>-0.11082497628571453</v>
      </c>
      <c r="AD370" s="15">
        <f t="shared" si="199"/>
        <v>89.28731187542914</v>
      </c>
      <c r="AE370" s="15">
        <f t="shared" si="200"/>
        <v>38.104686187955835</v>
      </c>
      <c r="AF370" s="15">
        <f t="shared" si="201"/>
        <v>1.8936375370648595</v>
      </c>
      <c r="AG370" s="15">
        <f t="shared" si="202"/>
        <v>4.7447336140107677E-3</v>
      </c>
      <c r="AH370" s="15">
        <f t="shared" si="203"/>
        <v>-86.283214646122389</v>
      </c>
      <c r="AI370" s="15">
        <f t="shared" si="204"/>
        <v>-23.765195780626271</v>
      </c>
      <c r="AJ370" s="31">
        <f t="shared" si="216"/>
        <v>4.8977347663716131</v>
      </c>
      <c r="AK370" s="31">
        <f t="shared" si="217"/>
        <v>14.344235140943574</v>
      </c>
      <c r="AL370" s="15">
        <f t="shared" si="205"/>
        <v>0</v>
      </c>
      <c r="AM370" s="15">
        <f t="shared" si="206"/>
        <v>0</v>
      </c>
      <c r="AN370" s="15">
        <f t="shared" si="207"/>
        <v>0</v>
      </c>
      <c r="AO370" s="15">
        <f t="shared" si="208"/>
        <v>0</v>
      </c>
      <c r="AP370" s="31">
        <f t="shared" si="218"/>
        <v>0</v>
      </c>
      <c r="AQ370" s="31">
        <f t="shared" si="219"/>
        <v>0</v>
      </c>
    </row>
    <row r="371" spans="8:43" x14ac:dyDescent="0.25">
      <c r="H371" s="15">
        <v>4.6800000000000201</v>
      </c>
      <c r="I371" s="45">
        <f t="shared" si="209"/>
        <v>478630.09232266113</v>
      </c>
      <c r="J371" s="32">
        <f t="shared" si="210"/>
        <v>-64.913037650250757</v>
      </c>
      <c r="K371" s="32">
        <f t="shared" si="211"/>
        <v>-26.529339090686875</v>
      </c>
      <c r="L371" s="15">
        <f t="shared" si="185"/>
        <v>3.8729613733905581</v>
      </c>
      <c r="M371" s="15">
        <f t="shared" si="186"/>
        <v>-63.005929102899728</v>
      </c>
      <c r="N371" s="15">
        <f t="shared" si="187"/>
        <v>6.8608289944183838</v>
      </c>
      <c r="O371" s="15">
        <f t="shared" si="188"/>
        <v>-89.934107534114361</v>
      </c>
      <c r="P371" s="15">
        <f t="shared" si="189"/>
        <v>-58.785739354820819</v>
      </c>
      <c r="Q371" s="15">
        <f t="shared" si="190"/>
        <v>-17.39620123741949</v>
      </c>
      <c r="R371" s="15">
        <f t="shared" si="191"/>
        <v>-0.40666421132329439</v>
      </c>
      <c r="S371" s="31">
        <f t="shared" si="212"/>
        <v>-170.33623787443358</v>
      </c>
      <c r="T371" s="31">
        <f t="shared" si="213"/>
        <v>-40.570711259460772</v>
      </c>
      <c r="U371" s="15">
        <f t="shared" si="192"/>
        <v>6500</v>
      </c>
      <c r="V371" s="15">
        <f t="shared" si="193"/>
        <v>-89.999942266375371</v>
      </c>
      <c r="W371" s="15">
        <f t="shared" si="194"/>
        <v>-119.93387616472488</v>
      </c>
      <c r="X371" s="15">
        <f t="shared" si="195"/>
        <v>89.928370230090906</v>
      </c>
      <c r="Y371" s="15">
        <f t="shared" si="196"/>
        <v>58.060583788579052</v>
      </c>
      <c r="Z371" s="15">
        <f t="shared" si="197"/>
        <v>-79.378883670908124</v>
      </c>
      <c r="AA371" s="15">
        <f t="shared" si="198"/>
        <v>-14.688852438591537</v>
      </c>
      <c r="AB371" s="31">
        <f t="shared" si="214"/>
        <v>-79.450455707192589</v>
      </c>
      <c r="AC371" s="31">
        <f t="shared" si="215"/>
        <v>-0.30387768188024999</v>
      </c>
      <c r="AD371" s="15">
        <f t="shared" si="199"/>
        <v>89.303533021129056</v>
      </c>
      <c r="AE371" s="15">
        <f t="shared" si="200"/>
        <v>38.30465594659956</v>
      </c>
      <c r="AF371" s="15">
        <f t="shared" si="201"/>
        <v>1.9377127786285049</v>
      </c>
      <c r="AG371" s="15">
        <f t="shared" si="202"/>
        <v>4.9682181643449005E-3</v>
      </c>
      <c r="AH371" s="15">
        <f t="shared" si="203"/>
        <v>-86.367589868382154</v>
      </c>
      <c r="AI371" s="15">
        <f t="shared" si="204"/>
        <v>-23.964374314109754</v>
      </c>
      <c r="AJ371" s="31">
        <f t="shared" si="216"/>
        <v>4.87365593137541</v>
      </c>
      <c r="AK371" s="31">
        <f t="shared" si="217"/>
        <v>14.345249850654149</v>
      </c>
      <c r="AL371" s="15">
        <f t="shared" si="205"/>
        <v>0</v>
      </c>
      <c r="AM371" s="15">
        <f t="shared" si="206"/>
        <v>0</v>
      </c>
      <c r="AN371" s="15">
        <f t="shared" si="207"/>
        <v>0</v>
      </c>
      <c r="AO371" s="15">
        <f t="shared" si="208"/>
        <v>0</v>
      </c>
      <c r="AP371" s="31">
        <f t="shared" si="218"/>
        <v>0</v>
      </c>
      <c r="AQ371" s="31">
        <f t="shared" si="219"/>
        <v>0</v>
      </c>
    </row>
    <row r="372" spans="8:43" x14ac:dyDescent="0.25">
      <c r="H372" s="15">
        <v>4.6900000000000199</v>
      </c>
      <c r="I372" s="45">
        <f t="shared" si="209"/>
        <v>489778.81936846947</v>
      </c>
      <c r="J372" s="32">
        <f t="shared" si="210"/>
        <v>-66.080794086419289</v>
      </c>
      <c r="K372" s="32">
        <f t="shared" si="211"/>
        <v>-26.780419406496275</v>
      </c>
      <c r="L372" s="15">
        <f t="shared" si="185"/>
        <v>3.8729613733905581</v>
      </c>
      <c r="M372" s="15">
        <f t="shared" si="186"/>
        <v>-63.535884536499566</v>
      </c>
      <c r="N372" s="15">
        <f t="shared" si="187"/>
        <v>7.020370770590211</v>
      </c>
      <c r="O372" s="15">
        <f t="shared" si="188"/>
        <v>-89.935607428478306</v>
      </c>
      <c r="P372" s="15">
        <f t="shared" si="189"/>
        <v>-58.985739096300648</v>
      </c>
      <c r="Q372" s="15">
        <f t="shared" si="190"/>
        <v>-17.776166219657838</v>
      </c>
      <c r="R372" s="15">
        <f t="shared" si="191"/>
        <v>-0.42492133170547891</v>
      </c>
      <c r="S372" s="31">
        <f t="shared" si="212"/>
        <v>-171.24765818463572</v>
      </c>
      <c r="T372" s="31">
        <f t="shared" si="213"/>
        <v>-40.629426345150947</v>
      </c>
      <c r="U372" s="15">
        <f t="shared" si="192"/>
        <v>6500</v>
      </c>
      <c r="V372" s="15">
        <f t="shared" si="193"/>
        <v>-89.999943580553122</v>
      </c>
      <c r="W372" s="15">
        <f t="shared" si="194"/>
        <v>-120.13387616472468</v>
      </c>
      <c r="X372" s="15">
        <f t="shared" si="195"/>
        <v>89.93000072107499</v>
      </c>
      <c r="Y372" s="15">
        <f t="shared" si="196"/>
        <v>58.260583483079898</v>
      </c>
      <c r="Z372" s="15">
        <f t="shared" si="197"/>
        <v>-79.615330645015618</v>
      </c>
      <c r="AA372" s="15">
        <f t="shared" si="198"/>
        <v>-14.882207126978596</v>
      </c>
      <c r="AB372" s="31">
        <f t="shared" si="214"/>
        <v>-79.68527350449375</v>
      </c>
      <c r="AC372" s="31">
        <f t="shared" si="215"/>
        <v>-0.4972326757662664</v>
      </c>
      <c r="AD372" s="15">
        <f t="shared" si="199"/>
        <v>89.319385036362817</v>
      </c>
      <c r="AE372" s="15">
        <f t="shared" si="200"/>
        <v>38.504627066131945</v>
      </c>
      <c r="AF372" s="15">
        <f t="shared" si="201"/>
        <v>1.9828122891910152</v>
      </c>
      <c r="AG372" s="15">
        <f t="shared" si="202"/>
        <v>5.2022228915969554E-3</v>
      </c>
      <c r="AH372" s="15">
        <f t="shared" si="203"/>
        <v>-86.450059722843648</v>
      </c>
      <c r="AI372" s="15">
        <f t="shared" si="204"/>
        <v>-24.163589674602601</v>
      </c>
      <c r="AJ372" s="31">
        <f t="shared" si="216"/>
        <v>4.8521376027101866</v>
      </c>
      <c r="AK372" s="31">
        <f t="shared" si="217"/>
        <v>14.346239614420941</v>
      </c>
      <c r="AL372" s="15">
        <f t="shared" si="205"/>
        <v>0</v>
      </c>
      <c r="AM372" s="15">
        <f t="shared" si="206"/>
        <v>0</v>
      </c>
      <c r="AN372" s="15">
        <f t="shared" si="207"/>
        <v>0</v>
      </c>
      <c r="AO372" s="15">
        <f t="shared" si="208"/>
        <v>0</v>
      </c>
      <c r="AP372" s="31">
        <f t="shared" si="218"/>
        <v>0</v>
      </c>
      <c r="AQ372" s="31">
        <f t="shared" si="219"/>
        <v>0</v>
      </c>
    </row>
    <row r="373" spans="8:43" x14ac:dyDescent="0.25">
      <c r="H373" s="15">
        <v>4.7000000000000197</v>
      </c>
      <c r="I373" s="45">
        <f t="shared" si="209"/>
        <v>501187.23362729524</v>
      </c>
      <c r="J373" s="32">
        <f t="shared" si="210"/>
        <v>-67.240847440167386</v>
      </c>
      <c r="K373" s="32">
        <f t="shared" si="211"/>
        <v>-27.031124825454491</v>
      </c>
      <c r="L373" s="15">
        <f t="shared" si="185"/>
        <v>3.8729613733905581</v>
      </c>
      <c r="M373" s="15">
        <f t="shared" si="186"/>
        <v>-64.05853544381479</v>
      </c>
      <c r="N373" s="15">
        <f t="shared" si="187"/>
        <v>7.1813784167105421</v>
      </c>
      <c r="O373" s="15">
        <f t="shared" si="188"/>
        <v>-89.937073181163541</v>
      </c>
      <c r="P373" s="15">
        <f t="shared" si="189"/>
        <v>-59.185738849415763</v>
      </c>
      <c r="Q373" s="15">
        <f t="shared" si="190"/>
        <v>-18.163316035384373</v>
      </c>
      <c r="R373" s="15">
        <f t="shared" si="191"/>
        <v>-0.4439569774100543</v>
      </c>
      <c r="S373" s="31">
        <f t="shared" si="212"/>
        <v>-172.15892466036271</v>
      </c>
      <c r="T373" s="31">
        <f t="shared" si="213"/>
        <v>-40.687454097850313</v>
      </c>
      <c r="U373" s="15">
        <f t="shared" si="192"/>
        <v>6500</v>
      </c>
      <c r="V373" s="15">
        <f t="shared" si="193"/>
        <v>-89.999944864816527</v>
      </c>
      <c r="W373" s="15">
        <f t="shared" si="194"/>
        <v>-120.33387616472447</v>
      </c>
      <c r="X373" s="15">
        <f t="shared" si="195"/>
        <v>89.931594097662625</v>
      </c>
      <c r="Y373" s="15">
        <f t="shared" si="196"/>
        <v>58.460583191330436</v>
      </c>
      <c r="Z373" s="15">
        <f t="shared" si="197"/>
        <v>-79.846741517992029</v>
      </c>
      <c r="AA373" s="15">
        <f t="shared" si="198"/>
        <v>-15.075851397462756</v>
      </c>
      <c r="AB373" s="31">
        <f t="shared" si="214"/>
        <v>-79.915092285145931</v>
      </c>
      <c r="AC373" s="31">
        <f t="shared" si="215"/>
        <v>-0.69087723799967904</v>
      </c>
      <c r="AD373" s="15">
        <f t="shared" si="199"/>
        <v>89.33487631636585</v>
      </c>
      <c r="AE373" s="15">
        <f t="shared" si="200"/>
        <v>38.704599485320195</v>
      </c>
      <c r="AF373" s="15">
        <f t="shared" si="201"/>
        <v>2.0289597574395617</v>
      </c>
      <c r="AG373" s="15">
        <f t="shared" si="202"/>
        <v>5.4472424087529097E-3</v>
      </c>
      <c r="AH373" s="15">
        <f t="shared" si="203"/>
        <v>-86.530666568464156</v>
      </c>
      <c r="AI373" s="15">
        <f t="shared" si="204"/>
        <v>-24.362840217333449</v>
      </c>
      <c r="AJ373" s="31">
        <f t="shared" si="216"/>
        <v>4.8331695053412602</v>
      </c>
      <c r="AK373" s="31">
        <f t="shared" si="217"/>
        <v>14.347206510395502</v>
      </c>
      <c r="AL373" s="15">
        <f t="shared" si="205"/>
        <v>0</v>
      </c>
      <c r="AM373" s="15">
        <f t="shared" si="206"/>
        <v>0</v>
      </c>
      <c r="AN373" s="15">
        <f t="shared" si="207"/>
        <v>0</v>
      </c>
      <c r="AO373" s="15">
        <f t="shared" si="208"/>
        <v>0</v>
      </c>
      <c r="AP373" s="31">
        <f t="shared" si="218"/>
        <v>0</v>
      </c>
      <c r="AQ373" s="31">
        <f t="shared" si="219"/>
        <v>0</v>
      </c>
    </row>
    <row r="374" spans="8:43" x14ac:dyDescent="0.25">
      <c r="H374" s="15">
        <v>4.7100000000000204</v>
      </c>
      <c r="I374" s="45">
        <f t="shared" si="209"/>
        <v>512861.38399138919</v>
      </c>
      <c r="J374" s="32">
        <f t="shared" si="210"/>
        <v>-68.39329210972825</v>
      </c>
      <c r="K374" s="32">
        <f t="shared" si="211"/>
        <v>-27.281511270900836</v>
      </c>
      <c r="L374" s="15">
        <f t="shared" si="185"/>
        <v>3.8729613733905581</v>
      </c>
      <c r="M374" s="15">
        <f t="shared" si="186"/>
        <v>-64.573810965849972</v>
      </c>
      <c r="N374" s="15">
        <f t="shared" si="187"/>
        <v>7.3438113288885143</v>
      </c>
      <c r="O374" s="15">
        <f t="shared" si="188"/>
        <v>-89.938505569323837</v>
      </c>
      <c r="P374" s="15">
        <f t="shared" si="189"/>
        <v>-59.385738613642545</v>
      </c>
      <c r="Q374" s="15">
        <f t="shared" si="190"/>
        <v>-18.557714497043126</v>
      </c>
      <c r="R374" s="15">
        <f t="shared" si="191"/>
        <v>-0.46380072130684785</v>
      </c>
      <c r="S374" s="31">
        <f t="shared" si="212"/>
        <v>-173.07003103221692</v>
      </c>
      <c r="T374" s="31">
        <f t="shared" si="213"/>
        <v>-40.744864693795911</v>
      </c>
      <c r="U374" s="15">
        <f t="shared" si="192"/>
        <v>6500</v>
      </c>
      <c r="V374" s="15">
        <f t="shared" si="193"/>
        <v>-89.999946119846527</v>
      </c>
      <c r="W374" s="15">
        <f t="shared" si="194"/>
        <v>-120.53387616472432</v>
      </c>
      <c r="X374" s="15">
        <f t="shared" si="195"/>
        <v>89.933151204673308</v>
      </c>
      <c r="Y374" s="15">
        <f t="shared" si="196"/>
        <v>58.660582912711874</v>
      </c>
      <c r="Z374" s="15">
        <f t="shared" si="197"/>
        <v>-80.073208772821673</v>
      </c>
      <c r="AA374" s="15">
        <f t="shared" si="198"/>
        <v>-15.269773027715294</v>
      </c>
      <c r="AB374" s="31">
        <f t="shared" si="214"/>
        <v>-80.140003687994891</v>
      </c>
      <c r="AC374" s="31">
        <f t="shared" si="215"/>
        <v>-0.88479914687062511</v>
      </c>
      <c r="AD374" s="15">
        <f t="shared" si="199"/>
        <v>89.350015065755116</v>
      </c>
      <c r="AE374" s="15">
        <f t="shared" si="200"/>
        <v>38.904573145685973</v>
      </c>
      <c r="AF374" s="15">
        <f t="shared" si="201"/>
        <v>2.0761794117453061</v>
      </c>
      <c r="AG374" s="15">
        <f t="shared" si="202"/>
        <v>5.7037945248160178E-3</v>
      </c>
      <c r="AH374" s="15">
        <f t="shared" si="203"/>
        <v>-86.609451867016858</v>
      </c>
      <c r="AI374" s="15">
        <f t="shared" si="204"/>
        <v>-24.562124370445083</v>
      </c>
      <c r="AJ374" s="31">
        <f t="shared" si="216"/>
        <v>4.8167426104835585</v>
      </c>
      <c r="AK374" s="31">
        <f t="shared" si="217"/>
        <v>14.348152569765702</v>
      </c>
      <c r="AL374" s="15">
        <f t="shared" si="205"/>
        <v>0</v>
      </c>
      <c r="AM374" s="15">
        <f t="shared" si="206"/>
        <v>0</v>
      </c>
      <c r="AN374" s="15">
        <f t="shared" si="207"/>
        <v>0</v>
      </c>
      <c r="AO374" s="15">
        <f t="shared" si="208"/>
        <v>0</v>
      </c>
      <c r="AP374" s="31">
        <f t="shared" si="218"/>
        <v>0</v>
      </c>
      <c r="AQ374" s="31">
        <f t="shared" si="219"/>
        <v>0</v>
      </c>
    </row>
    <row r="375" spans="8:43" x14ac:dyDescent="0.25">
      <c r="H375" s="15">
        <v>4.7200000000000202</v>
      </c>
      <c r="I375" s="45">
        <f t="shared" si="209"/>
        <v>524807.46024979744</v>
      </c>
      <c r="J375" s="32">
        <f t="shared" si="210"/>
        <v>-69.538226881929376</v>
      </c>
      <c r="K375" s="32">
        <f t="shared" si="211"/>
        <v>-27.531635786689677</v>
      </c>
      <c r="L375" s="15">
        <f t="shared" si="185"/>
        <v>3.8729613733905581</v>
      </c>
      <c r="M375" s="15">
        <f t="shared" si="186"/>
        <v>-65.081650853651368</v>
      </c>
      <c r="N375" s="15">
        <f t="shared" si="187"/>
        <v>7.5076291186314066</v>
      </c>
      <c r="O375" s="15">
        <f t="shared" si="188"/>
        <v>-89.939905352423224</v>
      </c>
      <c r="P375" s="15">
        <f t="shared" si="189"/>
        <v>-59.585738388480834</v>
      </c>
      <c r="Q375" s="15">
        <f t="shared" si="190"/>
        <v>-18.959421166316993</v>
      </c>
      <c r="R375" s="15">
        <f t="shared" si="191"/>
        <v>-0.48448294744168646</v>
      </c>
      <c r="S375" s="31">
        <f t="shared" si="212"/>
        <v>-173.98097737239158</v>
      </c>
      <c r="T375" s="31">
        <f t="shared" si="213"/>
        <v>-40.801728905026145</v>
      </c>
      <c r="U375" s="15">
        <f t="shared" si="192"/>
        <v>6500</v>
      </c>
      <c r="V375" s="15">
        <f t="shared" si="193"/>
        <v>-89.999947346308545</v>
      </c>
      <c r="W375" s="15">
        <f t="shared" si="194"/>
        <v>-120.73387616472414</v>
      </c>
      <c r="X375" s="15">
        <f t="shared" si="195"/>
        <v>89.934672867696563</v>
      </c>
      <c r="Y375" s="15">
        <f t="shared" si="196"/>
        <v>58.860582646633191</v>
      </c>
      <c r="Z375" s="15">
        <f t="shared" si="197"/>
        <v>-80.294824166535093</v>
      </c>
      <c r="AA375" s="15">
        <f t="shared" si="198"/>
        <v>-15.463960277328404</v>
      </c>
      <c r="AB375" s="31">
        <f t="shared" si="214"/>
        <v>-80.360098645147076</v>
      </c>
      <c r="AC375" s="31">
        <f t="shared" si="215"/>
        <v>-1.0789866625622366</v>
      </c>
      <c r="AD375" s="15">
        <f t="shared" si="199"/>
        <v>89.364809302836036</v>
      </c>
      <c r="AE375" s="15">
        <f t="shared" si="200"/>
        <v>39.10454799138143</v>
      </c>
      <c r="AF375" s="15">
        <f t="shared" si="201"/>
        <v>2.1244960318731567</v>
      </c>
      <c r="AG375" s="15">
        <f t="shared" si="202"/>
        <v>5.9724213270114295E-3</v>
      </c>
      <c r="AH375" s="15">
        <f t="shared" si="203"/>
        <v>-86.686456199099908</v>
      </c>
      <c r="AI375" s="15">
        <f t="shared" si="204"/>
        <v>-24.761440631809734</v>
      </c>
      <c r="AJ375" s="31">
        <f t="shared" si="216"/>
        <v>4.8028491356092786</v>
      </c>
      <c r="AK375" s="31">
        <f t="shared" si="217"/>
        <v>14.349079780898705</v>
      </c>
      <c r="AL375" s="15">
        <f t="shared" si="205"/>
        <v>0</v>
      </c>
      <c r="AM375" s="15">
        <f t="shared" si="206"/>
        <v>0</v>
      </c>
      <c r="AN375" s="15">
        <f t="shared" si="207"/>
        <v>0</v>
      </c>
      <c r="AO375" s="15">
        <f t="shared" si="208"/>
        <v>0</v>
      </c>
      <c r="AP375" s="31">
        <f t="shared" si="218"/>
        <v>0</v>
      </c>
      <c r="AQ375" s="31">
        <f t="shared" si="219"/>
        <v>0</v>
      </c>
    </row>
    <row r="376" spans="8:43" x14ac:dyDescent="0.25">
      <c r="H376" s="15">
        <v>4.73000000000002</v>
      </c>
      <c r="I376" s="45">
        <f t="shared" si="209"/>
        <v>537031.79637027811</v>
      </c>
      <c r="J376" s="32">
        <f t="shared" si="210"/>
        <v>-70.67575419722921</v>
      </c>
      <c r="K376" s="32">
        <f t="shared" si="211"/>
        <v>-27.781556441181458</v>
      </c>
      <c r="L376" s="15">
        <f t="shared" si="185"/>
        <v>3.8729613733905581</v>
      </c>
      <c r="M376" s="15">
        <f t="shared" si="186"/>
        <v>-65.582005140450335</v>
      </c>
      <c r="N376" s="15">
        <f t="shared" si="187"/>
        <v>7.67279168399428</v>
      </c>
      <c r="O376" s="15">
        <f t="shared" si="188"/>
        <v>-89.941273272638526</v>
      </c>
      <c r="P376" s="15">
        <f t="shared" si="189"/>
        <v>-59.785738173453069</v>
      </c>
      <c r="Q376" s="15">
        <f t="shared" si="190"/>
        <v>-19.368491012504112</v>
      </c>
      <c r="R376" s="15">
        <f t="shared" si="191"/>
        <v>-0.50603484632674567</v>
      </c>
      <c r="S376" s="31">
        <f t="shared" si="212"/>
        <v>-174.89176942559297</v>
      </c>
      <c r="T376" s="31">
        <f t="shared" si="213"/>
        <v>-40.858118023520575</v>
      </c>
      <c r="U376" s="15">
        <f t="shared" si="192"/>
        <v>6500</v>
      </c>
      <c r="V376" s="15">
        <f t="shared" si="193"/>
        <v>-89.999948544852899</v>
      </c>
      <c r="W376" s="15">
        <f t="shared" si="194"/>
        <v>-120.93387616472397</v>
      </c>
      <c r="X376" s="15">
        <f t="shared" si="195"/>
        <v>89.936159893529705</v>
      </c>
      <c r="Y376" s="15">
        <f t="shared" si="196"/>
        <v>59.060582392529994</v>
      </c>
      <c r="Z376" s="15">
        <f t="shared" si="197"/>
        <v>-80.511678664960712</v>
      </c>
      <c r="AA376" s="15">
        <f t="shared" si="198"/>
        <v>-15.658401871728431</v>
      </c>
      <c r="AB376" s="31">
        <f t="shared" si="214"/>
        <v>-80.575467316283905</v>
      </c>
      <c r="AC376" s="31">
        <f t="shared" si="215"/>
        <v>-1.2734285110652923</v>
      </c>
      <c r="AD376" s="15">
        <f t="shared" si="199"/>
        <v>89.379266863813598</v>
      </c>
      <c r="AE376" s="15">
        <f t="shared" si="200"/>
        <v>39.304523969071084</v>
      </c>
      <c r="AF376" s="15">
        <f t="shared" si="201"/>
        <v>2.1739349609032765</v>
      </c>
      <c r="AG376" s="15">
        <f t="shared" si="202"/>
        <v>6.2536903129082316E-3</v>
      </c>
      <c r="AH376" s="15">
        <f t="shared" si="203"/>
        <v>-86.761719280069215</v>
      </c>
      <c r="AI376" s="15">
        <f t="shared" si="204"/>
        <v>-24.960787565979587</v>
      </c>
      <c r="AJ376" s="31">
        <f t="shared" si="216"/>
        <v>4.7914825446476641</v>
      </c>
      <c r="AK376" s="31">
        <f t="shared" si="217"/>
        <v>14.349990093404408</v>
      </c>
      <c r="AL376" s="15">
        <f t="shared" si="205"/>
        <v>0</v>
      </c>
      <c r="AM376" s="15">
        <f t="shared" si="206"/>
        <v>0</v>
      </c>
      <c r="AN376" s="15">
        <f t="shared" si="207"/>
        <v>0</v>
      </c>
      <c r="AO376" s="15">
        <f t="shared" si="208"/>
        <v>0</v>
      </c>
      <c r="AP376" s="31">
        <f t="shared" si="218"/>
        <v>0</v>
      </c>
      <c r="AQ376" s="31">
        <f t="shared" si="219"/>
        <v>0</v>
      </c>
    </row>
    <row r="377" spans="8:43" x14ac:dyDescent="0.25">
      <c r="H377" s="15">
        <v>4.7400000000000198</v>
      </c>
      <c r="I377" s="45">
        <f t="shared" si="209"/>
        <v>549540.87385765044</v>
      </c>
      <c r="J377" s="32">
        <f t="shared" si="210"/>
        <v>-71.805979392910189</v>
      </c>
      <c r="K377" s="32">
        <f t="shared" si="211"/>
        <v>-28.031332233766161</v>
      </c>
      <c r="L377" s="15">
        <f t="shared" si="185"/>
        <v>3.8729613733905581</v>
      </c>
      <c r="M377" s="15">
        <f t="shared" si="186"/>
        <v>-66.074833796386244</v>
      </c>
      <c r="N377" s="15">
        <f t="shared" si="187"/>
        <v>7.8392592757696722</v>
      </c>
      <c r="O377" s="15">
        <f t="shared" si="188"/>
        <v>-89.942610055252914</v>
      </c>
      <c r="P377" s="15">
        <f t="shared" si="189"/>
        <v>-59.985737968103138</v>
      </c>
      <c r="Q377" s="15">
        <f t="shared" si="190"/>
        <v>-19.78497406078187</v>
      </c>
      <c r="R377" s="15">
        <f t="shared" si="191"/>
        <v>-0.5284884074528261</v>
      </c>
      <c r="S377" s="31">
        <f t="shared" si="212"/>
        <v>-175.80241791242102</v>
      </c>
      <c r="T377" s="31">
        <f t="shared" si="213"/>
        <v>-40.914103787521327</v>
      </c>
      <c r="U377" s="15">
        <f t="shared" si="192"/>
        <v>6500</v>
      </c>
      <c r="V377" s="15">
        <f t="shared" si="193"/>
        <v>-89.99994971611504</v>
      </c>
      <c r="W377" s="15">
        <f t="shared" si="194"/>
        <v>-121.1338761647238</v>
      </c>
      <c r="X377" s="15">
        <f t="shared" si="195"/>
        <v>89.937613070605465</v>
      </c>
      <c r="Y377" s="15">
        <f t="shared" si="196"/>
        <v>59.260582149863311</v>
      </c>
      <c r="Z377" s="15">
        <f t="shared" si="197"/>
        <v>-80.723862383375845</v>
      </c>
      <c r="AA377" s="15">
        <f t="shared" si="198"/>
        <v>-15.853086986368435</v>
      </c>
      <c r="AB377" s="31">
        <f t="shared" si="214"/>
        <v>-80.78619902888542</v>
      </c>
      <c r="AC377" s="31">
        <f t="shared" si="215"/>
        <v>-1.4681138683718125</v>
      </c>
      <c r="AD377" s="15">
        <f t="shared" si="199"/>
        <v>89.393395406909505</v>
      </c>
      <c r="AE377" s="15">
        <f t="shared" si="200"/>
        <v>39.504501027818762</v>
      </c>
      <c r="AF377" s="15">
        <f t="shared" si="201"/>
        <v>2.2245221173648142</v>
      </c>
      <c r="AG377" s="15">
        <f t="shared" si="202"/>
        <v>6.5481955747686499E-3</v>
      </c>
      <c r="AH377" s="15">
        <f t="shared" si="203"/>
        <v>-86.835279975878066</v>
      </c>
      <c r="AI377" s="15">
        <f t="shared" si="204"/>
        <v>-25.160163801266545</v>
      </c>
      <c r="AJ377" s="31">
        <f t="shared" si="216"/>
        <v>4.7826375483962522</v>
      </c>
      <c r="AK377" s="31">
        <f t="shared" si="217"/>
        <v>14.350885422126982</v>
      </c>
      <c r="AL377" s="15">
        <f t="shared" si="205"/>
        <v>0</v>
      </c>
      <c r="AM377" s="15">
        <f t="shared" si="206"/>
        <v>0</v>
      </c>
      <c r="AN377" s="15">
        <f t="shared" si="207"/>
        <v>0</v>
      </c>
      <c r="AO377" s="15">
        <f t="shared" si="208"/>
        <v>0</v>
      </c>
      <c r="AP377" s="31">
        <f t="shared" si="218"/>
        <v>0</v>
      </c>
      <c r="AQ377" s="31">
        <f t="shared" si="219"/>
        <v>0</v>
      </c>
    </row>
    <row r="378" spans="8:43" x14ac:dyDescent="0.25">
      <c r="H378" s="15">
        <v>4.7500000000000204</v>
      </c>
      <c r="I378" s="45">
        <f t="shared" si="209"/>
        <v>562341.32519037649</v>
      </c>
      <c r="J378" s="32">
        <f t="shared" si="210"/>
        <v>-72.929009927718809</v>
      </c>
      <c r="K378" s="32">
        <f t="shared" si="211"/>
        <v>-28.28102300373186</v>
      </c>
      <c r="L378" s="15">
        <f t="shared" si="185"/>
        <v>3.8729613733905581</v>
      </c>
      <c r="M378" s="15">
        <f t="shared" si="186"/>
        <v>-66.56010636870333</v>
      </c>
      <c r="N378" s="15">
        <f t="shared" si="187"/>
        <v>8.0069925587141864</v>
      </c>
      <c r="O378" s="15">
        <f t="shared" si="188"/>
        <v>-89.943916409040398</v>
      </c>
      <c r="P378" s="15">
        <f t="shared" si="189"/>
        <v>-60.185737771995484</v>
      </c>
      <c r="Q378" s="15">
        <f t="shared" si="190"/>
        <v>-20.208915031098712</v>
      </c>
      <c r="R378" s="15">
        <f t="shared" si="191"/>
        <v>-0.55187640881804945</v>
      </c>
      <c r="S378" s="31">
        <f t="shared" si="212"/>
        <v>-176.71293780884244</v>
      </c>
      <c r="T378" s="31">
        <f t="shared" si="213"/>
        <v>-40.969758309834383</v>
      </c>
      <c r="U378" s="15">
        <f t="shared" si="192"/>
        <v>6500</v>
      </c>
      <c r="V378" s="15">
        <f t="shared" si="193"/>
        <v>-89.999950860715998</v>
      </c>
      <c r="W378" s="15">
        <f t="shared" si="194"/>
        <v>-121.33387616472368</v>
      </c>
      <c r="X378" s="15">
        <f t="shared" si="195"/>
        <v>89.939033169410095</v>
      </c>
      <c r="Y378" s="15">
        <f t="shared" si="196"/>
        <v>59.460581918118436</v>
      </c>
      <c r="Z378" s="15">
        <f t="shared" si="197"/>
        <v>-80.931464532731837</v>
      </c>
      <c r="AA378" s="15">
        <f t="shared" si="198"/>
        <v>-16.048005231221008</v>
      </c>
      <c r="AB378" s="31">
        <f t="shared" si="214"/>
        <v>-80.99238222403774</v>
      </c>
      <c r="AC378" s="31">
        <f t="shared" si="215"/>
        <v>-1.6630323449691353</v>
      </c>
      <c r="AD378" s="15">
        <f t="shared" si="199"/>
        <v>89.407202416387491</v>
      </c>
      <c r="AE378" s="15">
        <f t="shared" si="200"/>
        <v>39.704479118979769</v>
      </c>
      <c r="AF378" s="15">
        <f t="shared" si="201"/>
        <v>2.2762840075822988</v>
      </c>
      <c r="AG378" s="15">
        <f t="shared" si="202"/>
        <v>6.8565590384286187E-3</v>
      </c>
      <c r="AH378" s="15">
        <f t="shared" si="203"/>
        <v>-86.907176318808425</v>
      </c>
      <c r="AI378" s="15">
        <f t="shared" si="204"/>
        <v>-25.35956802694654</v>
      </c>
      <c r="AJ378" s="31">
        <f t="shared" si="216"/>
        <v>4.7763101051613717</v>
      </c>
      <c r="AK378" s="31">
        <f t="shared" si="217"/>
        <v>14.351767651071654</v>
      </c>
      <c r="AL378" s="15">
        <f t="shared" si="205"/>
        <v>0</v>
      </c>
      <c r="AM378" s="15">
        <f t="shared" si="206"/>
        <v>0</v>
      </c>
      <c r="AN378" s="15">
        <f t="shared" si="207"/>
        <v>0</v>
      </c>
      <c r="AO378" s="15">
        <f t="shared" si="208"/>
        <v>0</v>
      </c>
      <c r="AP378" s="31">
        <f t="shared" si="218"/>
        <v>0</v>
      </c>
      <c r="AQ378" s="31">
        <f t="shared" si="219"/>
        <v>0</v>
      </c>
    </row>
    <row r="379" spans="8:43" x14ac:dyDescent="0.25">
      <c r="H379" s="15">
        <v>4.7600000000000202</v>
      </c>
      <c r="I379" s="45">
        <f t="shared" si="209"/>
        <v>575439.93733718398</v>
      </c>
      <c r="J379" s="32">
        <f t="shared" si="210"/>
        <v>-74.04495459126484</v>
      </c>
      <c r="K379" s="32">
        <f t="shared" si="211"/>
        <v>-28.530689341249463</v>
      </c>
      <c r="L379" s="15">
        <f t="shared" si="185"/>
        <v>3.8729613733905581</v>
      </c>
      <c r="M379" s="15">
        <f t="shared" si="186"/>
        <v>-67.037801610192503</v>
      </c>
      <c r="N379" s="15">
        <f t="shared" si="187"/>
        <v>8.1759526678433367</v>
      </c>
      <c r="O379" s="15">
        <f t="shared" si="188"/>
        <v>-89.94519302664159</v>
      </c>
      <c r="P379" s="15">
        <f t="shared" si="189"/>
        <v>-60.385737584714086</v>
      </c>
      <c r="Q379" s="15">
        <f t="shared" si="190"/>
        <v>-20.640352968566528</v>
      </c>
      <c r="R379" s="15">
        <f t="shared" si="191"/>
        <v>-0.57623240326612901</v>
      </c>
      <c r="S379" s="31">
        <f t="shared" si="212"/>
        <v>-177.62334760540062</v>
      </c>
      <c r="T379" s="31">
        <f t="shared" si="213"/>
        <v>-41.025154007871919</v>
      </c>
      <c r="U379" s="15">
        <f t="shared" si="192"/>
        <v>6500</v>
      </c>
      <c r="V379" s="15">
        <f t="shared" si="193"/>
        <v>-89.999951979262676</v>
      </c>
      <c r="W379" s="15">
        <f t="shared" si="194"/>
        <v>-121.53387616472351</v>
      </c>
      <c r="X379" s="15">
        <f t="shared" si="195"/>
        <v>89.940420942891791</v>
      </c>
      <c r="Y379" s="15">
        <f t="shared" si="196"/>
        <v>59.66058169680376</v>
      </c>
      <c r="Z379" s="15">
        <f t="shared" si="197"/>
        <v>-81.134573371136966</v>
      </c>
      <c r="AA379" s="15">
        <f t="shared" si="198"/>
        <v>-16.243146635588722</v>
      </c>
      <c r="AB379" s="31">
        <f t="shared" si="214"/>
        <v>-81.194104407507851</v>
      </c>
      <c r="AC379" s="31">
        <f t="shared" si="215"/>
        <v>-1.8581739706513574</v>
      </c>
      <c r="AD379" s="15">
        <f t="shared" si="199"/>
        <v>89.420695206488887</v>
      </c>
      <c r="AE379" s="15">
        <f t="shared" si="200"/>
        <v>39.904458196097757</v>
      </c>
      <c r="AF379" s="15">
        <f t="shared" si="201"/>
        <v>2.3292477382346521</v>
      </c>
      <c r="AG379" s="15">
        <f t="shared" si="202"/>
        <v>7.1794317591713317E-3</v>
      </c>
      <c r="AH379" s="15">
        <f t="shared" si="203"/>
        <v>-86.977445523079908</v>
      </c>
      <c r="AI379" s="15">
        <f t="shared" si="204"/>
        <v>-25.558998990583113</v>
      </c>
      <c r="AJ379" s="31">
        <f t="shared" si="216"/>
        <v>4.7724974216436351</v>
      </c>
      <c r="AK379" s="31">
        <f t="shared" si="217"/>
        <v>14.352638637273813</v>
      </c>
      <c r="AL379" s="15">
        <f t="shared" si="205"/>
        <v>0</v>
      </c>
      <c r="AM379" s="15">
        <f t="shared" si="206"/>
        <v>0</v>
      </c>
      <c r="AN379" s="15">
        <f t="shared" si="207"/>
        <v>0</v>
      </c>
      <c r="AO379" s="15">
        <f t="shared" si="208"/>
        <v>0</v>
      </c>
      <c r="AP379" s="31">
        <f t="shared" si="218"/>
        <v>0</v>
      </c>
      <c r="AQ379" s="31">
        <f t="shared" si="219"/>
        <v>0</v>
      </c>
    </row>
    <row r="380" spans="8:43" x14ac:dyDescent="0.25">
      <c r="H380" s="15">
        <v>4.77000000000002</v>
      </c>
      <c r="I380" s="45">
        <f t="shared" si="209"/>
        <v>588843.65535561647</v>
      </c>
      <c r="J380" s="32">
        <f t="shared" si="210"/>
        <v>-75.153922701513594</v>
      </c>
      <c r="K380" s="32">
        <f t="shared" si="211"/>
        <v>-28.780392500212116</v>
      </c>
      <c r="L380" s="15">
        <f t="shared" si="185"/>
        <v>3.8729613733905581</v>
      </c>
      <c r="M380" s="15">
        <f t="shared" si="186"/>
        <v>-67.507907098513513</v>
      </c>
      <c r="N380" s="15">
        <f t="shared" si="187"/>
        <v>8.3461012598580577</v>
      </c>
      <c r="O380" s="15">
        <f t="shared" si="188"/>
        <v>-89.946440584930997</v>
      </c>
      <c r="P380" s="15">
        <f t="shared" si="189"/>
        <v>-60.585737405861749</v>
      </c>
      <c r="Q380" s="15">
        <f t="shared" si="190"/>
        <v>-21.079320866369617</v>
      </c>
      <c r="R380" s="15">
        <f t="shared" si="191"/>
        <v>-0.60159070142775739</v>
      </c>
      <c r="S380" s="31">
        <f t="shared" si="212"/>
        <v>-178.53366854981411</v>
      </c>
      <c r="T380" s="31">
        <f t="shared" si="213"/>
        <v>-41.080363535166491</v>
      </c>
      <c r="U380" s="15">
        <f t="shared" si="192"/>
        <v>6500</v>
      </c>
      <c r="V380" s="15">
        <f t="shared" si="193"/>
        <v>-89.999953072348092</v>
      </c>
      <c r="W380" s="15">
        <f t="shared" si="194"/>
        <v>-121.73387616472337</v>
      </c>
      <c r="X380" s="15">
        <f t="shared" si="195"/>
        <v>89.941777126859918</v>
      </c>
      <c r="Y380" s="15">
        <f t="shared" si="196"/>
        <v>59.860581485449885</v>
      </c>
      <c r="Z380" s="15">
        <f t="shared" si="197"/>
        <v>-81.333276160293494</v>
      </c>
      <c r="AA380" s="15">
        <f t="shared" si="198"/>
        <v>-16.438501633247128</v>
      </c>
      <c r="AB380" s="31">
        <f t="shared" si="214"/>
        <v>-81.391452105781667</v>
      </c>
      <c r="AC380" s="31">
        <f t="shared" si="215"/>
        <v>-2.0535291796634993</v>
      </c>
      <c r="AD380" s="15">
        <f t="shared" si="199"/>
        <v>89.433880925279922</v>
      </c>
      <c r="AE380" s="15">
        <f t="shared" si="200"/>
        <v>40.104438214806478</v>
      </c>
      <c r="AF380" s="15">
        <f t="shared" si="201"/>
        <v>2.3834410291265771</v>
      </c>
      <c r="AG380" s="15">
        <f t="shared" si="202"/>
        <v>7.5174952771635706E-3</v>
      </c>
      <c r="AH380" s="15">
        <f t="shared" si="203"/>
        <v>-87.046124000324312</v>
      </c>
      <c r="AI380" s="15">
        <f t="shared" si="204"/>
        <v>-25.758455495465768</v>
      </c>
      <c r="AJ380" s="31">
        <f t="shared" si="216"/>
        <v>4.7711979540821829</v>
      </c>
      <c r="AK380" s="31">
        <f t="shared" si="217"/>
        <v>14.353500214617874</v>
      </c>
      <c r="AL380" s="15">
        <f t="shared" si="205"/>
        <v>0</v>
      </c>
      <c r="AM380" s="15">
        <f t="shared" si="206"/>
        <v>0</v>
      </c>
      <c r="AN380" s="15">
        <f t="shared" si="207"/>
        <v>0</v>
      </c>
      <c r="AO380" s="15">
        <f t="shared" si="208"/>
        <v>0</v>
      </c>
      <c r="AP380" s="31">
        <f t="shared" si="218"/>
        <v>0</v>
      </c>
      <c r="AQ380" s="31">
        <f t="shared" si="219"/>
        <v>0</v>
      </c>
    </row>
    <row r="381" spans="8:43" x14ac:dyDescent="0.25">
      <c r="H381" s="15">
        <v>4.7800000000000198</v>
      </c>
      <c r="I381" s="45">
        <f t="shared" si="209"/>
        <v>602559.58607438591</v>
      </c>
      <c r="J381" s="32">
        <f t="shared" si="210"/>
        <v>-76.256023293710797</v>
      </c>
      <c r="K381" s="32">
        <f t="shared" si="211"/>
        <v>-29.030194312637896</v>
      </c>
      <c r="L381" s="15">
        <f t="shared" si="185"/>
        <v>3.8729613733905581</v>
      </c>
      <c r="M381" s="15">
        <f t="shared" si="186"/>
        <v>-67.970418848881309</v>
      </c>
      <c r="N381" s="15">
        <f t="shared" si="187"/>
        <v>8.5174005597937441</v>
      </c>
      <c r="O381" s="15">
        <f t="shared" si="188"/>
        <v>-89.947659745375788</v>
      </c>
      <c r="P381" s="15">
        <f t="shared" si="189"/>
        <v>-60.785737235059081</v>
      </c>
      <c r="Q381" s="15">
        <f t="shared" si="190"/>
        <v>-21.525845282353401</v>
      </c>
      <c r="R381" s="15">
        <f t="shared" si="191"/>
        <v>-0.62798635106089118</v>
      </c>
      <c r="S381" s="31">
        <f t="shared" si="212"/>
        <v>-179.44392387661051</v>
      </c>
      <c r="T381" s="31">
        <f t="shared" si="213"/>
        <v>-41.135459714061263</v>
      </c>
      <c r="U381" s="15">
        <f t="shared" si="192"/>
        <v>6500</v>
      </c>
      <c r="V381" s="15">
        <f t="shared" si="193"/>
        <v>-89.999954140551878</v>
      </c>
      <c r="W381" s="15">
        <f t="shared" si="194"/>
        <v>-121.93387616472323</v>
      </c>
      <c r="X381" s="15">
        <f t="shared" si="195"/>
        <v>89.943102440375071</v>
      </c>
      <c r="Y381" s="15">
        <f t="shared" si="196"/>
        <v>60.060581283608492</v>
      </c>
      <c r="Z381" s="15">
        <f t="shared" si="197"/>
        <v>-81.527659126594273</v>
      </c>
      <c r="AA381" s="15">
        <f t="shared" si="198"/>
        <v>-16.634061047931702</v>
      </c>
      <c r="AB381" s="31">
        <f t="shared" si="214"/>
        <v>-81.58451082677108</v>
      </c>
      <c r="AC381" s="31">
        <f t="shared" si="215"/>
        <v>-2.2490887961893264</v>
      </c>
      <c r="AD381" s="15">
        <f t="shared" si="199"/>
        <v>89.446766558413373</v>
      </c>
      <c r="AE381" s="15">
        <f t="shared" si="200"/>
        <v>40.304419132735624</v>
      </c>
      <c r="AF381" s="15">
        <f t="shared" si="201"/>
        <v>2.4388922261715149</v>
      </c>
      <c r="AG381" s="15">
        <f t="shared" si="202"/>
        <v>7.8714630350836187E-3</v>
      </c>
      <c r="AH381" s="15">
        <f t="shared" si="203"/>
        <v>-87.113247374914096</v>
      </c>
      <c r="AI381" s="15">
        <f t="shared" si="204"/>
        <v>-25.957936398158012</v>
      </c>
      <c r="AJ381" s="31">
        <f t="shared" si="216"/>
        <v>4.772411409670795</v>
      </c>
      <c r="AK381" s="31">
        <f t="shared" si="217"/>
        <v>14.354354197612693</v>
      </c>
      <c r="AL381" s="15">
        <f t="shared" si="205"/>
        <v>0</v>
      </c>
      <c r="AM381" s="15">
        <f t="shared" si="206"/>
        <v>0</v>
      </c>
      <c r="AN381" s="15">
        <f t="shared" si="207"/>
        <v>0</v>
      </c>
      <c r="AO381" s="15">
        <f t="shared" si="208"/>
        <v>0</v>
      </c>
      <c r="AP381" s="31">
        <f t="shared" si="218"/>
        <v>0</v>
      </c>
      <c r="AQ381" s="31">
        <f t="shared" si="219"/>
        <v>0</v>
      </c>
    </row>
    <row r="382" spans="8:43" x14ac:dyDescent="0.25">
      <c r="H382" s="15">
        <v>4.7900000000000196</v>
      </c>
      <c r="I382" s="45">
        <f t="shared" si="209"/>
        <v>616595.00186151091</v>
      </c>
      <c r="J382" s="32">
        <f t="shared" si="210"/>
        <v>-77.351364304098951</v>
      </c>
      <c r="K382" s="32">
        <f t="shared" si="211"/>
        <v>-29.28015710432318</v>
      </c>
      <c r="L382" s="15">
        <f t="shared" si="185"/>
        <v>3.8729613733905581</v>
      </c>
      <c r="M382" s="15">
        <f t="shared" si="186"/>
        <v>-68.425340922446793</v>
      </c>
      <c r="N382" s="15">
        <f t="shared" si="187"/>
        <v>8.6898134030082304</v>
      </c>
      <c r="O382" s="15">
        <f t="shared" si="188"/>
        <v>-89.94885115438656</v>
      </c>
      <c r="P382" s="15">
        <f t="shared" si="189"/>
        <v>-60.985737071943795</v>
      </c>
      <c r="Q382" s="15">
        <f t="shared" si="190"/>
        <v>-21.979945950613484</v>
      </c>
      <c r="R382" s="15">
        <f t="shared" si="191"/>
        <v>-0.65545511259013001</v>
      </c>
      <c r="S382" s="31">
        <f t="shared" si="212"/>
        <v>-180.35413802744685</v>
      </c>
      <c r="T382" s="31">
        <f t="shared" si="213"/>
        <v>-41.190515469260731</v>
      </c>
      <c r="U382" s="15">
        <f t="shared" si="192"/>
        <v>6500</v>
      </c>
      <c r="V382" s="15">
        <f t="shared" si="193"/>
        <v>-89.999955184440353</v>
      </c>
      <c r="W382" s="15">
        <f t="shared" si="194"/>
        <v>-122.13387616472312</v>
      </c>
      <c r="X382" s="15">
        <f t="shared" si="195"/>
        <v>89.94439758613035</v>
      </c>
      <c r="Y382" s="15">
        <f t="shared" si="196"/>
        <v>60.260581090851446</v>
      </c>
      <c r="Z382" s="15">
        <f t="shared" si="197"/>
        <v>-81.71780742659783</v>
      </c>
      <c r="AA382" s="15">
        <f t="shared" si="198"/>
        <v>-16.829816079178819</v>
      </c>
      <c r="AB382" s="31">
        <f t="shared" si="214"/>
        <v>-81.773365024907832</v>
      </c>
      <c r="AC382" s="31">
        <f t="shared" si="215"/>
        <v>-2.4448440201933792</v>
      </c>
      <c r="AD382" s="15">
        <f t="shared" si="199"/>
        <v>89.459358932805571</v>
      </c>
      <c r="AE382" s="15">
        <f t="shared" si="200"/>
        <v>40.504400909421165</v>
      </c>
      <c r="AF382" s="15">
        <f t="shared" si="201"/>
        <v>2.4956303145851662</v>
      </c>
      <c r="AG382" s="15">
        <f t="shared" si="202"/>
        <v>8.2420818607583674E-3</v>
      </c>
      <c r="AH382" s="15">
        <f t="shared" si="203"/>
        <v>-87.178850499135009</v>
      </c>
      <c r="AI382" s="15">
        <f t="shared" si="204"/>
        <v>-26.157440606150992</v>
      </c>
      <c r="AJ382" s="31">
        <f t="shared" si="216"/>
        <v>4.7761387482557325</v>
      </c>
      <c r="AK382" s="31">
        <f t="shared" si="217"/>
        <v>14.35520238513093</v>
      </c>
      <c r="AL382" s="15">
        <f t="shared" si="205"/>
        <v>0</v>
      </c>
      <c r="AM382" s="15">
        <f t="shared" si="206"/>
        <v>0</v>
      </c>
      <c r="AN382" s="15">
        <f t="shared" si="207"/>
        <v>0</v>
      </c>
      <c r="AO382" s="15">
        <f t="shared" si="208"/>
        <v>0</v>
      </c>
      <c r="AP382" s="31">
        <f t="shared" si="218"/>
        <v>0</v>
      </c>
      <c r="AQ382" s="31">
        <f t="shared" si="219"/>
        <v>0</v>
      </c>
    </row>
    <row r="383" spans="8:43" x14ac:dyDescent="0.25">
      <c r="H383" s="15">
        <v>4.8000000000000203</v>
      </c>
      <c r="I383" s="45">
        <f t="shared" si="209"/>
        <v>630957.34448022372</v>
      </c>
      <c r="J383" s="32">
        <f t="shared" si="210"/>
        <v>-78.440051751788886</v>
      </c>
      <c r="K383" s="32">
        <f t="shared" si="211"/>
        <v>-29.530343611415688</v>
      </c>
      <c r="L383" s="15">
        <f t="shared" si="185"/>
        <v>3.8729613733905581</v>
      </c>
      <c r="M383" s="15">
        <f t="shared" si="186"/>
        <v>-68.872685032535998</v>
      </c>
      <c r="N383" s="15">
        <f t="shared" si="187"/>
        <v>8.86330327264597</v>
      </c>
      <c r="O383" s="15">
        <f t="shared" si="188"/>
        <v>-89.950015443659993</v>
      </c>
      <c r="P383" s="15">
        <f t="shared" si="189"/>
        <v>-61.185736916169915</v>
      </c>
      <c r="Q383" s="15">
        <f t="shared" si="190"/>
        <v>-22.441635389564464</v>
      </c>
      <c r="R383" s="15">
        <f t="shared" si="191"/>
        <v>-0.68403343065196254</v>
      </c>
      <c r="S383" s="31">
        <f t="shared" si="212"/>
        <v>-181.26433586576044</v>
      </c>
      <c r="T383" s="31">
        <f t="shared" si="213"/>
        <v>-41.245603761910949</v>
      </c>
      <c r="U383" s="15">
        <f t="shared" si="192"/>
        <v>6500</v>
      </c>
      <c r="V383" s="15">
        <f t="shared" si="193"/>
        <v>-89.999956204567027</v>
      </c>
      <c r="W383" s="15">
        <f t="shared" si="194"/>
        <v>-122.33387616472301</v>
      </c>
      <c r="X383" s="15">
        <f t="shared" si="195"/>
        <v>89.94566325082387</v>
      </c>
      <c r="Y383" s="15">
        <f t="shared" si="196"/>
        <v>60.460580906769906</v>
      </c>
      <c r="Z383" s="15">
        <f t="shared" si="197"/>
        <v>-81.903805116610826</v>
      </c>
      <c r="AA383" s="15">
        <f t="shared" si="198"/>
        <v>-17.025758288527744</v>
      </c>
      <c r="AB383" s="31">
        <f t="shared" si="214"/>
        <v>-81.958098070353984</v>
      </c>
      <c r="AC383" s="31">
        <f t="shared" si="215"/>
        <v>-2.6407864136237329</v>
      </c>
      <c r="AD383" s="15">
        <f t="shared" si="199"/>
        <v>89.47166472023136</v>
      </c>
      <c r="AE383" s="15">
        <f t="shared" si="200"/>
        <v>40.7043835062196</v>
      </c>
      <c r="AF383" s="15">
        <f t="shared" si="201"/>
        <v>2.5536849322879904</v>
      </c>
      <c r="AG383" s="15">
        <f t="shared" si="202"/>
        <v>8.6301335176394607E-3</v>
      </c>
      <c r="AH383" s="15">
        <f t="shared" si="203"/>
        <v>-87.242967468193811</v>
      </c>
      <c r="AI383" s="15">
        <f t="shared" si="204"/>
        <v>-26.356967075618243</v>
      </c>
      <c r="AJ383" s="31">
        <f t="shared" si="216"/>
        <v>4.7823821843255416</v>
      </c>
      <c r="AK383" s="31">
        <f t="shared" si="217"/>
        <v>14.356046564118998</v>
      </c>
      <c r="AL383" s="15">
        <f t="shared" si="205"/>
        <v>0</v>
      </c>
      <c r="AM383" s="15">
        <f t="shared" si="206"/>
        <v>0</v>
      </c>
      <c r="AN383" s="15">
        <f t="shared" si="207"/>
        <v>0</v>
      </c>
      <c r="AO383" s="15">
        <f t="shared" si="208"/>
        <v>0</v>
      </c>
      <c r="AP383" s="31">
        <f t="shared" si="218"/>
        <v>0</v>
      </c>
      <c r="AQ383" s="31">
        <f t="shared" si="219"/>
        <v>0</v>
      </c>
    </row>
    <row r="384" spans="8:43" x14ac:dyDescent="0.25">
      <c r="H384" s="15">
        <v>4.81000000000002</v>
      </c>
      <c r="I384" s="45">
        <f t="shared" si="209"/>
        <v>645654.22903468553</v>
      </c>
      <c r="J384" s="32">
        <f t="shared" si="210"/>
        <v>-79.522188922162655</v>
      </c>
      <c r="K384" s="32">
        <f t="shared" si="211"/>
        <v>-29.7808168975664</v>
      </c>
      <c r="L384" s="15">
        <f t="shared" si="185"/>
        <v>3.8729613733905581</v>
      </c>
      <c r="M384" s="15">
        <f t="shared" si="186"/>
        <v>-69.312470150746122</v>
      </c>
      <c r="N384" s="15">
        <f t="shared" si="187"/>
        <v>9.037834332733965</v>
      </c>
      <c r="O384" s="15">
        <f t="shared" si="188"/>
        <v>-89.951153230513867</v>
      </c>
      <c r="P384" s="15">
        <f t="shared" si="189"/>
        <v>-61.385736767406982</v>
      </c>
      <c r="Q384" s="15">
        <f t="shared" si="190"/>
        <v>-22.910918508133342</v>
      </c>
      <c r="R384" s="15">
        <f t="shared" si="191"/>
        <v>-0.71375840146181369</v>
      </c>
      <c r="S384" s="31">
        <f t="shared" si="212"/>
        <v>-182.17454188939334</v>
      </c>
      <c r="T384" s="31">
        <f t="shared" si="213"/>
        <v>-41.300797523869875</v>
      </c>
      <c r="U384" s="15">
        <f t="shared" si="192"/>
        <v>6500</v>
      </c>
      <c r="V384" s="15">
        <f t="shared" si="193"/>
        <v>-89.99995720147281</v>
      </c>
      <c r="W384" s="15">
        <f t="shared" si="194"/>
        <v>-122.53387616472288</v>
      </c>
      <c r="X384" s="15">
        <f t="shared" si="195"/>
        <v>89.946900105522886</v>
      </c>
      <c r="Y384" s="15">
        <f t="shared" si="196"/>
        <v>60.660580730973372</v>
      </c>
      <c r="Z384" s="15">
        <f t="shared" si="197"/>
        <v>-82.085735126119204</v>
      </c>
      <c r="AA384" s="15">
        <f t="shared" si="198"/>
        <v>-17.221879586088971</v>
      </c>
      <c r="AB384" s="31">
        <f t="shared" si="214"/>
        <v>-82.138792222069128</v>
      </c>
      <c r="AC384" s="31">
        <f t="shared" si="215"/>
        <v>-2.8369078869813684</v>
      </c>
      <c r="AD384" s="15">
        <f t="shared" si="199"/>
        <v>89.483690440838288</v>
      </c>
      <c r="AE384" s="15">
        <f t="shared" si="200"/>
        <v>40.904366886226001</v>
      </c>
      <c r="AF384" s="15">
        <f t="shared" si="201"/>
        <v>2.6130863835146174</v>
      </c>
      <c r="AG384" s="15">
        <f t="shared" si="202"/>
        <v>9.0364363261768183E-3</v>
      </c>
      <c r="AH384" s="15">
        <f t="shared" si="203"/>
        <v>-87.305631635053089</v>
      </c>
      <c r="AI384" s="15">
        <f t="shared" si="204"/>
        <v>-26.556514809267338</v>
      </c>
      <c r="AJ384" s="31">
        <f t="shared" si="216"/>
        <v>4.7911451892998116</v>
      </c>
      <c r="AK384" s="31">
        <f t="shared" si="217"/>
        <v>14.35688851328484</v>
      </c>
      <c r="AL384" s="15">
        <f t="shared" si="205"/>
        <v>0</v>
      </c>
      <c r="AM384" s="15">
        <f t="shared" si="206"/>
        <v>0</v>
      </c>
      <c r="AN384" s="15">
        <f t="shared" si="207"/>
        <v>0</v>
      </c>
      <c r="AO384" s="15">
        <f t="shared" si="208"/>
        <v>0</v>
      </c>
      <c r="AP384" s="31">
        <f t="shared" si="218"/>
        <v>0</v>
      </c>
      <c r="AQ384" s="31">
        <f t="shared" si="219"/>
        <v>0</v>
      </c>
    </row>
    <row r="385" spans="8:43" x14ac:dyDescent="0.25">
      <c r="H385" s="15">
        <v>4.8200000000000198</v>
      </c>
      <c r="I385" s="45">
        <f t="shared" si="209"/>
        <v>660693.44800762658</v>
      </c>
      <c r="J385" s="32">
        <f t="shared" si="210"/>
        <v>-80.597875555196893</v>
      </c>
      <c r="K385" s="32">
        <f t="shared" si="211"/>
        <v>-30.031640271313705</v>
      </c>
      <c r="L385" s="15">
        <f t="shared" si="185"/>
        <v>3.8729613733905581</v>
      </c>
      <c r="M385" s="15">
        <f t="shared" si="186"/>
        <v>-69.744722114729299</v>
      </c>
      <c r="N385" s="15">
        <f t="shared" si="187"/>
        <v>9.2133714570804734</v>
      </c>
      <c r="O385" s="15">
        <f t="shared" si="188"/>
        <v>-89.952265118214186</v>
      </c>
      <c r="P385" s="15">
        <f t="shared" si="189"/>
        <v>-61.585736625339493</v>
      </c>
      <c r="Q385" s="15">
        <f t="shared" si="190"/>
        <v>-23.38779221189009</v>
      </c>
      <c r="R385" s="15">
        <f t="shared" si="191"/>
        <v>-0.74466773583079182</v>
      </c>
      <c r="S385" s="31">
        <f t="shared" si="212"/>
        <v>-183.08477944483357</v>
      </c>
      <c r="T385" s="31">
        <f t="shared" si="213"/>
        <v>-41.356169591824852</v>
      </c>
      <c r="U385" s="15">
        <f t="shared" si="192"/>
        <v>6500</v>
      </c>
      <c r="V385" s="15">
        <f t="shared" si="193"/>
        <v>-89.999958175686217</v>
      </c>
      <c r="W385" s="15">
        <f t="shared" si="194"/>
        <v>-122.73387616472277</v>
      </c>
      <c r="X385" s="15">
        <f t="shared" si="195"/>
        <v>89.948108806019491</v>
      </c>
      <c r="Y385" s="15">
        <f t="shared" si="196"/>
        <v>60.860580563088988</v>
      </c>
      <c r="Z385" s="15">
        <f t="shared" si="197"/>
        <v>-82.263679234820145</v>
      </c>
      <c r="AA385" s="15">
        <f t="shared" si="198"/>
        <v>-17.418172217482706</v>
      </c>
      <c r="AB385" s="31">
        <f t="shared" si="214"/>
        <v>-82.315528604486872</v>
      </c>
      <c r="AC385" s="31">
        <f t="shared" si="215"/>
        <v>-3.0332006862593772</v>
      </c>
      <c r="AD385" s="15">
        <f t="shared" si="199"/>
        <v>89.49544246658202</v>
      </c>
      <c r="AE385" s="15">
        <f t="shared" si="200"/>
        <v>41.10435101419597</v>
      </c>
      <c r="AF385" s="15">
        <f t="shared" si="201"/>
        <v>2.6738656526277147</v>
      </c>
      <c r="AG385" s="15">
        <f t="shared" si="202"/>
        <v>9.461846859195721E-3</v>
      </c>
      <c r="AH385" s="15">
        <f t="shared" si="203"/>
        <v>-87.36687562508618</v>
      </c>
      <c r="AI385" s="15">
        <f t="shared" si="204"/>
        <v>-26.756082854284642</v>
      </c>
      <c r="AJ385" s="31">
        <f t="shared" si="216"/>
        <v>4.8024324941235506</v>
      </c>
      <c r="AK385" s="31">
        <f t="shared" si="217"/>
        <v>14.357730006770524</v>
      </c>
      <c r="AL385" s="15">
        <f t="shared" si="205"/>
        <v>0</v>
      </c>
      <c r="AM385" s="15">
        <f t="shared" si="206"/>
        <v>0</v>
      </c>
      <c r="AN385" s="15">
        <f t="shared" si="207"/>
        <v>0</v>
      </c>
      <c r="AO385" s="15">
        <f t="shared" si="208"/>
        <v>0</v>
      </c>
      <c r="AP385" s="31">
        <f t="shared" si="218"/>
        <v>0</v>
      </c>
      <c r="AQ385" s="31">
        <f t="shared" si="219"/>
        <v>0</v>
      </c>
    </row>
    <row r="386" spans="8:43" x14ac:dyDescent="0.25">
      <c r="H386" s="15">
        <v>4.8300000000000196</v>
      </c>
      <c r="I386" s="45">
        <f t="shared" si="209"/>
        <v>676082.97539201309</v>
      </c>
      <c r="J386" s="32">
        <f t="shared" si="210"/>
        <v>-81.667207042107407</v>
      </c>
      <c r="K386" s="32">
        <f t="shared" si="211"/>
        <v>-30.282877203354268</v>
      </c>
      <c r="L386" s="15">
        <f t="shared" si="185"/>
        <v>3.8729613733905581</v>
      </c>
      <c r="M386" s="15">
        <f t="shared" si="186"/>
        <v>-70.169473239325413</v>
      </c>
      <c r="N386" s="15">
        <f t="shared" si="187"/>
        <v>9.3898802541588839</v>
      </c>
      <c r="O386" s="15">
        <f t="shared" si="188"/>
        <v>-89.953351696295215</v>
      </c>
      <c r="P386" s="15">
        <f t="shared" si="189"/>
        <v>-61.785736489666093</v>
      </c>
      <c r="Q386" s="15">
        <f t="shared" si="190"/>
        <v>-23.872245011094318</v>
      </c>
      <c r="R386" s="15">
        <f t="shared" si="191"/>
        <v>-0.7767997176746646</v>
      </c>
      <c r="S386" s="31">
        <f t="shared" si="212"/>
        <v>-183.99506994671495</v>
      </c>
      <c r="T386" s="31">
        <f t="shared" si="213"/>
        <v>-41.411792640916907</v>
      </c>
      <c r="U386" s="15">
        <f t="shared" si="192"/>
        <v>6500</v>
      </c>
      <c r="V386" s="15">
        <f t="shared" si="193"/>
        <v>-89.999959127723827</v>
      </c>
      <c r="W386" s="15">
        <f t="shared" si="194"/>
        <v>-122.93387616472266</v>
      </c>
      <c r="X386" s="15">
        <f t="shared" si="195"/>
        <v>89.949289993178382</v>
      </c>
      <c r="Y386" s="15">
        <f t="shared" si="196"/>
        <v>61.060580402760635</v>
      </c>
      <c r="Z386" s="15">
        <f t="shared" si="197"/>
        <v>-82.4377180530186</v>
      </c>
      <c r="AA386" s="15">
        <f t="shared" si="198"/>
        <v>-17.614628751148846</v>
      </c>
      <c r="AB386" s="31">
        <f t="shared" si="214"/>
        <v>-82.488387187564044</v>
      </c>
      <c r="AC386" s="31">
        <f t="shared" si="215"/>
        <v>-3.2296573802537587</v>
      </c>
      <c r="AD386" s="15">
        <f t="shared" si="199"/>
        <v>89.506927024584513</v>
      </c>
      <c r="AE386" s="15">
        <f t="shared" si="200"/>
        <v>41.304335856470821</v>
      </c>
      <c r="AF386" s="15">
        <f t="shared" si="201"/>
        <v>2.7360544181330408</v>
      </c>
      <c r="AG386" s="15">
        <f t="shared" si="202"/>
        <v>9.9072617145356846E-3</v>
      </c>
      <c r="AH386" s="15">
        <f t="shared" si="203"/>
        <v>-87.426731350545964</v>
      </c>
      <c r="AI386" s="15">
        <f t="shared" si="204"/>
        <v>-26.955670300368958</v>
      </c>
      <c r="AJ386" s="31">
        <f t="shared" si="216"/>
        <v>4.8162500921715861</v>
      </c>
      <c r="AK386" s="31">
        <f t="shared" si="217"/>
        <v>14.358572817816402</v>
      </c>
      <c r="AL386" s="15">
        <f t="shared" si="205"/>
        <v>0</v>
      </c>
      <c r="AM386" s="15">
        <f t="shared" si="206"/>
        <v>0</v>
      </c>
      <c r="AN386" s="15">
        <f t="shared" si="207"/>
        <v>0</v>
      </c>
      <c r="AO386" s="15">
        <f t="shared" si="208"/>
        <v>0</v>
      </c>
      <c r="AP386" s="31">
        <f t="shared" si="218"/>
        <v>0</v>
      </c>
      <c r="AQ386" s="31">
        <f t="shared" si="219"/>
        <v>0</v>
      </c>
    </row>
    <row r="387" spans="8:43" x14ac:dyDescent="0.25">
      <c r="H387" s="15">
        <v>4.8400000000000203</v>
      </c>
      <c r="I387" s="45">
        <f t="shared" si="209"/>
        <v>691830.97091896972</v>
      </c>
      <c r="J387" s="32">
        <f t="shared" si="210"/>
        <v>-82.730273633731926</v>
      </c>
      <c r="K387" s="32">
        <f t="shared" si="211"/>
        <v>-30.534591243362669</v>
      </c>
      <c r="L387" s="15">
        <f t="shared" ref="L387:L450" si="220">A_PS</f>
        <v>3.8729613733905581</v>
      </c>
      <c r="M387" s="15">
        <f t="shared" ref="M387:M450" si="221">-180/PI()*ATAN($I387/z_RHP/1000)</f>
        <v>-70.586761932543354</v>
      </c>
      <c r="N387" s="15">
        <f t="shared" ref="N387:N450" si="222">20*LOG(SQRT(($I387/z_RHP/1000)^2+1))</f>
        <v>9.5673270881695966</v>
      </c>
      <c r="O387" s="15">
        <f t="shared" ref="O387:O450" si="223">-180/PI()*ATAN($I387/p_small)</f>
        <v>-89.954413540871897</v>
      </c>
      <c r="P387" s="15">
        <f t="shared" ref="P387:P450" si="224">-20*LOG(SQRT(($I387/p_small)^2+1))</f>
        <v>-61.985736360099011</v>
      </c>
      <c r="Q387" s="15">
        <f t="shared" ref="Q387:Q450" si="225">-180/PI()*ATAN($I387/p_large/1000)</f>
        <v>-24.364256632806391</v>
      </c>
      <c r="R387" s="15">
        <f t="shared" ref="R387:R450" si="226">-20*LOG(SQRT(($I387/p_large/1000)^2+1))</f>
        <v>-0.81019315787553681</v>
      </c>
      <c r="S387" s="31">
        <f t="shared" si="212"/>
        <v>-184.90543210622164</v>
      </c>
      <c r="T387" s="31">
        <f t="shared" si="213"/>
        <v>-41.467739117539992</v>
      </c>
      <c r="U387" s="15">
        <f t="shared" ref="U387:U450" si="227">A_EA</f>
        <v>6500</v>
      </c>
      <c r="V387" s="15">
        <f t="shared" ref="V387:V450" si="228">-180/PI()*ATAN($I387/p_EA)</f>
        <v>-89.999960058090423</v>
      </c>
      <c r="W387" s="15">
        <f t="shared" ref="W387:W450" si="229">-20*LOG(SQRT(($I387/p_EA)^2+1))</f>
        <v>-123.13387616472258</v>
      </c>
      <c r="X387" s="15">
        <f t="shared" ref="X387:X450" si="230">180/PI()*ATAN($I387/z_comp)</f>
        <v>89.950444293276618</v>
      </c>
      <c r="Y387" s="15">
        <f t="shared" ref="Y387:Y450" si="231">20*LOG(SQRT(($I387/z_comp)^2+1))</f>
        <v>61.260580249648257</v>
      </c>
      <c r="Z387" s="15">
        <f t="shared" ref="Z387:Z450" si="232">IF(p_comp="",0,-180/PI()*ATAN($I387/p_comp/1000))</f>
        <v>-82.607931005163451</v>
      </c>
      <c r="AA387" s="15">
        <f t="shared" ref="AA387:AA450" si="233">IF(p_comp="",0,-20*LOG(SQRT(($I387/p_comp/1000)^2+1)))</f>
        <v>-17.811242066029433</v>
      </c>
      <c r="AB387" s="31">
        <f t="shared" si="214"/>
        <v>-82.657446769977255</v>
      </c>
      <c r="AC387" s="31">
        <f t="shared" si="215"/>
        <v>-3.4262708482466415</v>
      </c>
      <c r="AD387" s="15">
        <f t="shared" ref="AD387:AD450" si="234">IF(z_esr_1="",0,180/PI()*ATAN($I387/z_esr_1/1000))</f>
        <v>89.518150200416969</v>
      </c>
      <c r="AE387" s="15">
        <f t="shared" ref="AE387:AE450" si="235">IF(z_esr_1="",0,20*LOG(SQRT(($I387/z_esr_1/1000)^2+1)))</f>
        <v>41.504321380906319</v>
      </c>
      <c r="AF387" s="15">
        <f t="shared" ref="AF387:AF450" si="236">180/PI()*ATAN($I387/z_esr_2/1000)</f>
        <v>2.799685066892081</v>
      </c>
      <c r="AG387" s="15">
        <f t="shared" ref="AG387:AG450" si="237">20*LOG(SQRT(($I387/z_esr_2/1000)^2+1))</f>
        <v>1.0373619368348113E-2</v>
      </c>
      <c r="AH387" s="15">
        <f t="shared" ref="AH387:AH450" si="238">IF(p_esr="",0,-180/PI()*ATAN($I387/p_esr/1000))</f>
        <v>-87.485230024842082</v>
      </c>
      <c r="AI387" s="15">
        <f t="shared" ref="AI387:AI450" si="239">IF(p_esr="",0,-20*LOG(SQRT(($I387/p_esr/1000)^2+1)))</f>
        <v>-27.155276277850696</v>
      </c>
      <c r="AJ387" s="31">
        <f t="shared" si="216"/>
        <v>4.8326052424669683</v>
      </c>
      <c r="AK387" s="31">
        <f t="shared" si="217"/>
        <v>14.359418722423968</v>
      </c>
      <c r="AL387" s="15">
        <f t="shared" ref="AL387:AL450" si="240">IF(z_ff="",0,180/PI()*ATAN($I387/z_ff/1000))</f>
        <v>0</v>
      </c>
      <c r="AM387" s="15">
        <f t="shared" ref="AM387:AM450" si="241">IF(z_ff="",0,20*LOG(SQRT(($I387/z_ff/1000)^2+1)))</f>
        <v>0</v>
      </c>
      <c r="AN387" s="15">
        <f t="shared" ref="AN387:AN450" si="242">IF(p_ff="",0,-180/PI()*ATAN($I387/p_ff/1000))</f>
        <v>0</v>
      </c>
      <c r="AO387" s="15">
        <f t="shared" ref="AO387:AO450" si="243">IF(p_ff="",0,-20*LOG(SQRT(($I387/p_ff/1000)^2+1)))</f>
        <v>0</v>
      </c>
      <c r="AP387" s="31">
        <f t="shared" si="218"/>
        <v>0</v>
      </c>
      <c r="AQ387" s="31">
        <f t="shared" si="219"/>
        <v>0</v>
      </c>
    </row>
    <row r="388" spans="8:43" x14ac:dyDescent="0.25">
      <c r="H388" s="15">
        <v>4.8500000000000201</v>
      </c>
      <c r="I388" s="45">
        <f t="shared" ref="I388:I451" si="244">10*10^H388</f>
        <v>707945.78438417171</v>
      </c>
      <c r="J388" s="32">
        <f t="shared" si="210"/>
        <v>-83.787159664082836</v>
      </c>
      <c r="K388" s="32">
        <f t="shared" si="211"/>
        <v>-30.786845936033679</v>
      </c>
      <c r="L388" s="15">
        <f t="shared" si="220"/>
        <v>3.8729613733905581</v>
      </c>
      <c r="M388" s="15">
        <f t="shared" si="221"/>
        <v>-70.996632317726167</v>
      </c>
      <c r="N388" s="15">
        <f t="shared" si="222"/>
        <v>9.7456790964787672</v>
      </c>
      <c r="O388" s="15">
        <f t="shared" si="223"/>
        <v>-89.955451214945356</v>
      </c>
      <c r="P388" s="15">
        <f t="shared" si="224"/>
        <v>-62.185736236363383</v>
      </c>
      <c r="Q388" s="15">
        <f t="shared" si="225"/>
        <v>-24.86379763937305</v>
      </c>
      <c r="R388" s="15">
        <f t="shared" si="226"/>
        <v>-0.84488734337771243</v>
      </c>
      <c r="S388" s="31">
        <f t="shared" si="212"/>
        <v>-185.81588117204456</v>
      </c>
      <c r="T388" s="31">
        <f t="shared" si="213"/>
        <v>-41.52408117099737</v>
      </c>
      <c r="U388" s="15">
        <f t="shared" si="227"/>
        <v>6500</v>
      </c>
      <c r="V388" s="15">
        <f t="shared" si="228"/>
        <v>-89.999960967279293</v>
      </c>
      <c r="W388" s="15">
        <f t="shared" si="229"/>
        <v>-123.33387616472248</v>
      </c>
      <c r="X388" s="15">
        <f t="shared" si="230"/>
        <v>89.95157231833565</v>
      </c>
      <c r="Y388" s="15">
        <f t="shared" si="231"/>
        <v>61.460580103427048</v>
      </c>
      <c r="Z388" s="15">
        <f t="shared" si="232"/>
        <v>-82.774396316308994</v>
      </c>
      <c r="AA388" s="15">
        <f t="shared" si="233"/>
        <v>-18.00800533962224</v>
      </c>
      <c r="AB388" s="31">
        <f t="shared" si="214"/>
        <v>-82.822784965252637</v>
      </c>
      <c r="AC388" s="31">
        <f t="shared" si="215"/>
        <v>-3.6230342680605609</v>
      </c>
      <c r="AD388" s="15">
        <f t="shared" si="234"/>
        <v>89.529117941308797</v>
      </c>
      <c r="AE388" s="15">
        <f t="shared" si="235"/>
        <v>41.704307556804466</v>
      </c>
      <c r="AF388" s="15">
        <f t="shared" si="236"/>
        <v>2.8647907085277584</v>
      </c>
      <c r="AG388" s="15">
        <f t="shared" si="237"/>
        <v>1.0861902112574765E-2</v>
      </c>
      <c r="AH388" s="15">
        <f t="shared" si="238"/>
        <v>-87.542402176622204</v>
      </c>
      <c r="AI388" s="15">
        <f t="shared" si="239"/>
        <v>-27.35489995589279</v>
      </c>
      <c r="AJ388" s="31">
        <f t="shared" si="216"/>
        <v>4.8515064732143571</v>
      </c>
      <c r="AK388" s="31">
        <f t="shared" si="217"/>
        <v>14.360269503024249</v>
      </c>
      <c r="AL388" s="15">
        <f t="shared" si="240"/>
        <v>0</v>
      </c>
      <c r="AM388" s="15">
        <f t="shared" si="241"/>
        <v>0</v>
      </c>
      <c r="AN388" s="15">
        <f t="shared" si="242"/>
        <v>0</v>
      </c>
      <c r="AO388" s="15">
        <f t="shared" si="243"/>
        <v>0</v>
      </c>
      <c r="AP388" s="31">
        <f t="shared" si="218"/>
        <v>0</v>
      </c>
      <c r="AQ388" s="31">
        <f t="shared" si="219"/>
        <v>0</v>
      </c>
    </row>
    <row r="389" spans="8:43" x14ac:dyDescent="0.25">
      <c r="H389" s="15">
        <v>4.8600000000000199</v>
      </c>
      <c r="I389" s="45">
        <f t="shared" si="244"/>
        <v>724435.96007502335</v>
      </c>
      <c r="J389" s="32">
        <f t="shared" si="210"/>
        <v>-84.837942792515634</v>
      </c>
      <c r="K389" s="32">
        <f t="shared" si="211"/>
        <v>-31.039704736040907</v>
      </c>
      <c r="L389" s="15">
        <f t="shared" si="220"/>
        <v>3.8729613733905581</v>
      </c>
      <c r="M389" s="15">
        <f t="shared" si="221"/>
        <v>-71.399133863081559</v>
      </c>
      <c r="N389" s="15">
        <f t="shared" si="222"/>
        <v>9.9249042036380732</v>
      </c>
      <c r="O389" s="15">
        <f t="shared" si="223"/>
        <v>-89.956465268701393</v>
      </c>
      <c r="P389" s="15">
        <f t="shared" si="224"/>
        <v>-62.38573611819676</v>
      </c>
      <c r="Q389" s="15">
        <f t="shared" si="225"/>
        <v>-25.370829055757277</v>
      </c>
      <c r="R389" s="15">
        <f t="shared" si="226"/>
        <v>-0.88092198142365796</v>
      </c>
      <c r="S389" s="31">
        <f t="shared" si="212"/>
        <v>-186.72642818754022</v>
      </c>
      <c r="T389" s="31">
        <f t="shared" si="213"/>
        <v>-41.580890583717384</v>
      </c>
      <c r="U389" s="15">
        <f t="shared" si="227"/>
        <v>6500</v>
      </c>
      <c r="V389" s="15">
        <f t="shared" si="228"/>
        <v>-89.999961855772483</v>
      </c>
      <c r="W389" s="15">
        <f t="shared" si="229"/>
        <v>-123.53387616472239</v>
      </c>
      <c r="X389" s="15">
        <f t="shared" si="230"/>
        <v>89.952674666445773</v>
      </c>
      <c r="Y389" s="15">
        <f t="shared" si="231"/>
        <v>61.660579963786866</v>
      </c>
      <c r="Z389" s="15">
        <f t="shared" si="232"/>
        <v>-82.937191001298217</v>
      </c>
      <c r="AA389" s="15">
        <f t="shared" si="233"/>
        <v>-18.204912036403911</v>
      </c>
      <c r="AB389" s="31">
        <f t="shared" si="214"/>
        <v>-82.984478190624927</v>
      </c>
      <c r="AC389" s="31">
        <f t="shared" si="215"/>
        <v>-3.8199411044823179</v>
      </c>
      <c r="AD389" s="15">
        <f t="shared" si="234"/>
        <v>89.539836059284383</v>
      </c>
      <c r="AE389" s="15">
        <f t="shared" si="235"/>
        <v>41.904294354848616</v>
      </c>
      <c r="AF389" s="15">
        <f t="shared" si="236"/>
        <v>2.9314051900181712</v>
      </c>
      <c r="AG389" s="15">
        <f t="shared" si="237"/>
        <v>1.1373138080275236E-2</v>
      </c>
      <c r="AH389" s="15">
        <f t="shared" si="238"/>
        <v>-87.598277663653036</v>
      </c>
      <c r="AI389" s="15">
        <f t="shared" si="239"/>
        <v>-27.554540540770095</v>
      </c>
      <c r="AJ389" s="31">
        <f t="shared" si="216"/>
        <v>4.872963585649515</v>
      </c>
      <c r="AK389" s="31">
        <f t="shared" si="217"/>
        <v>14.361126952158795</v>
      </c>
      <c r="AL389" s="15">
        <f t="shared" si="240"/>
        <v>0</v>
      </c>
      <c r="AM389" s="15">
        <f t="shared" si="241"/>
        <v>0</v>
      </c>
      <c r="AN389" s="15">
        <f t="shared" si="242"/>
        <v>0</v>
      </c>
      <c r="AO389" s="15">
        <f t="shared" si="243"/>
        <v>0</v>
      </c>
      <c r="AP389" s="31">
        <f t="shared" si="218"/>
        <v>0</v>
      </c>
      <c r="AQ389" s="31">
        <f t="shared" si="219"/>
        <v>0</v>
      </c>
    </row>
    <row r="390" spans="8:43" x14ac:dyDescent="0.25">
      <c r="H390" s="15">
        <v>4.8700000000000196</v>
      </c>
      <c r="I390" s="45">
        <f t="shared" si="244"/>
        <v>741310.24130095146</v>
      </c>
      <c r="J390" s="32">
        <f t="shared" si="210"/>
        <v>-85.88269326797024</v>
      </c>
      <c r="K390" s="32">
        <f t="shared" si="211"/>
        <v>-31.2932309216284</v>
      </c>
      <c r="L390" s="15">
        <f t="shared" si="220"/>
        <v>3.8729613733905581</v>
      </c>
      <c r="M390" s="15">
        <f t="shared" si="221"/>
        <v>-71.794321019608503</v>
      </c>
      <c r="N390" s="15">
        <f t="shared" si="222"/>
        <v>10.104971132191524</v>
      </c>
      <c r="O390" s="15">
        <f t="shared" si="223"/>
        <v>-89.957456239802198</v>
      </c>
      <c r="P390" s="15">
        <f t="shared" si="224"/>
        <v>-62.585736005348529</v>
      </c>
      <c r="Q390" s="15">
        <f t="shared" si="225"/>
        <v>-25.885302008330559</v>
      </c>
      <c r="R390" s="15">
        <f t="shared" si="226"/>
        <v>-0.91833713886364798</v>
      </c>
      <c r="S390" s="31">
        <f t="shared" si="212"/>
        <v>-187.63707926774126</v>
      </c>
      <c r="T390" s="31">
        <f t="shared" si="213"/>
        <v>-41.638238699755689</v>
      </c>
      <c r="U390" s="15">
        <f t="shared" si="227"/>
        <v>6500</v>
      </c>
      <c r="V390" s="15">
        <f t="shared" si="228"/>
        <v>-89.999962724041112</v>
      </c>
      <c r="W390" s="15">
        <f t="shared" si="229"/>
        <v>-123.73387616472229</v>
      </c>
      <c r="X390" s="15">
        <f t="shared" si="230"/>
        <v>89.953751922083299</v>
      </c>
      <c r="Y390" s="15">
        <f t="shared" si="231"/>
        <v>61.860579830431533</v>
      </c>
      <c r="Z390" s="15">
        <f t="shared" si="232"/>
        <v>-83.096390856475082</v>
      </c>
      <c r="AA390" s="15">
        <f t="shared" si="233"/>
        <v>-18.401955896619128</v>
      </c>
      <c r="AB390" s="31">
        <f t="shared" si="214"/>
        <v>-83.142601658432895</v>
      </c>
      <c r="AC390" s="31">
        <f t="shared" si="215"/>
        <v>-4.0169850980527713</v>
      </c>
      <c r="AD390" s="15">
        <f t="shared" si="234"/>
        <v>89.550310234229514</v>
      </c>
      <c r="AE390" s="15">
        <f t="shared" si="235"/>
        <v>42.104281747041199</v>
      </c>
      <c r="AF390" s="15">
        <f t="shared" si="236"/>
        <v>2.9995631104723794</v>
      </c>
      <c r="AG390" s="15">
        <f t="shared" si="237"/>
        <v>1.1908403362613255E-2</v>
      </c>
      <c r="AH390" s="15">
        <f t="shared" si="238"/>
        <v>-87.652885686497982</v>
      </c>
      <c r="AI390" s="15">
        <f t="shared" si="239"/>
        <v>-27.754197274223749</v>
      </c>
      <c r="AJ390" s="31">
        <f t="shared" si="216"/>
        <v>4.896987658203912</v>
      </c>
      <c r="AK390" s="31">
        <f t="shared" si="217"/>
        <v>14.361992876180061</v>
      </c>
      <c r="AL390" s="15">
        <f t="shared" si="240"/>
        <v>0</v>
      </c>
      <c r="AM390" s="15">
        <f t="shared" si="241"/>
        <v>0</v>
      </c>
      <c r="AN390" s="15">
        <f t="shared" si="242"/>
        <v>0</v>
      </c>
      <c r="AO390" s="15">
        <f t="shared" si="243"/>
        <v>0</v>
      </c>
      <c r="AP390" s="31">
        <f t="shared" si="218"/>
        <v>0</v>
      </c>
      <c r="AQ390" s="31">
        <f t="shared" si="219"/>
        <v>0</v>
      </c>
    </row>
    <row r="391" spans="8:43" x14ac:dyDescent="0.25">
      <c r="H391" s="15">
        <v>4.8800000000000203</v>
      </c>
      <c r="I391" s="45">
        <f t="shared" si="244"/>
        <v>758577.57502921985</v>
      </c>
      <c r="J391" s="32">
        <f t="shared" si="210"/>
        <v>-86.921473218750791</v>
      </c>
      <c r="K391" s="32">
        <f t="shared" si="211"/>
        <v>-31.547487506582652</v>
      </c>
      <c r="L391" s="15">
        <f t="shared" si="220"/>
        <v>3.8729613733905581</v>
      </c>
      <c r="M391" s="15">
        <f t="shared" si="221"/>
        <v>-72.182252868308282</v>
      </c>
      <c r="N391" s="15">
        <f t="shared" si="222"/>
        <v>10.285849410476303</v>
      </c>
      <c r="O391" s="15">
        <f t="shared" si="223"/>
        <v>-89.958424653671401</v>
      </c>
      <c r="P391" s="15">
        <f t="shared" si="224"/>
        <v>-62.785735897579322</v>
      </c>
      <c r="Q391" s="15">
        <f t="shared" si="225"/>
        <v>-26.407157377884865</v>
      </c>
      <c r="R391" s="15">
        <f t="shared" si="226"/>
        <v>-0.9571731765040179</v>
      </c>
      <c r="S391" s="31">
        <f t="shared" si="212"/>
        <v>-188.54783489986454</v>
      </c>
      <c r="T391" s="31">
        <f t="shared" si="213"/>
        <v>-41.696196351342074</v>
      </c>
      <c r="U391" s="15">
        <f t="shared" si="227"/>
        <v>6500</v>
      </c>
      <c r="V391" s="15">
        <f t="shared" si="228"/>
        <v>-89.999963572545525</v>
      </c>
      <c r="W391" s="15">
        <f t="shared" si="229"/>
        <v>-123.93387616472222</v>
      </c>
      <c r="X391" s="15">
        <f t="shared" si="230"/>
        <v>89.954804656420364</v>
      </c>
      <c r="Y391" s="15">
        <f t="shared" si="231"/>
        <v>62.060579703078183</v>
      </c>
      <c r="Z391" s="15">
        <f t="shared" si="232"/>
        <v>-83.252070453742405</v>
      </c>
      <c r="AA391" s="15">
        <f t="shared" si="233"/>
        <v>-18.599130925432085</v>
      </c>
      <c r="AB391" s="31">
        <f t="shared" si="214"/>
        <v>-83.297229369867566</v>
      </c>
      <c r="AC391" s="31">
        <f t="shared" si="215"/>
        <v>-4.21416025421901</v>
      </c>
      <c r="AD391" s="15">
        <f t="shared" si="234"/>
        <v>89.56054601688848</v>
      </c>
      <c r="AE391" s="15">
        <f t="shared" si="235"/>
        <v>42.304269706644433</v>
      </c>
      <c r="AF391" s="15">
        <f t="shared" si="236"/>
        <v>3.0692998360815023</v>
      </c>
      <c r="AG391" s="15">
        <f t="shared" si="237"/>
        <v>1.2468824221450795E-2</v>
      </c>
      <c r="AH391" s="15">
        <f t="shared" si="238"/>
        <v>-87.706254801988663</v>
      </c>
      <c r="AI391" s="15">
        <f t="shared" si="239"/>
        <v>-27.953869431887451</v>
      </c>
      <c r="AJ391" s="31">
        <f t="shared" si="216"/>
        <v>4.9235910509813152</v>
      </c>
      <c r="AK391" s="31">
        <f t="shared" si="217"/>
        <v>14.362869098978432</v>
      </c>
      <c r="AL391" s="15">
        <f t="shared" si="240"/>
        <v>0</v>
      </c>
      <c r="AM391" s="15">
        <f t="shared" si="241"/>
        <v>0</v>
      </c>
      <c r="AN391" s="15">
        <f t="shared" si="242"/>
        <v>0</v>
      </c>
      <c r="AO391" s="15">
        <f t="shared" si="243"/>
        <v>0</v>
      </c>
      <c r="AP391" s="31">
        <f t="shared" si="218"/>
        <v>0</v>
      </c>
      <c r="AQ391" s="31">
        <f t="shared" si="219"/>
        <v>0</v>
      </c>
    </row>
    <row r="392" spans="8:43" x14ac:dyDescent="0.25">
      <c r="H392" s="15">
        <v>4.8900000000000201</v>
      </c>
      <c r="I392" s="45">
        <f t="shared" si="244"/>
        <v>776247.11662872857</v>
      </c>
      <c r="J392" s="32">
        <f t="shared" si="210"/>
        <v>-87.954335971309533</v>
      </c>
      <c r="K392" s="32">
        <f t="shared" si="211"/>
        <v>-31.80253715036676</v>
      </c>
      <c r="L392" s="15">
        <f t="shared" si="220"/>
        <v>3.8729613733905581</v>
      </c>
      <c r="M392" s="15">
        <f t="shared" si="221"/>
        <v>-72.562992777433578</v>
      </c>
      <c r="N392" s="15">
        <f t="shared" si="222"/>
        <v>10.467509377623445</v>
      </c>
      <c r="O392" s="15">
        <f t="shared" si="223"/>
        <v>-89.959371023772619</v>
      </c>
      <c r="P392" s="15">
        <f t="shared" si="224"/>
        <v>-62.985735794660506</v>
      </c>
      <c r="Q392" s="15">
        <f t="shared" si="225"/>
        <v>-26.936325469745988</v>
      </c>
      <c r="R392" s="15">
        <f t="shared" si="226"/>
        <v>-0.99747067849348625</v>
      </c>
      <c r="S392" s="31">
        <f t="shared" si="212"/>
        <v>-189.45868927095219</v>
      </c>
      <c r="T392" s="31">
        <f t="shared" si="213"/>
        <v>-41.754833783265582</v>
      </c>
      <c r="U392" s="15">
        <f t="shared" si="227"/>
        <v>6500</v>
      </c>
      <c r="V392" s="15">
        <f t="shared" si="228"/>
        <v>-89.99996440173561</v>
      </c>
      <c r="W392" s="15">
        <f t="shared" si="229"/>
        <v>-124.13387616472214</v>
      </c>
      <c r="X392" s="15">
        <f t="shared" si="230"/>
        <v>89.955833427627809</v>
      </c>
      <c r="Y392" s="15">
        <f t="shared" si="231"/>
        <v>62.260579581456675</v>
      </c>
      <c r="Z392" s="15">
        <f t="shared" si="232"/>
        <v>-83.404303136792862</v>
      </c>
      <c r="AA392" s="15">
        <f t="shared" si="233"/>
        <v>-18.796431382435543</v>
      </c>
      <c r="AB392" s="31">
        <f t="shared" si="214"/>
        <v>-83.448434110900664</v>
      </c>
      <c r="AC392" s="31">
        <f t="shared" si="215"/>
        <v>-4.4114608328438933</v>
      </c>
      <c r="AD392" s="15">
        <f t="shared" si="234"/>
        <v>89.570548831793801</v>
      </c>
      <c r="AE392" s="15">
        <f t="shared" si="235"/>
        <v>42.50425820812363</v>
      </c>
      <c r="AF392" s="15">
        <f t="shared" si="236"/>
        <v>3.1406515152374905</v>
      </c>
      <c r="AG392" s="15">
        <f t="shared" si="237"/>
        <v>1.3055579401683396E-2</v>
      </c>
      <c r="AH392" s="15">
        <f t="shared" si="238"/>
        <v>-87.758412936487971</v>
      </c>
      <c r="AI392" s="15">
        <f t="shared" si="239"/>
        <v>-28.153556321782595</v>
      </c>
      <c r="AJ392" s="31">
        <f t="shared" si="216"/>
        <v>4.9527874105433227</v>
      </c>
      <c r="AK392" s="31">
        <f t="shared" si="217"/>
        <v>14.363757465742715</v>
      </c>
      <c r="AL392" s="15">
        <f t="shared" si="240"/>
        <v>0</v>
      </c>
      <c r="AM392" s="15">
        <f t="shared" si="241"/>
        <v>0</v>
      </c>
      <c r="AN392" s="15">
        <f t="shared" si="242"/>
        <v>0</v>
      </c>
      <c r="AO392" s="15">
        <f t="shared" si="243"/>
        <v>0</v>
      </c>
      <c r="AP392" s="31">
        <f t="shared" si="218"/>
        <v>0</v>
      </c>
      <c r="AQ392" s="31">
        <f t="shared" si="219"/>
        <v>0</v>
      </c>
    </row>
    <row r="393" spans="8:43" x14ac:dyDescent="0.25">
      <c r="H393" s="15">
        <v>4.9000000000000199</v>
      </c>
      <c r="I393" s="45">
        <f t="shared" si="244"/>
        <v>794328.23472431907</v>
      </c>
      <c r="J393" s="32">
        <f t="shared" si="210"/>
        <v>-88.981325401491617</v>
      </c>
      <c r="K393" s="32">
        <f t="shared" si="211"/>
        <v>-32.058442066238946</v>
      </c>
      <c r="L393" s="15">
        <f t="shared" si="220"/>
        <v>3.8729613733905581</v>
      </c>
      <c r="M393" s="15">
        <f t="shared" si="221"/>
        <v>-72.936608070402215</v>
      </c>
      <c r="N393" s="15">
        <f t="shared" si="222"/>
        <v>10.649922185961621</v>
      </c>
      <c r="O393" s="15">
        <f t="shared" si="223"/>
        <v>-89.960295851881767</v>
      </c>
      <c r="P393" s="15">
        <f t="shared" si="224"/>
        <v>-63.18573569637379</v>
      </c>
      <c r="Q393" s="15">
        <f t="shared" si="225"/>
        <v>-27.47272570397643</v>
      </c>
      <c r="R393" s="15">
        <f t="shared" si="226"/>
        <v>-1.0392703767850247</v>
      </c>
      <c r="S393" s="31">
        <f t="shared" si="212"/>
        <v>-190.36962962626041</v>
      </c>
      <c r="T393" s="31">
        <f t="shared" si="213"/>
        <v>-41.814220574932236</v>
      </c>
      <c r="U393" s="15">
        <f t="shared" si="227"/>
        <v>6500</v>
      </c>
      <c r="V393" s="15">
        <f t="shared" si="228"/>
        <v>-89.999965212051038</v>
      </c>
      <c r="W393" s="15">
        <f t="shared" si="229"/>
        <v>-124.33387616472206</v>
      </c>
      <c r="X393" s="15">
        <f t="shared" si="230"/>
        <v>89.956838781171072</v>
      </c>
      <c r="Y393" s="15">
        <f t="shared" si="231"/>
        <v>62.460579465309024</v>
      </c>
      <c r="Z393" s="15">
        <f t="shared" si="232"/>
        <v>-83.553161019348948</v>
      </c>
      <c r="AA393" s="15">
        <f t="shared" si="233"/>
        <v>-18.993851771511984</v>
      </c>
      <c r="AB393" s="31">
        <f t="shared" si="214"/>
        <v>-83.596287450228914</v>
      </c>
      <c r="AC393" s="31">
        <f t="shared" si="215"/>
        <v>-4.6088813380679028</v>
      </c>
      <c r="AD393" s="15">
        <f t="shared" si="234"/>
        <v>89.580323980129975</v>
      </c>
      <c r="AE393" s="15">
        <f t="shared" si="235"/>
        <v>42.704247227093077</v>
      </c>
      <c r="AF393" s="15">
        <f t="shared" si="236"/>
        <v>3.21365509381096</v>
      </c>
      <c r="AG393" s="15">
        <f t="shared" si="237"/>
        <v>1.3669902547556154E-2</v>
      </c>
      <c r="AH393" s="15">
        <f t="shared" si="238"/>
        <v>-87.80938739894323</v>
      </c>
      <c r="AI393" s="15">
        <f t="shared" si="239"/>
        <v>-28.35325728287944</v>
      </c>
      <c r="AJ393" s="31">
        <f t="shared" si="216"/>
        <v>4.9845916749977022</v>
      </c>
      <c r="AK393" s="31">
        <f t="shared" si="217"/>
        <v>14.364659846761192</v>
      </c>
      <c r="AL393" s="15">
        <f t="shared" si="240"/>
        <v>0</v>
      </c>
      <c r="AM393" s="15">
        <f t="shared" si="241"/>
        <v>0</v>
      </c>
      <c r="AN393" s="15">
        <f t="shared" si="242"/>
        <v>0</v>
      </c>
      <c r="AO393" s="15">
        <f t="shared" si="243"/>
        <v>0</v>
      </c>
      <c r="AP393" s="31">
        <f t="shared" si="218"/>
        <v>0</v>
      </c>
      <c r="AQ393" s="31">
        <f t="shared" si="219"/>
        <v>0</v>
      </c>
    </row>
    <row r="394" spans="8:43" x14ac:dyDescent="0.25">
      <c r="H394" s="15">
        <v>4.9100000000000197</v>
      </c>
      <c r="I394" s="45">
        <f t="shared" si="244"/>
        <v>812830.51616413763</v>
      </c>
      <c r="J394" s="32">
        <f t="shared" si="210"/>
        <v>-90.002475321674069</v>
      </c>
      <c r="K394" s="32">
        <f t="shared" si="211"/>
        <v>-32.31526392722062</v>
      </c>
      <c r="L394" s="15">
        <f t="shared" si="220"/>
        <v>3.8729613733905581</v>
      </c>
      <c r="M394" s="15">
        <f t="shared" si="221"/>
        <v>-73.303169704883203</v>
      </c>
      <c r="N394" s="15">
        <f t="shared" si="222"/>
        <v>10.833059801023101</v>
      </c>
      <c r="O394" s="15">
        <f t="shared" si="223"/>
        <v>-89.961199628352986</v>
      </c>
      <c r="P394" s="15">
        <f t="shared" si="224"/>
        <v>-63.385735602510707</v>
      </c>
      <c r="Q394" s="15">
        <f t="shared" si="225"/>
        <v>-28.01626632874131</v>
      </c>
      <c r="R394" s="15">
        <f t="shared" si="226"/>
        <v>-1.0826130707517831</v>
      </c>
      <c r="S394" s="31">
        <f t="shared" si="212"/>
        <v>-191.2806356619775</v>
      </c>
      <c r="T394" s="31">
        <f t="shared" si="213"/>
        <v>-41.874425559974426</v>
      </c>
      <c r="U394" s="15">
        <f t="shared" si="227"/>
        <v>6500</v>
      </c>
      <c r="V394" s="15">
        <f t="shared" si="228"/>
        <v>-89.999966003921443</v>
      </c>
      <c r="W394" s="15">
        <f t="shared" si="229"/>
        <v>-124.53387616472199</v>
      </c>
      <c r="X394" s="15">
        <f t="shared" si="230"/>
        <v>89.957821250099485</v>
      </c>
      <c r="Y394" s="15">
        <f t="shared" si="231"/>
        <v>62.660579354388879</v>
      </c>
      <c r="Z394" s="15">
        <f t="shared" si="232"/>
        <v>-83.698714985257467</v>
      </c>
      <c r="AA394" s="15">
        <f t="shared" si="233"/>
        <v>-19.191386831040756</v>
      </c>
      <c r="AB394" s="31">
        <f t="shared" si="214"/>
        <v>-83.740859739079426</v>
      </c>
      <c r="AC394" s="31">
        <f t="shared" si="215"/>
        <v>-4.806416508516751</v>
      </c>
      <c r="AD394" s="15">
        <f t="shared" si="234"/>
        <v>89.589876642532488</v>
      </c>
      <c r="AE394" s="15">
        <f t="shared" si="235"/>
        <v>42.904236740264395</v>
      </c>
      <c r="AF394" s="15">
        <f t="shared" si="236"/>
        <v>3.288348330578311</v>
      </c>
      <c r="AG394" s="15">
        <f t="shared" si="237"/>
        <v>1.4313084727418244E-2</v>
      </c>
      <c r="AH394" s="15">
        <f t="shared" si="238"/>
        <v>-87.859204893727949</v>
      </c>
      <c r="AI394" s="15">
        <f t="shared" si="239"/>
        <v>-28.55297168372126</v>
      </c>
      <c r="AJ394" s="31">
        <f t="shared" si="216"/>
        <v>5.0190200793828552</v>
      </c>
      <c r="AK394" s="31">
        <f t="shared" si="217"/>
        <v>14.365578141270554</v>
      </c>
      <c r="AL394" s="15">
        <f t="shared" si="240"/>
        <v>0</v>
      </c>
      <c r="AM394" s="15">
        <f t="shared" si="241"/>
        <v>0</v>
      </c>
      <c r="AN394" s="15">
        <f t="shared" si="242"/>
        <v>0</v>
      </c>
      <c r="AO394" s="15">
        <f t="shared" si="243"/>
        <v>0</v>
      </c>
      <c r="AP394" s="31">
        <f t="shared" si="218"/>
        <v>0</v>
      </c>
      <c r="AQ394" s="31">
        <f t="shared" si="219"/>
        <v>0</v>
      </c>
    </row>
    <row r="395" spans="8:43" x14ac:dyDescent="0.25">
      <c r="H395" s="15">
        <v>4.9200000000000204</v>
      </c>
      <c r="I395" s="45">
        <f t="shared" si="244"/>
        <v>831763.77110271016</v>
      </c>
      <c r="J395" s="32">
        <f t="shared" si="210"/>
        <v>-91.01780890719759</v>
      </c>
      <c r="K395" s="32">
        <f t="shared" si="211"/>
        <v>-32.573063769829545</v>
      </c>
      <c r="L395" s="15">
        <f t="shared" si="220"/>
        <v>3.8729613733905581</v>
      </c>
      <c r="M395" s="15">
        <f t="shared" si="221"/>
        <v>-73.662751963453786</v>
      </c>
      <c r="N395" s="15">
        <f t="shared" si="222"/>
        <v>11.016894999346466</v>
      </c>
      <c r="O395" s="15">
        <f t="shared" si="223"/>
        <v>-89.962082832378741</v>
      </c>
      <c r="P395" s="15">
        <f t="shared" si="224"/>
        <v>-63.585735512872155</v>
      </c>
      <c r="Q395" s="15">
        <f t="shared" si="225"/>
        <v>-28.56684415997373</v>
      </c>
      <c r="R395" s="15">
        <f t="shared" si="226"/>
        <v>-1.1275395420797942</v>
      </c>
      <c r="S395" s="31">
        <f t="shared" si="212"/>
        <v>-192.19167895580625</v>
      </c>
      <c r="T395" s="31">
        <f t="shared" si="213"/>
        <v>-41.935516743340521</v>
      </c>
      <c r="U395" s="15">
        <f t="shared" si="227"/>
        <v>6500</v>
      </c>
      <c r="V395" s="15">
        <f t="shared" si="228"/>
        <v>-89.999966777766659</v>
      </c>
      <c r="W395" s="15">
        <f t="shared" si="229"/>
        <v>-124.73387616472192</v>
      </c>
      <c r="X395" s="15">
        <f t="shared" si="230"/>
        <v>89.958781355328696</v>
      </c>
      <c r="Y395" s="15">
        <f t="shared" si="231"/>
        <v>62.860579248460965</v>
      </c>
      <c r="Z395" s="15">
        <f t="shared" si="232"/>
        <v>-83.841034690293228</v>
      </c>
      <c r="AA395" s="15">
        <f t="shared" si="233"/>
        <v>-19.389031524444803</v>
      </c>
      <c r="AB395" s="31">
        <f t="shared" si="214"/>
        <v>-83.88222011273119</v>
      </c>
      <c r="AC395" s="31">
        <f t="shared" si="215"/>
        <v>-5.0040613078486444</v>
      </c>
      <c r="AD395" s="15">
        <f t="shared" si="234"/>
        <v>89.599211881823848</v>
      </c>
      <c r="AE395" s="15">
        <f t="shared" si="235"/>
        <v>43.104226725397119</v>
      </c>
      <c r="AF395" s="15">
        <f t="shared" si="236"/>
        <v>3.3647698127873902</v>
      </c>
      <c r="AG395" s="15">
        <f t="shared" si="237"/>
        <v>1.4986477071472791E-2</v>
      </c>
      <c r="AH395" s="15">
        <f t="shared" si="238"/>
        <v>-87.907891533271382</v>
      </c>
      <c r="AI395" s="15">
        <f t="shared" si="239"/>
        <v>-28.752698921108973</v>
      </c>
      <c r="AJ395" s="31">
        <f t="shared" si="216"/>
        <v>5.0560901613398528</v>
      </c>
      <c r="AK395" s="31">
        <f t="shared" si="217"/>
        <v>14.36651428135962</v>
      </c>
      <c r="AL395" s="15">
        <f t="shared" si="240"/>
        <v>0</v>
      </c>
      <c r="AM395" s="15">
        <f t="shared" si="241"/>
        <v>0</v>
      </c>
      <c r="AN395" s="15">
        <f t="shared" si="242"/>
        <v>0</v>
      </c>
      <c r="AO395" s="15">
        <f t="shared" si="243"/>
        <v>0</v>
      </c>
      <c r="AP395" s="31">
        <f t="shared" si="218"/>
        <v>0</v>
      </c>
      <c r="AQ395" s="31">
        <f t="shared" si="219"/>
        <v>0</v>
      </c>
    </row>
    <row r="396" spans="8:43" x14ac:dyDescent="0.25">
      <c r="H396" s="15">
        <v>4.9300000000000201</v>
      </c>
      <c r="I396" s="45">
        <f t="shared" si="244"/>
        <v>851138.0382024165</v>
      </c>
      <c r="J396" s="32">
        <f t="shared" si="210"/>
        <v>-92.027338165429853</v>
      </c>
      <c r="K396" s="32">
        <f t="shared" si="211"/>
        <v>-32.831901895544327</v>
      </c>
      <c r="L396" s="15">
        <f t="shared" si="220"/>
        <v>3.8729613733905581</v>
      </c>
      <c r="M396" s="15">
        <f t="shared" si="221"/>
        <v>-74.015432156124405</v>
      </c>
      <c r="N396" s="15">
        <f t="shared" si="222"/>
        <v>11.201401364264443</v>
      </c>
      <c r="O396" s="15">
        <f t="shared" si="223"/>
        <v>-89.962945932243827</v>
      </c>
      <c r="P396" s="15">
        <f t="shared" si="224"/>
        <v>-63.785735427268008</v>
      </c>
      <c r="Q396" s="15">
        <f t="shared" si="225"/>
        <v>-29.124344350509642</v>
      </c>
      <c r="R396" s="15">
        <f t="shared" si="226"/>
        <v>-1.1740904651068671</v>
      </c>
      <c r="S396" s="31">
        <f t="shared" si="212"/>
        <v>-193.10272243887786</v>
      </c>
      <c r="T396" s="31">
        <f t="shared" si="213"/>
        <v>-41.997561215845465</v>
      </c>
      <c r="U396" s="15">
        <f t="shared" si="227"/>
        <v>6500</v>
      </c>
      <c r="V396" s="15">
        <f t="shared" si="228"/>
        <v>-89.999967533997022</v>
      </c>
      <c r="W396" s="15">
        <f t="shared" si="229"/>
        <v>-124.93387616472185</v>
      </c>
      <c r="X396" s="15">
        <f t="shared" si="230"/>
        <v>89.959719605917101</v>
      </c>
      <c r="Y396" s="15">
        <f t="shared" si="231"/>
        <v>63.060579147300579</v>
      </c>
      <c r="Z396" s="15">
        <f t="shared" si="232"/>
        <v>-83.980188565533894</v>
      </c>
      <c r="AA396" s="15">
        <f t="shared" si="233"/>
        <v>-19.586781031069965</v>
      </c>
      <c r="AB396" s="31">
        <f t="shared" si="214"/>
        <v>-84.020436493613815</v>
      </c>
      <c r="AC396" s="31">
        <f t="shared" si="215"/>
        <v>-5.2018109156341232</v>
      </c>
      <c r="AD396" s="15">
        <f t="shared" si="234"/>
        <v>89.608334645687833</v>
      </c>
      <c r="AE396" s="15">
        <f t="shared" si="235"/>
        <v>43.304217161251557</v>
      </c>
      <c r="AF396" s="15">
        <f t="shared" si="236"/>
        <v>3.4429589718496185</v>
      </c>
      <c r="AG396" s="15">
        <f t="shared" si="237"/>
        <v>1.5691493527312472E-2</v>
      </c>
      <c r="AH396" s="15">
        <f t="shared" si="238"/>
        <v>-87.95547285047563</v>
      </c>
      <c r="AI396" s="15">
        <f t="shared" si="239"/>
        <v>-28.952438418843606</v>
      </c>
      <c r="AJ396" s="31">
        <f t="shared" si="216"/>
        <v>5.0958207670618236</v>
      </c>
      <c r="AK396" s="31">
        <f t="shared" si="217"/>
        <v>14.367470235935265</v>
      </c>
      <c r="AL396" s="15">
        <f t="shared" si="240"/>
        <v>0</v>
      </c>
      <c r="AM396" s="15">
        <f t="shared" si="241"/>
        <v>0</v>
      </c>
      <c r="AN396" s="15">
        <f t="shared" si="242"/>
        <v>0</v>
      </c>
      <c r="AO396" s="15">
        <f t="shared" si="243"/>
        <v>0</v>
      </c>
      <c r="AP396" s="31">
        <f t="shared" si="218"/>
        <v>0</v>
      </c>
      <c r="AQ396" s="31">
        <f t="shared" si="219"/>
        <v>0</v>
      </c>
    </row>
    <row r="397" spans="8:43" x14ac:dyDescent="0.25">
      <c r="H397" s="15">
        <v>4.9400000000000199</v>
      </c>
      <c r="I397" s="45">
        <f t="shared" si="244"/>
        <v>870963.58995612152</v>
      </c>
      <c r="J397" s="32">
        <f t="shared" si="210"/>
        <v>-93.031063450722669</v>
      </c>
      <c r="K397" s="32">
        <f t="shared" si="211"/>
        <v>-33.091837770022451</v>
      </c>
      <c r="L397" s="15">
        <f t="shared" si="220"/>
        <v>3.8729613733905581</v>
      </c>
      <c r="M397" s="15">
        <f t="shared" si="221"/>
        <v>-74.361290334935873</v>
      </c>
      <c r="N397" s="15">
        <f t="shared" si="222"/>
        <v>11.386553279858727</v>
      </c>
      <c r="O397" s="15">
        <f t="shared" si="223"/>
        <v>-89.963789385573648</v>
      </c>
      <c r="P397" s="15">
        <f t="shared" si="224"/>
        <v>-63.985735345516673</v>
      </c>
      <c r="Q397" s="15">
        <f t="shared" si="225"/>
        <v>-29.688640191866327</v>
      </c>
      <c r="R397" s="15">
        <f t="shared" si="226"/>
        <v>-1.2223063128262019</v>
      </c>
      <c r="S397" s="31">
        <f t="shared" si="212"/>
        <v>-194.01371991237585</v>
      </c>
      <c r="T397" s="31">
        <f t="shared" si="213"/>
        <v>-42.060625066219188</v>
      </c>
      <c r="U397" s="15">
        <f t="shared" si="227"/>
        <v>6500</v>
      </c>
      <c r="V397" s="15">
        <f t="shared" si="228"/>
        <v>-89.999968273013465</v>
      </c>
      <c r="W397" s="15">
        <f t="shared" si="229"/>
        <v>-125.1338761647218</v>
      </c>
      <c r="X397" s="15">
        <f t="shared" si="230"/>
        <v>89.96063649933555</v>
      </c>
      <c r="Y397" s="15">
        <f t="shared" si="231"/>
        <v>63.26057905069316</v>
      </c>
      <c r="Z397" s="15">
        <f t="shared" si="232"/>
        <v>-84.116243822177481</v>
      </c>
      <c r="AA397" s="15">
        <f t="shared" si="233"/>
        <v>-19.784630737389595</v>
      </c>
      <c r="AB397" s="31">
        <f t="shared" si="214"/>
        <v>-84.155575595855396</v>
      </c>
      <c r="AC397" s="31">
        <f t="shared" si="215"/>
        <v>-5.399660718561119</v>
      </c>
      <c r="AD397" s="15">
        <f t="shared" si="234"/>
        <v>89.617249769283319</v>
      </c>
      <c r="AE397" s="15">
        <f t="shared" si="235"/>
        <v>43.504208027543797</v>
      </c>
      <c r="AF397" s="15">
        <f t="shared" si="236"/>
        <v>3.522956099145234</v>
      </c>
      <c r="AG397" s="15">
        <f t="shared" si="237"/>
        <v>1.6429613738158409E-2</v>
      </c>
      <c r="AH397" s="15">
        <f t="shared" si="238"/>
        <v>-88.001973810919978</v>
      </c>
      <c r="AI397" s="15">
        <f t="shared" si="239"/>
        <v>-29.152189626524102</v>
      </c>
      <c r="AJ397" s="31">
        <f t="shared" si="216"/>
        <v>5.1382320575085743</v>
      </c>
      <c r="AK397" s="31">
        <f t="shared" si="217"/>
        <v>14.368448014757856</v>
      </c>
      <c r="AL397" s="15">
        <f t="shared" si="240"/>
        <v>0</v>
      </c>
      <c r="AM397" s="15">
        <f t="shared" si="241"/>
        <v>0</v>
      </c>
      <c r="AN397" s="15">
        <f t="shared" si="242"/>
        <v>0</v>
      </c>
      <c r="AO397" s="15">
        <f t="shared" si="243"/>
        <v>0</v>
      </c>
      <c r="AP397" s="31">
        <f t="shared" si="218"/>
        <v>0</v>
      </c>
      <c r="AQ397" s="31">
        <f t="shared" si="219"/>
        <v>0</v>
      </c>
    </row>
    <row r="398" spans="8:43" x14ac:dyDescent="0.25">
      <c r="H398" s="15">
        <v>4.9500000000000197</v>
      </c>
      <c r="I398" s="45">
        <f t="shared" si="244"/>
        <v>891250.93813378725</v>
      </c>
      <c r="J398" s="32">
        <f t="shared" si="210"/>
        <v>-94.028973028418847</v>
      </c>
      <c r="K398" s="32">
        <f t="shared" si="211"/>
        <v>-33.35292992015183</v>
      </c>
      <c r="L398" s="15">
        <f t="shared" si="220"/>
        <v>3.8729613733905581</v>
      </c>
      <c r="M398" s="15">
        <f t="shared" si="221"/>
        <v>-74.700409020749106</v>
      </c>
      <c r="N398" s="15">
        <f t="shared" si="222"/>
        <v>11.572325923256308</v>
      </c>
      <c r="O398" s="15">
        <f t="shared" si="223"/>
        <v>-89.964613639576854</v>
      </c>
      <c r="P398" s="15">
        <f t="shared" si="224"/>
        <v>-64.185735267444755</v>
      </c>
      <c r="Q398" s="15">
        <f t="shared" si="225"/>
        <v>-30.259592951808759</v>
      </c>
      <c r="R398" s="15">
        <f t="shared" si="226"/>
        <v>-1.2722272588241679</v>
      </c>
      <c r="S398" s="31">
        <f t="shared" si="212"/>
        <v>-194.92461561213474</v>
      </c>
      <c r="T398" s="31">
        <f t="shared" si="213"/>
        <v>-42.124773290747648</v>
      </c>
      <c r="U398" s="15">
        <f t="shared" si="227"/>
        <v>6500</v>
      </c>
      <c r="V398" s="15">
        <f t="shared" si="228"/>
        <v>-89.999968995207865</v>
      </c>
      <c r="W398" s="15">
        <f t="shared" si="229"/>
        <v>-125.33387616472172</v>
      </c>
      <c r="X398" s="15">
        <f t="shared" si="230"/>
        <v>89.961532521731186</v>
      </c>
      <c r="Y398" s="15">
        <f t="shared" si="231"/>
        <v>63.460578958433793</v>
      </c>
      <c r="Z398" s="15">
        <f t="shared" si="232"/>
        <v>-84.249266457680548</v>
      </c>
      <c r="AA398" s="15">
        <f t="shared" si="233"/>
        <v>-19.98257622852687</v>
      </c>
      <c r="AB398" s="31">
        <f t="shared" si="214"/>
        <v>-84.287702931157227</v>
      </c>
      <c r="AC398" s="31">
        <f t="shared" si="215"/>
        <v>-5.5976063019576792</v>
      </c>
      <c r="AD398" s="15">
        <f t="shared" si="234"/>
        <v>89.625961977799108</v>
      </c>
      <c r="AE398" s="15">
        <f t="shared" si="235"/>
        <v>43.704199304902673</v>
      </c>
      <c r="AF398" s="15">
        <f t="shared" si="236"/>
        <v>3.6048023619269065</v>
      </c>
      <c r="AG398" s="15">
        <f t="shared" si="237"/>
        <v>1.7202386048903638E-2</v>
      </c>
      <c r="AH398" s="15">
        <f t="shared" si="238"/>
        <v>-88.047418824852883</v>
      </c>
      <c r="AI398" s="15">
        <f t="shared" si="239"/>
        <v>-29.35195201839808</v>
      </c>
      <c r="AJ398" s="31">
        <f t="shared" si="216"/>
        <v>5.1833455148731247</v>
      </c>
      <c r="AK398" s="31">
        <f t="shared" si="217"/>
        <v>14.369449672553493</v>
      </c>
      <c r="AL398" s="15">
        <f t="shared" si="240"/>
        <v>0</v>
      </c>
      <c r="AM398" s="15">
        <f t="shared" si="241"/>
        <v>0</v>
      </c>
      <c r="AN398" s="15">
        <f t="shared" si="242"/>
        <v>0</v>
      </c>
      <c r="AO398" s="15">
        <f t="shared" si="243"/>
        <v>0</v>
      </c>
      <c r="AP398" s="31">
        <f t="shared" si="218"/>
        <v>0</v>
      </c>
      <c r="AQ398" s="31">
        <f t="shared" si="219"/>
        <v>0</v>
      </c>
    </row>
    <row r="399" spans="8:43" x14ac:dyDescent="0.25">
      <c r="H399" s="15">
        <v>4.9600000000000204</v>
      </c>
      <c r="I399" s="45">
        <f t="shared" si="244"/>
        <v>912010.83935595397</v>
      </c>
      <c r="J399" s="32">
        <f t="shared" si="210"/>
        <v>-95.021042690931708</v>
      </c>
      <c r="K399" s="32">
        <f t="shared" si="211"/>
        <v>-33.615235829075559</v>
      </c>
      <c r="L399" s="15">
        <f t="shared" si="220"/>
        <v>3.8729613733905581</v>
      </c>
      <c r="M399" s="15">
        <f t="shared" si="221"/>
        <v>-75.032872942271325</v>
      </c>
      <c r="N399" s="15">
        <f t="shared" si="222"/>
        <v>11.758695255434255</v>
      </c>
      <c r="O399" s="15">
        <f t="shared" si="223"/>
        <v>-89.965419131282431</v>
      </c>
      <c r="P399" s="15">
        <f t="shared" si="224"/>
        <v>-64.385735192886671</v>
      </c>
      <c r="Q399" s="15">
        <f t="shared" si="225"/>
        <v>-30.837051750781519</v>
      </c>
      <c r="R399" s="15">
        <f t="shared" si="226"/>
        <v>-1.323893075473964</v>
      </c>
      <c r="S399" s="31">
        <f t="shared" si="212"/>
        <v>-195.83534382433527</v>
      </c>
      <c r="T399" s="31">
        <f t="shared" si="213"/>
        <v>-42.190069700661411</v>
      </c>
      <c r="U399" s="15">
        <f t="shared" si="227"/>
        <v>6500</v>
      </c>
      <c r="V399" s="15">
        <f t="shared" si="228"/>
        <v>-89.999969700963092</v>
      </c>
      <c r="W399" s="15">
        <f t="shared" si="229"/>
        <v>-125.53387616472168</v>
      </c>
      <c r="X399" s="15">
        <f t="shared" si="230"/>
        <v>89.96240814818519</v>
      </c>
      <c r="Y399" s="15">
        <f t="shared" si="231"/>
        <v>63.660578870326802</v>
      </c>
      <c r="Z399" s="15">
        <f t="shared" si="232"/>
        <v>-84.379321263103066</v>
      </c>
      <c r="AA399" s="15">
        <f t="shared" si="233"/>
        <v>-20.180613280087019</v>
      </c>
      <c r="AB399" s="31">
        <f t="shared" si="214"/>
        <v>-84.416882815880967</v>
      </c>
      <c r="AC399" s="31">
        <f t="shared" si="215"/>
        <v>-5.7956434416247795</v>
      </c>
      <c r="AD399" s="15">
        <f t="shared" si="234"/>
        <v>89.63447588895103</v>
      </c>
      <c r="AE399" s="15">
        <f t="shared" si="235"/>
        <v>43.90419097482873</v>
      </c>
      <c r="AF399" s="15">
        <f t="shared" si="236"/>
        <v>3.6885398193054444</v>
      </c>
      <c r="AG399" s="15">
        <f t="shared" si="237"/>
        <v>1.8011430645246889E-2</v>
      </c>
      <c r="AH399" s="15">
        <f t="shared" si="238"/>
        <v>-88.091831758971949</v>
      </c>
      <c r="AI399" s="15">
        <f t="shared" si="239"/>
        <v>-29.551725092263347</v>
      </c>
      <c r="AJ399" s="31">
        <f t="shared" si="216"/>
        <v>5.231183949284528</v>
      </c>
      <c r="AK399" s="31">
        <f t="shared" si="217"/>
        <v>14.370477313210628</v>
      </c>
      <c r="AL399" s="15">
        <f t="shared" si="240"/>
        <v>0</v>
      </c>
      <c r="AM399" s="15">
        <f t="shared" si="241"/>
        <v>0</v>
      </c>
      <c r="AN399" s="15">
        <f t="shared" si="242"/>
        <v>0</v>
      </c>
      <c r="AO399" s="15">
        <f t="shared" si="243"/>
        <v>0</v>
      </c>
      <c r="AP399" s="31">
        <f t="shared" si="218"/>
        <v>0</v>
      </c>
      <c r="AQ399" s="31">
        <f t="shared" si="219"/>
        <v>0</v>
      </c>
    </row>
    <row r="400" spans="8:43" x14ac:dyDescent="0.25">
      <c r="H400" s="15">
        <v>4.9700000000000202</v>
      </c>
      <c r="I400" s="45">
        <f t="shared" si="244"/>
        <v>933254.30079703464</v>
      </c>
      <c r="J400" s="32">
        <f t="shared" si="210"/>
        <v>-96.007235428756871</v>
      </c>
      <c r="K400" s="32">
        <f t="shared" si="211"/>
        <v>-33.878811829389548</v>
      </c>
      <c r="L400" s="15">
        <f t="shared" si="220"/>
        <v>3.8729613733905581</v>
      </c>
      <c r="M400" s="15">
        <f t="shared" si="221"/>
        <v>-75.358768787294636</v>
      </c>
      <c r="N400" s="15">
        <f t="shared" si="222"/>
        <v>11.945638010691608</v>
      </c>
      <c r="O400" s="15">
        <f t="shared" si="223"/>
        <v>-89.966206287771541</v>
      </c>
      <c r="P400" s="15">
        <f t="shared" si="224"/>
        <v>-64.585735121684223</v>
      </c>
      <c r="Q400" s="15">
        <f t="shared" si="225"/>
        <v>-31.420853480178735</v>
      </c>
      <c r="R400" s="15">
        <f t="shared" si="226"/>
        <v>-1.3773430287597694</v>
      </c>
      <c r="S400" s="31">
        <f t="shared" si="212"/>
        <v>-196.74582855524488</v>
      </c>
      <c r="T400" s="31">
        <f t="shared" si="213"/>
        <v>-42.256576827487422</v>
      </c>
      <c r="U400" s="15">
        <f t="shared" si="227"/>
        <v>6500</v>
      </c>
      <c r="V400" s="15">
        <f t="shared" si="228"/>
        <v>-89.999970390653374</v>
      </c>
      <c r="W400" s="15">
        <f t="shared" si="229"/>
        <v>-125.73387616472162</v>
      </c>
      <c r="X400" s="15">
        <f t="shared" si="230"/>
        <v>89.963263842964679</v>
      </c>
      <c r="Y400" s="15">
        <f t="shared" si="231"/>
        <v>63.860578786185229</v>
      </c>
      <c r="Z400" s="15">
        <f t="shared" si="232"/>
        <v>-84.506471831552801</v>
      </c>
      <c r="AA400" s="15">
        <f t="shared" si="233"/>
        <v>-20.378737850291415</v>
      </c>
      <c r="AB400" s="31">
        <f t="shared" si="214"/>
        <v>-84.543178379241496</v>
      </c>
      <c r="AC400" s="31">
        <f t="shared" si="215"/>
        <v>-5.9937680959706938</v>
      </c>
      <c r="AD400" s="15">
        <f t="shared" si="234"/>
        <v>89.642796015422704</v>
      </c>
      <c r="AE400" s="15">
        <f t="shared" si="235"/>
        <v>44.104183019654926</v>
      </c>
      <c r="AF400" s="15">
        <f t="shared" si="236"/>
        <v>3.7742114382996799</v>
      </c>
      <c r="AG400" s="15">
        <f t="shared" si="237"/>
        <v>1.8858442831371287E-2</v>
      </c>
      <c r="AH400" s="15">
        <f t="shared" si="238"/>
        <v>-88.135235947992868</v>
      </c>
      <c r="AI400" s="15">
        <f t="shared" si="239"/>
        <v>-29.751508368417731</v>
      </c>
      <c r="AJ400" s="31">
        <f t="shared" si="216"/>
        <v>5.2817715057295089</v>
      </c>
      <c r="AK400" s="31">
        <f t="shared" si="217"/>
        <v>14.371533094068567</v>
      </c>
      <c r="AL400" s="15">
        <f t="shared" si="240"/>
        <v>0</v>
      </c>
      <c r="AM400" s="15">
        <f t="shared" si="241"/>
        <v>0</v>
      </c>
      <c r="AN400" s="15">
        <f t="shared" si="242"/>
        <v>0</v>
      </c>
      <c r="AO400" s="15">
        <f t="shared" si="243"/>
        <v>0</v>
      </c>
      <c r="AP400" s="31">
        <f t="shared" si="218"/>
        <v>0</v>
      </c>
      <c r="AQ400" s="31">
        <f t="shared" si="219"/>
        <v>0</v>
      </c>
    </row>
    <row r="401" spans="8:43" x14ac:dyDescent="0.25">
      <c r="H401" s="15">
        <v>4.98000000000002</v>
      </c>
      <c r="I401" s="45">
        <f t="shared" si="244"/>
        <v>954992.58602148038</v>
      </c>
      <c r="J401" s="32">
        <f t="shared" si="210"/>
        <v>-96.987501159076231</v>
      </c>
      <c r="K401" s="32">
        <f t="shared" si="211"/>
        <v>-34.143712994775242</v>
      </c>
      <c r="L401" s="15">
        <f t="shared" si="220"/>
        <v>3.8729613733905581</v>
      </c>
      <c r="M401" s="15">
        <f t="shared" si="221"/>
        <v>-75.678184966062389</v>
      </c>
      <c r="N401" s="15">
        <f t="shared" si="222"/>
        <v>12.133131684939272</v>
      </c>
      <c r="O401" s="15">
        <f t="shared" si="223"/>
        <v>-89.966975526403715</v>
      </c>
      <c r="P401" s="15">
        <f t="shared" si="224"/>
        <v>-64.785735053686409</v>
      </c>
      <c r="Q401" s="15">
        <f t="shared" si="225"/>
        <v>-32.010822765279116</v>
      </c>
      <c r="R401" s="15">
        <f t="shared" si="226"/>
        <v>-1.4326157701591715</v>
      </c>
      <c r="S401" s="31">
        <f t="shared" si="212"/>
        <v>-197.65598325774522</v>
      </c>
      <c r="T401" s="31">
        <f t="shared" si="213"/>
        <v>-42.324355826641352</v>
      </c>
      <c r="U401" s="15">
        <f t="shared" si="227"/>
        <v>6500</v>
      </c>
      <c r="V401" s="15">
        <f t="shared" si="228"/>
        <v>-89.999971064644399</v>
      </c>
      <c r="W401" s="15">
        <f t="shared" si="229"/>
        <v>-125.93387616472157</v>
      </c>
      <c r="X401" s="15">
        <f t="shared" si="230"/>
        <v>89.964100059768782</v>
      </c>
      <c r="Y401" s="15">
        <f t="shared" si="231"/>
        <v>64.060578705830679</v>
      </c>
      <c r="Z401" s="15">
        <f t="shared" si="232"/>
        <v>-84.630780567629003</v>
      </c>
      <c r="AA401" s="15">
        <f t="shared" si="233"/>
        <v>-20.576946072405683</v>
      </c>
      <c r="AB401" s="31">
        <f t="shared" si="214"/>
        <v>-84.66665157250462</v>
      </c>
      <c r="AC401" s="31">
        <f t="shared" si="215"/>
        <v>-6.1919763984394578</v>
      </c>
      <c r="AD401" s="15">
        <f t="shared" si="234"/>
        <v>89.650926767250894</v>
      </c>
      <c r="AE401" s="15">
        <f t="shared" si="235"/>
        <v>44.304175422509324</v>
      </c>
      <c r="AF401" s="15">
        <f t="shared" si="236"/>
        <v>3.8618611099310471</v>
      </c>
      <c r="AG401" s="15">
        <f t="shared" si="237"/>
        <v>1.9745196451831398E-2</v>
      </c>
      <c r="AH401" s="15">
        <f t="shared" si="238"/>
        <v>-88.177654206008327</v>
      </c>
      <c r="AI401" s="15">
        <f t="shared" si="239"/>
        <v>-29.95130138865559</v>
      </c>
      <c r="AJ401" s="31">
        <f t="shared" si="216"/>
        <v>5.3351336711736081</v>
      </c>
      <c r="AK401" s="31">
        <f t="shared" si="217"/>
        <v>14.372619230305563</v>
      </c>
      <c r="AL401" s="15">
        <f t="shared" si="240"/>
        <v>0</v>
      </c>
      <c r="AM401" s="15">
        <f t="shared" si="241"/>
        <v>0</v>
      </c>
      <c r="AN401" s="15">
        <f t="shared" si="242"/>
        <v>0</v>
      </c>
      <c r="AO401" s="15">
        <f t="shared" si="243"/>
        <v>0</v>
      </c>
      <c r="AP401" s="31">
        <f t="shared" si="218"/>
        <v>0</v>
      </c>
      <c r="AQ401" s="31">
        <f t="shared" si="219"/>
        <v>0</v>
      </c>
    </row>
    <row r="402" spans="8:43" x14ac:dyDescent="0.25">
      <c r="H402" s="15">
        <v>4.9900000000000198</v>
      </c>
      <c r="I402" s="45">
        <f t="shared" si="244"/>
        <v>977237.22095585614</v>
      </c>
      <c r="J402" s="32">
        <f t="shared" si="210"/>
        <v>-97.961776514380205</v>
      </c>
      <c r="K402" s="32">
        <f t="shared" si="211"/>
        <v>-34.409993030388904</v>
      </c>
      <c r="L402" s="15">
        <f t="shared" si="220"/>
        <v>3.8729613733905581</v>
      </c>
      <c r="M402" s="15">
        <f t="shared" si="221"/>
        <v>-75.991211386624641</v>
      </c>
      <c r="N402" s="15">
        <f t="shared" si="222"/>
        <v>12.321154522949481</v>
      </c>
      <c r="O402" s="15">
        <f t="shared" si="223"/>
        <v>-89.967727255038383</v>
      </c>
      <c r="P402" s="15">
        <f t="shared" si="224"/>
        <v>-64.985734988749016</v>
      </c>
      <c r="Q402" s="15">
        <f t="shared" si="225"/>
        <v>-32.606771975482403</v>
      </c>
      <c r="R402" s="15">
        <f t="shared" si="226"/>
        <v>-1.4897492260636218</v>
      </c>
      <c r="S402" s="31">
        <f t="shared" si="212"/>
        <v>-198.56571061714544</v>
      </c>
      <c r="T402" s="31">
        <f t="shared" si="213"/>
        <v>-42.393466379598195</v>
      </c>
      <c r="U402" s="15">
        <f t="shared" si="227"/>
        <v>6500</v>
      </c>
      <c r="V402" s="15">
        <f t="shared" si="228"/>
        <v>-89.999971723293498</v>
      </c>
      <c r="W402" s="15">
        <f t="shared" si="229"/>
        <v>-126.13387616472151</v>
      </c>
      <c r="X402" s="15">
        <f t="shared" si="230"/>
        <v>89.964917241969346</v>
      </c>
      <c r="Y402" s="15">
        <f t="shared" si="231"/>
        <v>64.260578629092663</v>
      </c>
      <c r="Z402" s="15">
        <f t="shared" si="232"/>
        <v>-84.752308697770971</v>
      </c>
      <c r="AA402" s="15">
        <f t="shared" si="233"/>
        <v>-20.775234247453191</v>
      </c>
      <c r="AB402" s="31">
        <f t="shared" si="214"/>
        <v>-84.787363179095124</v>
      </c>
      <c r="AC402" s="31">
        <f t="shared" si="215"/>
        <v>-6.3902646502249283</v>
      </c>
      <c r="AD402" s="15">
        <f t="shared" si="234"/>
        <v>89.658872454157233</v>
      </c>
      <c r="AE402" s="15">
        <f t="shared" si="235"/>
        <v>44.504168167279204</v>
      </c>
      <c r="AF402" s="15">
        <f t="shared" si="236"/>
        <v>3.9515336653411475</v>
      </c>
      <c r="AG402" s="15">
        <f t="shared" si="237"/>
        <v>2.0673547463440949E-2</v>
      </c>
      <c r="AH402" s="15">
        <f t="shared" si="238"/>
        <v>-88.219108837638018</v>
      </c>
      <c r="AI402" s="15">
        <f t="shared" si="239"/>
        <v>-30.151103715308423</v>
      </c>
      <c r="AJ402" s="31">
        <f t="shared" si="216"/>
        <v>5.3912972818603606</v>
      </c>
      <c r="AK402" s="31">
        <f t="shared" si="217"/>
        <v>14.373737999434219</v>
      </c>
      <c r="AL402" s="15">
        <f t="shared" si="240"/>
        <v>0</v>
      </c>
      <c r="AM402" s="15">
        <f t="shared" si="241"/>
        <v>0</v>
      </c>
      <c r="AN402" s="15">
        <f t="shared" si="242"/>
        <v>0</v>
      </c>
      <c r="AO402" s="15">
        <f t="shared" si="243"/>
        <v>0</v>
      </c>
      <c r="AP402" s="31">
        <f t="shared" si="218"/>
        <v>0</v>
      </c>
      <c r="AQ402" s="31">
        <f t="shared" si="219"/>
        <v>0</v>
      </c>
    </row>
    <row r="403" spans="8:43" x14ac:dyDescent="0.25">
      <c r="H403" s="15">
        <v>5.0000000000000204</v>
      </c>
      <c r="I403" s="45">
        <f t="shared" si="244"/>
        <v>1000000.0000000482</v>
      </c>
      <c r="J403" s="32">
        <f t="shared" si="210"/>
        <v>-98.929984693267073</v>
      </c>
      <c r="K403" s="32">
        <f t="shared" si="211"/>
        <v>-34.677704162387975</v>
      </c>
      <c r="L403" s="15">
        <f t="shared" si="220"/>
        <v>3.8729613733905581</v>
      </c>
      <c r="M403" s="15">
        <f t="shared" si="221"/>
        <v>-76.297939241997852</v>
      </c>
      <c r="N403" s="15">
        <f t="shared" si="222"/>
        <v>12.509685504699101</v>
      </c>
      <c r="O403" s="15">
        <f t="shared" si="223"/>
        <v>-89.968461872250984</v>
      </c>
      <c r="P403" s="15">
        <f t="shared" si="224"/>
        <v>-65.185734926734298</v>
      </c>
      <c r="Q403" s="15">
        <f t="shared" si="225"/>
        <v>-33.208501284254758</v>
      </c>
      <c r="R403" s="15">
        <f t="shared" si="226"/>
        <v>-1.5487804852677358</v>
      </c>
      <c r="S403" s="31">
        <f t="shared" si="212"/>
        <v>-199.47490239850359</v>
      </c>
      <c r="T403" s="31">
        <f t="shared" si="213"/>
        <v>-42.463966595037967</v>
      </c>
      <c r="U403" s="15">
        <f t="shared" si="227"/>
        <v>6500</v>
      </c>
      <c r="V403" s="15">
        <f t="shared" si="228"/>
        <v>-89.999972366949919</v>
      </c>
      <c r="W403" s="15">
        <f t="shared" si="229"/>
        <v>-126.33387616472149</v>
      </c>
      <c r="X403" s="15">
        <f t="shared" si="230"/>
        <v>89.965715822845809</v>
      </c>
      <c r="Y403" s="15">
        <f t="shared" si="231"/>
        <v>64.460578555808453</v>
      </c>
      <c r="Z403" s="15">
        <f t="shared" si="232"/>
        <v>-84.871116281423937</v>
      </c>
      <c r="AA403" s="15">
        <f t="shared" si="233"/>
        <v>-20.973598837206136</v>
      </c>
      <c r="AB403" s="31">
        <f t="shared" si="214"/>
        <v>-84.905372825528048</v>
      </c>
      <c r="AC403" s="31">
        <f t="shared" si="215"/>
        <v>-6.5886293132620573</v>
      </c>
      <c r="AD403" s="15">
        <f t="shared" si="234"/>
        <v>89.666637287826887</v>
      </c>
      <c r="AE403" s="15">
        <f t="shared" si="235"/>
        <v>44.70416123857693</v>
      </c>
      <c r="AF403" s="15">
        <f t="shared" si="236"/>
        <v>4.0432748919090793</v>
      </c>
      <c r="AG403" s="15">
        <f t="shared" si="237"/>
        <v>2.164543766319223E-2</v>
      </c>
      <c r="AH403" s="15">
        <f t="shared" si="238"/>
        <v>-88.259621648971404</v>
      </c>
      <c r="AI403" s="15">
        <f t="shared" si="239"/>
        <v>-30.350914930328074</v>
      </c>
      <c r="AJ403" s="31">
        <f t="shared" si="216"/>
        <v>5.4502905307645619</v>
      </c>
      <c r="AK403" s="31">
        <f t="shared" si="217"/>
        <v>14.374891745912045</v>
      </c>
      <c r="AL403" s="15">
        <f t="shared" si="240"/>
        <v>0</v>
      </c>
      <c r="AM403" s="15">
        <f t="shared" si="241"/>
        <v>0</v>
      </c>
      <c r="AN403" s="15">
        <f t="shared" si="242"/>
        <v>0</v>
      </c>
      <c r="AO403" s="15">
        <f t="shared" si="243"/>
        <v>0</v>
      </c>
      <c r="AP403" s="31">
        <f t="shared" si="218"/>
        <v>0</v>
      </c>
      <c r="AQ403" s="31">
        <f t="shared" si="219"/>
        <v>0</v>
      </c>
    </row>
    <row r="404" spans="8:43" x14ac:dyDescent="0.25">
      <c r="H404" s="15">
        <v>5.0100000000000202</v>
      </c>
      <c r="I404" s="45">
        <f t="shared" si="244"/>
        <v>1023292.9922808033</v>
      </c>
      <c r="J404" s="32">
        <f t="shared" ref="J404:J467" si="245">180+S404+AB404+AJ404+AP404</f>
        <v>-99.892035375265323</v>
      </c>
      <c r="K404" s="32">
        <f t="shared" ref="K404:K467" si="246">T404+AC404+AK404+AQ404</f>
        <v>-34.946897027032691</v>
      </c>
      <c r="L404" s="15">
        <f t="shared" si="220"/>
        <v>3.8729613733905581</v>
      </c>
      <c r="M404" s="15">
        <f t="shared" si="221"/>
        <v>-76.598460808903184</v>
      </c>
      <c r="N404" s="15">
        <f t="shared" si="222"/>
        <v>12.698704330931591</v>
      </c>
      <c r="O404" s="15">
        <f t="shared" si="223"/>
        <v>-89.969179767544304</v>
      </c>
      <c r="P404" s="15">
        <f t="shared" si="224"/>
        <v>-65.385734867510692</v>
      </c>
      <c r="Q404" s="15">
        <f t="shared" si="225"/>
        <v>-33.815798780912438</v>
      </c>
      <c r="R404" s="15">
        <f t="shared" si="226"/>
        <v>-1.609745685106303</v>
      </c>
      <c r="S404" s="31">
        <f t="shared" ref="S404:S467" si="247">M404+O404+Q404</f>
        <v>-200.38343935735995</v>
      </c>
      <c r="T404" s="31">
        <f t="shared" ref="T404:T467" si="248">20*LOG(L404)+N404+P404+R404</f>
        <v>-42.535912909420446</v>
      </c>
      <c r="U404" s="15">
        <f t="shared" si="227"/>
        <v>6500</v>
      </c>
      <c r="V404" s="15">
        <f t="shared" si="228"/>
        <v>-89.99997299595492</v>
      </c>
      <c r="W404" s="15">
        <f t="shared" si="229"/>
        <v>-126.53387616472143</v>
      </c>
      <c r="X404" s="15">
        <f t="shared" si="230"/>
        <v>89.966496225815106</v>
      </c>
      <c r="Y404" s="15">
        <f t="shared" si="231"/>
        <v>64.660578485822555</v>
      </c>
      <c r="Z404" s="15">
        <f t="shared" si="232"/>
        <v>-84.987262222939506</v>
      </c>
      <c r="AA404" s="15">
        <f t="shared" si="233"/>
        <v>-21.172036457445689</v>
      </c>
      <c r="AB404" s="31">
        <f t="shared" ref="AB404:AB467" si="249">V404+X404+Z404</f>
        <v>-85.02073899307932</v>
      </c>
      <c r="AC404" s="31">
        <f t="shared" ref="AC404:AC467" si="250">20*LOG(U404)+W404+Y404+AA404</f>
        <v>-6.7870670034874543</v>
      </c>
      <c r="AD404" s="15">
        <f t="shared" si="234"/>
        <v>89.674225384135923</v>
      </c>
      <c r="AE404" s="15">
        <f t="shared" si="235"/>
        <v>44.904154621707299</v>
      </c>
      <c r="AF404" s="15">
        <f t="shared" si="236"/>
        <v>4.1371315493427705</v>
      </c>
      <c r="AG404" s="15">
        <f t="shared" si="237"/>
        <v>2.2662898578401432E-2</v>
      </c>
      <c r="AH404" s="15">
        <f t="shared" si="238"/>
        <v>-88.299213958304748</v>
      </c>
      <c r="AI404" s="15">
        <f t="shared" si="239"/>
        <v>-30.550734634410496</v>
      </c>
      <c r="AJ404" s="31">
        <f t="shared" ref="AJ404:AJ467" si="251">AD404+AF404+AH404</f>
        <v>5.5121429751739441</v>
      </c>
      <c r="AK404" s="31">
        <f t="shared" ref="AK404:AK467" si="252">AE404+AG404+AI404</f>
        <v>14.376082885875206</v>
      </c>
      <c r="AL404" s="15">
        <f t="shared" si="240"/>
        <v>0</v>
      </c>
      <c r="AM404" s="15">
        <f t="shared" si="241"/>
        <v>0</v>
      </c>
      <c r="AN404" s="15">
        <f t="shared" si="242"/>
        <v>0</v>
      </c>
      <c r="AO404" s="15">
        <f t="shared" si="243"/>
        <v>0</v>
      </c>
      <c r="AP404" s="31">
        <f t="shared" ref="AP404:AP467" si="253">AL404+AN404</f>
        <v>0</v>
      </c>
      <c r="AQ404" s="31">
        <f t="shared" ref="AQ404:AQ467" si="254">AM404+AO404</f>
        <v>0</v>
      </c>
    </row>
    <row r="405" spans="8:43" x14ac:dyDescent="0.25">
      <c r="H405" s="15">
        <v>5.02000000000002</v>
      </c>
      <c r="I405" s="45">
        <f t="shared" si="244"/>
        <v>1047128.5480509498</v>
      </c>
      <c r="J405" s="32">
        <f t="shared" si="245"/>
        <v>-100.84782470118603</v>
      </c>
      <c r="K405" s="32">
        <f t="shared" si="246"/>
        <v>-35.217620559853373</v>
      </c>
      <c r="L405" s="15">
        <f t="shared" si="220"/>
        <v>3.8729613733905581</v>
      </c>
      <c r="M405" s="15">
        <f t="shared" si="221"/>
        <v>-76.892869257823335</v>
      </c>
      <c r="N405" s="15">
        <f t="shared" si="222"/>
        <v>12.888191408054928</v>
      </c>
      <c r="O405" s="15">
        <f t="shared" si="223"/>
        <v>-89.96988132155505</v>
      </c>
      <c r="P405" s="15">
        <f t="shared" si="224"/>
        <v>-65.585734810952573</v>
      </c>
      <c r="Q405" s="15">
        <f t="shared" si="225"/>
        <v>-34.428440636057736</v>
      </c>
      <c r="R405" s="15">
        <f t="shared" si="226"/>
        <v>-1.6726798968631249</v>
      </c>
      <c r="S405" s="31">
        <f t="shared" si="247"/>
        <v>-201.2911912154361</v>
      </c>
      <c r="T405" s="31">
        <f t="shared" si="248"/>
        <v>-42.609359987495807</v>
      </c>
      <c r="U405" s="15">
        <f t="shared" si="227"/>
        <v>6500</v>
      </c>
      <c r="V405" s="15">
        <f t="shared" si="228"/>
        <v>-89.999973610642044</v>
      </c>
      <c r="W405" s="15">
        <f t="shared" si="229"/>
        <v>-126.73387616472139</v>
      </c>
      <c r="X405" s="15">
        <f t="shared" si="230"/>
        <v>89.967258864656074</v>
      </c>
      <c r="Y405" s="15">
        <f t="shared" si="231"/>
        <v>64.860578418986549</v>
      </c>
      <c r="Z405" s="15">
        <f t="shared" si="232"/>
        <v>-85.100804284134355</v>
      </c>
      <c r="AA405" s="15">
        <f t="shared" si="233"/>
        <v>-21.370543871483267</v>
      </c>
      <c r="AB405" s="31">
        <f t="shared" si="249"/>
        <v>-85.133519030120326</v>
      </c>
      <c r="AC405" s="31">
        <f t="shared" si="250"/>
        <v>-6.985574484360999</v>
      </c>
      <c r="AD405" s="15">
        <f t="shared" si="234"/>
        <v>89.681640765328098</v>
      </c>
      <c r="AE405" s="15">
        <f t="shared" si="235"/>
        <v>45.104148302636432</v>
      </c>
      <c r="AF405" s="15">
        <f t="shared" si="236"/>
        <v>4.2331513857166154</v>
      </c>
      <c r="AG405" s="15">
        <f t="shared" si="237"/>
        <v>2.372805552545177E-2</v>
      </c>
      <c r="AH405" s="15">
        <f t="shared" si="238"/>
        <v>-88.337906606674309</v>
      </c>
      <c r="AI405" s="15">
        <f t="shared" si="239"/>
        <v>-30.750562446158458</v>
      </c>
      <c r="AJ405" s="31">
        <f t="shared" si="251"/>
        <v>5.5768855443703984</v>
      </c>
      <c r="AK405" s="31">
        <f t="shared" si="252"/>
        <v>14.377313912003427</v>
      </c>
      <c r="AL405" s="15">
        <f t="shared" si="240"/>
        <v>0</v>
      </c>
      <c r="AM405" s="15">
        <f t="shared" si="241"/>
        <v>0</v>
      </c>
      <c r="AN405" s="15">
        <f t="shared" si="242"/>
        <v>0</v>
      </c>
      <c r="AO405" s="15">
        <f t="shared" si="243"/>
        <v>0</v>
      </c>
      <c r="AP405" s="31">
        <f t="shared" si="253"/>
        <v>0</v>
      </c>
      <c r="AQ405" s="31">
        <f t="shared" si="254"/>
        <v>0</v>
      </c>
    </row>
    <row r="406" spans="8:43" x14ac:dyDescent="0.25">
      <c r="H406" s="15">
        <v>5.0300000000000198</v>
      </c>
      <c r="I406" s="45">
        <f t="shared" si="244"/>
        <v>1071519.3052376558</v>
      </c>
      <c r="J406" s="32">
        <f t="shared" si="245"/>
        <v>-101.79723532012689</v>
      </c>
      <c r="K406" s="32">
        <f t="shared" si="246"/>
        <v>-35.489921885422952</v>
      </c>
      <c r="L406" s="15">
        <f t="shared" si="220"/>
        <v>3.8729613733905581</v>
      </c>
      <c r="M406" s="15">
        <f t="shared" si="221"/>
        <v>-77.181258474088395</v>
      </c>
      <c r="N406" s="15">
        <f t="shared" si="222"/>
        <v>13.078127832484018</v>
      </c>
      <c r="O406" s="15">
        <f t="shared" si="223"/>
        <v>-89.97056690625557</v>
      </c>
      <c r="P406" s="15">
        <f t="shared" si="224"/>
        <v>-65.785734756939988</v>
      </c>
      <c r="Q406" s="15">
        <f t="shared" si="225"/>
        <v>-35.04619132211932</v>
      </c>
      <c r="R406" s="15">
        <f t="shared" si="226"/>
        <v>-1.7376170111164824</v>
      </c>
      <c r="S406" s="31">
        <f t="shared" si="247"/>
        <v>-202.19801670246326</v>
      </c>
      <c r="T406" s="31">
        <f t="shared" si="248"/>
        <v>-42.684360623307491</v>
      </c>
      <c r="U406" s="15">
        <f t="shared" si="227"/>
        <v>6500</v>
      </c>
      <c r="V406" s="15">
        <f t="shared" si="228"/>
        <v>-89.999974211337175</v>
      </c>
      <c r="W406" s="15">
        <f t="shared" si="229"/>
        <v>-126.93387616472134</v>
      </c>
      <c r="X406" s="15">
        <f t="shared" si="230"/>
        <v>89.96800414372882</v>
      </c>
      <c r="Y406" s="15">
        <f t="shared" si="231"/>
        <v>65.06057835515864</v>
      </c>
      <c r="Z406" s="15">
        <f t="shared" si="232"/>
        <v>-85.211799097434991</v>
      </c>
      <c r="AA406" s="15">
        <f t="shared" si="233"/>
        <v>-21.569117983934394</v>
      </c>
      <c r="AB406" s="31">
        <f t="shared" si="249"/>
        <v>-85.243769165043346</v>
      </c>
      <c r="AC406" s="31">
        <f t="shared" si="250"/>
        <v>-7.1841486606399805</v>
      </c>
      <c r="AD406" s="15">
        <f t="shared" si="234"/>
        <v>89.68888736214241</v>
      </c>
      <c r="AE406" s="15">
        <f t="shared" si="235"/>
        <v>45.304142267962021</v>
      </c>
      <c r="AF406" s="15">
        <f t="shared" si="236"/>
        <v>4.3313831534249605</v>
      </c>
      <c r="AG406" s="15">
        <f t="shared" si="237"/>
        <v>2.4843131843683405E-2</v>
      </c>
      <c r="AH406" s="15">
        <f t="shared" si="238"/>
        <v>-88.375719968187653</v>
      </c>
      <c r="AI406" s="15">
        <f t="shared" si="239"/>
        <v>-30.950398001281179</v>
      </c>
      <c r="AJ406" s="31">
        <f t="shared" si="251"/>
        <v>5.6445505473797226</v>
      </c>
      <c r="AK406" s="31">
        <f t="shared" si="252"/>
        <v>14.378587398524523</v>
      </c>
      <c r="AL406" s="15">
        <f t="shared" si="240"/>
        <v>0</v>
      </c>
      <c r="AM406" s="15">
        <f t="shared" si="241"/>
        <v>0</v>
      </c>
      <c r="AN406" s="15">
        <f t="shared" si="242"/>
        <v>0</v>
      </c>
      <c r="AO406" s="15">
        <f t="shared" si="243"/>
        <v>0</v>
      </c>
      <c r="AP406" s="31">
        <f t="shared" si="253"/>
        <v>0</v>
      </c>
      <c r="AQ406" s="31">
        <f t="shared" si="254"/>
        <v>0</v>
      </c>
    </row>
    <row r="407" spans="8:43" x14ac:dyDescent="0.25">
      <c r="H407" s="15">
        <v>5.0400000000000196</v>
      </c>
      <c r="I407" s="45">
        <f t="shared" si="244"/>
        <v>1096478.1961432353</v>
      </c>
      <c r="J407" s="32">
        <f t="shared" si="245"/>
        <v>-102.74013650383795</v>
      </c>
      <c r="K407" s="32">
        <f t="shared" si="246"/>
        <v>-35.763846208318398</v>
      </c>
      <c r="L407" s="15">
        <f t="shared" si="220"/>
        <v>3.8729613733905581</v>
      </c>
      <c r="M407" s="15">
        <f t="shared" si="221"/>
        <v>-77.463722889677811</v>
      </c>
      <c r="N407" s="15">
        <f t="shared" si="222"/>
        <v>13.268495374528777</v>
      </c>
      <c r="O407" s="15">
        <f t="shared" si="223"/>
        <v>-89.971236885151185</v>
      </c>
      <c r="P407" s="15">
        <f t="shared" si="224"/>
        <v>-65.985734705358368</v>
      </c>
      <c r="Q407" s="15">
        <f t="shared" si="225"/>
        <v>-35.668803890053411</v>
      </c>
      <c r="R407" s="15">
        <f t="shared" si="226"/>
        <v>-1.8045896237219174</v>
      </c>
      <c r="S407" s="31">
        <f t="shared" si="247"/>
        <v>-203.10376366488242</v>
      </c>
      <c r="T407" s="31">
        <f t="shared" si="248"/>
        <v>-42.760965642286543</v>
      </c>
      <c r="U407" s="15">
        <f t="shared" si="227"/>
        <v>6500</v>
      </c>
      <c r="V407" s="15">
        <f t="shared" si="228"/>
        <v>-89.999974798358807</v>
      </c>
      <c r="W407" s="15">
        <f t="shared" si="229"/>
        <v>-127.1338761647213</v>
      </c>
      <c r="X407" s="15">
        <f t="shared" si="230"/>
        <v>89.968732458189166</v>
      </c>
      <c r="Y407" s="15">
        <f t="shared" si="231"/>
        <v>65.260578294203469</v>
      </c>
      <c r="Z407" s="15">
        <f t="shared" si="232"/>
        <v>-85.320302179542125</v>
      </c>
      <c r="AA407" s="15">
        <f t="shared" si="233"/>
        <v>-21.767755834737457</v>
      </c>
      <c r="AB407" s="31">
        <f t="shared" si="249"/>
        <v>-85.351544519711766</v>
      </c>
      <c r="AC407" s="31">
        <f t="shared" si="250"/>
        <v>-7.3827865723981745</v>
      </c>
      <c r="AD407" s="15">
        <f t="shared" si="234"/>
        <v>89.695969015892558</v>
      </c>
      <c r="AE407" s="15">
        <f t="shared" si="235"/>
        <v>45.504136504884876</v>
      </c>
      <c r="AF407" s="15">
        <f t="shared" si="236"/>
        <v>4.431876625018754</v>
      </c>
      <c r="AG407" s="15">
        <f t="shared" si="237"/>
        <v>2.6010453311202116E-2</v>
      </c>
      <c r="AH407" s="15">
        <f t="shared" si="238"/>
        <v>-88.412673960155075</v>
      </c>
      <c r="AI407" s="15">
        <f t="shared" si="239"/>
        <v>-31.150240951829758</v>
      </c>
      <c r="AJ407" s="31">
        <f t="shared" si="251"/>
        <v>5.7151716807562423</v>
      </c>
      <c r="AK407" s="31">
        <f t="shared" si="252"/>
        <v>14.379906006366319</v>
      </c>
      <c r="AL407" s="15">
        <f t="shared" si="240"/>
        <v>0</v>
      </c>
      <c r="AM407" s="15">
        <f t="shared" si="241"/>
        <v>0</v>
      </c>
      <c r="AN407" s="15">
        <f t="shared" si="242"/>
        <v>0</v>
      </c>
      <c r="AO407" s="15">
        <f t="shared" si="243"/>
        <v>0</v>
      </c>
      <c r="AP407" s="31">
        <f t="shared" si="253"/>
        <v>0</v>
      </c>
      <c r="AQ407" s="31">
        <f t="shared" si="254"/>
        <v>0</v>
      </c>
    </row>
    <row r="408" spans="8:43" x14ac:dyDescent="0.25">
      <c r="H408" s="15">
        <v>5.0500000000000203</v>
      </c>
      <c r="I408" s="45">
        <f t="shared" si="244"/>
        <v>1122018.4543020169</v>
      </c>
      <c r="J408" s="32">
        <f t="shared" si="245"/>
        <v>-103.67638432871074</v>
      </c>
      <c r="K408" s="32">
        <f t="shared" si="246"/>
        <v>-36.039436705891703</v>
      </c>
      <c r="L408" s="15">
        <f t="shared" si="220"/>
        <v>3.8729613733905581</v>
      </c>
      <c r="M408" s="15">
        <f t="shared" si="221"/>
        <v>-77.74035732540483</v>
      </c>
      <c r="N408" s="15">
        <f t="shared" si="222"/>
        <v>13.459276461920711</v>
      </c>
      <c r="O408" s="15">
        <f t="shared" si="223"/>
        <v>-89.971891613472835</v>
      </c>
      <c r="P408" s="15">
        <f t="shared" si="224"/>
        <v>-66.185734656098333</v>
      </c>
      <c r="Q408" s="15">
        <f t="shared" si="225"/>
        <v>-36.296020302825966</v>
      </c>
      <c r="R408" s="15">
        <f t="shared" si="226"/>
        <v>-1.8736289231626602</v>
      </c>
      <c r="S408" s="31">
        <f t="shared" si="247"/>
        <v>-204.00826924170366</v>
      </c>
      <c r="T408" s="31">
        <f t="shared" si="248"/>
        <v>-42.839223805075321</v>
      </c>
      <c r="U408" s="15">
        <f t="shared" si="227"/>
        <v>6500</v>
      </c>
      <c r="V408" s="15">
        <f t="shared" si="228"/>
        <v>-89.999975372018184</v>
      </c>
      <c r="W408" s="15">
        <f t="shared" si="229"/>
        <v>-127.33387616472127</v>
      </c>
      <c r="X408" s="15">
        <f t="shared" si="230"/>
        <v>89.969444194198132</v>
      </c>
      <c r="Y408" s="15">
        <f t="shared" si="231"/>
        <v>65.460578235991747</v>
      </c>
      <c r="Z408" s="15">
        <f t="shared" si="232"/>
        <v>-85.426367945552187</v>
      </c>
      <c r="AA408" s="15">
        <f t="shared" si="233"/>
        <v>-21.966454593409001</v>
      </c>
      <c r="AB408" s="31">
        <f t="shared" si="249"/>
        <v>-85.456899123372239</v>
      </c>
      <c r="AC408" s="31">
        <f t="shared" si="250"/>
        <v>-7.5814853892814149</v>
      </c>
      <c r="AD408" s="15">
        <f t="shared" si="234"/>
        <v>89.702889480499081</v>
      </c>
      <c r="AE408" s="15">
        <f t="shared" si="235"/>
        <v>45.704131001181814</v>
      </c>
      <c r="AF408" s="15">
        <f t="shared" si="236"/>
        <v>4.5346826088895504</v>
      </c>
      <c r="AG408" s="15">
        <f t="shared" si="237"/>
        <v>2.7232452749499314E-2</v>
      </c>
      <c r="AH408" s="15">
        <f t="shared" si="238"/>
        <v>-88.448788053023478</v>
      </c>
      <c r="AI408" s="15">
        <f t="shared" si="239"/>
        <v>-31.35009096546629</v>
      </c>
      <c r="AJ408" s="31">
        <f t="shared" si="251"/>
        <v>5.7887840363651577</v>
      </c>
      <c r="AK408" s="31">
        <f t="shared" si="252"/>
        <v>14.381272488465026</v>
      </c>
      <c r="AL408" s="15">
        <f t="shared" si="240"/>
        <v>0</v>
      </c>
      <c r="AM408" s="15">
        <f t="shared" si="241"/>
        <v>0</v>
      </c>
      <c r="AN408" s="15">
        <f t="shared" si="242"/>
        <v>0</v>
      </c>
      <c r="AO408" s="15">
        <f t="shared" si="243"/>
        <v>0</v>
      </c>
      <c r="AP408" s="31">
        <f t="shared" si="253"/>
        <v>0</v>
      </c>
      <c r="AQ408" s="31">
        <f t="shared" si="254"/>
        <v>0</v>
      </c>
    </row>
    <row r="409" spans="8:43" x14ac:dyDescent="0.25">
      <c r="H409" s="15">
        <v>5.06000000000002</v>
      </c>
      <c r="I409" s="45">
        <f t="shared" si="244"/>
        <v>1148153.6214969375</v>
      </c>
      <c r="J409" s="32">
        <f t="shared" si="245"/>
        <v>-104.60582192518156</v>
      </c>
      <c r="K409" s="32">
        <f t="shared" si="246"/>
        <v>-36.316734423501408</v>
      </c>
      <c r="L409" s="15">
        <f t="shared" si="220"/>
        <v>3.8729613733905581</v>
      </c>
      <c r="M409" s="15">
        <f t="shared" si="221"/>
        <v>-78.011256843136067</v>
      </c>
      <c r="N409" s="15">
        <f t="shared" si="222"/>
        <v>13.65045416306404</v>
      </c>
      <c r="O409" s="15">
        <f t="shared" si="223"/>
        <v>-89.972531438365465</v>
      </c>
      <c r="P409" s="15">
        <f t="shared" si="224"/>
        <v>-66.385734609055348</v>
      </c>
      <c r="Q409" s="15">
        <f t="shared" si="225"/>
        <v>-36.927571825832473</v>
      </c>
      <c r="R409" s="15">
        <f t="shared" si="226"/>
        <v>-1.94476458002112</v>
      </c>
      <c r="S409" s="31">
        <f t="shared" si="247"/>
        <v>-204.91136010733399</v>
      </c>
      <c r="T409" s="31">
        <f t="shared" si="248"/>
        <v>-42.91918171374747</v>
      </c>
      <c r="U409" s="15">
        <f t="shared" si="227"/>
        <v>6500</v>
      </c>
      <c r="V409" s="15">
        <f t="shared" si="228"/>
        <v>-89.999975932619492</v>
      </c>
      <c r="W409" s="15">
        <f t="shared" si="229"/>
        <v>-127.53387616472124</v>
      </c>
      <c r="X409" s="15">
        <f t="shared" si="230"/>
        <v>89.970139729126714</v>
      </c>
      <c r="Y409" s="15">
        <f t="shared" si="231"/>
        <v>65.660578180399966</v>
      </c>
      <c r="Z409" s="15">
        <f t="shared" si="232"/>
        <v>-85.530049723478115</v>
      </c>
      <c r="AA409" s="15">
        <f t="shared" si="233"/>
        <v>-22.165211553527865</v>
      </c>
      <c r="AB409" s="31">
        <f t="shared" si="249"/>
        <v>-85.559885926970892</v>
      </c>
      <c r="AC409" s="31">
        <f t="shared" si="250"/>
        <v>-7.7802424049920198</v>
      </c>
      <c r="AD409" s="15">
        <f t="shared" si="234"/>
        <v>89.709652424475792</v>
      </c>
      <c r="AE409" s="15">
        <f t="shared" si="235"/>
        <v>45.904125745179662</v>
      </c>
      <c r="AF409" s="15">
        <f t="shared" si="236"/>
        <v>4.6398529647624454</v>
      </c>
      <c r="AG409" s="15">
        <f t="shared" si="237"/>
        <v>2.8511674823984524E-2</v>
      </c>
      <c r="AH409" s="15">
        <f t="shared" si="238"/>
        <v>-88.484081280114907</v>
      </c>
      <c r="AI409" s="15">
        <f t="shared" si="239"/>
        <v>-31.549947724765566</v>
      </c>
      <c r="AJ409" s="31">
        <f t="shared" si="251"/>
        <v>5.8654241091233246</v>
      </c>
      <c r="AK409" s="31">
        <f t="shared" si="252"/>
        <v>14.382689695238078</v>
      </c>
      <c r="AL409" s="15">
        <f t="shared" si="240"/>
        <v>0</v>
      </c>
      <c r="AM409" s="15">
        <f t="shared" si="241"/>
        <v>0</v>
      </c>
      <c r="AN409" s="15">
        <f t="shared" si="242"/>
        <v>0</v>
      </c>
      <c r="AO409" s="15">
        <f t="shared" si="243"/>
        <v>0</v>
      </c>
      <c r="AP409" s="31">
        <f t="shared" si="253"/>
        <v>0</v>
      </c>
      <c r="AQ409" s="31">
        <f t="shared" si="254"/>
        <v>0</v>
      </c>
    </row>
    <row r="410" spans="8:43" x14ac:dyDescent="0.25">
      <c r="H410" s="15">
        <v>5.0700000000000198</v>
      </c>
      <c r="I410" s="45">
        <f t="shared" si="244"/>
        <v>1174897.5549395853</v>
      </c>
      <c r="J410" s="32">
        <f t="shared" si="245"/>
        <v>-105.52827979384246</v>
      </c>
      <c r="K410" s="32">
        <f t="shared" si="246"/>
        <v>-36.595778172878845</v>
      </c>
      <c r="L410" s="15">
        <f t="shared" si="220"/>
        <v>3.8729613733905581</v>
      </c>
      <c r="M410" s="15">
        <f t="shared" si="221"/>
        <v>-78.276516607686034</v>
      </c>
      <c r="N410" s="15">
        <f t="shared" si="222"/>
        <v>13.842012170089985</v>
      </c>
      <c r="O410" s="15">
        <f t="shared" si="223"/>
        <v>-89.973156699072049</v>
      </c>
      <c r="P410" s="15">
        <f t="shared" si="224"/>
        <v>-66.585734564129638</v>
      </c>
      <c r="Q410" s="15">
        <f t="shared" si="225"/>
        <v>-37.56317947391927</v>
      </c>
      <c r="R410" s="15">
        <f t="shared" si="226"/>
        <v>-2.0180246393401826</v>
      </c>
      <c r="S410" s="31">
        <f t="shared" si="247"/>
        <v>-205.81285278067736</v>
      </c>
      <c r="T410" s="31">
        <f t="shared" si="248"/>
        <v>-43.000883721114874</v>
      </c>
      <c r="U410" s="15">
        <f t="shared" si="227"/>
        <v>6500</v>
      </c>
      <c r="V410" s="15">
        <f t="shared" si="228"/>
        <v>-89.999976480459964</v>
      </c>
      <c r="W410" s="15">
        <f t="shared" si="229"/>
        <v>-127.7338761647212</v>
      </c>
      <c r="X410" s="15">
        <f t="shared" si="230"/>
        <v>89.970819431755885</v>
      </c>
      <c r="Y410" s="15">
        <f t="shared" si="231"/>
        <v>65.860578127310234</v>
      </c>
      <c r="Z410" s="15">
        <f t="shared" si="232"/>
        <v>-85.631399769115802</v>
      </c>
      <c r="AA410" s="15">
        <f t="shared" si="233"/>
        <v>-22.364024127440494</v>
      </c>
      <c r="AB410" s="31">
        <f t="shared" si="249"/>
        <v>-85.660556817819881</v>
      </c>
      <c r="AC410" s="31">
        <f t="shared" si="250"/>
        <v>-7.9790550319943421</v>
      </c>
      <c r="AD410" s="15">
        <f t="shared" si="234"/>
        <v>89.716261432870866</v>
      </c>
      <c r="AE410" s="15">
        <f t="shared" si="235"/>
        <v>46.104120725730638</v>
      </c>
      <c r="AF410" s="15">
        <f t="shared" si="236"/>
        <v>4.7474406189562179</v>
      </c>
      <c r="AG410" s="15">
        <f t="shared" si="237"/>
        <v>2.9850781047701211E-2</v>
      </c>
      <c r="AH410" s="15">
        <f t="shared" si="238"/>
        <v>-88.518572247172301</v>
      </c>
      <c r="AI410" s="15">
        <f t="shared" si="239"/>
        <v>-31.749810926547966</v>
      </c>
      <c r="AJ410" s="31">
        <f t="shared" si="251"/>
        <v>5.9451298046547834</v>
      </c>
      <c r="AK410" s="31">
        <f t="shared" si="252"/>
        <v>14.384160580230372</v>
      </c>
      <c r="AL410" s="15">
        <f t="shared" si="240"/>
        <v>0</v>
      </c>
      <c r="AM410" s="15">
        <f t="shared" si="241"/>
        <v>0</v>
      </c>
      <c r="AN410" s="15">
        <f t="shared" si="242"/>
        <v>0</v>
      </c>
      <c r="AO410" s="15">
        <f t="shared" si="243"/>
        <v>0</v>
      </c>
      <c r="AP410" s="31">
        <f t="shared" si="253"/>
        <v>0</v>
      </c>
      <c r="AQ410" s="31">
        <f t="shared" si="254"/>
        <v>0</v>
      </c>
    </row>
    <row r="411" spans="8:43" x14ac:dyDescent="0.25">
      <c r="H411" s="15">
        <v>5.0800000000000196</v>
      </c>
      <c r="I411" s="45">
        <f t="shared" si="244"/>
        <v>1202264.4346174677</v>
      </c>
      <c r="J411" s="32">
        <f t="shared" si="245"/>
        <v>-106.44357618703808</v>
      </c>
      <c r="K411" s="32">
        <f t="shared" si="246"/>
        <v>-36.876604434316405</v>
      </c>
      <c r="L411" s="15">
        <f t="shared" si="220"/>
        <v>3.8729613733905581</v>
      </c>
      <c r="M411" s="15">
        <f t="shared" si="221"/>
        <v>-78.536231758018744</v>
      </c>
      <c r="N411" s="15">
        <f t="shared" si="222"/>
        <v>14.033934781785824</v>
      </c>
      <c r="O411" s="15">
        <f t="shared" si="223"/>
        <v>-89.973767727113511</v>
      </c>
      <c r="P411" s="15">
        <f t="shared" si="224"/>
        <v>-66.785734521225905</v>
      </c>
      <c r="Q411" s="15">
        <f t="shared" si="225"/>
        <v>-38.202554514157029</v>
      </c>
      <c r="R411" s="15">
        <f t="shared" si="226"/>
        <v>-2.0934354166501432</v>
      </c>
      <c r="S411" s="31">
        <f t="shared" si="247"/>
        <v>-206.7125539992893</v>
      </c>
      <c r="T411" s="31">
        <f t="shared" si="248"/>
        <v>-43.084371843825259</v>
      </c>
      <c r="U411" s="15">
        <f t="shared" si="227"/>
        <v>6500</v>
      </c>
      <c r="V411" s="15">
        <f t="shared" si="228"/>
        <v>-89.999977015830069</v>
      </c>
      <c r="W411" s="15">
        <f t="shared" si="229"/>
        <v>-127.93387616472116</v>
      </c>
      <c r="X411" s="15">
        <f t="shared" si="230"/>
        <v>89.971483662472252</v>
      </c>
      <c r="Y411" s="15">
        <f t="shared" si="231"/>
        <v>66.060578076609914</v>
      </c>
      <c r="Z411" s="15">
        <f t="shared" si="232"/>
        <v>-85.730469281205984</v>
      </c>
      <c r="AA411" s="15">
        <f t="shared" si="233"/>
        <v>-22.56288984117948</v>
      </c>
      <c r="AB411" s="31">
        <f t="shared" si="249"/>
        <v>-85.758962634563801</v>
      </c>
      <c r="AC411" s="31">
        <f t="shared" si="250"/>
        <v>-8.1779207964336074</v>
      </c>
      <c r="AD411" s="15">
        <f t="shared" si="234"/>
        <v>89.722720009164149</v>
      </c>
      <c r="AE411" s="15">
        <f t="shared" si="235"/>
        <v>46.304115932188601</v>
      </c>
      <c r="AF411" s="15">
        <f t="shared" si="236"/>
        <v>4.8574995793655367</v>
      </c>
      <c r="AG411" s="15">
        <f t="shared" si="237"/>
        <v>3.1252554995628894E-2</v>
      </c>
      <c r="AH411" s="15">
        <f t="shared" si="238"/>
        <v>-88.552279141714664</v>
      </c>
      <c r="AI411" s="15">
        <f t="shared" si="239"/>
        <v>-31.949680281241776</v>
      </c>
      <c r="AJ411" s="31">
        <f t="shared" si="251"/>
        <v>6.0279404468150233</v>
      </c>
      <c r="AK411" s="31">
        <f t="shared" si="252"/>
        <v>14.385688205942458</v>
      </c>
      <c r="AL411" s="15">
        <f t="shared" si="240"/>
        <v>0</v>
      </c>
      <c r="AM411" s="15">
        <f t="shared" si="241"/>
        <v>0</v>
      </c>
      <c r="AN411" s="15">
        <f t="shared" si="242"/>
        <v>0</v>
      </c>
      <c r="AO411" s="15">
        <f t="shared" si="243"/>
        <v>0</v>
      </c>
      <c r="AP411" s="31">
        <f t="shared" si="253"/>
        <v>0</v>
      </c>
      <c r="AQ411" s="31">
        <f t="shared" si="254"/>
        <v>0</v>
      </c>
    </row>
    <row r="412" spans="8:43" x14ac:dyDescent="0.25">
      <c r="H412" s="15">
        <v>5.0900000000000203</v>
      </c>
      <c r="I412" s="45">
        <f t="shared" si="244"/>
        <v>1230268.7708124397</v>
      </c>
      <c r="J412" s="32">
        <f t="shared" si="245"/>
        <v>-107.35151755420674</v>
      </c>
      <c r="K412" s="32">
        <f t="shared" si="246"/>
        <v>-37.159247263370474</v>
      </c>
      <c r="L412" s="15">
        <f t="shared" si="220"/>
        <v>3.8729613733905581</v>
      </c>
      <c r="M412" s="15">
        <f t="shared" si="221"/>
        <v>-78.790497287383687</v>
      </c>
      <c r="N412" s="15">
        <f t="shared" si="222"/>
        <v>14.226206886464334</v>
      </c>
      <c r="O412" s="15">
        <f t="shared" si="223"/>
        <v>-89.974364846464425</v>
      </c>
      <c r="P412" s="15">
        <f t="shared" si="224"/>
        <v>-66.985734480253186</v>
      </c>
      <c r="Q412" s="15">
        <f t="shared" si="225"/>
        <v>-38.84539902299219</v>
      </c>
      <c r="R412" s="15">
        <f t="shared" si="226"/>
        <v>-2.1710213984355722</v>
      </c>
      <c r="S412" s="31">
        <f t="shared" si="247"/>
        <v>-207.61026115684029</v>
      </c>
      <c r="T412" s="31">
        <f t="shared" si="248"/>
        <v>-43.169685679959457</v>
      </c>
      <c r="U412" s="15">
        <f t="shared" si="227"/>
        <v>6500</v>
      </c>
      <c r="V412" s="15">
        <f t="shared" si="228"/>
        <v>-89.999977539013642</v>
      </c>
      <c r="W412" s="15">
        <f t="shared" si="229"/>
        <v>-128.13387616472113</v>
      </c>
      <c r="X412" s="15">
        <f t="shared" si="230"/>
        <v>89.972132773458995</v>
      </c>
      <c r="Y412" s="15">
        <f t="shared" si="231"/>
        <v>66.260578028191517</v>
      </c>
      <c r="Z412" s="15">
        <f t="shared" si="232"/>
        <v>-85.827308416845369</v>
      </c>
      <c r="AA412" s="15">
        <f t="shared" si="233"/>
        <v>-22.761806329588147</v>
      </c>
      <c r="AB412" s="31">
        <f t="shared" si="249"/>
        <v>-85.855153182400016</v>
      </c>
      <c r="AC412" s="31">
        <f t="shared" si="250"/>
        <v>-8.3768373332606458</v>
      </c>
      <c r="AD412" s="15">
        <f t="shared" si="234"/>
        <v>89.729031577121361</v>
      </c>
      <c r="AE412" s="15">
        <f t="shared" si="235"/>
        <v>46.504111354386595</v>
      </c>
      <c r="AF412" s="15">
        <f t="shared" si="236"/>
        <v>4.9700849501168216</v>
      </c>
      <c r="AG412" s="15">
        <f t="shared" si="237"/>
        <v>3.2719907737177256E-2</v>
      </c>
      <c r="AH412" s="15">
        <f t="shared" si="238"/>
        <v>-88.585219742204615</v>
      </c>
      <c r="AI412" s="15">
        <f t="shared" si="239"/>
        <v>-32.149555512274141</v>
      </c>
      <c r="AJ412" s="31">
        <f t="shared" si="251"/>
        <v>6.1138967850335746</v>
      </c>
      <c r="AK412" s="31">
        <f t="shared" si="252"/>
        <v>14.387275749849628</v>
      </c>
      <c r="AL412" s="15">
        <f t="shared" si="240"/>
        <v>0</v>
      </c>
      <c r="AM412" s="15">
        <f t="shared" si="241"/>
        <v>0</v>
      </c>
      <c r="AN412" s="15">
        <f t="shared" si="242"/>
        <v>0</v>
      </c>
      <c r="AO412" s="15">
        <f t="shared" si="243"/>
        <v>0</v>
      </c>
      <c r="AP412" s="31">
        <f t="shared" si="253"/>
        <v>0</v>
      </c>
      <c r="AQ412" s="31">
        <f t="shared" si="254"/>
        <v>0</v>
      </c>
    </row>
    <row r="413" spans="8:43" x14ac:dyDescent="0.25">
      <c r="H413" s="15">
        <v>5.1000000000000201</v>
      </c>
      <c r="I413" s="45">
        <f t="shared" si="244"/>
        <v>1258925.4117942266</v>
      </c>
      <c r="J413" s="32">
        <f t="shared" si="245"/>
        <v>-108.2518990486906</v>
      </c>
      <c r="K413" s="32">
        <f t="shared" si="246"/>
        <v>-37.443738202766816</v>
      </c>
      <c r="L413" s="15">
        <f t="shared" si="220"/>
        <v>3.8729613733905581</v>
      </c>
      <c r="M413" s="15">
        <f t="shared" si="221"/>
        <v>-79.039407932010576</v>
      </c>
      <c r="N413" s="15">
        <f t="shared" si="222"/>
        <v>14.418813944832527</v>
      </c>
      <c r="O413" s="15">
        <f t="shared" si="223"/>
        <v>-89.974948373724899</v>
      </c>
      <c r="P413" s="15">
        <f t="shared" si="224"/>
        <v>-67.185734441124524</v>
      </c>
      <c r="Q413" s="15">
        <f t="shared" si="225"/>
        <v>-39.491406495866798</v>
      </c>
      <c r="R413" s="15">
        <f t="shared" si="226"/>
        <v>-2.250805147805325</v>
      </c>
      <c r="S413" s="31">
        <f t="shared" si="247"/>
        <v>-208.50576280160226</v>
      </c>
      <c r="T413" s="31">
        <f t="shared" si="248"/>
        <v>-43.256862331832359</v>
      </c>
      <c r="U413" s="15">
        <f t="shared" si="227"/>
        <v>6500</v>
      </c>
      <c r="V413" s="15">
        <f t="shared" si="228"/>
        <v>-89.999978050288107</v>
      </c>
      <c r="W413" s="15">
        <f t="shared" si="229"/>
        <v>-128.33387616472109</v>
      </c>
      <c r="X413" s="15">
        <f t="shared" si="230"/>
        <v>89.972767108882664</v>
      </c>
      <c r="Y413" s="15">
        <f t="shared" si="231"/>
        <v>66.460577981952284</v>
      </c>
      <c r="Z413" s="15">
        <f t="shared" si="232"/>
        <v>-85.921966307104071</v>
      </c>
      <c r="AA413" s="15">
        <f t="shared" si="233"/>
        <v>-22.960771331643581</v>
      </c>
      <c r="AB413" s="31">
        <f t="shared" si="249"/>
        <v>-85.949177248509514</v>
      </c>
      <c r="AC413" s="31">
        <f t="shared" si="250"/>
        <v>-8.575802381555274</v>
      </c>
      <c r="AD413" s="15">
        <f t="shared" si="234"/>
        <v>89.735199482606347</v>
      </c>
      <c r="AE413" s="15">
        <f t="shared" si="235"/>
        <v>46.704106982615095</v>
      </c>
      <c r="AF413" s="15">
        <f t="shared" si="236"/>
        <v>5.0852529458451858</v>
      </c>
      <c r="AG413" s="15">
        <f t="shared" si="237"/>
        <v>3.4255883494553406E-2</v>
      </c>
      <c r="AH413" s="15">
        <f t="shared" si="238"/>
        <v>-88.617411427030362</v>
      </c>
      <c r="AI413" s="15">
        <f t="shared" si="239"/>
        <v>-32.349436355488834</v>
      </c>
      <c r="AJ413" s="31">
        <f t="shared" si="251"/>
        <v>6.2030410014211697</v>
      </c>
      <c r="AK413" s="31">
        <f t="shared" si="252"/>
        <v>14.388926510620813</v>
      </c>
      <c r="AL413" s="15">
        <f t="shared" si="240"/>
        <v>0</v>
      </c>
      <c r="AM413" s="15">
        <f t="shared" si="241"/>
        <v>0</v>
      </c>
      <c r="AN413" s="15">
        <f t="shared" si="242"/>
        <v>0</v>
      </c>
      <c r="AO413" s="15">
        <f t="shared" si="243"/>
        <v>0</v>
      </c>
      <c r="AP413" s="31">
        <f t="shared" si="253"/>
        <v>0</v>
      </c>
      <c r="AQ413" s="31">
        <f t="shared" si="254"/>
        <v>0</v>
      </c>
    </row>
    <row r="414" spans="8:43" x14ac:dyDescent="0.25">
      <c r="H414" s="15">
        <v>5.1100000000000199</v>
      </c>
      <c r="I414" s="45">
        <f t="shared" si="244"/>
        <v>1288249.5516931945</v>
      </c>
      <c r="J414" s="32">
        <f t="shared" si="245"/>
        <v>-109.1445050932201</v>
      </c>
      <c r="K414" s="32">
        <f t="shared" si="246"/>
        <v>-37.73010620018222</v>
      </c>
      <c r="L414" s="15">
        <f t="shared" si="220"/>
        <v>3.8729613733905581</v>
      </c>
      <c r="M414" s="15">
        <f t="shared" si="221"/>
        <v>-79.283058067988279</v>
      </c>
      <c r="N414" s="15">
        <f t="shared" si="222"/>
        <v>14.611741972913554</v>
      </c>
      <c r="O414" s="15">
        <f t="shared" si="223"/>
        <v>-89.975518618288277</v>
      </c>
      <c r="P414" s="15">
        <f t="shared" si="224"/>
        <v>-67.385734403756942</v>
      </c>
      <c r="Q414" s="15">
        <f t="shared" si="225"/>
        <v>-40.140262506868069</v>
      </c>
      <c r="R414" s="15">
        <f t="shared" si="226"/>
        <v>-2.33280721610882</v>
      </c>
      <c r="S414" s="31">
        <f t="shared" si="247"/>
        <v>-209.39883919314462</v>
      </c>
      <c r="T414" s="31">
        <f t="shared" si="248"/>
        <v>-43.345936334687245</v>
      </c>
      <c r="U414" s="15">
        <f t="shared" si="227"/>
        <v>6500</v>
      </c>
      <c r="V414" s="15">
        <f t="shared" si="228"/>
        <v>-89.999978549924549</v>
      </c>
      <c r="W414" s="15">
        <f t="shared" si="229"/>
        <v>-128.53387616472108</v>
      </c>
      <c r="X414" s="15">
        <f t="shared" si="230"/>
        <v>89.973387005075708</v>
      </c>
      <c r="Y414" s="15">
        <f t="shared" si="231"/>
        <v>66.660577937794173</v>
      </c>
      <c r="Z414" s="15">
        <f t="shared" si="232"/>
        <v>-86.014491072809619</v>
      </c>
      <c r="AA414" s="15">
        <f t="shared" si="233"/>
        <v>-23.159782685971354</v>
      </c>
      <c r="AB414" s="31">
        <f t="shared" si="249"/>
        <v>-86.041082617658461</v>
      </c>
      <c r="AC414" s="31">
        <f t="shared" si="250"/>
        <v>-8.7748137800411463</v>
      </c>
      <c r="AD414" s="15">
        <f t="shared" si="234"/>
        <v>89.741226995352065</v>
      </c>
      <c r="AE414" s="15">
        <f t="shared" si="235"/>
        <v>46.904102807601618</v>
      </c>
      <c r="AF414" s="15">
        <f t="shared" si="236"/>
        <v>5.2030609055364065</v>
      </c>
      <c r="AG414" s="15">
        <f t="shared" si="237"/>
        <v>3.5863665534886562E-2</v>
      </c>
      <c r="AH414" s="15">
        <f t="shared" si="238"/>
        <v>-88.648871183305488</v>
      </c>
      <c r="AI414" s="15">
        <f t="shared" si="239"/>
        <v>-32.549322558590326</v>
      </c>
      <c r="AJ414" s="31">
        <f t="shared" si="251"/>
        <v>6.2954167175829809</v>
      </c>
      <c r="AK414" s="31">
        <f t="shared" si="252"/>
        <v>14.390643914546175</v>
      </c>
      <c r="AL414" s="15">
        <f t="shared" si="240"/>
        <v>0</v>
      </c>
      <c r="AM414" s="15">
        <f t="shared" si="241"/>
        <v>0</v>
      </c>
      <c r="AN414" s="15">
        <f t="shared" si="242"/>
        <v>0</v>
      </c>
      <c r="AO414" s="15">
        <f t="shared" si="243"/>
        <v>0</v>
      </c>
      <c r="AP414" s="31">
        <f t="shared" si="253"/>
        <v>0</v>
      </c>
      <c r="AQ414" s="31">
        <f t="shared" si="254"/>
        <v>0</v>
      </c>
    </row>
    <row r="415" spans="8:43" x14ac:dyDescent="0.25">
      <c r="H415" s="15">
        <v>5.1200000000000196</v>
      </c>
      <c r="I415" s="45">
        <f t="shared" si="244"/>
        <v>1318256.7385564693</v>
      </c>
      <c r="J415" s="32">
        <f t="shared" si="245"/>
        <v>-110.02911000076057</v>
      </c>
      <c r="K415" s="32">
        <f t="shared" si="246"/>
        <v>-38.018377532550659</v>
      </c>
      <c r="L415" s="15">
        <f t="shared" si="220"/>
        <v>3.8729613733905581</v>
      </c>
      <c r="M415" s="15">
        <f t="shared" si="221"/>
        <v>-79.521541615954078</v>
      </c>
      <c r="N415" s="15">
        <f t="shared" si="222"/>
        <v>14.804977525069226</v>
      </c>
      <c r="O415" s="15">
        <f t="shared" si="223"/>
        <v>-89.976075882505356</v>
      </c>
      <c r="P415" s="15">
        <f t="shared" si="224"/>
        <v>-67.585734368071201</v>
      </c>
      <c r="Q415" s="15">
        <f t="shared" si="225"/>
        <v>-40.791645415443107</v>
      </c>
      <c r="R415" s="15">
        <f t="shared" si="226"/>
        <v>-2.4170460612113405</v>
      </c>
      <c r="S415" s="31">
        <f t="shared" si="247"/>
        <v>-210.28926291390252</v>
      </c>
      <c r="T415" s="31">
        <f t="shared" si="248"/>
        <v>-43.436939591948345</v>
      </c>
      <c r="U415" s="15">
        <f t="shared" si="227"/>
        <v>6500</v>
      </c>
      <c r="V415" s="15">
        <f t="shared" si="228"/>
        <v>-89.999979038187888</v>
      </c>
      <c r="W415" s="15">
        <f t="shared" si="229"/>
        <v>-128.73387616472104</v>
      </c>
      <c r="X415" s="15">
        <f t="shared" si="230"/>
        <v>89.973992790714689</v>
      </c>
      <c r="Y415" s="15">
        <f t="shared" si="231"/>
        <v>66.860577895623493</v>
      </c>
      <c r="Z415" s="15">
        <f t="shared" si="232"/>
        <v>-86.104929840460869</v>
      </c>
      <c r="AA415" s="15">
        <f t="shared" si="233"/>
        <v>-23.358838326544507</v>
      </c>
      <c r="AB415" s="31">
        <f t="shared" si="249"/>
        <v>-86.130916087934068</v>
      </c>
      <c r="AC415" s="31">
        <f t="shared" si="250"/>
        <v>-8.9738694627849398</v>
      </c>
      <c r="AD415" s="15">
        <f t="shared" si="234"/>
        <v>89.747117310691593</v>
      </c>
      <c r="AE415" s="15">
        <f t="shared" si="235"/>
        <v>47.104098820490954</v>
      </c>
      <c r="AF415" s="15">
        <f t="shared" si="236"/>
        <v>5.3235673058730733</v>
      </c>
      <c r="AG415" s="15">
        <f t="shared" si="237"/>
        <v>3.7546582304038567E-2</v>
      </c>
      <c r="AH415" s="15">
        <f t="shared" si="238"/>
        <v>-88.679615615488643</v>
      </c>
      <c r="AI415" s="15">
        <f t="shared" si="239"/>
        <v>-32.749213880612366</v>
      </c>
      <c r="AJ415" s="31">
        <f t="shared" si="251"/>
        <v>6.3910690010760192</v>
      </c>
      <c r="AK415" s="31">
        <f t="shared" si="252"/>
        <v>14.392431522182626</v>
      </c>
      <c r="AL415" s="15">
        <f t="shared" si="240"/>
        <v>0</v>
      </c>
      <c r="AM415" s="15">
        <f t="shared" si="241"/>
        <v>0</v>
      </c>
      <c r="AN415" s="15">
        <f t="shared" si="242"/>
        <v>0</v>
      </c>
      <c r="AO415" s="15">
        <f t="shared" si="243"/>
        <v>0</v>
      </c>
      <c r="AP415" s="31">
        <f t="shared" si="253"/>
        <v>0</v>
      </c>
      <c r="AQ415" s="31">
        <f t="shared" si="254"/>
        <v>0</v>
      </c>
    </row>
    <row r="416" spans="8:43" x14ac:dyDescent="0.25">
      <c r="H416" s="15">
        <v>5.1300000000000203</v>
      </c>
      <c r="I416" s="45">
        <f t="shared" si="244"/>
        <v>1348962.8825917193</v>
      </c>
      <c r="J416" s="32">
        <f t="shared" si="245"/>
        <v>-110.90547864691763</v>
      </c>
      <c r="K416" s="32">
        <f t="shared" si="246"/>
        <v>-38.308575737509287</v>
      </c>
      <c r="L416" s="15">
        <f t="shared" si="220"/>
        <v>3.8729613733905581</v>
      </c>
      <c r="M416" s="15">
        <f t="shared" si="221"/>
        <v>-79.754951953224634</v>
      </c>
      <c r="N416" s="15">
        <f t="shared" si="222"/>
        <v>14.998507677166321</v>
      </c>
      <c r="O416" s="15">
        <f t="shared" si="223"/>
        <v>-89.976620461844547</v>
      </c>
      <c r="P416" s="15">
        <f t="shared" si="224"/>
        <v>-67.78573433399157</v>
      </c>
      <c r="Q416" s="15">
        <f t="shared" si="225"/>
        <v>-41.445227116711791</v>
      </c>
      <c r="R416" s="15">
        <f t="shared" si="226"/>
        <v>-2.5035379731018943</v>
      </c>
      <c r="S416" s="31">
        <f t="shared" si="247"/>
        <v>-211.176799531781</v>
      </c>
      <c r="T416" s="31">
        <f t="shared" si="248"/>
        <v>-43.52990131766218</v>
      </c>
      <c r="U416" s="15">
        <f t="shared" si="227"/>
        <v>6500</v>
      </c>
      <c r="V416" s="15">
        <f t="shared" si="228"/>
        <v>-89.999979515336975</v>
      </c>
      <c r="W416" s="15">
        <f t="shared" si="229"/>
        <v>-128.93387616472103</v>
      </c>
      <c r="X416" s="15">
        <f t="shared" si="230"/>
        <v>89.974584786994654</v>
      </c>
      <c r="Y416" s="15">
        <f t="shared" si="231"/>
        <v>67.060577855350815</v>
      </c>
      <c r="Z416" s="15">
        <f t="shared" si="232"/>
        <v>-86.193328758237982</v>
      </c>
      <c r="AA416" s="15">
        <f t="shared" si="233"/>
        <v>-23.557936278560248</v>
      </c>
      <c r="AB416" s="31">
        <f t="shared" si="249"/>
        <v>-86.218723486580302</v>
      </c>
      <c r="AC416" s="31">
        <f t="shared" si="250"/>
        <v>-9.1729674550733478</v>
      </c>
      <c r="AD416" s="15">
        <f t="shared" si="234"/>
        <v>89.752873551249763</v>
      </c>
      <c r="AE416" s="15">
        <f t="shared" si="235"/>
        <v>47.304095012826423</v>
      </c>
      <c r="AF416" s="15">
        <f t="shared" si="236"/>
        <v>5.4468317740199454</v>
      </c>
      <c r="AG416" s="15">
        <f t="shared" si="237"/>
        <v>3.9308113810200405E-2</v>
      </c>
      <c r="AH416" s="15">
        <f t="shared" si="238"/>
        <v>-88.709660953826031</v>
      </c>
      <c r="AI416" s="15">
        <f t="shared" si="239"/>
        <v>-32.949110091410382</v>
      </c>
      <c r="AJ416" s="31">
        <f t="shared" si="251"/>
        <v>6.4900443714436733</v>
      </c>
      <c r="AK416" s="31">
        <f t="shared" si="252"/>
        <v>14.394293035226241</v>
      </c>
      <c r="AL416" s="15">
        <f t="shared" si="240"/>
        <v>0</v>
      </c>
      <c r="AM416" s="15">
        <f t="shared" si="241"/>
        <v>0</v>
      </c>
      <c r="AN416" s="15">
        <f t="shared" si="242"/>
        <v>0</v>
      </c>
      <c r="AO416" s="15">
        <f t="shared" si="243"/>
        <v>0</v>
      </c>
      <c r="AP416" s="31">
        <f t="shared" si="253"/>
        <v>0</v>
      </c>
      <c r="AQ416" s="31">
        <f t="shared" si="254"/>
        <v>0</v>
      </c>
    </row>
    <row r="417" spans="8:43" x14ac:dyDescent="0.25">
      <c r="H417" s="15">
        <v>5.1400000000000201</v>
      </c>
      <c r="I417" s="45">
        <f t="shared" si="244"/>
        <v>1380384.2646029496</v>
      </c>
      <c r="J417" s="32">
        <f t="shared" si="245"/>
        <v>-111.77336718963117</v>
      </c>
      <c r="K417" s="32">
        <f t="shared" si="246"/>
        <v>-38.60072155255456</v>
      </c>
      <c r="L417" s="15">
        <f t="shared" si="220"/>
        <v>3.8729613733905581</v>
      </c>
      <c r="M417" s="15">
        <f t="shared" si="221"/>
        <v>-79.983381833004898</v>
      </c>
      <c r="N417" s="15">
        <f t="shared" si="222"/>
        <v>15.192320009924545</v>
      </c>
      <c r="O417" s="15">
        <f t="shared" si="223"/>
        <v>-89.977152645048676</v>
      </c>
      <c r="P417" s="15">
        <f t="shared" si="224"/>
        <v>-67.98573430144576</v>
      </c>
      <c r="Q417" s="15">
        <f t="shared" si="225"/>
        <v>-42.100673831430591</v>
      </c>
      <c r="R417" s="15">
        <f t="shared" si="226"/>
        <v>-2.5922970074582476</v>
      </c>
      <c r="S417" s="31">
        <f t="shared" si="247"/>
        <v>-212.06120830948416</v>
      </c>
      <c r="T417" s="31">
        <f t="shared" si="248"/>
        <v>-43.624847986714499</v>
      </c>
      <c r="U417" s="15">
        <f t="shared" si="227"/>
        <v>6500</v>
      </c>
      <c r="V417" s="15">
        <f t="shared" si="228"/>
        <v>-89.999979981624833</v>
      </c>
      <c r="W417" s="15">
        <f t="shared" si="229"/>
        <v>-129.13387616472099</v>
      </c>
      <c r="X417" s="15">
        <f t="shared" si="230"/>
        <v>89.975163307799335</v>
      </c>
      <c r="Y417" s="15">
        <f t="shared" si="231"/>
        <v>67.260577816890674</v>
      </c>
      <c r="Z417" s="15">
        <f t="shared" si="232"/>
        <v>-86.279733012076946</v>
      </c>
      <c r="AA417" s="15">
        <f t="shared" si="233"/>
        <v>-23.757074654487663</v>
      </c>
      <c r="AB417" s="31">
        <f t="shared" si="249"/>
        <v>-86.304549685902444</v>
      </c>
      <c r="AC417" s="31">
        <f t="shared" si="250"/>
        <v>-9.3721058694608637</v>
      </c>
      <c r="AD417" s="15">
        <f t="shared" si="234"/>
        <v>89.758498768596482</v>
      </c>
      <c r="AE417" s="15">
        <f t="shared" si="235"/>
        <v>47.504091376531875</v>
      </c>
      <c r="AF417" s="15">
        <f t="shared" si="236"/>
        <v>5.572915099778653</v>
      </c>
      <c r="AG417" s="15">
        <f t="shared" si="237"/>
        <v>4.1151898265384595E-2</v>
      </c>
      <c r="AH417" s="15">
        <f t="shared" si="238"/>
        <v>-88.739023062619708</v>
      </c>
      <c r="AI417" s="15">
        <f t="shared" si="239"/>
        <v>-33.149010971176452</v>
      </c>
      <c r="AJ417" s="31">
        <f t="shared" si="251"/>
        <v>6.5923908057554286</v>
      </c>
      <c r="AK417" s="31">
        <f t="shared" si="252"/>
        <v>14.396232303620806</v>
      </c>
      <c r="AL417" s="15">
        <f t="shared" si="240"/>
        <v>0</v>
      </c>
      <c r="AM417" s="15">
        <f t="shared" si="241"/>
        <v>0</v>
      </c>
      <c r="AN417" s="15">
        <f t="shared" si="242"/>
        <v>0</v>
      </c>
      <c r="AO417" s="15">
        <f t="shared" si="243"/>
        <v>0</v>
      </c>
      <c r="AP417" s="31">
        <f t="shared" si="253"/>
        <v>0</v>
      </c>
      <c r="AQ417" s="31">
        <f t="shared" si="254"/>
        <v>0</v>
      </c>
    </row>
    <row r="418" spans="8:43" x14ac:dyDescent="0.25">
      <c r="H418" s="15">
        <v>5.1500000000000199</v>
      </c>
      <c r="I418" s="45">
        <f t="shared" si="244"/>
        <v>1412537.5446228203</v>
      </c>
      <c r="J418" s="32">
        <f t="shared" si="245"/>
        <v>-112.63252383146023</v>
      </c>
      <c r="K418" s="32">
        <f t="shared" si="246"/>
        <v>-38.894832862426846</v>
      </c>
      <c r="L418" s="15">
        <f t="shared" si="220"/>
        <v>3.8729613733905581</v>
      </c>
      <c r="M418" s="15">
        <f t="shared" si="221"/>
        <v>-80.206923310318473</v>
      </c>
      <c r="N418" s="15">
        <f t="shared" si="222"/>
        <v>15.386402592479957</v>
      </c>
      <c r="O418" s="15">
        <f t="shared" si="223"/>
        <v>-89.977672714287905</v>
      </c>
      <c r="P418" s="15">
        <f t="shared" si="224"/>
        <v>-68.185734270364762</v>
      </c>
      <c r="Q418" s="15">
        <f t="shared" si="225"/>
        <v>-42.757646931217359</v>
      </c>
      <c r="R418" s="15">
        <f t="shared" si="226"/>
        <v>-2.6833349277362863</v>
      </c>
      <c r="S418" s="31">
        <f t="shared" si="247"/>
        <v>-212.94224295582373</v>
      </c>
      <c r="T418" s="31">
        <f t="shared" si="248"/>
        <v>-43.721803293356132</v>
      </c>
      <c r="U418" s="15">
        <f t="shared" si="227"/>
        <v>6500</v>
      </c>
      <c r="V418" s="15">
        <f t="shared" si="228"/>
        <v>-89.999980437298689</v>
      </c>
      <c r="W418" s="15">
        <f t="shared" si="229"/>
        <v>-129.33387616472095</v>
      </c>
      <c r="X418" s="15">
        <f t="shared" si="230"/>
        <v>89.975728659867656</v>
      </c>
      <c r="Y418" s="15">
        <f t="shared" si="231"/>
        <v>67.460577780161557</v>
      </c>
      <c r="Z418" s="15">
        <f t="shared" si="232"/>
        <v>-86.364186841780537</v>
      </c>
      <c r="AA418" s="15">
        <f t="shared" si="233"/>
        <v>-23.956251650280116</v>
      </c>
      <c r="AB418" s="31">
        <f t="shared" si="249"/>
        <v>-86.38843861921157</v>
      </c>
      <c r="AC418" s="31">
        <f t="shared" si="250"/>
        <v>-9.5712829019823928</v>
      </c>
      <c r="AD418" s="15">
        <f t="shared" si="234"/>
        <v>89.763995944862401</v>
      </c>
      <c r="AE418" s="15">
        <f t="shared" si="235"/>
        <v>47.704087903894731</v>
      </c>
      <c r="AF418" s="15">
        <f t="shared" si="236"/>
        <v>5.7018792470369437</v>
      </c>
      <c r="AG418" s="15">
        <f t="shared" si="237"/>
        <v>4.3081738993033705E-2</v>
      </c>
      <c r="AH418" s="15">
        <f t="shared" si="238"/>
        <v>-88.767717448324277</v>
      </c>
      <c r="AI418" s="15">
        <f t="shared" si="239"/>
        <v>-33.348916309976083</v>
      </c>
      <c r="AJ418" s="31">
        <f t="shared" si="251"/>
        <v>6.6981577435750665</v>
      </c>
      <c r="AK418" s="31">
        <f t="shared" si="252"/>
        <v>14.398253332911679</v>
      </c>
      <c r="AL418" s="15">
        <f t="shared" si="240"/>
        <v>0</v>
      </c>
      <c r="AM418" s="15">
        <f t="shared" si="241"/>
        <v>0</v>
      </c>
      <c r="AN418" s="15">
        <f t="shared" si="242"/>
        <v>0</v>
      </c>
      <c r="AO418" s="15">
        <f t="shared" si="243"/>
        <v>0</v>
      </c>
      <c r="AP418" s="31">
        <f t="shared" si="253"/>
        <v>0</v>
      </c>
      <c r="AQ418" s="31">
        <f t="shared" si="254"/>
        <v>0</v>
      </c>
    </row>
    <row r="419" spans="8:43" x14ac:dyDescent="0.25">
      <c r="H419" s="15">
        <v>5.1600000000000197</v>
      </c>
      <c r="I419" s="45">
        <f t="shared" si="244"/>
        <v>1445439.770745995</v>
      </c>
      <c r="J419" s="32">
        <f t="shared" si="245"/>
        <v>-113.4826896193684</v>
      </c>
      <c r="K419" s="32">
        <f t="shared" si="246"/>
        <v>-39.190924655179714</v>
      </c>
      <c r="L419" s="15">
        <f t="shared" si="220"/>
        <v>3.8729613733905581</v>
      </c>
      <c r="M419" s="15">
        <f t="shared" si="221"/>
        <v>-80.425667674310063</v>
      </c>
      <c r="N419" s="15">
        <f t="shared" si="222"/>
        <v>15.580743966192898</v>
      </c>
      <c r="O419" s="15">
        <f t="shared" si="223"/>
        <v>-89.978180945309518</v>
      </c>
      <c r="P419" s="15">
        <f t="shared" si="224"/>
        <v>-68.385734240682638</v>
      </c>
      <c r="Q419" s="15">
        <f t="shared" si="225"/>
        <v>-43.415803794242123</v>
      </c>
      <c r="R419" s="15">
        <f t="shared" si="226"/>
        <v>-2.7766611562848356</v>
      </c>
      <c r="S419" s="31">
        <f t="shared" si="247"/>
        <v>-213.81965241386169</v>
      </c>
      <c r="T419" s="31">
        <f t="shared" si="248"/>
        <v>-43.820788118509618</v>
      </c>
      <c r="U419" s="15">
        <f t="shared" si="227"/>
        <v>6500</v>
      </c>
      <c r="V419" s="15">
        <f t="shared" si="228"/>
        <v>-89.999980882600127</v>
      </c>
      <c r="W419" s="15">
        <f t="shared" si="229"/>
        <v>-129.53387616472094</v>
      </c>
      <c r="X419" s="15">
        <f t="shared" si="230"/>
        <v>89.976281142956338</v>
      </c>
      <c r="Y419" s="15">
        <f t="shared" si="231"/>
        <v>67.660577745085519</v>
      </c>
      <c r="Z419" s="15">
        <f t="shared" si="232"/>
        <v>-86.446733557138458</v>
      </c>
      <c r="AA419" s="15">
        <f t="shared" si="233"/>
        <v>-24.155465541745741</v>
      </c>
      <c r="AB419" s="31">
        <f t="shared" si="249"/>
        <v>-86.470433296782247</v>
      </c>
      <c r="AC419" s="31">
        <f t="shared" si="250"/>
        <v>-9.7704968285240454</v>
      </c>
      <c r="AD419" s="15">
        <f t="shared" si="234"/>
        <v>89.769367994318102</v>
      </c>
      <c r="AE419" s="15">
        <f t="shared" si="235"/>
        <v>47.904084587549399</v>
      </c>
      <c r="AF419" s="15">
        <f t="shared" si="236"/>
        <v>5.8337873644320304</v>
      </c>
      <c r="AG419" s="15">
        <f t="shared" si="237"/>
        <v>4.5101611609963059E-2</v>
      </c>
      <c r="AH419" s="15">
        <f t="shared" si="238"/>
        <v>-88.795759267474594</v>
      </c>
      <c r="AI419" s="15">
        <f t="shared" si="239"/>
        <v>-33.548825907305414</v>
      </c>
      <c r="AJ419" s="31">
        <f t="shared" si="251"/>
        <v>6.8073960912755354</v>
      </c>
      <c r="AK419" s="31">
        <f t="shared" si="252"/>
        <v>14.40036029185395</v>
      </c>
      <c r="AL419" s="15">
        <f t="shared" si="240"/>
        <v>0</v>
      </c>
      <c r="AM419" s="15">
        <f t="shared" si="241"/>
        <v>0</v>
      </c>
      <c r="AN419" s="15">
        <f t="shared" si="242"/>
        <v>0</v>
      </c>
      <c r="AO419" s="15">
        <f t="shared" si="243"/>
        <v>0</v>
      </c>
      <c r="AP419" s="31">
        <f t="shared" si="253"/>
        <v>0</v>
      </c>
      <c r="AQ419" s="31">
        <f t="shared" si="254"/>
        <v>0</v>
      </c>
    </row>
    <row r="420" spans="8:43" x14ac:dyDescent="0.25">
      <c r="H420" s="15">
        <v>5.1700000000000204</v>
      </c>
      <c r="I420" s="45">
        <f t="shared" si="244"/>
        <v>1479108.3881682788</v>
      </c>
      <c r="J420" s="32">
        <f t="shared" si="245"/>
        <v>-114.32359927659303</v>
      </c>
      <c r="K420" s="32">
        <f t="shared" si="246"/>
        <v>-39.489008987321192</v>
      </c>
      <c r="L420" s="15">
        <f t="shared" si="220"/>
        <v>3.8729613733905581</v>
      </c>
      <c r="M420" s="15">
        <f t="shared" si="221"/>
        <v>-80.639705386581198</v>
      </c>
      <c r="N420" s="15">
        <f t="shared" si="222"/>
        <v>15.775333128726409</v>
      </c>
      <c r="O420" s="15">
        <f t="shared" si="223"/>
        <v>-89.978677607584004</v>
      </c>
      <c r="P420" s="15">
        <f t="shared" si="224"/>
        <v>-68.585734212336448</v>
      </c>
      <c r="Q420" s="15">
        <f t="shared" si="225"/>
        <v>-44.074798686239987</v>
      </c>
      <c r="R420" s="15">
        <f t="shared" si="226"/>
        <v>-2.8722827349143421</v>
      </c>
      <c r="S420" s="31">
        <f t="shared" si="247"/>
        <v>-214.69318168040519</v>
      </c>
      <c r="T420" s="31">
        <f t="shared" si="248"/>
        <v>-43.921820506259415</v>
      </c>
      <c r="U420" s="15">
        <f t="shared" si="227"/>
        <v>6500</v>
      </c>
      <c r="V420" s="15">
        <f t="shared" si="228"/>
        <v>-89.99998131776529</v>
      </c>
      <c r="W420" s="15">
        <f t="shared" si="229"/>
        <v>-129.73387616472093</v>
      </c>
      <c r="X420" s="15">
        <f t="shared" si="230"/>
        <v>89.976821049998819</v>
      </c>
      <c r="Y420" s="15">
        <f t="shared" si="231"/>
        <v>67.860577711588178</v>
      </c>
      <c r="Z420" s="15">
        <f t="shared" si="232"/>
        <v>-86.527415554033269</v>
      </c>
      <c r="AA420" s="15">
        <f t="shared" si="233"/>
        <v>-24.354714681070405</v>
      </c>
      <c r="AB420" s="31">
        <f t="shared" si="249"/>
        <v>-86.55057582179974</v>
      </c>
      <c r="AC420" s="31">
        <f t="shared" si="250"/>
        <v>-9.9697460013460386</v>
      </c>
      <c r="AD420" s="15">
        <f t="shared" si="234"/>
        <v>89.774617764917252</v>
      </c>
      <c r="AE420" s="15">
        <f t="shared" si="235"/>
        <v>48.104081420461853</v>
      </c>
      <c r="AF420" s="15">
        <f t="shared" si="236"/>
        <v>5.9687037951424946</v>
      </c>
      <c r="AG420" s="15">
        <f t="shared" si="237"/>
        <v>4.7215671490880615E-2</v>
      </c>
      <c r="AH420" s="15">
        <f t="shared" si="238"/>
        <v>-88.823163334447841</v>
      </c>
      <c r="AI420" s="15">
        <f t="shared" si="239"/>
        <v>-33.748739571668473</v>
      </c>
      <c r="AJ420" s="31">
        <f t="shared" si="251"/>
        <v>6.9201582256118996</v>
      </c>
      <c r="AK420" s="31">
        <f t="shared" si="252"/>
        <v>14.402557520284262</v>
      </c>
      <c r="AL420" s="15">
        <f t="shared" si="240"/>
        <v>0</v>
      </c>
      <c r="AM420" s="15">
        <f t="shared" si="241"/>
        <v>0</v>
      </c>
      <c r="AN420" s="15">
        <f t="shared" si="242"/>
        <v>0</v>
      </c>
      <c r="AO420" s="15">
        <f t="shared" si="243"/>
        <v>0</v>
      </c>
      <c r="AP420" s="31">
        <f t="shared" si="253"/>
        <v>0</v>
      </c>
      <c r="AQ420" s="31">
        <f t="shared" si="254"/>
        <v>0</v>
      </c>
    </row>
    <row r="421" spans="8:43" x14ac:dyDescent="0.25">
      <c r="H421" s="15">
        <v>5.1800000000000201</v>
      </c>
      <c r="I421" s="45">
        <f t="shared" si="244"/>
        <v>1513561.2484362812</v>
      </c>
      <c r="J421" s="32">
        <f t="shared" si="245"/>
        <v>-115.15498206089235</v>
      </c>
      <c r="K421" s="32">
        <f t="shared" si="246"/>
        <v>-39.789094958339142</v>
      </c>
      <c r="L421" s="15">
        <f t="shared" si="220"/>
        <v>3.8729613733905581</v>
      </c>
      <c r="M421" s="15">
        <f t="shared" si="221"/>
        <v>-80.84912602522823</v>
      </c>
      <c r="N421" s="15">
        <f t="shared" si="222"/>
        <v>15.970159518416853</v>
      </c>
      <c r="O421" s="15">
        <f t="shared" si="223"/>
        <v>-89.97916296444798</v>
      </c>
      <c r="P421" s="15">
        <f t="shared" si="224"/>
        <v>-68.785734185266023</v>
      </c>
      <c r="Q421" s="15">
        <f t="shared" si="225"/>
        <v>-44.734283661402351</v>
      </c>
      <c r="R421" s="15">
        <f t="shared" si="226"/>
        <v>-2.9702042952679628</v>
      </c>
      <c r="S421" s="31">
        <f t="shared" si="247"/>
        <v>-215.56257265107854</v>
      </c>
      <c r="T421" s="31">
        <f t="shared" si="248"/>
        <v>-44.024915649852169</v>
      </c>
      <c r="U421" s="15">
        <f t="shared" si="227"/>
        <v>6500</v>
      </c>
      <c r="V421" s="15">
        <f t="shared" si="228"/>
        <v>-89.999981743024861</v>
      </c>
      <c r="W421" s="15">
        <f t="shared" si="229"/>
        <v>-129.93387616472091</v>
      </c>
      <c r="X421" s="15">
        <f t="shared" si="230"/>
        <v>89.977348667260557</v>
      </c>
      <c r="Y421" s="15">
        <f t="shared" si="231"/>
        <v>68.060577679598438</v>
      </c>
      <c r="Z421" s="15">
        <f t="shared" si="232"/>
        <v>-86.606274330509152</v>
      </c>
      <c r="AA421" s="15">
        <f t="shared" si="233"/>
        <v>-24.553997493486794</v>
      </c>
      <c r="AB421" s="31">
        <f t="shared" si="249"/>
        <v>-86.628907406273456</v>
      </c>
      <c r="AC421" s="31">
        <f t="shared" si="250"/>
        <v>-10.169028845752155</v>
      </c>
      <c r="AD421" s="15">
        <f t="shared" si="234"/>
        <v>89.779748039804986</v>
      </c>
      <c r="AE421" s="15">
        <f t="shared" si="235"/>
        <v>48.304078395914551</v>
      </c>
      <c r="AF421" s="15">
        <f t="shared" si="236"/>
        <v>6.1066940857167555</v>
      </c>
      <c r="AG421" s="15">
        <f t="shared" si="237"/>
        <v>4.9428261523694422E-2</v>
      </c>
      <c r="AH421" s="15">
        <f t="shared" si="238"/>
        <v>-88.849944129062095</v>
      </c>
      <c r="AI421" s="15">
        <f t="shared" si="239"/>
        <v>-33.94865712017306</v>
      </c>
      <c r="AJ421" s="31">
        <f t="shared" si="251"/>
        <v>7.0364979964596444</v>
      </c>
      <c r="AK421" s="31">
        <f t="shared" si="252"/>
        <v>14.404849537265186</v>
      </c>
      <c r="AL421" s="15">
        <f t="shared" si="240"/>
        <v>0</v>
      </c>
      <c r="AM421" s="15">
        <f t="shared" si="241"/>
        <v>0</v>
      </c>
      <c r="AN421" s="15">
        <f t="shared" si="242"/>
        <v>0</v>
      </c>
      <c r="AO421" s="15">
        <f t="shared" si="243"/>
        <v>0</v>
      </c>
      <c r="AP421" s="31">
        <f t="shared" si="253"/>
        <v>0</v>
      </c>
      <c r="AQ421" s="31">
        <f t="shared" si="254"/>
        <v>0</v>
      </c>
    </row>
    <row r="422" spans="8:43" x14ac:dyDescent="0.25">
      <c r="H422" s="15">
        <v>5.1900000000000199</v>
      </c>
      <c r="I422" s="45">
        <f t="shared" si="244"/>
        <v>1548816.6189125532</v>
      </c>
      <c r="J422" s="32">
        <f t="shared" si="245"/>
        <v>-115.9765626432573</v>
      </c>
      <c r="K422" s="32">
        <f t="shared" si="246"/>
        <v>-40.09118869484093</v>
      </c>
      <c r="L422" s="15">
        <f t="shared" si="220"/>
        <v>3.8729613733905581</v>
      </c>
      <c r="M422" s="15">
        <f t="shared" si="221"/>
        <v>-81.054018234263467</v>
      </c>
      <c r="N422" s="15">
        <f t="shared" si="222"/>
        <v>16.165212998955759</v>
      </c>
      <c r="O422" s="15">
        <f t="shared" si="223"/>
        <v>-89.979637273243767</v>
      </c>
      <c r="P422" s="15">
        <f t="shared" si="224"/>
        <v>-68.985734159413965</v>
      </c>
      <c r="Q422" s="15">
        <f t="shared" si="225"/>
        <v>-45.39390947746972</v>
      </c>
      <c r="R422" s="15">
        <f t="shared" si="226"/>
        <v>-3.0704280392591441</v>
      </c>
      <c r="S422" s="31">
        <f t="shared" si="247"/>
        <v>-216.42756498497695</v>
      </c>
      <c r="T422" s="31">
        <f t="shared" si="248"/>
        <v>-44.130085887452381</v>
      </c>
      <c r="U422" s="15">
        <f t="shared" si="227"/>
        <v>6500</v>
      </c>
      <c r="V422" s="15">
        <f t="shared" si="228"/>
        <v>-89.999982158604354</v>
      </c>
      <c r="W422" s="15">
        <f t="shared" si="229"/>
        <v>-130.13387616472087</v>
      </c>
      <c r="X422" s="15">
        <f t="shared" si="230"/>
        <v>89.977864274490855</v>
      </c>
      <c r="Y422" s="15">
        <f t="shared" si="231"/>
        <v>68.260577649048471</v>
      </c>
      <c r="Z422" s="15">
        <f t="shared" si="232"/>
        <v>-86.683350502783924</v>
      </c>
      <c r="AA422" s="15">
        <f t="shared" si="233"/>
        <v>-24.753312474084368</v>
      </c>
      <c r="AB422" s="31">
        <f t="shared" si="249"/>
        <v>-86.705468386897422</v>
      </c>
      <c r="AC422" s="31">
        <f t="shared" si="250"/>
        <v>-10.368343856899656</v>
      </c>
      <c r="AD422" s="15">
        <f t="shared" si="234"/>
        <v>89.784761538791656</v>
      </c>
      <c r="AE422" s="15">
        <f t="shared" si="235"/>
        <v>48.504075507492317</v>
      </c>
      <c r="AF422" s="15">
        <f t="shared" si="236"/>
        <v>6.2478249938402897</v>
      </c>
      <c r="AG422" s="15">
        <f t="shared" si="237"/>
        <v>5.1743920163719113E-2</v>
      </c>
      <c r="AH422" s="15">
        <f t="shared" si="238"/>
        <v>-88.876115804014859</v>
      </c>
      <c r="AI422" s="15">
        <f t="shared" si="239"/>
        <v>-34.148578378144926</v>
      </c>
      <c r="AJ422" s="31">
        <f t="shared" si="251"/>
        <v>7.1564707286170801</v>
      </c>
      <c r="AK422" s="31">
        <f t="shared" si="252"/>
        <v>14.407241049511107</v>
      </c>
      <c r="AL422" s="15">
        <f t="shared" si="240"/>
        <v>0</v>
      </c>
      <c r="AM422" s="15">
        <f t="shared" si="241"/>
        <v>0</v>
      </c>
      <c r="AN422" s="15">
        <f t="shared" si="242"/>
        <v>0</v>
      </c>
      <c r="AO422" s="15">
        <f t="shared" si="243"/>
        <v>0</v>
      </c>
      <c r="AP422" s="31">
        <f t="shared" si="253"/>
        <v>0</v>
      </c>
      <c r="AQ422" s="31">
        <f t="shared" si="254"/>
        <v>0</v>
      </c>
    </row>
    <row r="423" spans="8:43" x14ac:dyDescent="0.25">
      <c r="H423" s="15">
        <v>5.2000000000000197</v>
      </c>
      <c r="I423" s="45">
        <f t="shared" si="244"/>
        <v>1584893.1924611868</v>
      </c>
      <c r="J423" s="32">
        <f t="shared" si="245"/>
        <v>-116.78806200101641</v>
      </c>
      <c r="K423" s="32">
        <f t="shared" si="246"/>
        <v>-40.395293344452924</v>
      </c>
      <c r="L423" s="15">
        <f t="shared" si="220"/>
        <v>3.8729613733905581</v>
      </c>
      <c r="M423" s="15">
        <f t="shared" si="221"/>
        <v>-81.254469678110084</v>
      </c>
      <c r="N423" s="15">
        <f t="shared" si="222"/>
        <v>16.360483844398406</v>
      </c>
      <c r="O423" s="15">
        <f t="shared" si="223"/>
        <v>-89.98010078545596</v>
      </c>
      <c r="P423" s="15">
        <f t="shared" si="224"/>
        <v>-69.18573413472545</v>
      </c>
      <c r="Q423" s="15">
        <f t="shared" si="225"/>
        <v>-46.053326519178874</v>
      </c>
      <c r="R423" s="15">
        <f t="shared" si="226"/>
        <v>-3.1729537297507711</v>
      </c>
      <c r="S423" s="31">
        <f t="shared" si="247"/>
        <v>-217.28789698274494</v>
      </c>
      <c r="T423" s="31">
        <f t="shared" si="248"/>
        <v>-44.237340707812855</v>
      </c>
      <c r="U423" s="15">
        <f t="shared" si="227"/>
        <v>6500</v>
      </c>
      <c r="V423" s="15">
        <f t="shared" si="228"/>
        <v>-89.999982564724107</v>
      </c>
      <c r="W423" s="15">
        <f t="shared" si="229"/>
        <v>-130.33387616472086</v>
      </c>
      <c r="X423" s="15">
        <f t="shared" si="230"/>
        <v>89.978368145071173</v>
      </c>
      <c r="Y423" s="15">
        <f t="shared" si="231"/>
        <v>68.460577619873476</v>
      </c>
      <c r="Z423" s="15">
        <f t="shared" si="232"/>
        <v>-86.75868382118513</v>
      </c>
      <c r="AA423" s="15">
        <f t="shared" si="233"/>
        <v>-24.952658184754259</v>
      </c>
      <c r="AB423" s="31">
        <f t="shared" si="249"/>
        <v>-86.780298240838064</v>
      </c>
      <c r="AC423" s="31">
        <f t="shared" si="250"/>
        <v>-10.567689596744533</v>
      </c>
      <c r="AD423" s="15">
        <f t="shared" si="234"/>
        <v>89.789660919793562</v>
      </c>
      <c r="AE423" s="15">
        <f t="shared" si="235"/>
        <v>48.704072749068729</v>
      </c>
      <c r="AF423" s="15">
        <f t="shared" si="236"/>
        <v>6.3921644949368925</v>
      </c>
      <c r="AG423" s="15">
        <f t="shared" si="237"/>
        <v>5.416738979484978E-2</v>
      </c>
      <c r="AH423" s="15">
        <f t="shared" si="238"/>
        <v>-88.901692192163864</v>
      </c>
      <c r="AI423" s="15">
        <f t="shared" si="239"/>
        <v>-34.34850317875911</v>
      </c>
      <c r="AJ423" s="31">
        <f t="shared" si="251"/>
        <v>7.2801332225665902</v>
      </c>
      <c r="AK423" s="31">
        <f t="shared" si="252"/>
        <v>14.409736960104468</v>
      </c>
      <c r="AL423" s="15">
        <f t="shared" si="240"/>
        <v>0</v>
      </c>
      <c r="AM423" s="15">
        <f t="shared" si="241"/>
        <v>0</v>
      </c>
      <c r="AN423" s="15">
        <f t="shared" si="242"/>
        <v>0</v>
      </c>
      <c r="AO423" s="15">
        <f t="shared" si="243"/>
        <v>0</v>
      </c>
      <c r="AP423" s="31">
        <f t="shared" si="253"/>
        <v>0</v>
      </c>
      <c r="AQ423" s="31">
        <f t="shared" si="254"/>
        <v>0</v>
      </c>
    </row>
    <row r="424" spans="8:43" x14ac:dyDescent="0.25">
      <c r="H424" s="15">
        <v>5.2100000000000204</v>
      </c>
      <c r="I424" s="45">
        <f t="shared" si="244"/>
        <v>1621810.0973590077</v>
      </c>
      <c r="J424" s="32">
        <f t="shared" si="245"/>
        <v>-117.58919831918831</v>
      </c>
      <c r="K424" s="32">
        <f t="shared" si="246"/>
        <v>-40.701409079535757</v>
      </c>
      <c r="L424" s="15">
        <f t="shared" si="220"/>
        <v>3.8729613733905581</v>
      </c>
      <c r="M424" s="15">
        <f t="shared" si="221"/>
        <v>-81.450567000872866</v>
      </c>
      <c r="N424" s="15">
        <f t="shared" si="222"/>
        <v>16.555962724512156</v>
      </c>
      <c r="O424" s="15">
        <f t="shared" si="223"/>
        <v>-89.980553746844578</v>
      </c>
      <c r="P424" s="15">
        <f t="shared" si="224"/>
        <v>-69.385734111148111</v>
      </c>
      <c r="Q424" s="15">
        <f t="shared" si="225"/>
        <v>-46.712185724117433</v>
      </c>
      <c r="R424" s="15">
        <f t="shared" si="226"/>
        <v>-3.2777786915595946</v>
      </c>
      <c r="S424" s="31">
        <f t="shared" si="247"/>
        <v>-218.14330647183488</v>
      </c>
      <c r="T424" s="31">
        <f t="shared" si="248"/>
        <v>-44.346686765930592</v>
      </c>
      <c r="U424" s="15">
        <f t="shared" si="227"/>
        <v>6500</v>
      </c>
      <c r="V424" s="15">
        <f t="shared" si="228"/>
        <v>-89.999982961599429</v>
      </c>
      <c r="W424" s="15">
        <f t="shared" si="229"/>
        <v>-130.53387616472085</v>
      </c>
      <c r="X424" s="15">
        <f t="shared" si="230"/>
        <v>89.978860546160021</v>
      </c>
      <c r="Y424" s="15">
        <f t="shared" si="231"/>
        <v>68.660577592011606</v>
      </c>
      <c r="Z424" s="15">
        <f t="shared" si="232"/>
        <v>-86.83231318599384</v>
      </c>
      <c r="AA424" s="15">
        <f t="shared" si="233"/>
        <v>-25.152033251263948</v>
      </c>
      <c r="AB424" s="31">
        <f t="shared" si="249"/>
        <v>-86.853435601433247</v>
      </c>
      <c r="AC424" s="31">
        <f t="shared" si="250"/>
        <v>-10.767064691116079</v>
      </c>
      <c r="AD424" s="15">
        <f t="shared" si="234"/>
        <v>89.794448780240558</v>
      </c>
      <c r="AE424" s="15">
        <f t="shared" si="235"/>
        <v>48.904070114793029</v>
      </c>
      <c r="AF424" s="15">
        <f t="shared" si="236"/>
        <v>6.5397817874924975</v>
      </c>
      <c r="AG424" s="15">
        <f t="shared" si="237"/>
        <v>5.6703625405547353E-2</v>
      </c>
      <c r="AH424" s="15">
        <f t="shared" si="238"/>
        <v>-88.926686813653248</v>
      </c>
      <c r="AI424" s="15">
        <f t="shared" si="239"/>
        <v>-34.548431362687658</v>
      </c>
      <c r="AJ424" s="31">
        <f t="shared" si="251"/>
        <v>7.4075437540798106</v>
      </c>
      <c r="AK424" s="31">
        <f t="shared" si="252"/>
        <v>14.412342377510917</v>
      </c>
      <c r="AL424" s="15">
        <f t="shared" si="240"/>
        <v>0</v>
      </c>
      <c r="AM424" s="15">
        <f t="shared" si="241"/>
        <v>0</v>
      </c>
      <c r="AN424" s="15">
        <f t="shared" si="242"/>
        <v>0</v>
      </c>
      <c r="AO424" s="15">
        <f t="shared" si="243"/>
        <v>0</v>
      </c>
      <c r="AP424" s="31">
        <f t="shared" si="253"/>
        <v>0</v>
      </c>
      <c r="AQ424" s="31">
        <f t="shared" si="254"/>
        <v>0</v>
      </c>
    </row>
    <row r="425" spans="8:43" x14ac:dyDescent="0.25">
      <c r="H425" s="15">
        <v>5.2200000000000104</v>
      </c>
      <c r="I425" s="45">
        <f t="shared" si="244"/>
        <v>1659586.9074376018</v>
      </c>
      <c r="J425" s="32">
        <f t="shared" si="245"/>
        <v>-118.37968789392323</v>
      </c>
      <c r="K425" s="32">
        <f t="shared" si="246"/>
        <v>-41.009533110683229</v>
      </c>
      <c r="L425" s="15">
        <f t="shared" si="220"/>
        <v>3.8729613733905581</v>
      </c>
      <c r="M425" s="15">
        <f t="shared" si="221"/>
        <v>-81.64239579009822</v>
      </c>
      <c r="N425" s="15">
        <f t="shared" si="222"/>
        <v>16.751640690474915</v>
      </c>
      <c r="O425" s="15">
        <f t="shared" si="223"/>
        <v>-89.980996397575552</v>
      </c>
      <c r="P425" s="15">
        <f t="shared" si="224"/>
        <v>-69.585734088631725</v>
      </c>
      <c r="Q425" s="15">
        <f t="shared" si="225"/>
        <v>-47.370139505009988</v>
      </c>
      <c r="R425" s="15">
        <f t="shared" si="226"/>
        <v>-3.3848978227768658</v>
      </c>
      <c r="S425" s="31">
        <f t="shared" si="247"/>
        <v>-218.99353169268375</v>
      </c>
      <c r="T425" s="31">
        <f t="shared" si="248"/>
        <v>-44.458127908668715</v>
      </c>
      <c r="U425" s="15">
        <f t="shared" si="227"/>
        <v>6500</v>
      </c>
      <c r="V425" s="15">
        <f t="shared" si="228"/>
        <v>-89.999983349440782</v>
      </c>
      <c r="W425" s="15">
        <f t="shared" si="229"/>
        <v>-130.73387616472064</v>
      </c>
      <c r="X425" s="15">
        <f t="shared" si="230"/>
        <v>89.979341738834705</v>
      </c>
      <c r="Y425" s="15">
        <f t="shared" si="231"/>
        <v>68.860577565403503</v>
      </c>
      <c r="Z425" s="15">
        <f t="shared" si="232"/>
        <v>-86.904276663180525</v>
      </c>
      <c r="AA425" s="15">
        <f t="shared" si="233"/>
        <v>-25.351436360456322</v>
      </c>
      <c r="AB425" s="31">
        <f t="shared" si="249"/>
        <v>-86.924918273786602</v>
      </c>
      <c r="AC425" s="31">
        <f t="shared" si="250"/>
        <v>-10.966467826916347</v>
      </c>
      <c r="AD425" s="15">
        <f t="shared" si="234"/>
        <v>89.799127658452051</v>
      </c>
      <c r="AE425" s="15">
        <f t="shared" si="235"/>
        <v>49.104067599077553</v>
      </c>
      <c r="AF425" s="15">
        <f t="shared" si="236"/>
        <v>6.6907472969827539</v>
      </c>
      <c r="AG425" s="15">
        <f t="shared" si="237"/>
        <v>5.9357803587314448E-2</v>
      </c>
      <c r="AH425" s="15">
        <f t="shared" si="238"/>
        <v>-88.951112882887685</v>
      </c>
      <c r="AI425" s="15">
        <f t="shared" si="239"/>
        <v>-34.748362777763042</v>
      </c>
      <c r="AJ425" s="31">
        <f t="shared" si="251"/>
        <v>7.5387620725471152</v>
      </c>
      <c r="AK425" s="31">
        <f t="shared" si="252"/>
        <v>14.415062624901829</v>
      </c>
      <c r="AL425" s="15">
        <f t="shared" si="240"/>
        <v>0</v>
      </c>
      <c r="AM425" s="15">
        <f t="shared" si="241"/>
        <v>0</v>
      </c>
      <c r="AN425" s="15">
        <f t="shared" si="242"/>
        <v>0</v>
      </c>
      <c r="AO425" s="15">
        <f t="shared" si="243"/>
        <v>0</v>
      </c>
      <c r="AP425" s="31">
        <f t="shared" si="253"/>
        <v>0</v>
      </c>
      <c r="AQ425" s="31">
        <f t="shared" si="254"/>
        <v>0</v>
      </c>
    </row>
    <row r="426" spans="8:43" x14ac:dyDescent="0.25">
      <c r="H426" s="15">
        <v>5.2300000000000102</v>
      </c>
      <c r="I426" s="45">
        <f t="shared" si="244"/>
        <v>1698243.6524617861</v>
      </c>
      <c r="J426" s="32">
        <f t="shared" si="245"/>
        <v>-119.15924603194533</v>
      </c>
      <c r="K426" s="32">
        <f t="shared" si="246"/>
        <v>-41.319659709882586</v>
      </c>
      <c r="L426" s="15">
        <f t="shared" si="220"/>
        <v>3.8729613733905581</v>
      </c>
      <c r="M426" s="15">
        <f t="shared" si="221"/>
        <v>-81.830040544749323</v>
      </c>
      <c r="N426" s="15">
        <f t="shared" si="222"/>
        <v>16.947509160933073</v>
      </c>
      <c r="O426" s="15">
        <f t="shared" si="223"/>
        <v>-89.981428972347942</v>
      </c>
      <c r="P426" s="15">
        <f t="shared" si="224"/>
        <v>-69.785734067128914</v>
      </c>
      <c r="Q426" s="15">
        <f t="shared" si="225"/>
        <v>-48.026842662507121</v>
      </c>
      <c r="R426" s="15">
        <f t="shared" si="226"/>
        <v>-3.4943036163042143</v>
      </c>
      <c r="S426" s="31">
        <f t="shared" si="247"/>
        <v>-219.83831217960437</v>
      </c>
      <c r="T426" s="31">
        <f t="shared" si="248"/>
        <v>-44.571665210235089</v>
      </c>
      <c r="U426" s="15">
        <f t="shared" si="227"/>
        <v>6500</v>
      </c>
      <c r="V426" s="15">
        <f t="shared" si="228"/>
        <v>-89.999983728453785</v>
      </c>
      <c r="W426" s="15">
        <f t="shared" si="229"/>
        <v>-130.9338761647206</v>
      </c>
      <c r="X426" s="15">
        <f t="shared" si="230"/>
        <v>89.979811978229677</v>
      </c>
      <c r="Y426" s="15">
        <f t="shared" si="231"/>
        <v>69.060577539993147</v>
      </c>
      <c r="Z426" s="15">
        <f t="shared" si="232"/>
        <v>-86.974611500019634</v>
      </c>
      <c r="AA426" s="15">
        <f t="shared" si="233"/>
        <v>-25.550866257569432</v>
      </c>
      <c r="AB426" s="31">
        <f t="shared" si="249"/>
        <v>-86.994783250243742</v>
      </c>
      <c r="AC426" s="31">
        <f t="shared" si="250"/>
        <v>-11.165897749439772</v>
      </c>
      <c r="AD426" s="15">
        <f t="shared" si="234"/>
        <v>89.803700034981418</v>
      </c>
      <c r="AE426" s="15">
        <f t="shared" si="235"/>
        <v>49.304065196586762</v>
      </c>
      <c r="AF426" s="15">
        <f t="shared" si="236"/>
        <v>6.845132678278997</v>
      </c>
      <c r="AG426" s="15">
        <f t="shared" si="237"/>
        <v>6.213533186311454E-2</v>
      </c>
      <c r="AH426" s="15">
        <f t="shared" si="238"/>
        <v>-88.974983315357633</v>
      </c>
      <c r="AI426" s="15">
        <f t="shared" si="239"/>
        <v>-34.948297278657606</v>
      </c>
      <c r="AJ426" s="31">
        <f t="shared" si="251"/>
        <v>7.6738493979027851</v>
      </c>
      <c r="AK426" s="31">
        <f t="shared" si="252"/>
        <v>14.417903249792275</v>
      </c>
      <c r="AL426" s="15">
        <f t="shared" si="240"/>
        <v>0</v>
      </c>
      <c r="AM426" s="15">
        <f t="shared" si="241"/>
        <v>0</v>
      </c>
      <c r="AN426" s="15">
        <f t="shared" si="242"/>
        <v>0</v>
      </c>
      <c r="AO426" s="15">
        <f t="shared" si="243"/>
        <v>0</v>
      </c>
      <c r="AP426" s="31">
        <f t="shared" si="253"/>
        <v>0</v>
      </c>
      <c r="AQ426" s="31">
        <f t="shared" si="254"/>
        <v>0</v>
      </c>
    </row>
    <row r="427" spans="8:43" x14ac:dyDescent="0.25">
      <c r="H427" s="15">
        <v>5.24000000000001</v>
      </c>
      <c r="I427" s="45">
        <f t="shared" si="244"/>
        <v>1737800.8287494183</v>
      </c>
      <c r="J427" s="32">
        <f t="shared" si="245"/>
        <v>-119.92758794002398</v>
      </c>
      <c r="K427" s="32">
        <f t="shared" si="246"/>
        <v>-41.631780243121341</v>
      </c>
      <c r="L427" s="15">
        <f t="shared" si="220"/>
        <v>3.8729613733905581</v>
      </c>
      <c r="M427" s="15">
        <f t="shared" si="221"/>
        <v>-82.013584647129846</v>
      </c>
      <c r="N427" s="15">
        <f t="shared" si="222"/>
        <v>17.143559908421874</v>
      </c>
      <c r="O427" s="15">
        <f t="shared" si="223"/>
        <v>-89.981851700518391</v>
      </c>
      <c r="P427" s="15">
        <f t="shared" si="224"/>
        <v>-69.985734046593905</v>
      </c>
      <c r="Q427" s="15">
        <f t="shared" si="225"/>
        <v>-48.681953282647228</v>
      </c>
      <c r="R427" s="15">
        <f t="shared" si="226"/>
        <v>-3.6059861914103228</v>
      </c>
      <c r="S427" s="31">
        <f t="shared" si="247"/>
        <v>-220.67738963029547</v>
      </c>
      <c r="T427" s="31">
        <f t="shared" si="248"/>
        <v>-44.687297017317391</v>
      </c>
      <c r="U427" s="15">
        <f t="shared" si="227"/>
        <v>6500</v>
      </c>
      <c r="V427" s="15">
        <f t="shared" si="228"/>
        <v>-89.999984098839391</v>
      </c>
      <c r="W427" s="15">
        <f t="shared" si="229"/>
        <v>-131.13387616472062</v>
      </c>
      <c r="X427" s="15">
        <f t="shared" si="230"/>
        <v>89.980271513671823</v>
      </c>
      <c r="Y427" s="15">
        <f t="shared" si="231"/>
        <v>69.260577515726453</v>
      </c>
      <c r="Z427" s="15">
        <f t="shared" si="232"/>
        <v>-87.043354140569292</v>
      </c>
      <c r="AA427" s="15">
        <f t="shared" si="233"/>
        <v>-25.750321743668891</v>
      </c>
      <c r="AB427" s="31">
        <f t="shared" si="249"/>
        <v>-87.06306672573686</v>
      </c>
      <c r="AC427" s="31">
        <f t="shared" si="250"/>
        <v>-11.365353259805943</v>
      </c>
      <c r="AD427" s="15">
        <f t="shared" si="234"/>
        <v>89.808168333930141</v>
      </c>
      <c r="AE427" s="15">
        <f t="shared" si="235"/>
        <v>49.504062902224632</v>
      </c>
      <c r="AF427" s="15">
        <f t="shared" si="236"/>
        <v>7.0030108163959044</v>
      </c>
      <c r="AG427" s="15">
        <f t="shared" si="237"/>
        <v>6.5041858352720042E-2</v>
      </c>
      <c r="AH427" s="15">
        <f t="shared" si="238"/>
        <v>-88.998310734317698</v>
      </c>
      <c r="AI427" s="15">
        <f t="shared" si="239"/>
        <v>-35.14823472657536</v>
      </c>
      <c r="AJ427" s="31">
        <f t="shared" si="251"/>
        <v>7.8128684160083424</v>
      </c>
      <c r="AK427" s="31">
        <f t="shared" si="252"/>
        <v>14.420870034001993</v>
      </c>
      <c r="AL427" s="15">
        <f t="shared" si="240"/>
        <v>0</v>
      </c>
      <c r="AM427" s="15">
        <f t="shared" si="241"/>
        <v>0</v>
      </c>
      <c r="AN427" s="15">
        <f t="shared" si="242"/>
        <v>0</v>
      </c>
      <c r="AO427" s="15">
        <f t="shared" si="243"/>
        <v>0</v>
      </c>
      <c r="AP427" s="31">
        <f t="shared" si="253"/>
        <v>0</v>
      </c>
      <c r="AQ427" s="31">
        <f t="shared" si="254"/>
        <v>0</v>
      </c>
    </row>
    <row r="428" spans="8:43" x14ac:dyDescent="0.25">
      <c r="H428" s="15">
        <v>5.2500000000000098</v>
      </c>
      <c r="I428" s="45">
        <f t="shared" si="244"/>
        <v>1778279.4100389662</v>
      </c>
      <c r="J428" s="32">
        <f t="shared" si="245"/>
        <v>-120.68442959873532</v>
      </c>
      <c r="K428" s="32">
        <f t="shared" si="246"/>
        <v>-41.945883212148516</v>
      </c>
      <c r="L428" s="15">
        <f t="shared" si="220"/>
        <v>3.8729613733905581</v>
      </c>
      <c r="M428" s="15">
        <f t="shared" si="221"/>
        <v>-82.193110338508106</v>
      </c>
      <c r="N428" s="15">
        <f t="shared" si="222"/>
        <v>17.339785046156557</v>
      </c>
      <c r="O428" s="15">
        <f t="shared" si="223"/>
        <v>-89.98226480622283</v>
      </c>
      <c r="P428" s="15">
        <f t="shared" si="224"/>
        <v>-70.185734026983113</v>
      </c>
      <c r="Q428" s="15">
        <f t="shared" si="225"/>
        <v>-49.335133613368299</v>
      </c>
      <c r="R428" s="15">
        <f t="shared" si="226"/>
        <v>-3.7199333350299311</v>
      </c>
      <c r="S428" s="31">
        <f t="shared" si="247"/>
        <v>-221.51050875809923</v>
      </c>
      <c r="T428" s="31">
        <f t="shared" si="248"/>
        <v>-44.805019003591518</v>
      </c>
      <c r="U428" s="15">
        <f t="shared" si="227"/>
        <v>6500</v>
      </c>
      <c r="V428" s="15">
        <f t="shared" si="228"/>
        <v>-89.99998446079401</v>
      </c>
      <c r="W428" s="15">
        <f t="shared" si="229"/>
        <v>-131.33387616472058</v>
      </c>
      <c r="X428" s="15">
        <f t="shared" si="230"/>
        <v>89.980720588812702</v>
      </c>
      <c r="Y428" s="15">
        <f t="shared" si="231"/>
        <v>69.460577492551934</v>
      </c>
      <c r="Z428" s="15">
        <f t="shared" si="232"/>
        <v>-87.110540241006333</v>
      </c>
      <c r="AA428" s="15">
        <f t="shared" si="233"/>
        <v>-25.949801673192422</v>
      </c>
      <c r="AB428" s="31">
        <f t="shared" si="249"/>
        <v>-87.129804112987642</v>
      </c>
      <c r="AC428" s="31">
        <f t="shared" si="250"/>
        <v>-11.564833212503952</v>
      </c>
      <c r="AD428" s="15">
        <f t="shared" si="234"/>
        <v>89.81253492423194</v>
      </c>
      <c r="AE428" s="15">
        <f t="shared" si="235"/>
        <v>49.704060711124669</v>
      </c>
      <c r="AF428" s="15">
        <f t="shared" si="236"/>
        <v>7.1644558254414559</v>
      </c>
      <c r="AG428" s="15">
        <f t="shared" si="237"/>
        <v>6.808328178180692E-2</v>
      </c>
      <c r="AH428" s="15">
        <f t="shared" si="238"/>
        <v>-89.021107477321834</v>
      </c>
      <c r="AI428" s="15">
        <f t="shared" si="239"/>
        <v>-35.348174988959528</v>
      </c>
      <c r="AJ428" s="31">
        <f t="shared" si="251"/>
        <v>7.9558832723515565</v>
      </c>
      <c r="AK428" s="31">
        <f t="shared" si="252"/>
        <v>14.423969003946951</v>
      </c>
      <c r="AL428" s="15">
        <f t="shared" si="240"/>
        <v>0</v>
      </c>
      <c r="AM428" s="15">
        <f t="shared" si="241"/>
        <v>0</v>
      </c>
      <c r="AN428" s="15">
        <f t="shared" si="242"/>
        <v>0</v>
      </c>
      <c r="AO428" s="15">
        <f t="shared" si="243"/>
        <v>0</v>
      </c>
      <c r="AP428" s="31">
        <f t="shared" si="253"/>
        <v>0</v>
      </c>
      <c r="AQ428" s="31">
        <f t="shared" si="254"/>
        <v>0</v>
      </c>
    </row>
    <row r="429" spans="8:43" x14ac:dyDescent="0.25">
      <c r="H429" s="15">
        <v>5.2600000000000096</v>
      </c>
      <c r="I429" s="45">
        <f t="shared" si="244"/>
        <v>1819700.8586100244</v>
      </c>
      <c r="J429" s="32">
        <f t="shared" si="245"/>
        <v>-121.42948861501384</v>
      </c>
      <c r="K429" s="32">
        <f t="shared" si="246"/>
        <v>-42.261954305009141</v>
      </c>
      <c r="L429" s="15">
        <f t="shared" si="220"/>
        <v>3.8729613733905581</v>
      </c>
      <c r="M429" s="15">
        <f t="shared" si="221"/>
        <v>-82.368698698197761</v>
      </c>
      <c r="N429" s="15">
        <f t="shared" si="222"/>
        <v>17.536177015193701</v>
      </c>
      <c r="O429" s="15">
        <f t="shared" si="223"/>
        <v>-89.982668508495181</v>
      </c>
      <c r="P429" s="15">
        <f t="shared" si="224"/>
        <v>-70.385734008254957</v>
      </c>
      <c r="Q429" s="15">
        <f t="shared" si="225"/>
        <v>-49.986050914669846</v>
      </c>
      <c r="R429" s="15">
        <f t="shared" si="226"/>
        <v>-3.8361305524388549</v>
      </c>
      <c r="S429" s="31">
        <f t="shared" si="247"/>
        <v>-222.33741812136279</v>
      </c>
      <c r="T429" s="31">
        <f t="shared" si="248"/>
        <v>-44.92482423323515</v>
      </c>
      <c r="U429" s="15">
        <f t="shared" si="227"/>
        <v>6500</v>
      </c>
      <c r="V429" s="15">
        <f t="shared" si="228"/>
        <v>-89.999984814509503</v>
      </c>
      <c r="W429" s="15">
        <f t="shared" si="229"/>
        <v>-131.53387616472057</v>
      </c>
      <c r="X429" s="15">
        <f t="shared" si="230"/>
        <v>89.981159441757654</v>
      </c>
      <c r="Y429" s="15">
        <f t="shared" si="231"/>
        <v>69.660577470420435</v>
      </c>
      <c r="Z429" s="15">
        <f t="shared" si="232"/>
        <v>-87.176204684805356</v>
      </c>
      <c r="AA429" s="15">
        <f t="shared" si="233"/>
        <v>-26.149304951599071</v>
      </c>
      <c r="AB429" s="31">
        <f t="shared" si="249"/>
        <v>-87.195030057557204</v>
      </c>
      <c r="AC429" s="31">
        <f t="shared" si="250"/>
        <v>-11.764336513042089</v>
      </c>
      <c r="AD429" s="15">
        <f t="shared" si="234"/>
        <v>89.816802120907766</v>
      </c>
      <c r="AE429" s="15">
        <f t="shared" si="235"/>
        <v>49.904058618639404</v>
      </c>
      <c r="AF429" s="15">
        <f t="shared" si="236"/>
        <v>7.3295430456156794</v>
      </c>
      <c r="AG429" s="15">
        <f t="shared" si="237"/>
        <v>7.1265761840914071E-2</v>
      </c>
      <c r="AH429" s="15">
        <f t="shared" si="238"/>
        <v>-89.043385602617292</v>
      </c>
      <c r="AI429" s="15">
        <f t="shared" si="239"/>
        <v>-35.548117939212219</v>
      </c>
      <c r="AJ429" s="31">
        <f t="shared" si="251"/>
        <v>8.102959563906154</v>
      </c>
      <c r="AK429" s="31">
        <f t="shared" si="252"/>
        <v>14.427206441268098</v>
      </c>
      <c r="AL429" s="15">
        <f t="shared" si="240"/>
        <v>0</v>
      </c>
      <c r="AM429" s="15">
        <f t="shared" si="241"/>
        <v>0</v>
      </c>
      <c r="AN429" s="15">
        <f t="shared" si="242"/>
        <v>0</v>
      </c>
      <c r="AO429" s="15">
        <f t="shared" si="243"/>
        <v>0</v>
      </c>
      <c r="AP429" s="31">
        <f t="shared" si="253"/>
        <v>0</v>
      </c>
      <c r="AQ429" s="31">
        <f t="shared" si="254"/>
        <v>0</v>
      </c>
    </row>
    <row r="430" spans="8:43" x14ac:dyDescent="0.25">
      <c r="H430" s="15">
        <v>5.2700000000000102</v>
      </c>
      <c r="I430" s="45">
        <f t="shared" si="244"/>
        <v>1862087.1366629126</v>
      </c>
      <c r="J430" s="32">
        <f t="shared" si="245"/>
        <v>-122.16248504834211</v>
      </c>
      <c r="K430" s="32">
        <f t="shared" si="246"/>
        <v>-42.579976454897221</v>
      </c>
      <c r="L430" s="15">
        <f t="shared" si="220"/>
        <v>3.8729613733905581</v>
      </c>
      <c r="M430" s="15">
        <f t="shared" si="221"/>
        <v>-82.540429625866821</v>
      </c>
      <c r="N430" s="15">
        <f t="shared" si="222"/>
        <v>17.73272857196509</v>
      </c>
      <c r="O430" s="15">
        <f t="shared" si="223"/>
        <v>-89.983063021383558</v>
      </c>
      <c r="P430" s="15">
        <f t="shared" si="224"/>
        <v>-70.585733990369718</v>
      </c>
      <c r="Q430" s="15">
        <f t="shared" si="225"/>
        <v>-50.634378277347984</v>
      </c>
      <c r="R430" s="15">
        <f t="shared" si="226"/>
        <v>-3.9545611268628327</v>
      </c>
      <c r="S430" s="31">
        <f t="shared" si="247"/>
        <v>-223.15787092459837</v>
      </c>
      <c r="T430" s="31">
        <f t="shared" si="248"/>
        <v>-45.046703233002496</v>
      </c>
      <c r="U430" s="15">
        <f t="shared" si="227"/>
        <v>6500</v>
      </c>
      <c r="V430" s="15">
        <f t="shared" si="228"/>
        <v>-89.99998516017348</v>
      </c>
      <c r="W430" s="15">
        <f t="shared" si="229"/>
        <v>-131.73387616472056</v>
      </c>
      <c r="X430" s="15">
        <f t="shared" si="230"/>
        <v>89.981588305192133</v>
      </c>
      <c r="Y430" s="15">
        <f t="shared" si="231"/>
        <v>69.860577449285046</v>
      </c>
      <c r="Z430" s="15">
        <f t="shared" si="232"/>
        <v>-87.240381597753299</v>
      </c>
      <c r="AA430" s="15">
        <f t="shared" si="233"/>
        <v>-26.348830533119944</v>
      </c>
      <c r="AB430" s="31">
        <f t="shared" si="249"/>
        <v>-87.258778452734646</v>
      </c>
      <c r="AC430" s="31">
        <f t="shared" si="250"/>
        <v>-11.96386211569834</v>
      </c>
      <c r="AD430" s="15">
        <f t="shared" si="234"/>
        <v>89.820972186292323</v>
      </c>
      <c r="AE430" s="15">
        <f t="shared" si="235"/>
        <v>50.104056620330581</v>
      </c>
      <c r="AF430" s="15">
        <f t="shared" si="236"/>
        <v>7.4983490380989579</v>
      </c>
      <c r="AG430" s="15">
        <f t="shared" si="237"/>
        <v>7.4595729899980118E-2</v>
      </c>
      <c r="AH430" s="15">
        <f t="shared" si="238"/>
        <v>-89.065156895400364</v>
      </c>
      <c r="AI430" s="15">
        <f t="shared" si="239"/>
        <v>-35.748063456426948</v>
      </c>
      <c r="AJ430" s="31">
        <f t="shared" si="251"/>
        <v>8.2541643289909103</v>
      </c>
      <c r="AK430" s="31">
        <f t="shared" si="252"/>
        <v>14.430588893803616</v>
      </c>
      <c r="AL430" s="15">
        <f t="shared" si="240"/>
        <v>0</v>
      </c>
      <c r="AM430" s="15">
        <f t="shared" si="241"/>
        <v>0</v>
      </c>
      <c r="AN430" s="15">
        <f t="shared" si="242"/>
        <v>0</v>
      </c>
      <c r="AO430" s="15">
        <f t="shared" si="243"/>
        <v>0</v>
      </c>
      <c r="AP430" s="31">
        <f t="shared" si="253"/>
        <v>0</v>
      </c>
      <c r="AQ430" s="31">
        <f t="shared" si="254"/>
        <v>0</v>
      </c>
    </row>
    <row r="431" spans="8:43" x14ac:dyDescent="0.25">
      <c r="H431" s="15">
        <v>5.28000000000001</v>
      </c>
      <c r="I431" s="45">
        <f t="shared" si="244"/>
        <v>1905460.7179632932</v>
      </c>
      <c r="J431" s="32">
        <f t="shared" si="245"/>
        <v>-122.88314220580281</v>
      </c>
      <c r="K431" s="32">
        <f t="shared" si="246"/>
        <v>-42.89992990680468</v>
      </c>
      <c r="L431" s="15">
        <f t="shared" si="220"/>
        <v>3.8729613733905581</v>
      </c>
      <c r="M431" s="15">
        <f t="shared" si="221"/>
        <v>-82.708381826856169</v>
      </c>
      <c r="N431" s="15">
        <f t="shared" si="222"/>
        <v>17.929432776183202</v>
      </c>
      <c r="O431" s="15">
        <f t="shared" si="223"/>
        <v>-89.983448554063784</v>
      </c>
      <c r="P431" s="15">
        <f t="shared" si="224"/>
        <v>-70.785733973289439</v>
      </c>
      <c r="Q431" s="15">
        <f t="shared" si="225"/>
        <v>-51.279795405583194</v>
      </c>
      <c r="R431" s="15">
        <f t="shared" si="226"/>
        <v>-4.0752061875051657</v>
      </c>
      <c r="S431" s="31">
        <f t="shared" si="247"/>
        <v>-223.97162578650315</v>
      </c>
      <c r="T431" s="31">
        <f t="shared" si="248"/>
        <v>-45.170644072346441</v>
      </c>
      <c r="U431" s="15">
        <f t="shared" si="227"/>
        <v>6500</v>
      </c>
      <c r="V431" s="15">
        <f t="shared" si="228"/>
        <v>-89.999985497969178</v>
      </c>
      <c r="W431" s="15">
        <f t="shared" si="229"/>
        <v>-131.93387616472054</v>
      </c>
      <c r="X431" s="15">
        <f t="shared" si="230"/>
        <v>89.982007406505005</v>
      </c>
      <c r="Y431" s="15">
        <f t="shared" si="231"/>
        <v>70.060577429100888</v>
      </c>
      <c r="Z431" s="15">
        <f t="shared" si="232"/>
        <v>-87.303104362791515</v>
      </c>
      <c r="AA431" s="15">
        <f t="shared" si="233"/>
        <v>-26.548377418605888</v>
      </c>
      <c r="AB431" s="31">
        <f t="shared" si="249"/>
        <v>-87.321082454255688</v>
      </c>
      <c r="AC431" s="31">
        <f t="shared" si="250"/>
        <v>-12.16340902136843</v>
      </c>
      <c r="AD431" s="15">
        <f t="shared" si="234"/>
        <v>89.825047331232668</v>
      </c>
      <c r="AE431" s="15">
        <f t="shared" si="235"/>
        <v>50.304054711959594</v>
      </c>
      <c r="AF431" s="15">
        <f t="shared" si="236"/>
        <v>7.6709515776599551</v>
      </c>
      <c r="AG431" s="15">
        <f t="shared" si="237"/>
        <v>7.8079900083481951E-2</v>
      </c>
      <c r="AH431" s="15">
        <f t="shared" si="238"/>
        <v>-89.086432873936602</v>
      </c>
      <c r="AI431" s="15">
        <f t="shared" si="239"/>
        <v>-35.948011425132883</v>
      </c>
      <c r="AJ431" s="31">
        <f t="shared" si="251"/>
        <v>8.4095660349560148</v>
      </c>
      <c r="AK431" s="31">
        <f t="shared" si="252"/>
        <v>14.434123186910192</v>
      </c>
      <c r="AL431" s="15">
        <f t="shared" si="240"/>
        <v>0</v>
      </c>
      <c r="AM431" s="15">
        <f t="shared" si="241"/>
        <v>0</v>
      </c>
      <c r="AN431" s="15">
        <f t="shared" si="242"/>
        <v>0</v>
      </c>
      <c r="AO431" s="15">
        <f t="shared" si="243"/>
        <v>0</v>
      </c>
      <c r="AP431" s="31">
        <f t="shared" si="253"/>
        <v>0</v>
      </c>
      <c r="AQ431" s="31">
        <f t="shared" si="254"/>
        <v>0</v>
      </c>
    </row>
    <row r="432" spans="8:43" x14ac:dyDescent="0.25">
      <c r="H432" s="15">
        <v>5.2900000000000098</v>
      </c>
      <c r="I432" s="45">
        <f t="shared" si="244"/>
        <v>1949844.5997580923</v>
      </c>
      <c r="J432" s="32">
        <f t="shared" si="245"/>
        <v>-123.59118740165381</v>
      </c>
      <c r="K432" s="32">
        <f t="shared" si="246"/>
        <v>-43.221792291378954</v>
      </c>
      <c r="L432" s="15">
        <f t="shared" si="220"/>
        <v>3.8729613733905581</v>
      </c>
      <c r="M432" s="15">
        <f t="shared" si="221"/>
        <v>-82.872632800300039</v>
      </c>
      <c r="N432" s="15">
        <f t="shared" si="222"/>
        <v>18.126282979117207</v>
      </c>
      <c r="O432" s="15">
        <f t="shared" si="223"/>
        <v>-89.983825310950238</v>
      </c>
      <c r="P432" s="15">
        <f t="shared" si="224"/>
        <v>-70.985733956977896</v>
      </c>
      <c r="Q432" s="15">
        <f t="shared" si="225"/>
        <v>-51.921989359074885</v>
      </c>
      <c r="R432" s="15">
        <f t="shared" si="226"/>
        <v>-4.1980447854145941</v>
      </c>
      <c r="S432" s="31">
        <f t="shared" si="247"/>
        <v>-224.77844747032515</v>
      </c>
      <c r="T432" s="31">
        <f t="shared" si="248"/>
        <v>-45.296632451010325</v>
      </c>
      <c r="U432" s="15">
        <f t="shared" si="227"/>
        <v>6500</v>
      </c>
      <c r="V432" s="15">
        <f t="shared" si="228"/>
        <v>-89.999985828075694</v>
      </c>
      <c r="W432" s="15">
        <f t="shared" si="229"/>
        <v>-132.13387616472053</v>
      </c>
      <c r="X432" s="15">
        <f t="shared" si="230"/>
        <v>89.982416967909131</v>
      </c>
      <c r="Y432" s="15">
        <f t="shared" si="231"/>
        <v>70.26057740982516</v>
      </c>
      <c r="Z432" s="15">
        <f t="shared" si="232"/>
        <v>-87.364405634678107</v>
      </c>
      <c r="AA432" s="15">
        <f t="shared" si="233"/>
        <v>-26.747944653468569</v>
      </c>
      <c r="AB432" s="31">
        <f t="shared" si="249"/>
        <v>-87.38197449484467</v>
      </c>
      <c r="AC432" s="31">
        <f t="shared" si="250"/>
        <v>-12.362976275506828</v>
      </c>
      <c r="AD432" s="15">
        <f t="shared" si="234"/>
        <v>89.829029716259569</v>
      </c>
      <c r="AE432" s="15">
        <f t="shared" si="235"/>
        <v>50.504052889478672</v>
      </c>
      <c r="AF432" s="15">
        <f t="shared" si="236"/>
        <v>7.8474296428043555</v>
      </c>
      <c r="AG432" s="15">
        <f t="shared" si="237"/>
        <v>8.1725280710411435E-2</v>
      </c>
      <c r="AH432" s="15">
        <f t="shared" si="238"/>
        <v>-89.107224795547936</v>
      </c>
      <c r="AI432" s="15">
        <f t="shared" si="239"/>
        <v>-36.147961735050885</v>
      </c>
      <c r="AJ432" s="31">
        <f t="shared" si="251"/>
        <v>8.569234563515991</v>
      </c>
      <c r="AK432" s="31">
        <f t="shared" si="252"/>
        <v>14.437816435138195</v>
      </c>
      <c r="AL432" s="15">
        <f t="shared" si="240"/>
        <v>0</v>
      </c>
      <c r="AM432" s="15">
        <f t="shared" si="241"/>
        <v>0</v>
      </c>
      <c r="AN432" s="15">
        <f t="shared" si="242"/>
        <v>0</v>
      </c>
      <c r="AO432" s="15">
        <f t="shared" si="243"/>
        <v>0</v>
      </c>
      <c r="AP432" s="31">
        <f t="shared" si="253"/>
        <v>0</v>
      </c>
      <c r="AQ432" s="31">
        <f t="shared" si="254"/>
        <v>0</v>
      </c>
    </row>
    <row r="433" spans="8:43" x14ac:dyDescent="0.25">
      <c r="H433" s="15">
        <v>5.3000000000000096</v>
      </c>
      <c r="I433" s="45">
        <f t="shared" si="244"/>
        <v>1995262.3149689275</v>
      </c>
      <c r="J433" s="32">
        <f t="shared" si="245"/>
        <v>-124.28635267755585</v>
      </c>
      <c r="K433" s="32">
        <f t="shared" si="246"/>
        <v>-43.545538705349919</v>
      </c>
      <c r="L433" s="15">
        <f t="shared" si="220"/>
        <v>3.8729613733905581</v>
      </c>
      <c r="M433" s="15">
        <f t="shared" si="221"/>
        <v>-83.033258829850965</v>
      </c>
      <c r="N433" s="15">
        <f t="shared" si="222"/>
        <v>18.323272812236358</v>
      </c>
      <c r="O433" s="15">
        <f t="shared" si="223"/>
        <v>-89.984193491804291</v>
      </c>
      <c r="P433" s="15">
        <f t="shared" si="224"/>
        <v>-71.1857339414005</v>
      </c>
      <c r="Q433" s="15">
        <f t="shared" si="225"/>
        <v>-52.560655250864848</v>
      </c>
      <c r="R433" s="15">
        <f t="shared" si="226"/>
        <v>-4.3230539765582048</v>
      </c>
      <c r="S433" s="31">
        <f t="shared" si="247"/>
        <v>-225.57810757252008</v>
      </c>
      <c r="T433" s="31">
        <f t="shared" si="248"/>
        <v>-45.424651793457386</v>
      </c>
      <c r="U433" s="15">
        <f t="shared" si="227"/>
        <v>6500</v>
      </c>
      <c r="V433" s="15">
        <f t="shared" si="228"/>
        <v>-89.999986150668079</v>
      </c>
      <c r="W433" s="15">
        <f t="shared" si="229"/>
        <v>-132.33387616472049</v>
      </c>
      <c r="X433" s="15">
        <f t="shared" si="230"/>
        <v>89.982817206559275</v>
      </c>
      <c r="Y433" s="15">
        <f t="shared" si="231"/>
        <v>70.46057739141699</v>
      </c>
      <c r="Z433" s="15">
        <f t="shared" si="232"/>
        <v>-87.424317354464392</v>
      </c>
      <c r="AA433" s="15">
        <f t="shared" si="233"/>
        <v>-26.947531325710617</v>
      </c>
      <c r="AB433" s="31">
        <f t="shared" si="249"/>
        <v>-87.441486298573196</v>
      </c>
      <c r="AC433" s="31">
        <f t="shared" si="250"/>
        <v>-12.562562966157007</v>
      </c>
      <c r="AD433" s="15">
        <f t="shared" si="234"/>
        <v>89.832921452732265</v>
      </c>
      <c r="AE433" s="15">
        <f t="shared" si="235"/>
        <v>50.704051149022185</v>
      </c>
      <c r="AF433" s="15">
        <f t="shared" si="236"/>
        <v>8.0278634032747576</v>
      </c>
      <c r="AG433" s="15">
        <f t="shared" si="237"/>
        <v>8.5539186102536718E-2</v>
      </c>
      <c r="AH433" s="15">
        <f t="shared" si="238"/>
        <v>-89.12754366246962</v>
      </c>
      <c r="AI433" s="15">
        <f t="shared" si="239"/>
        <v>-36.347914280860252</v>
      </c>
      <c r="AJ433" s="31">
        <f t="shared" si="251"/>
        <v>8.7332411935374097</v>
      </c>
      <c r="AK433" s="31">
        <f t="shared" si="252"/>
        <v>14.44167605426447</v>
      </c>
      <c r="AL433" s="15">
        <f t="shared" si="240"/>
        <v>0</v>
      </c>
      <c r="AM433" s="15">
        <f t="shared" si="241"/>
        <v>0</v>
      </c>
      <c r="AN433" s="15">
        <f t="shared" si="242"/>
        <v>0</v>
      </c>
      <c r="AO433" s="15">
        <f t="shared" si="243"/>
        <v>0</v>
      </c>
      <c r="AP433" s="31">
        <f t="shared" si="253"/>
        <v>0</v>
      </c>
      <c r="AQ433" s="31">
        <f t="shared" si="254"/>
        <v>0</v>
      </c>
    </row>
    <row r="434" spans="8:43" x14ac:dyDescent="0.25">
      <c r="H434" s="15">
        <v>5.3100000000000103</v>
      </c>
      <c r="I434" s="45">
        <f t="shared" si="244"/>
        <v>2041737.9446695817</v>
      </c>
      <c r="J434" s="32">
        <f t="shared" si="245"/>
        <v>-124.96837548009201</v>
      </c>
      <c r="K434" s="32">
        <f t="shared" si="246"/>
        <v>-43.871141797841091</v>
      </c>
      <c r="L434" s="15">
        <f t="shared" si="220"/>
        <v>3.8729613733905581</v>
      </c>
      <c r="M434" s="15">
        <f t="shared" si="221"/>
        <v>-83.190334976822712</v>
      </c>
      <c r="N434" s="15">
        <f t="shared" si="222"/>
        <v>18.520396176217414</v>
      </c>
      <c r="O434" s="15">
        <f t="shared" si="223"/>
        <v>-89.984553291840172</v>
      </c>
      <c r="P434" s="15">
        <f t="shared" si="224"/>
        <v>-71.38573392652421</v>
      </c>
      <c r="Q434" s="15">
        <f t="shared" si="225"/>
        <v>-53.195496897479245</v>
      </c>
      <c r="R434" s="15">
        <f t="shared" si="226"/>
        <v>-4.4502089114177554</v>
      </c>
      <c r="S434" s="31">
        <f t="shared" si="247"/>
        <v>-226.37038516614211</v>
      </c>
      <c r="T434" s="31">
        <f t="shared" si="248"/>
        <v>-45.554683349459587</v>
      </c>
      <c r="U434" s="15">
        <f t="shared" si="227"/>
        <v>6500</v>
      </c>
      <c r="V434" s="15">
        <f t="shared" si="228"/>
        <v>-89.999986465917345</v>
      </c>
      <c r="W434" s="15">
        <f t="shared" si="229"/>
        <v>-132.53387616472051</v>
      </c>
      <c r="X434" s="15">
        <f t="shared" si="230"/>
        <v>89.983208334667069</v>
      </c>
      <c r="Y434" s="15">
        <f t="shared" si="231"/>
        <v>70.660577373837341</v>
      </c>
      <c r="Z434" s="15">
        <f t="shared" si="232"/>
        <v>-87.482870763780156</v>
      </c>
      <c r="AA434" s="15">
        <f t="shared" si="233"/>
        <v>-27.14713656404134</v>
      </c>
      <c r="AB434" s="31">
        <f t="shared" si="249"/>
        <v>-87.499648895030433</v>
      </c>
      <c r="AC434" s="31">
        <f t="shared" si="250"/>
        <v>-12.762168222067395</v>
      </c>
      <c r="AD434" s="15">
        <f t="shared" si="234"/>
        <v>89.836724603957222</v>
      </c>
      <c r="AE434" s="15">
        <f t="shared" si="235"/>
        <v>50.904049486898508</v>
      </c>
      <c r="AF434" s="15">
        <f t="shared" si="236"/>
        <v>8.2123342047024384</v>
      </c>
      <c r="AG434" s="15">
        <f t="shared" si="237"/>
        <v>8.9529248763366154E-2</v>
      </c>
      <c r="AH434" s="15">
        <f t="shared" si="238"/>
        <v>-89.147400227579141</v>
      </c>
      <c r="AI434" s="15">
        <f t="shared" si="239"/>
        <v>-36.547868961975986</v>
      </c>
      <c r="AJ434" s="31">
        <f t="shared" si="251"/>
        <v>8.9016585810805253</v>
      </c>
      <c r="AK434" s="31">
        <f t="shared" si="252"/>
        <v>14.445709773685891</v>
      </c>
      <c r="AL434" s="15">
        <f t="shared" si="240"/>
        <v>0</v>
      </c>
      <c r="AM434" s="15">
        <f t="shared" si="241"/>
        <v>0</v>
      </c>
      <c r="AN434" s="15">
        <f t="shared" si="242"/>
        <v>0</v>
      </c>
      <c r="AO434" s="15">
        <f t="shared" si="243"/>
        <v>0</v>
      </c>
      <c r="AP434" s="31">
        <f t="shared" si="253"/>
        <v>0</v>
      </c>
      <c r="AQ434" s="31">
        <f t="shared" si="254"/>
        <v>0</v>
      </c>
    </row>
    <row r="435" spans="8:43" x14ac:dyDescent="0.25">
      <c r="H435" s="15">
        <v>5.3200000000000101</v>
      </c>
      <c r="I435" s="45">
        <f t="shared" si="244"/>
        <v>2089296.1308540893</v>
      </c>
      <c r="J435" s="32">
        <f t="shared" si="245"/>
        <v>-125.63699929274588</v>
      </c>
      <c r="K435" s="32">
        <f t="shared" si="246"/>
        <v>-44.198571861844329</v>
      </c>
      <c r="L435" s="15">
        <f t="shared" si="220"/>
        <v>3.8729613733905581</v>
      </c>
      <c r="M435" s="15">
        <f t="shared" si="221"/>
        <v>-83.34393507557364</v>
      </c>
      <c r="N435" s="15">
        <f t="shared" si="222"/>
        <v>18.717647230311492</v>
      </c>
      <c r="O435" s="15">
        <f t="shared" si="223"/>
        <v>-89.984904901828514</v>
      </c>
      <c r="P435" s="15">
        <f t="shared" si="224"/>
        <v>-71.585733912317437</v>
      </c>
      <c r="Q435" s="15">
        <f t="shared" si="225"/>
        <v>-53.826227418525839</v>
      </c>
      <c r="R435" s="15">
        <f t="shared" si="226"/>
        <v>-4.5794829303897373</v>
      </c>
      <c r="S435" s="31">
        <f t="shared" si="247"/>
        <v>-227.15506739592797</v>
      </c>
      <c r="T435" s="31">
        <f t="shared" si="248"/>
        <v>-45.686706300130716</v>
      </c>
      <c r="U435" s="15">
        <f t="shared" si="227"/>
        <v>6500</v>
      </c>
      <c r="V435" s="15">
        <f t="shared" si="228"/>
        <v>-89.999986773990685</v>
      </c>
      <c r="W435" s="15">
        <f t="shared" si="229"/>
        <v>-132.7338761647205</v>
      </c>
      <c r="X435" s="15">
        <f t="shared" si="230"/>
        <v>89.983590559613688</v>
      </c>
      <c r="Y435" s="15">
        <f t="shared" si="231"/>
        <v>70.860577357048868</v>
      </c>
      <c r="Z435" s="15">
        <f t="shared" si="232"/>
        <v>-87.540096418922843</v>
      </c>
      <c r="AA435" s="15">
        <f t="shared" si="233"/>
        <v>-27.346759536074345</v>
      </c>
      <c r="AB435" s="31">
        <f t="shared" si="249"/>
        <v>-87.55649263329984</v>
      </c>
      <c r="AC435" s="31">
        <f t="shared" si="250"/>
        <v>-12.961791210888862</v>
      </c>
      <c r="AD435" s="15">
        <f t="shared" si="234"/>
        <v>89.840441186281467</v>
      </c>
      <c r="AE435" s="15">
        <f t="shared" si="235"/>
        <v>51.104047899582099</v>
      </c>
      <c r="AF435" s="15">
        <f t="shared" si="236"/>
        <v>8.4009245502006742</v>
      </c>
      <c r="AG435" s="15">
        <f t="shared" si="237"/>
        <v>9.3703431929161279E-2</v>
      </c>
      <c r="AH435" s="15">
        <f t="shared" si="238"/>
        <v>-89.166805000000195</v>
      </c>
      <c r="AI435" s="15">
        <f t="shared" si="239"/>
        <v>-36.747825682336014</v>
      </c>
      <c r="AJ435" s="31">
        <f t="shared" si="251"/>
        <v>9.0745607364819421</v>
      </c>
      <c r="AK435" s="31">
        <f t="shared" si="252"/>
        <v>14.449925649175249</v>
      </c>
      <c r="AL435" s="15">
        <f t="shared" si="240"/>
        <v>0</v>
      </c>
      <c r="AM435" s="15">
        <f t="shared" si="241"/>
        <v>0</v>
      </c>
      <c r="AN435" s="15">
        <f t="shared" si="242"/>
        <v>0</v>
      </c>
      <c r="AO435" s="15">
        <f t="shared" si="243"/>
        <v>0</v>
      </c>
      <c r="AP435" s="31">
        <f t="shared" si="253"/>
        <v>0</v>
      </c>
      <c r="AQ435" s="31">
        <f t="shared" si="254"/>
        <v>0</v>
      </c>
    </row>
    <row r="436" spans="8:43" x14ac:dyDescent="0.25">
      <c r="H436" s="15">
        <v>5.3300000000000098</v>
      </c>
      <c r="I436" s="45">
        <f t="shared" si="244"/>
        <v>2137962.0895022824</v>
      </c>
      <c r="J436" s="32">
        <f t="shared" si="245"/>
        <v>-126.2919742200537</v>
      </c>
      <c r="K436" s="32">
        <f t="shared" si="246"/>
        <v>-44.527796930112594</v>
      </c>
      <c r="L436" s="15">
        <f t="shared" si="220"/>
        <v>3.8729613733905581</v>
      </c>
      <c r="M436" s="15">
        <f t="shared" si="221"/>
        <v>-83.494131730963815</v>
      </c>
      <c r="N436" s="15">
        <f t="shared" si="222"/>
        <v>18.915020382065443</v>
      </c>
      <c r="O436" s="15">
        <f t="shared" si="223"/>
        <v>-89.985248508197472</v>
      </c>
      <c r="P436" s="15">
        <f t="shared" si="224"/>
        <v>-71.785733898750095</v>
      </c>
      <c r="Q436" s="15">
        <f t="shared" si="225"/>
        <v>-54.452569783410063</v>
      </c>
      <c r="R436" s="15">
        <f t="shared" si="226"/>
        <v>-4.7108476642417774</v>
      </c>
      <c r="S436" s="31">
        <f t="shared" si="247"/>
        <v>-227.93195002257136</v>
      </c>
      <c r="T436" s="31">
        <f t="shared" si="248"/>
        <v>-45.820697868661462</v>
      </c>
      <c r="U436" s="15">
        <f t="shared" si="227"/>
        <v>6500</v>
      </c>
      <c r="V436" s="15">
        <f t="shared" si="228"/>
        <v>-89.999987075051422</v>
      </c>
      <c r="W436" s="15">
        <f t="shared" si="229"/>
        <v>-132.93387616472049</v>
      </c>
      <c r="X436" s="15">
        <f t="shared" si="230"/>
        <v>89.983964084059707</v>
      </c>
      <c r="Y436" s="15">
        <f t="shared" si="231"/>
        <v>71.060577341016028</v>
      </c>
      <c r="Z436" s="15">
        <f t="shared" si="232"/>
        <v>-87.596024204746897</v>
      </c>
      <c r="AA436" s="15">
        <f t="shared" si="233"/>
        <v>-27.546399446603893</v>
      </c>
      <c r="AB436" s="31">
        <f t="shared" si="249"/>
        <v>-87.612047195738612</v>
      </c>
      <c r="AC436" s="31">
        <f t="shared" si="250"/>
        <v>-13.161431137451238</v>
      </c>
      <c r="AD436" s="15">
        <f t="shared" si="234"/>
        <v>89.844073170160939</v>
      </c>
      <c r="AE436" s="15">
        <f t="shared" si="235"/>
        <v>51.304046383706165</v>
      </c>
      <c r="AF436" s="15">
        <f t="shared" si="236"/>
        <v>8.5937180786788847</v>
      </c>
      <c r="AG436" s="15">
        <f t="shared" si="237"/>
        <v>9.8070042492047732E-2</v>
      </c>
      <c r="AH436" s="15">
        <f t="shared" si="238"/>
        <v>-89.18576825058355</v>
      </c>
      <c r="AI436" s="15">
        <f t="shared" si="239"/>
        <v>-36.947784350198106</v>
      </c>
      <c r="AJ436" s="31">
        <f t="shared" si="251"/>
        <v>9.2520229982562796</v>
      </c>
      <c r="AK436" s="31">
        <f t="shared" si="252"/>
        <v>14.454332076000107</v>
      </c>
      <c r="AL436" s="15">
        <f t="shared" si="240"/>
        <v>0</v>
      </c>
      <c r="AM436" s="15">
        <f t="shared" si="241"/>
        <v>0</v>
      </c>
      <c r="AN436" s="15">
        <f t="shared" si="242"/>
        <v>0</v>
      </c>
      <c r="AO436" s="15">
        <f t="shared" si="243"/>
        <v>0</v>
      </c>
      <c r="AP436" s="31">
        <f t="shared" si="253"/>
        <v>0</v>
      </c>
      <c r="AQ436" s="31">
        <f t="shared" si="254"/>
        <v>0</v>
      </c>
    </row>
    <row r="437" spans="8:43" x14ac:dyDescent="0.25">
      <c r="H437" s="15">
        <v>5.3400000000000096</v>
      </c>
      <c r="I437" s="45">
        <f t="shared" si="244"/>
        <v>2187761.6239496041</v>
      </c>
      <c r="J437" s="32">
        <f t="shared" si="245"/>
        <v>-126.9330575221969</v>
      </c>
      <c r="K437" s="32">
        <f t="shared" si="246"/>
        <v>-44.858782874706698</v>
      </c>
      <c r="L437" s="15">
        <f t="shared" si="220"/>
        <v>3.8729613733905581</v>
      </c>
      <c r="M437" s="15">
        <f t="shared" si="221"/>
        <v>-83.640996317727001</v>
      </c>
      <c r="N437" s="15">
        <f t="shared" si="222"/>
        <v>19.112510277391493</v>
      </c>
      <c r="O437" s="15">
        <f t="shared" si="223"/>
        <v>-89.985584293131623</v>
      </c>
      <c r="P437" s="15">
        <f t="shared" si="224"/>
        <v>-71.985733885793366</v>
      </c>
      <c r="Q437" s="15">
        <f t="shared" si="225"/>
        <v>-55.074257303363837</v>
      </c>
      <c r="R437" s="15">
        <f t="shared" si="226"/>
        <v>-4.8442731388587941</v>
      </c>
      <c r="S437" s="31">
        <f t="shared" si="247"/>
        <v>-228.70083791422246</v>
      </c>
      <c r="T437" s="31">
        <f t="shared" si="248"/>
        <v>-45.956633434995709</v>
      </c>
      <c r="U437" s="15">
        <f t="shared" si="227"/>
        <v>6500</v>
      </c>
      <c r="V437" s="15">
        <f t="shared" si="228"/>
        <v>-89.999987369259159</v>
      </c>
      <c r="W437" s="15">
        <f t="shared" si="229"/>
        <v>-133.13387616472048</v>
      </c>
      <c r="X437" s="15">
        <f t="shared" si="230"/>
        <v>89.984329106052613</v>
      </c>
      <c r="Y437" s="15">
        <f t="shared" si="231"/>
        <v>71.260577325704773</v>
      </c>
      <c r="Z437" s="15">
        <f t="shared" si="232"/>
        <v>-87.650683348349716</v>
      </c>
      <c r="AA437" s="15">
        <f t="shared" si="233"/>
        <v>-27.746055535956117</v>
      </c>
      <c r="AB437" s="31">
        <f t="shared" si="249"/>
        <v>-87.666341611556263</v>
      </c>
      <c r="AC437" s="31">
        <f t="shared" si="250"/>
        <v>-13.361087242114706</v>
      </c>
      <c r="AD437" s="15">
        <f t="shared" si="234"/>
        <v>89.847622481204752</v>
      </c>
      <c r="AE437" s="15">
        <f t="shared" si="235"/>
        <v>51.504044936055394</v>
      </c>
      <c r="AF437" s="15">
        <f t="shared" si="236"/>
        <v>8.7907995396450413</v>
      </c>
      <c r="AG437" s="15">
        <f t="shared" si="237"/>
        <v>0.10263774429395489</v>
      </c>
      <c r="AH437" s="15">
        <f t="shared" si="238"/>
        <v>-89.204300017267954</v>
      </c>
      <c r="AI437" s="15">
        <f t="shared" si="239"/>
        <v>-37.147744877945634</v>
      </c>
      <c r="AJ437" s="31">
        <f t="shared" si="251"/>
        <v>9.4341220035818338</v>
      </c>
      <c r="AK437" s="31">
        <f t="shared" si="252"/>
        <v>14.458937802403717</v>
      </c>
      <c r="AL437" s="15">
        <f t="shared" si="240"/>
        <v>0</v>
      </c>
      <c r="AM437" s="15">
        <f t="shared" si="241"/>
        <v>0</v>
      </c>
      <c r="AN437" s="15">
        <f t="shared" si="242"/>
        <v>0</v>
      </c>
      <c r="AO437" s="15">
        <f t="shared" si="243"/>
        <v>0</v>
      </c>
      <c r="AP437" s="31">
        <f t="shared" si="253"/>
        <v>0</v>
      </c>
      <c r="AQ437" s="31">
        <f t="shared" si="254"/>
        <v>0</v>
      </c>
    </row>
    <row r="438" spans="8:43" x14ac:dyDescent="0.25">
      <c r="H438" s="15">
        <v>5.3500000000000103</v>
      </c>
      <c r="I438" s="45">
        <f t="shared" si="244"/>
        <v>2238721.1385683962</v>
      </c>
      <c r="J438" s="32">
        <f t="shared" si="245"/>
        <v>-127.56001409885786</v>
      </c>
      <c r="K438" s="32">
        <f t="shared" si="246"/>
        <v>-45.191493509427524</v>
      </c>
      <c r="L438" s="15">
        <f t="shared" si="220"/>
        <v>3.8729613733905581</v>
      </c>
      <c r="M438" s="15">
        <f t="shared" si="221"/>
        <v>-83.784598981608852</v>
      </c>
      <c r="N438" s="15">
        <f t="shared" si="222"/>
        <v>19.310111790979288</v>
      </c>
      <c r="O438" s="15">
        <f t="shared" si="223"/>
        <v>-89.98591243466845</v>
      </c>
      <c r="P438" s="15">
        <f t="shared" si="224"/>
        <v>-72.185733873419821</v>
      </c>
      <c r="Q438" s="15">
        <f t="shared" si="225"/>
        <v>-55.69103406751664</v>
      </c>
      <c r="R438" s="15">
        <f t="shared" si="226"/>
        <v>-4.9797278835040553</v>
      </c>
      <c r="S438" s="31">
        <f t="shared" si="247"/>
        <v>-229.46154548379394</v>
      </c>
      <c r="T438" s="31">
        <f t="shared" si="248"/>
        <v>-46.094486653679624</v>
      </c>
      <c r="U438" s="15">
        <f t="shared" si="227"/>
        <v>6500</v>
      </c>
      <c r="V438" s="15">
        <f t="shared" si="228"/>
        <v>-89.999987656769932</v>
      </c>
      <c r="W438" s="15">
        <f t="shared" si="229"/>
        <v>-133.33387616472046</v>
      </c>
      <c r="X438" s="15">
        <f t="shared" si="230"/>
        <v>89.984685819131769</v>
      </c>
      <c r="Y438" s="15">
        <f t="shared" si="231"/>
        <v>71.460577311082659</v>
      </c>
      <c r="Z438" s="15">
        <f t="shared" si="232"/>
        <v>-87.70410243255165</v>
      </c>
      <c r="AA438" s="15">
        <f t="shared" si="233"/>
        <v>-27.945727078412585</v>
      </c>
      <c r="AB438" s="31">
        <f t="shared" si="249"/>
        <v>-87.719404270189813</v>
      </c>
      <c r="AC438" s="31">
        <f t="shared" si="250"/>
        <v>-13.560758799193277</v>
      </c>
      <c r="AD438" s="15">
        <f t="shared" si="234"/>
        <v>89.85109100119557</v>
      </c>
      <c r="AE438" s="15">
        <f t="shared" si="235"/>
        <v>51.704043553559202</v>
      </c>
      <c r="AF438" s="15">
        <f t="shared" si="236"/>
        <v>8.9922547642534738</v>
      </c>
      <c r="AG438" s="15">
        <f t="shared" si="237"/>
        <v>0.10741557178846067</v>
      </c>
      <c r="AH438" s="15">
        <f t="shared" si="238"/>
        <v>-89.222410110323153</v>
      </c>
      <c r="AI438" s="15">
        <f t="shared" si="239"/>
        <v>-37.34770718190228</v>
      </c>
      <c r="AJ438" s="31">
        <f t="shared" si="251"/>
        <v>9.6209356551258907</v>
      </c>
      <c r="AK438" s="31">
        <f t="shared" si="252"/>
        <v>14.463751943445381</v>
      </c>
      <c r="AL438" s="15">
        <f t="shared" si="240"/>
        <v>0</v>
      </c>
      <c r="AM438" s="15">
        <f t="shared" si="241"/>
        <v>0</v>
      </c>
      <c r="AN438" s="15">
        <f t="shared" si="242"/>
        <v>0</v>
      </c>
      <c r="AO438" s="15">
        <f t="shared" si="243"/>
        <v>0</v>
      </c>
      <c r="AP438" s="31">
        <f t="shared" si="253"/>
        <v>0</v>
      </c>
      <c r="AQ438" s="31">
        <f t="shared" si="254"/>
        <v>0</v>
      </c>
    </row>
    <row r="439" spans="8:43" x14ac:dyDescent="0.25">
      <c r="H439" s="15">
        <v>5.3600000000000101</v>
      </c>
      <c r="I439" s="45">
        <f t="shared" si="244"/>
        <v>2290867.6527678305</v>
      </c>
      <c r="J439" s="32">
        <f t="shared" si="245"/>
        <v>-128.17261692170342</v>
      </c>
      <c r="K439" s="32">
        <f t="shared" si="246"/>
        <v>-45.525890694365692</v>
      </c>
      <c r="L439" s="15">
        <f t="shared" si="220"/>
        <v>3.8729613733905581</v>
      </c>
      <c r="M439" s="15">
        <f t="shared" si="221"/>
        <v>-83.925008642130479</v>
      </c>
      <c r="N439" s="15">
        <f t="shared" si="222"/>
        <v>19.507820017043226</v>
      </c>
      <c r="O439" s="15">
        <f t="shared" si="223"/>
        <v>-89.986233106792881</v>
      </c>
      <c r="P439" s="15">
        <f t="shared" si="224"/>
        <v>-72.385733861603143</v>
      </c>
      <c r="Q439" s="15">
        <f t="shared" si="225"/>
        <v>-56.302655322259945</v>
      </c>
      <c r="R439" s="15">
        <f t="shared" si="226"/>
        <v>-5.1171790418196794</v>
      </c>
      <c r="S439" s="31">
        <f t="shared" si="247"/>
        <v>-230.21389707118331</v>
      </c>
      <c r="T439" s="31">
        <f t="shared" si="248"/>
        <v>-46.234229574114636</v>
      </c>
      <c r="U439" s="15">
        <f t="shared" si="227"/>
        <v>6500</v>
      </c>
      <c r="V439" s="15">
        <f t="shared" si="228"/>
        <v>-89.999987937736151</v>
      </c>
      <c r="W439" s="15">
        <f t="shared" si="229"/>
        <v>-133.53387616472045</v>
      </c>
      <c r="X439" s="15">
        <f t="shared" si="230"/>
        <v>89.985034412431077</v>
      </c>
      <c r="Y439" s="15">
        <f t="shared" si="231"/>
        <v>71.660577297118635</v>
      </c>
      <c r="Z439" s="15">
        <f t="shared" si="232"/>
        <v>-87.756309409167599</v>
      </c>
      <c r="AA439" s="15">
        <f t="shared" si="233"/>
        <v>-28.145413380702582</v>
      </c>
      <c r="AB439" s="31">
        <f t="shared" si="249"/>
        <v>-87.771262934472674</v>
      </c>
      <c r="AC439" s="31">
        <f t="shared" si="250"/>
        <v>-13.760445115447286</v>
      </c>
      <c r="AD439" s="15">
        <f t="shared" si="234"/>
        <v>89.85448056908686</v>
      </c>
      <c r="AE439" s="15">
        <f t="shared" si="235"/>
        <v>51.904042233285175</v>
      </c>
      <c r="AF439" s="15">
        <f t="shared" si="236"/>
        <v>9.1981706323429133</v>
      </c>
      <c r="AG439" s="15">
        <f t="shared" si="237"/>
        <v>0.11241294406594829</v>
      </c>
      <c r="AH439" s="15">
        <f t="shared" si="238"/>
        <v>-89.24010811747722</v>
      </c>
      <c r="AI439" s="15">
        <f t="shared" si="239"/>
        <v>-37.5476711821549</v>
      </c>
      <c r="AJ439" s="31">
        <f t="shared" si="251"/>
        <v>9.8125430839525478</v>
      </c>
      <c r="AK439" s="31">
        <f t="shared" si="252"/>
        <v>14.468783995196226</v>
      </c>
      <c r="AL439" s="15">
        <f t="shared" si="240"/>
        <v>0</v>
      </c>
      <c r="AM439" s="15">
        <f t="shared" si="241"/>
        <v>0</v>
      </c>
      <c r="AN439" s="15">
        <f t="shared" si="242"/>
        <v>0</v>
      </c>
      <c r="AO439" s="15">
        <f t="shared" si="243"/>
        <v>0</v>
      </c>
      <c r="AP439" s="31">
        <f t="shared" si="253"/>
        <v>0</v>
      </c>
      <c r="AQ439" s="31">
        <f t="shared" si="254"/>
        <v>0</v>
      </c>
    </row>
    <row r="440" spans="8:43" x14ac:dyDescent="0.25">
      <c r="H440" s="15">
        <v>5.3700000000000099</v>
      </c>
      <c r="I440" s="45">
        <f t="shared" si="244"/>
        <v>2344228.8153199768</v>
      </c>
      <c r="J440" s="32">
        <f t="shared" si="245"/>
        <v>-128.77064741539311</v>
      </c>
      <c r="K440" s="32">
        <f t="shared" si="246"/>
        <v>-45.861934441813602</v>
      </c>
      <c r="L440" s="15">
        <f t="shared" si="220"/>
        <v>3.8729613733905581</v>
      </c>
      <c r="M440" s="15">
        <f t="shared" si="221"/>
        <v>-84.062292996845088</v>
      </c>
      <c r="N440" s="15">
        <f t="shared" si="222"/>
        <v>19.705630260398152</v>
      </c>
      <c r="O440" s="15">
        <f t="shared" si="223"/>
        <v>-89.986546479529423</v>
      </c>
      <c r="P440" s="15">
        <f t="shared" si="224"/>
        <v>-72.585733850318292</v>
      </c>
      <c r="Q440" s="15">
        <f t="shared" si="225"/>
        <v>-56.90888779366729</v>
      </c>
      <c r="R440" s="15">
        <f t="shared" si="226"/>
        <v>-5.2565924848004197</v>
      </c>
      <c r="S440" s="31">
        <f t="shared" si="247"/>
        <v>-230.9577272700418</v>
      </c>
      <c r="T440" s="31">
        <f t="shared" si="248"/>
        <v>-46.375832762455602</v>
      </c>
      <c r="U440" s="15">
        <f t="shared" si="227"/>
        <v>6500</v>
      </c>
      <c r="V440" s="15">
        <f t="shared" si="228"/>
        <v>-89.999988212306803</v>
      </c>
      <c r="W440" s="15">
        <f t="shared" si="229"/>
        <v>-133.73387616472044</v>
      </c>
      <c r="X440" s="15">
        <f t="shared" si="230"/>
        <v>89.985375070779213</v>
      </c>
      <c r="Y440" s="15">
        <f t="shared" si="231"/>
        <v>71.860577283783073</v>
      </c>
      <c r="Z440" s="15">
        <f t="shared" si="232"/>
        <v>-87.807331612068751</v>
      </c>
      <c r="AA440" s="15">
        <f t="shared" si="233"/>
        <v>-28.345113780561675</v>
      </c>
      <c r="AB440" s="31">
        <f t="shared" si="249"/>
        <v>-87.821944753596341</v>
      </c>
      <c r="AC440" s="31">
        <f t="shared" si="250"/>
        <v>-13.960145528641931</v>
      </c>
      <c r="AD440" s="15">
        <f t="shared" si="234"/>
        <v>89.857792981977411</v>
      </c>
      <c r="AE440" s="15">
        <f t="shared" si="235"/>
        <v>52.10404097243287</v>
      </c>
      <c r="AF440" s="15">
        <f t="shared" si="236"/>
        <v>9.4086350351988504</v>
      </c>
      <c r="AG440" s="15">
        <f t="shared" si="237"/>
        <v>0.11763967923553587</v>
      </c>
      <c r="AH440" s="15">
        <f t="shared" si="238"/>
        <v>-89.257403408931253</v>
      </c>
      <c r="AI440" s="15">
        <f t="shared" si="239"/>
        <v>-37.747636802384477</v>
      </c>
      <c r="AJ440" s="31">
        <f t="shared" si="251"/>
        <v>10.009024608245014</v>
      </c>
      <c r="AK440" s="31">
        <f t="shared" si="252"/>
        <v>14.47404384928393</v>
      </c>
      <c r="AL440" s="15">
        <f t="shared" si="240"/>
        <v>0</v>
      </c>
      <c r="AM440" s="15">
        <f t="shared" si="241"/>
        <v>0</v>
      </c>
      <c r="AN440" s="15">
        <f t="shared" si="242"/>
        <v>0</v>
      </c>
      <c r="AO440" s="15">
        <f t="shared" si="243"/>
        <v>0</v>
      </c>
      <c r="AP440" s="31">
        <f t="shared" si="253"/>
        <v>0</v>
      </c>
      <c r="AQ440" s="31">
        <f t="shared" si="254"/>
        <v>0</v>
      </c>
    </row>
    <row r="441" spans="8:43" x14ac:dyDescent="0.25">
      <c r="H441" s="15">
        <v>5.3800000000000097</v>
      </c>
      <c r="I441" s="45">
        <f t="shared" si="244"/>
        <v>2398832.9190195464</v>
      </c>
      <c r="J441" s="32">
        <f t="shared" si="245"/>
        <v>-129.35389578751278</v>
      </c>
      <c r="K441" s="32">
        <f t="shared" si="246"/>
        <v>-46.199583022802294</v>
      </c>
      <c r="L441" s="15">
        <f t="shared" si="220"/>
        <v>3.8729613733905581</v>
      </c>
      <c r="M441" s="15">
        <f t="shared" si="221"/>
        <v>-84.196518526962848</v>
      </c>
      <c r="N441" s="15">
        <f t="shared" si="222"/>
        <v>19.903538027855742</v>
      </c>
      <c r="O441" s="15">
        <f t="shared" si="223"/>
        <v>-89.986852719032385</v>
      </c>
      <c r="P441" s="15">
        <f t="shared" si="224"/>
        <v>-72.785733839541379</v>
      </c>
      <c r="Q441" s="15">
        <f t="shared" si="225"/>
        <v>-57.509509953217723</v>
      </c>
      <c r="R441" s="15">
        <f t="shared" si="226"/>
        <v>-5.397932924991097</v>
      </c>
      <c r="S441" s="31">
        <f t="shared" si="247"/>
        <v>-231.69288119921296</v>
      </c>
      <c r="T441" s="31">
        <f t="shared" si="248"/>
        <v>-46.51926542441177</v>
      </c>
      <c r="U441" s="15">
        <f t="shared" si="227"/>
        <v>6500</v>
      </c>
      <c r="V441" s="15">
        <f t="shared" si="228"/>
        <v>-89.999988480627451</v>
      </c>
      <c r="W441" s="15">
        <f t="shared" si="229"/>
        <v>-133.93387616472043</v>
      </c>
      <c r="X441" s="15">
        <f t="shared" si="230"/>
        <v>89.985707974797634</v>
      </c>
      <c r="Y441" s="15">
        <f t="shared" si="231"/>
        <v>72.060577271047734</v>
      </c>
      <c r="Z441" s="15">
        <f t="shared" si="232"/>
        <v>-87.857195770032973</v>
      </c>
      <c r="AA441" s="15">
        <f t="shared" si="233"/>
        <v>-28.544827645353401</v>
      </c>
      <c r="AB441" s="31">
        <f t="shared" si="249"/>
        <v>-87.87147627586279</v>
      </c>
      <c r="AC441" s="31">
        <f t="shared" si="250"/>
        <v>-14.159859406168984</v>
      </c>
      <c r="AD441" s="15">
        <f t="shared" si="234"/>
        <v>89.861029996063792</v>
      </c>
      <c r="AE441" s="15">
        <f t="shared" si="235"/>
        <v>52.304039768327939</v>
      </c>
      <c r="AF441" s="15">
        <f t="shared" si="236"/>
        <v>9.6237368337622016</v>
      </c>
      <c r="AG441" s="15">
        <f t="shared" si="237"/>
        <v>0.12310600915507741</v>
      </c>
      <c r="AH441" s="15">
        <f t="shared" si="238"/>
        <v>-89.274305142263003</v>
      </c>
      <c r="AI441" s="15">
        <f t="shared" si="239"/>
        <v>-37.947603969704559</v>
      </c>
      <c r="AJ441" s="31">
        <f t="shared" si="251"/>
        <v>10.210461687562983</v>
      </c>
      <c r="AK441" s="31">
        <f t="shared" si="252"/>
        <v>14.47954180777846</v>
      </c>
      <c r="AL441" s="15">
        <f t="shared" si="240"/>
        <v>0</v>
      </c>
      <c r="AM441" s="15">
        <f t="shared" si="241"/>
        <v>0</v>
      </c>
      <c r="AN441" s="15">
        <f t="shared" si="242"/>
        <v>0</v>
      </c>
      <c r="AO441" s="15">
        <f t="shared" si="243"/>
        <v>0</v>
      </c>
      <c r="AP441" s="31">
        <f t="shared" si="253"/>
        <v>0</v>
      </c>
      <c r="AQ441" s="31">
        <f t="shared" si="254"/>
        <v>0</v>
      </c>
    </row>
    <row r="442" spans="8:43" x14ac:dyDescent="0.25">
      <c r="H442" s="15">
        <v>5.3900000000000103</v>
      </c>
      <c r="I442" s="45">
        <f t="shared" si="244"/>
        <v>2454708.9156850912</v>
      </c>
      <c r="J442" s="32">
        <f t="shared" si="245"/>
        <v>-129.92216130831537</v>
      </c>
      <c r="K442" s="32">
        <f t="shared" si="246"/>
        <v>-46.53879307355465</v>
      </c>
      <c r="L442" s="15">
        <f t="shared" si="220"/>
        <v>3.8729613733905581</v>
      </c>
      <c r="M442" s="15">
        <f t="shared" si="221"/>
        <v>-84.327750504227311</v>
      </c>
      <c r="N442" s="15">
        <f t="shared" si="222"/>
        <v>20.101539019933917</v>
      </c>
      <c r="O442" s="15">
        <f t="shared" si="223"/>
        <v>-89.98715198767394</v>
      </c>
      <c r="P442" s="15">
        <f t="shared" si="224"/>
        <v>-72.985733829249497</v>
      </c>
      <c r="Q442" s="15">
        <f t="shared" si="225"/>
        <v>-58.104312227530983</v>
      </c>
      <c r="R442" s="15">
        <f t="shared" si="226"/>
        <v>-5.5411640311825758</v>
      </c>
      <c r="S442" s="31">
        <f t="shared" si="247"/>
        <v>-232.41921471943223</v>
      </c>
      <c r="T442" s="31">
        <f t="shared" si="248"/>
        <v>-46.664495528233189</v>
      </c>
      <c r="U442" s="15">
        <f t="shared" si="227"/>
        <v>6500</v>
      </c>
      <c r="V442" s="15">
        <f t="shared" si="228"/>
        <v>-89.999988742840387</v>
      </c>
      <c r="W442" s="15">
        <f t="shared" si="229"/>
        <v>-134.13387616472045</v>
      </c>
      <c r="X442" s="15">
        <f t="shared" si="230"/>
        <v>89.986033300996354</v>
      </c>
      <c r="Y442" s="15">
        <f t="shared" si="231"/>
        <v>72.26057725888559</v>
      </c>
      <c r="Z442" s="15">
        <f t="shared" si="232"/>
        <v>-87.90592801938304</v>
      </c>
      <c r="AA442" s="15">
        <f t="shared" si="233"/>
        <v>-28.744554370751374</v>
      </c>
      <c r="AB442" s="31">
        <f t="shared" si="249"/>
        <v>-87.919883461227073</v>
      </c>
      <c r="AC442" s="31">
        <f t="shared" si="250"/>
        <v>-14.359586143729118</v>
      </c>
      <c r="AD442" s="15">
        <f t="shared" si="234"/>
        <v>89.864193327570987</v>
      </c>
      <c r="AE442" s="15">
        <f t="shared" si="235"/>
        <v>52.504038618416359</v>
      </c>
      <c r="AF442" s="15">
        <f t="shared" si="236"/>
        <v>9.8435658119951057</v>
      </c>
      <c r="AG442" s="15">
        <f t="shared" si="237"/>
        <v>0.12882259449825459</v>
      </c>
      <c r="AH442" s="15">
        <f t="shared" si="238"/>
        <v>-89.290822267222154</v>
      </c>
      <c r="AI442" s="15">
        <f t="shared" si="239"/>
        <v>-38.147572614506956</v>
      </c>
      <c r="AJ442" s="31">
        <f t="shared" si="251"/>
        <v>10.416936872343939</v>
      </c>
      <c r="AK442" s="31">
        <f t="shared" si="252"/>
        <v>14.485288598407656</v>
      </c>
      <c r="AL442" s="15">
        <f t="shared" si="240"/>
        <v>0</v>
      </c>
      <c r="AM442" s="15">
        <f t="shared" si="241"/>
        <v>0</v>
      </c>
      <c r="AN442" s="15">
        <f t="shared" si="242"/>
        <v>0</v>
      </c>
      <c r="AO442" s="15">
        <f t="shared" si="243"/>
        <v>0</v>
      </c>
      <c r="AP442" s="31">
        <f t="shared" si="253"/>
        <v>0</v>
      </c>
      <c r="AQ442" s="31">
        <f t="shared" si="254"/>
        <v>0</v>
      </c>
    </row>
    <row r="443" spans="8:43" x14ac:dyDescent="0.25">
      <c r="H443" s="15">
        <v>5.4000000000000101</v>
      </c>
      <c r="I443" s="45">
        <f t="shared" si="244"/>
        <v>2511886.4315096424</v>
      </c>
      <c r="J443" s="32">
        <f t="shared" si="245"/>
        <v>-130.47525254159711</v>
      </c>
      <c r="K443" s="32">
        <f t="shared" si="246"/>
        <v>-46.879519701178943</v>
      </c>
      <c r="L443" s="15">
        <f t="shared" si="220"/>
        <v>3.8729613733905581</v>
      </c>
      <c r="M443" s="15">
        <f t="shared" si="221"/>
        <v>-84.456052998933203</v>
      </c>
      <c r="N443" s="15">
        <f t="shared" si="222"/>
        <v>20.299629122871394</v>
      </c>
      <c r="O443" s="15">
        <f t="shared" si="223"/>
        <v>-89.98744444413019</v>
      </c>
      <c r="P443" s="15">
        <f t="shared" si="224"/>
        <v>-73.185733819420818</v>
      </c>
      <c r="Q443" s="15">
        <f t="shared" si="225"/>
        <v>-58.693097153250406</v>
      </c>
      <c r="R443" s="15">
        <f t="shared" si="226"/>
        <v>-5.6862485429122822</v>
      </c>
      <c r="S443" s="31">
        <f t="shared" si="247"/>
        <v>-233.13659459631378</v>
      </c>
      <c r="T443" s="31">
        <f t="shared" si="248"/>
        <v>-46.811489927196746</v>
      </c>
      <c r="U443" s="15">
        <f t="shared" si="227"/>
        <v>6500</v>
      </c>
      <c r="V443" s="15">
        <f t="shared" si="228"/>
        <v>-89.999988999084621</v>
      </c>
      <c r="W443" s="15">
        <f t="shared" si="229"/>
        <v>-134.33387616472044</v>
      </c>
      <c r="X443" s="15">
        <f t="shared" si="230"/>
        <v>89.986351221867594</v>
      </c>
      <c r="Y443" s="15">
        <f t="shared" si="231"/>
        <v>72.46057724727082</v>
      </c>
      <c r="Z443" s="15">
        <f t="shared" si="232"/>
        <v>-87.953553916412346</v>
      </c>
      <c r="AA443" s="15">
        <f t="shared" si="233"/>
        <v>-28.94429337947949</v>
      </c>
      <c r="AB443" s="31">
        <f t="shared" si="249"/>
        <v>-87.967191693629374</v>
      </c>
      <c r="AC443" s="31">
        <f t="shared" si="250"/>
        <v>-14.559325164071993</v>
      </c>
      <c r="AD443" s="15">
        <f t="shared" si="234"/>
        <v>89.867284653662068</v>
      </c>
      <c r="AE443" s="15">
        <f t="shared" si="235"/>
        <v>52.704037520259028</v>
      </c>
      <c r="AF443" s="15">
        <f t="shared" si="236"/>
        <v>10.068212625103532</v>
      </c>
      <c r="AG443" s="15">
        <f t="shared" si="237"/>
        <v>0.13480054014514617</v>
      </c>
      <c r="AH443" s="15">
        <f t="shared" si="238"/>
        <v>-89.306963530419551</v>
      </c>
      <c r="AI443" s="15">
        <f t="shared" si="239"/>
        <v>-38.347542670314375</v>
      </c>
      <c r="AJ443" s="31">
        <f t="shared" si="251"/>
        <v>10.628533748346044</v>
      </c>
      <c r="AK443" s="31">
        <f t="shared" si="252"/>
        <v>14.491295390089796</v>
      </c>
      <c r="AL443" s="15">
        <f t="shared" si="240"/>
        <v>0</v>
      </c>
      <c r="AM443" s="15">
        <f t="shared" si="241"/>
        <v>0</v>
      </c>
      <c r="AN443" s="15">
        <f t="shared" si="242"/>
        <v>0</v>
      </c>
      <c r="AO443" s="15">
        <f t="shared" si="243"/>
        <v>0</v>
      </c>
      <c r="AP443" s="31">
        <f t="shared" si="253"/>
        <v>0</v>
      </c>
      <c r="AQ443" s="31">
        <f t="shared" si="254"/>
        <v>0</v>
      </c>
    </row>
    <row r="444" spans="8:43" x14ac:dyDescent="0.25">
      <c r="H444" s="15">
        <v>5.4100000000000099</v>
      </c>
      <c r="I444" s="45">
        <f t="shared" si="244"/>
        <v>2570395.782768927</v>
      </c>
      <c r="J444" s="32">
        <f t="shared" si="245"/>
        <v>-131.01298752844511</v>
      </c>
      <c r="K444" s="32">
        <f t="shared" si="246"/>
        <v>-47.2217165879673</v>
      </c>
      <c r="L444" s="15">
        <f t="shared" si="220"/>
        <v>3.8729613733905581</v>
      </c>
      <c r="M444" s="15">
        <f t="shared" si="221"/>
        <v>-84.581488888982875</v>
      </c>
      <c r="N444" s="15">
        <f t="shared" si="222"/>
        <v>20.497804400939422</v>
      </c>
      <c r="O444" s="15">
        <f t="shared" si="223"/>
        <v>-89.987730243465393</v>
      </c>
      <c r="P444" s="15">
        <f t="shared" si="224"/>
        <v>-73.385733810034509</v>
      </c>
      <c r="Q444" s="15">
        <f t="shared" si="225"/>
        <v>-59.27567947859972</v>
      </c>
      <c r="R444" s="15">
        <f t="shared" si="226"/>
        <v>-5.8331483841119036</v>
      </c>
      <c r="S444" s="31">
        <f t="shared" si="247"/>
        <v>-233.844898611048</v>
      </c>
      <c r="T444" s="31">
        <f t="shared" si="248"/>
        <v>-46.960214480942021</v>
      </c>
      <c r="U444" s="15">
        <f t="shared" si="227"/>
        <v>6500</v>
      </c>
      <c r="V444" s="15">
        <f t="shared" si="228"/>
        <v>-89.999989249496025</v>
      </c>
      <c r="W444" s="15">
        <f t="shared" si="229"/>
        <v>-134.53387616472043</v>
      </c>
      <c r="X444" s="15">
        <f t="shared" si="230"/>
        <v>89.986661905977087</v>
      </c>
      <c r="Y444" s="15">
        <f t="shared" si="231"/>
        <v>72.660577236178796</v>
      </c>
      <c r="Z444" s="15">
        <f t="shared" si="232"/>
        <v>-88.000098449598056</v>
      </c>
      <c r="AA444" s="15">
        <f t="shared" si="233"/>
        <v>-29.144044120107566</v>
      </c>
      <c r="AB444" s="31">
        <f t="shared" si="249"/>
        <v>-88.013425793116994</v>
      </c>
      <c r="AC444" s="31">
        <f t="shared" si="250"/>
        <v>-14.759075915792081</v>
      </c>
      <c r="AD444" s="15">
        <f t="shared" si="234"/>
        <v>89.87030561332702</v>
      </c>
      <c r="AE444" s="15">
        <f t="shared" si="235"/>
        <v>52.904036471526659</v>
      </c>
      <c r="AF444" s="15">
        <f t="shared" si="236"/>
        <v>10.297768742305154</v>
      </c>
      <c r="AG444" s="15">
        <f t="shared" si="237"/>
        <v>0.14105141087988088</v>
      </c>
      <c r="AH444" s="15">
        <f t="shared" si="238"/>
        <v>-89.322737479912291</v>
      </c>
      <c r="AI444" s="15">
        <f t="shared" si="239"/>
        <v>-38.547514073639739</v>
      </c>
      <c r="AJ444" s="31">
        <f t="shared" si="251"/>
        <v>10.84533687571988</v>
      </c>
      <c r="AK444" s="31">
        <f t="shared" si="252"/>
        <v>14.497573808766802</v>
      </c>
      <c r="AL444" s="15">
        <f t="shared" si="240"/>
        <v>0</v>
      </c>
      <c r="AM444" s="15">
        <f t="shared" si="241"/>
        <v>0</v>
      </c>
      <c r="AN444" s="15">
        <f t="shared" si="242"/>
        <v>0</v>
      </c>
      <c r="AO444" s="15">
        <f t="shared" si="243"/>
        <v>0</v>
      </c>
      <c r="AP444" s="31">
        <f t="shared" si="253"/>
        <v>0</v>
      </c>
      <c r="AQ444" s="31">
        <f t="shared" si="254"/>
        <v>0</v>
      </c>
    </row>
    <row r="445" spans="8:43" x14ac:dyDescent="0.25">
      <c r="H445" s="15">
        <v>5.4200000000000097</v>
      </c>
      <c r="I445" s="45">
        <f t="shared" si="244"/>
        <v>2630267.9918954424</v>
      </c>
      <c r="J445" s="32">
        <f t="shared" si="245"/>
        <v>-131.53519392596058</v>
      </c>
      <c r="K445" s="32">
        <f t="shared" si="246"/>
        <v>-47.565336093708218</v>
      </c>
      <c r="L445" s="15">
        <f t="shared" si="220"/>
        <v>3.8729613733905581</v>
      </c>
      <c r="M445" s="15">
        <f t="shared" si="221"/>
        <v>-84.704119869884394</v>
      </c>
      <c r="N445" s="15">
        <f t="shared" si="222"/>
        <v>20.696061089042267</v>
      </c>
      <c r="O445" s="15">
        <f t="shared" si="223"/>
        <v>-89.988009537214069</v>
      </c>
      <c r="P445" s="15">
        <f t="shared" si="224"/>
        <v>-73.585733801070631</v>
      </c>
      <c r="Q445" s="15">
        <f t="shared" si="225"/>
        <v>-59.851886213491142</v>
      </c>
      <c r="R445" s="15">
        <f t="shared" si="226"/>
        <v>-5.9818247752865981</v>
      </c>
      <c r="S445" s="31">
        <f t="shared" si="247"/>
        <v>-234.54401562058962</v>
      </c>
      <c r="T445" s="31">
        <f t="shared" si="248"/>
        <v>-47.110634175049995</v>
      </c>
      <c r="U445" s="15">
        <f t="shared" si="227"/>
        <v>6500</v>
      </c>
      <c r="V445" s="15">
        <f t="shared" si="228"/>
        <v>-89.999989494207384</v>
      </c>
      <c r="W445" s="15">
        <f t="shared" si="229"/>
        <v>-134.73387616472041</v>
      </c>
      <c r="X445" s="15">
        <f t="shared" si="230"/>
        <v>89.986965518053609</v>
      </c>
      <c r="Y445" s="15">
        <f t="shared" si="231"/>
        <v>72.860577225585985</v>
      </c>
      <c r="Z445" s="15">
        <f t="shared" si="232"/>
        <v>-88.045586051601603</v>
      </c>
      <c r="AA445" s="15">
        <f t="shared" si="233"/>
        <v>-29.343806065899933</v>
      </c>
      <c r="AB445" s="31">
        <f t="shared" si="249"/>
        <v>-88.058610027755378</v>
      </c>
      <c r="AC445" s="31">
        <f t="shared" si="250"/>
        <v>-14.958837872177249</v>
      </c>
      <c r="AD445" s="15">
        <f t="shared" si="234"/>
        <v>89.873257808251395</v>
      </c>
      <c r="AE445" s="15">
        <f t="shared" si="235"/>
        <v>53.104035469994777</v>
      </c>
      <c r="AF445" s="15">
        <f t="shared" si="236"/>
        <v>10.532326383820118</v>
      </c>
      <c r="AG445" s="15">
        <f t="shared" si="237"/>
        <v>0.14758724737592588</v>
      </c>
      <c r="AH445" s="15">
        <f t="shared" si="238"/>
        <v>-89.338152469687088</v>
      </c>
      <c r="AI445" s="15">
        <f t="shared" si="239"/>
        <v>-38.747486763851676</v>
      </c>
      <c r="AJ445" s="31">
        <f t="shared" si="251"/>
        <v>11.067431722384427</v>
      </c>
      <c r="AK445" s="31">
        <f t="shared" si="252"/>
        <v>14.504135953519025</v>
      </c>
      <c r="AL445" s="15">
        <f t="shared" si="240"/>
        <v>0</v>
      </c>
      <c r="AM445" s="15">
        <f t="shared" si="241"/>
        <v>0</v>
      </c>
      <c r="AN445" s="15">
        <f t="shared" si="242"/>
        <v>0</v>
      </c>
      <c r="AO445" s="15">
        <f t="shared" si="243"/>
        <v>0</v>
      </c>
      <c r="AP445" s="31">
        <f t="shared" si="253"/>
        <v>0</v>
      </c>
      <c r="AQ445" s="31">
        <f t="shared" si="254"/>
        <v>0</v>
      </c>
    </row>
    <row r="446" spans="8:43" x14ac:dyDescent="0.25">
      <c r="H446" s="15">
        <v>5.4300000000000104</v>
      </c>
      <c r="I446" s="45">
        <f t="shared" si="244"/>
        <v>2691534.8039269815</v>
      </c>
      <c r="J446" s="32">
        <f t="shared" si="245"/>
        <v>-132.04170910339147</v>
      </c>
      <c r="K446" s="32">
        <f t="shared" si="246"/>
        <v>-47.910329355472157</v>
      </c>
      <c r="L446" s="15">
        <f t="shared" si="220"/>
        <v>3.8729613733905581</v>
      </c>
      <c r="M446" s="15">
        <f t="shared" si="221"/>
        <v>-84.8240064656013</v>
      </c>
      <c r="N446" s="15">
        <f t="shared" si="222"/>
        <v>20.894395585598549</v>
      </c>
      <c r="O446" s="15">
        <f t="shared" si="223"/>
        <v>-89.98828247346141</v>
      </c>
      <c r="P446" s="15">
        <f t="shared" si="224"/>
        <v>-73.785733792510229</v>
      </c>
      <c r="Q446" s="15">
        <f t="shared" si="225"/>
        <v>-60.42155663037309</v>
      </c>
      <c r="R446" s="15">
        <f t="shared" si="226"/>
        <v>-6.1322383436560814</v>
      </c>
      <c r="S446" s="31">
        <f t="shared" si="247"/>
        <v>-235.2338455694358</v>
      </c>
      <c r="T446" s="31">
        <f t="shared" si="248"/>
        <v>-47.262713238302801</v>
      </c>
      <c r="U446" s="15">
        <f t="shared" si="227"/>
        <v>6500</v>
      </c>
      <c r="V446" s="15">
        <f t="shared" si="228"/>
        <v>-89.999989733348414</v>
      </c>
      <c r="W446" s="15">
        <f t="shared" si="229"/>
        <v>-134.9338761647204</v>
      </c>
      <c r="X446" s="15">
        <f t="shared" si="230"/>
        <v>89.987262219076214</v>
      </c>
      <c r="Y446" s="15">
        <f t="shared" si="231"/>
        <v>73.060577215469948</v>
      </c>
      <c r="Z446" s="15">
        <f t="shared" si="232"/>
        <v>-88.090040611057347</v>
      </c>
      <c r="AA446" s="15">
        <f t="shared" si="233"/>
        <v>-29.543578713714961</v>
      </c>
      <c r="AB446" s="31">
        <f t="shared" si="249"/>
        <v>-88.102768125329547</v>
      </c>
      <c r="AC446" s="31">
        <f t="shared" si="250"/>
        <v>-15.158610530108302</v>
      </c>
      <c r="AD446" s="15">
        <f t="shared" si="234"/>
        <v>89.876142803665303</v>
      </c>
      <c r="AE446" s="15">
        <f t="shared" si="235"/>
        <v>53.304034513539058</v>
      </c>
      <c r="AF446" s="15">
        <f t="shared" si="236"/>
        <v>10.771978451752661</v>
      </c>
      <c r="AG446" s="15">
        <f t="shared" si="237"/>
        <v>0.15442058244615148</v>
      </c>
      <c r="AH446" s="15">
        <f t="shared" si="238"/>
        <v>-89.353216664044098</v>
      </c>
      <c r="AI446" s="15">
        <f t="shared" si="239"/>
        <v>-38.947460683046266</v>
      </c>
      <c r="AJ446" s="31">
        <f t="shared" si="251"/>
        <v>11.294904591373864</v>
      </c>
      <c r="AK446" s="31">
        <f t="shared" si="252"/>
        <v>14.510994412938942</v>
      </c>
      <c r="AL446" s="15">
        <f t="shared" si="240"/>
        <v>0</v>
      </c>
      <c r="AM446" s="15">
        <f t="shared" si="241"/>
        <v>0</v>
      </c>
      <c r="AN446" s="15">
        <f t="shared" si="242"/>
        <v>0</v>
      </c>
      <c r="AO446" s="15">
        <f t="shared" si="243"/>
        <v>0</v>
      </c>
      <c r="AP446" s="31">
        <f t="shared" si="253"/>
        <v>0</v>
      </c>
      <c r="AQ446" s="31">
        <f t="shared" si="254"/>
        <v>0</v>
      </c>
    </row>
    <row r="447" spans="8:43" x14ac:dyDescent="0.25">
      <c r="H447" s="15">
        <v>5.4400000000000102</v>
      </c>
      <c r="I447" s="45">
        <f t="shared" si="244"/>
        <v>2754228.7033382338</v>
      </c>
      <c r="J447" s="32">
        <f t="shared" si="245"/>
        <v>-132.53238019838724</v>
      </c>
      <c r="K447" s="32">
        <f t="shared" si="246"/>
        <v>-48.256646384380858</v>
      </c>
      <c r="L447" s="15">
        <f t="shared" si="220"/>
        <v>3.8729613733905581</v>
      </c>
      <c r="M447" s="15">
        <f t="shared" si="221"/>
        <v>-84.941208040169371</v>
      </c>
      <c r="N447" s="15">
        <f t="shared" si="222"/>
        <v>21.092804445694853</v>
      </c>
      <c r="O447" s="15">
        <f t="shared" si="223"/>
        <v>-89.988549196921767</v>
      </c>
      <c r="P447" s="15">
        <f t="shared" si="224"/>
        <v>-73.985733784335096</v>
      </c>
      <c r="Q447" s="15">
        <f t="shared" si="225"/>
        <v>-60.984542218270811</v>
      </c>
      <c r="R447" s="15">
        <f t="shared" si="226"/>
        <v>-6.2843492307363604</v>
      </c>
      <c r="S447" s="31">
        <f t="shared" si="247"/>
        <v>-235.91429945536194</v>
      </c>
      <c r="T447" s="31">
        <f t="shared" si="248"/>
        <v>-47.416415257111645</v>
      </c>
      <c r="U447" s="15">
        <f t="shared" si="227"/>
        <v>6500</v>
      </c>
      <c r="V447" s="15">
        <f t="shared" si="228"/>
        <v>-89.999989967045934</v>
      </c>
      <c r="W447" s="15">
        <f t="shared" si="229"/>
        <v>-135.13387616472039</v>
      </c>
      <c r="X447" s="15">
        <f t="shared" si="230"/>
        <v>89.987552166359663</v>
      </c>
      <c r="Y447" s="15">
        <f t="shared" si="231"/>
        <v>73.260577205809213</v>
      </c>
      <c r="Z447" s="15">
        <f t="shared" si="232"/>
        <v>-88.133485484150142</v>
      </c>
      <c r="AA447" s="15">
        <f t="shared" si="233"/>
        <v>-29.743361582952943</v>
      </c>
      <c r="AB447" s="31">
        <f t="shared" si="249"/>
        <v>-88.145923284836414</v>
      </c>
      <c r="AC447" s="31">
        <f t="shared" si="250"/>
        <v>-15.358393409007007</v>
      </c>
      <c r="AD447" s="15">
        <f t="shared" si="234"/>
        <v>89.878962129172919</v>
      </c>
      <c r="AE447" s="15">
        <f t="shared" si="235"/>
        <v>53.50403360013074</v>
      </c>
      <c r="AF447" s="15">
        <f t="shared" si="236"/>
        <v>11.016818454521262</v>
      </c>
      <c r="AG447" s="15">
        <f t="shared" si="237"/>
        <v>0.16156445753129647</v>
      </c>
      <c r="AH447" s="15">
        <f t="shared" si="238"/>
        <v>-89.367938041883065</v>
      </c>
      <c r="AI447" s="15">
        <f t="shared" si="239"/>
        <v>-39.147435775924244</v>
      </c>
      <c r="AJ447" s="31">
        <f t="shared" si="251"/>
        <v>11.527842541811111</v>
      </c>
      <c r="AK447" s="31">
        <f t="shared" si="252"/>
        <v>14.518162281737794</v>
      </c>
      <c r="AL447" s="15">
        <f t="shared" si="240"/>
        <v>0</v>
      </c>
      <c r="AM447" s="15">
        <f t="shared" si="241"/>
        <v>0</v>
      </c>
      <c r="AN447" s="15">
        <f t="shared" si="242"/>
        <v>0</v>
      </c>
      <c r="AO447" s="15">
        <f t="shared" si="243"/>
        <v>0</v>
      </c>
      <c r="AP447" s="31">
        <f t="shared" si="253"/>
        <v>0</v>
      </c>
      <c r="AQ447" s="31">
        <f t="shared" si="254"/>
        <v>0</v>
      </c>
    </row>
    <row r="448" spans="8:43" x14ac:dyDescent="0.25">
      <c r="H448" s="15">
        <v>5.4500000000000099</v>
      </c>
      <c r="I448" s="45">
        <f t="shared" si="244"/>
        <v>2818382.9312645225</v>
      </c>
      <c r="J448" s="32">
        <f t="shared" si="245"/>
        <v>-133.00706413632824</v>
      </c>
      <c r="K448" s="32">
        <f t="shared" si="246"/>
        <v>-48.604236158927627</v>
      </c>
      <c r="L448" s="15">
        <f t="shared" si="220"/>
        <v>3.8729613733905581</v>
      </c>
      <c r="M448" s="15">
        <f t="shared" si="221"/>
        <v>-85.055782810001375</v>
      </c>
      <c r="N448" s="15">
        <f t="shared" si="222"/>
        <v>21.29128437450381</v>
      </c>
      <c r="O448" s="15">
        <f t="shared" si="223"/>
        <v>-89.988809849015411</v>
      </c>
      <c r="P448" s="15">
        <f t="shared" si="224"/>
        <v>-74.185733776527897</v>
      </c>
      <c r="Q448" s="15">
        <f t="shared" si="225"/>
        <v>-61.540706592699244</v>
      </c>
      <c r="R448" s="15">
        <f t="shared" si="226"/>
        <v>-6.4381171968926285</v>
      </c>
      <c r="S448" s="31">
        <f t="shared" si="247"/>
        <v>-236.58529925171604</v>
      </c>
      <c r="T448" s="31">
        <f t="shared" si="248"/>
        <v>-47.571703286651747</v>
      </c>
      <c r="U448" s="15">
        <f t="shared" si="227"/>
        <v>6500</v>
      </c>
      <c r="V448" s="15">
        <f t="shared" si="228"/>
        <v>-89.999990195423848</v>
      </c>
      <c r="W448" s="15">
        <f t="shared" si="229"/>
        <v>-135.33387616472038</v>
      </c>
      <c r="X448" s="15">
        <f t="shared" si="230"/>
        <v>89.987835513637791</v>
      </c>
      <c r="Y448" s="15">
        <f t="shared" si="231"/>
        <v>73.460577196583273</v>
      </c>
      <c r="Z448" s="15">
        <f t="shared" si="232"/>
        <v>-88.175943505982701</v>
      </c>
      <c r="AA448" s="15">
        <f t="shared" si="233"/>
        <v>-29.943154214550695</v>
      </c>
      <c r="AB448" s="31">
        <f t="shared" si="249"/>
        <v>-88.188098187768759</v>
      </c>
      <c r="AC448" s="31">
        <f t="shared" si="250"/>
        <v>-15.558186049830688</v>
      </c>
      <c r="AD448" s="15">
        <f t="shared" si="234"/>
        <v>89.881717279563361</v>
      </c>
      <c r="AE448" s="15">
        <f t="shared" si="235"/>
        <v>53.70403272783237</v>
      </c>
      <c r="AF448" s="15">
        <f t="shared" si="236"/>
        <v>11.266940424487279</v>
      </c>
      <c r="AG448" s="15">
        <f t="shared" si="237"/>
        <v>0.16903243939646223</v>
      </c>
      <c r="AH448" s="15">
        <f t="shared" si="238"/>
        <v>-89.382324400894078</v>
      </c>
      <c r="AI448" s="15">
        <f t="shared" si="239"/>
        <v>-39.347411989674022</v>
      </c>
      <c r="AJ448" s="31">
        <f t="shared" si="251"/>
        <v>11.766333303156557</v>
      </c>
      <c r="AK448" s="31">
        <f t="shared" si="252"/>
        <v>14.525653177554808</v>
      </c>
      <c r="AL448" s="15">
        <f t="shared" si="240"/>
        <v>0</v>
      </c>
      <c r="AM448" s="15">
        <f t="shared" si="241"/>
        <v>0</v>
      </c>
      <c r="AN448" s="15">
        <f t="shared" si="242"/>
        <v>0</v>
      </c>
      <c r="AO448" s="15">
        <f t="shared" si="243"/>
        <v>0</v>
      </c>
      <c r="AP448" s="31">
        <f t="shared" si="253"/>
        <v>0</v>
      </c>
      <c r="AQ448" s="31">
        <f t="shared" si="254"/>
        <v>0</v>
      </c>
    </row>
    <row r="449" spans="8:43" x14ac:dyDescent="0.25">
      <c r="H449" s="15">
        <v>5.4600000000000097</v>
      </c>
      <c r="I449" s="45">
        <f t="shared" si="244"/>
        <v>2884031.5031266762</v>
      </c>
      <c r="J449" s="32">
        <f t="shared" si="245"/>
        <v>-133.46562761587575</v>
      </c>
      <c r="K449" s="32">
        <f t="shared" si="246"/>
        <v>-48.953046714470879</v>
      </c>
      <c r="L449" s="15">
        <f t="shared" si="220"/>
        <v>3.8729613733905581</v>
      </c>
      <c r="M449" s="15">
        <f t="shared" si="221"/>
        <v>-85.167787856806115</v>
      </c>
      <c r="N449" s="15">
        <f t="shared" si="222"/>
        <v>21.489832220958046</v>
      </c>
      <c r="O449" s="15">
        <f t="shared" si="223"/>
        <v>-89.989064567943487</v>
      </c>
      <c r="P449" s="15">
        <f t="shared" si="224"/>
        <v>-74.38573376907209</v>
      </c>
      <c r="Q449" s="15">
        <f t="shared" si="225"/>
        <v>-62.089925364304669</v>
      </c>
      <c r="R449" s="15">
        <f t="shared" si="226"/>
        <v>-6.5935017224455885</v>
      </c>
      <c r="S449" s="31">
        <f t="shared" si="247"/>
        <v>-237.24677778905428</v>
      </c>
      <c r="T449" s="31">
        <f t="shared" si="248"/>
        <v>-47.728539958294668</v>
      </c>
      <c r="U449" s="15">
        <f t="shared" si="227"/>
        <v>6500</v>
      </c>
      <c r="V449" s="15">
        <f t="shared" si="228"/>
        <v>-89.999990418603247</v>
      </c>
      <c r="W449" s="15">
        <f t="shared" si="229"/>
        <v>-135.5338761647204</v>
      </c>
      <c r="X449" s="15">
        <f t="shared" si="230"/>
        <v>89.988112411144996</v>
      </c>
      <c r="Y449" s="15">
        <f t="shared" si="231"/>
        <v>73.66057718777256</v>
      </c>
      <c r="Z449" s="15">
        <f t="shared" si="232"/>
        <v>-88.217437001734154</v>
      </c>
      <c r="AA449" s="15">
        <f t="shared" si="233"/>
        <v>-30.142956170020483</v>
      </c>
      <c r="AB449" s="31">
        <f t="shared" si="249"/>
        <v>-88.229315009192405</v>
      </c>
      <c r="AC449" s="31">
        <f t="shared" si="250"/>
        <v>-15.757988014111206</v>
      </c>
      <c r="AD449" s="15">
        <f t="shared" si="234"/>
        <v>89.884409715602771</v>
      </c>
      <c r="AE449" s="15">
        <f t="shared" si="235"/>
        <v>53.904031894793746</v>
      </c>
      <c r="AF449" s="15">
        <f t="shared" si="236"/>
        <v>11.522438828423113</v>
      </c>
      <c r="AG449" s="15">
        <f t="shared" si="237"/>
        <v>0.17683863700105468</v>
      </c>
      <c r="AH449" s="15">
        <f t="shared" si="238"/>
        <v>-89.396383361654969</v>
      </c>
      <c r="AI449" s="15">
        <f t="shared" si="239"/>
        <v>-39.547389273859807</v>
      </c>
      <c r="AJ449" s="31">
        <f t="shared" si="251"/>
        <v>12.010465182370908</v>
      </c>
      <c r="AK449" s="31">
        <f t="shared" si="252"/>
        <v>14.533481257934994</v>
      </c>
      <c r="AL449" s="15">
        <f t="shared" si="240"/>
        <v>0</v>
      </c>
      <c r="AM449" s="15">
        <f t="shared" si="241"/>
        <v>0</v>
      </c>
      <c r="AN449" s="15">
        <f t="shared" si="242"/>
        <v>0</v>
      </c>
      <c r="AO449" s="15">
        <f t="shared" si="243"/>
        <v>0</v>
      </c>
      <c r="AP449" s="31">
        <f t="shared" si="253"/>
        <v>0</v>
      </c>
      <c r="AQ449" s="31">
        <f t="shared" si="254"/>
        <v>0</v>
      </c>
    </row>
    <row r="450" spans="8:43" x14ac:dyDescent="0.25">
      <c r="H450" s="15">
        <v>5.4700000000000104</v>
      </c>
      <c r="I450" s="45">
        <f t="shared" si="244"/>
        <v>2951209.2266664617</v>
      </c>
      <c r="J450" s="32">
        <f t="shared" si="245"/>
        <v>-133.9079470640371</v>
      </c>
      <c r="K450" s="32">
        <f t="shared" si="246"/>
        <v>-49.303025228581816</v>
      </c>
      <c r="L450" s="15">
        <f t="shared" si="220"/>
        <v>3.8729613733905581</v>
      </c>
      <c r="M450" s="15">
        <f t="shared" si="221"/>
        <v>-85.277279141053057</v>
      </c>
      <c r="N450" s="15">
        <f t="shared" si="222"/>
        <v>21.688444971672173</v>
      </c>
      <c r="O450" s="15">
        <f t="shared" si="223"/>
        <v>-89.989313488761297</v>
      </c>
      <c r="P450" s="15">
        <f t="shared" si="224"/>
        <v>-74.585733761951857</v>
      </c>
      <c r="Q450" s="15">
        <f t="shared" si="225"/>
        <v>-62.63208596923203</v>
      </c>
      <c r="R450" s="15">
        <f t="shared" si="226"/>
        <v>-6.7504621049670082</v>
      </c>
      <c r="S450" s="31">
        <f t="shared" si="247"/>
        <v>-237.89867859904638</v>
      </c>
      <c r="T450" s="31">
        <f t="shared" si="248"/>
        <v>-47.886887582981728</v>
      </c>
      <c r="U450" s="15">
        <f t="shared" si="227"/>
        <v>6500</v>
      </c>
      <c r="V450" s="15">
        <f t="shared" si="228"/>
        <v>-89.999990636702464</v>
      </c>
      <c r="W450" s="15">
        <f t="shared" si="229"/>
        <v>-135.73387616472039</v>
      </c>
      <c r="X450" s="15">
        <f t="shared" si="230"/>
        <v>89.988383005695965</v>
      </c>
      <c r="Y450" s="15">
        <f t="shared" si="231"/>
        <v>73.860577179358415</v>
      </c>
      <c r="Z450" s="15">
        <f t="shared" si="232"/>
        <v>-88.257987797611236</v>
      </c>
      <c r="AA450" s="15">
        <f t="shared" si="233"/>
        <v>-30.342767030531501</v>
      </c>
      <c r="AB450" s="31">
        <f t="shared" si="249"/>
        <v>-88.269595428617734</v>
      </c>
      <c r="AC450" s="31">
        <f t="shared" si="250"/>
        <v>-15.957798883036357</v>
      </c>
      <c r="AD450" s="15">
        <f t="shared" si="234"/>
        <v>89.887040864808824</v>
      </c>
      <c r="AE450" s="15">
        <f t="shared" si="235"/>
        <v>54.104031099247898</v>
      </c>
      <c r="AF450" s="15">
        <f t="shared" si="236"/>
        <v>11.783408470455282</v>
      </c>
      <c r="AG450" s="15">
        <f t="shared" si="237"/>
        <v>0.18499771850310837</v>
      </c>
      <c r="AH450" s="15">
        <f t="shared" si="238"/>
        <v>-89.410122371637115</v>
      </c>
      <c r="AI450" s="15">
        <f t="shared" si="239"/>
        <v>-39.74736758031473</v>
      </c>
      <c r="AJ450" s="31">
        <f t="shared" si="251"/>
        <v>12.260326963626994</v>
      </c>
      <c r="AK450" s="31">
        <f t="shared" si="252"/>
        <v>14.541661237436273</v>
      </c>
      <c r="AL450" s="15">
        <f t="shared" si="240"/>
        <v>0</v>
      </c>
      <c r="AM450" s="15">
        <f t="shared" si="241"/>
        <v>0</v>
      </c>
      <c r="AN450" s="15">
        <f t="shared" si="242"/>
        <v>0</v>
      </c>
      <c r="AO450" s="15">
        <f t="shared" si="243"/>
        <v>0</v>
      </c>
      <c r="AP450" s="31">
        <f t="shared" si="253"/>
        <v>0</v>
      </c>
      <c r="AQ450" s="31">
        <f t="shared" si="254"/>
        <v>0</v>
      </c>
    </row>
    <row r="451" spans="8:43" x14ac:dyDescent="0.25">
      <c r="H451" s="15">
        <v>5.4800000000000102</v>
      </c>
      <c r="I451" s="45">
        <f t="shared" si="244"/>
        <v>3019951.7204020889</v>
      </c>
      <c r="J451" s="32">
        <f t="shared" si="245"/>
        <v>-134.33390856414991</v>
      </c>
      <c r="K451" s="32">
        <f t="shared" si="246"/>
        <v>-49.654118101985439</v>
      </c>
      <c r="L451" s="15">
        <f t="shared" ref="L451:L503" si="255">A_PS</f>
        <v>3.8729613733905581</v>
      </c>
      <c r="M451" s="15">
        <f t="shared" ref="M451:M503" si="256">-180/PI()*ATAN($I451/z_RHP/1000)</f>
        <v>-85.384311515918498</v>
      </c>
      <c r="N451" s="15">
        <f t="shared" ref="N451:N503" si="257">20*LOG(SQRT(($I451/z_RHP/1000)^2+1))</f>
        <v>21.887119745104478</v>
      </c>
      <c r="O451" s="15">
        <f t="shared" ref="O451:O503" si="258">-180/PI()*ATAN($I451/p_small)</f>
        <v>-89.989556743449924</v>
      </c>
      <c r="P451" s="15">
        <f t="shared" ref="P451:P503" si="259">-20*LOG(SQRT(($I451/p_small)^2+1))</f>
        <v>-74.785733755152052</v>
      </c>
      <c r="Q451" s="15">
        <f t="shared" ref="Q451:Q503" si="260">-180/PI()*ATAN($I451/p_large/1000)</f>
        <v>-63.167087464311514</v>
      </c>
      <c r="R451" s="15">
        <f t="shared" ref="R451:R503" si="261">-20*LOG(SQRT(($I451/p_large/1000)^2+1))</f>
        <v>-6.9089575524529989</v>
      </c>
      <c r="S451" s="31">
        <f t="shared" si="247"/>
        <v>-238.54095572367993</v>
      </c>
      <c r="T451" s="31">
        <f t="shared" si="248"/>
        <v>-48.046708250235604</v>
      </c>
      <c r="U451" s="15">
        <f t="shared" ref="U451:U503" si="262">A_EA</f>
        <v>6500</v>
      </c>
      <c r="V451" s="15">
        <f t="shared" ref="V451:V503" si="263">-180/PI()*ATAN($I451/p_EA)</f>
        <v>-89.999990849837133</v>
      </c>
      <c r="W451" s="15">
        <f t="shared" ref="W451:W503" si="264">-20*LOG(SQRT(($I451/p_EA)^2+1))</f>
        <v>-135.93387616472037</v>
      </c>
      <c r="X451" s="15">
        <f t="shared" ref="X451:X503" si="265">180/PI()*ATAN($I451/z_comp)</f>
        <v>89.988647440763458</v>
      </c>
      <c r="Y451" s="15">
        <f t="shared" ref="Y451:Y503" si="266">20*LOG(SQRT(($I451/z_comp)^2+1))</f>
        <v>74.060577171322947</v>
      </c>
      <c r="Z451" s="15">
        <f t="shared" ref="Z451:Z503" si="267">IF(p_comp="",0,-180/PI()*ATAN($I451/p_comp/1000))</f>
        <v>-88.297617231593634</v>
      </c>
      <c r="AA451" s="15">
        <f t="shared" ref="AA451:AA503" si="268">IF(p_comp="",0,-20*LOG(SQRT(($I451/p_comp/1000)^2+1)))</f>
        <v>-30.542586396032007</v>
      </c>
      <c r="AB451" s="31">
        <f t="shared" si="249"/>
        <v>-88.308960640667308</v>
      </c>
      <c r="AC451" s="31">
        <f t="shared" si="250"/>
        <v>-16.15761825657232</v>
      </c>
      <c r="AD451" s="15">
        <f t="shared" ref="AD451:AD503" si="269">IF(z_esr_1="",0,180/PI()*ATAN($I451/z_esr_1/1000))</f>
        <v>89.88961212220724</v>
      </c>
      <c r="AE451" s="15">
        <f t="shared" ref="AE451:AE503" si="270">IF(z_esr_1="",0,20*LOG(SQRT(($I451/z_esr_1/1000)^2+1)))</f>
        <v>54.304030339507349</v>
      </c>
      <c r="AF451" s="15">
        <f t="shared" ref="AF451:AF503" si="271">180/PI()*ATAN($I451/z_esr_2/1000)</f>
        <v>12.049944387112017</v>
      </c>
      <c r="AG451" s="15">
        <f t="shared" ref="AG451:AG503" si="272">20*LOG(SQRT(($I451/z_esr_2/1000)^2+1))</f>
        <v>0.19352492835397669</v>
      </c>
      <c r="AH451" s="15">
        <f t="shared" ref="AH451:AH503" si="273">IF(p_esr="",0,-180/PI()*ATAN($I451/p_esr/1000))</f>
        <v>-89.423548709121931</v>
      </c>
      <c r="AI451" s="15">
        <f t="shared" ref="AI451:AI503" si="274">IF(p_esr="",0,-20*LOG(SQRT(($I451/p_esr/1000)^2+1)))</f>
        <v>-39.947346863038845</v>
      </c>
      <c r="AJ451" s="31">
        <f t="shared" si="251"/>
        <v>12.516007800197329</v>
      </c>
      <c r="AK451" s="31">
        <f t="shared" si="252"/>
        <v>14.550208404822477</v>
      </c>
      <c r="AL451" s="15">
        <f t="shared" ref="AL451:AL503" si="275">IF(z_ff="",0,180/PI()*ATAN($I451/z_ff/1000))</f>
        <v>0</v>
      </c>
      <c r="AM451" s="15">
        <f t="shared" ref="AM451:AM503" si="276">IF(z_ff="",0,20*LOG(SQRT(($I451/z_ff/1000)^2+1)))</f>
        <v>0</v>
      </c>
      <c r="AN451" s="15">
        <f t="shared" ref="AN451:AN503" si="277">IF(p_ff="",0,-180/PI()*ATAN($I451/p_ff/1000))</f>
        <v>0</v>
      </c>
      <c r="AO451" s="15">
        <f t="shared" ref="AO451:AO503" si="278">IF(p_ff="",0,-20*LOG(SQRT(($I451/p_ff/1000)^2+1)))</f>
        <v>0</v>
      </c>
      <c r="AP451" s="31">
        <f t="shared" si="253"/>
        <v>0</v>
      </c>
      <c r="AQ451" s="31">
        <f t="shared" si="254"/>
        <v>0</v>
      </c>
    </row>
    <row r="452" spans="8:43" x14ac:dyDescent="0.25">
      <c r="H452" s="15">
        <v>5.49000000000001</v>
      </c>
      <c r="I452" s="45">
        <f t="shared" ref="I452:I503" si="279">10*10^H452</f>
        <v>3090295.4325136645</v>
      </c>
      <c r="J452" s="32">
        <f t="shared" si="245"/>
        <v>-134.74340776025525</v>
      </c>
      <c r="K452" s="32">
        <f t="shared" si="246"/>
        <v>-50.006271034889579</v>
      </c>
      <c r="L452" s="15">
        <f t="shared" si="255"/>
        <v>3.8729613733905581</v>
      </c>
      <c r="M452" s="15">
        <f t="shared" si="256"/>
        <v>-85.488938741653755</v>
      </c>
      <c r="N452" s="15">
        <f t="shared" si="257"/>
        <v>22.085853785950892</v>
      </c>
      <c r="O452" s="15">
        <f t="shared" si="258"/>
        <v>-89.989794460986204</v>
      </c>
      <c r="P452" s="15">
        <f t="shared" si="259"/>
        <v>-74.985733748658305</v>
      </c>
      <c r="Q452" s="15">
        <f t="shared" si="260"/>
        <v>-63.694840290217442</v>
      </c>
      <c r="R452" s="15">
        <f t="shared" si="261"/>
        <v>-7.068947272115734</v>
      </c>
      <c r="S452" s="31">
        <f t="shared" si="247"/>
        <v>-239.17357349285737</v>
      </c>
      <c r="T452" s="31">
        <f t="shared" si="248"/>
        <v>-48.207963922558186</v>
      </c>
      <c r="U452" s="15">
        <f t="shared" si="262"/>
        <v>6500</v>
      </c>
      <c r="V452" s="15">
        <f t="shared" si="263"/>
        <v>-89.999991058120273</v>
      </c>
      <c r="W452" s="15">
        <f t="shared" si="264"/>
        <v>-136.13387616472036</v>
      </c>
      <c r="X452" s="15">
        <f t="shared" si="265"/>
        <v>89.988905856554425</v>
      </c>
      <c r="Y452" s="15">
        <f t="shared" si="266"/>
        <v>74.260577163649145</v>
      </c>
      <c r="Z452" s="15">
        <f t="shared" si="267"/>
        <v>-88.336346163975534</v>
      </c>
      <c r="AA452" s="15">
        <f t="shared" si="268"/>
        <v>-30.742413884410475</v>
      </c>
      <c r="AB452" s="31">
        <f t="shared" si="249"/>
        <v>-88.347431365541382</v>
      </c>
      <c r="AC452" s="31">
        <f t="shared" si="250"/>
        <v>-16.357445752624578</v>
      </c>
      <c r="AD452" s="15">
        <f t="shared" si="269"/>
        <v>89.892124851071259</v>
      </c>
      <c r="AE452" s="15">
        <f t="shared" si="270"/>
        <v>54.50402961396064</v>
      </c>
      <c r="AF452" s="15">
        <f t="shared" si="271"/>
        <v>12.322141734101958</v>
      </c>
      <c r="AG452" s="15">
        <f t="shared" si="272"/>
        <v>0.20243610443426302</v>
      </c>
      <c r="AH452" s="15">
        <f t="shared" si="273"/>
        <v>-89.436669487029718</v>
      </c>
      <c r="AI452" s="15">
        <f t="shared" si="274"/>
        <v>-40.147327078101718</v>
      </c>
      <c r="AJ452" s="31">
        <f t="shared" si="251"/>
        <v>12.777597098143502</v>
      </c>
      <c r="AK452" s="31">
        <f t="shared" si="252"/>
        <v>14.559138640293185</v>
      </c>
      <c r="AL452" s="15">
        <f t="shared" si="275"/>
        <v>0</v>
      </c>
      <c r="AM452" s="15">
        <f t="shared" si="276"/>
        <v>0</v>
      </c>
      <c r="AN452" s="15">
        <f t="shared" si="277"/>
        <v>0</v>
      </c>
      <c r="AO452" s="15">
        <f t="shared" si="278"/>
        <v>0</v>
      </c>
      <c r="AP452" s="31">
        <f t="shared" si="253"/>
        <v>0</v>
      </c>
      <c r="AQ452" s="31">
        <f t="shared" si="254"/>
        <v>0</v>
      </c>
    </row>
    <row r="453" spans="8:43" x14ac:dyDescent="0.25">
      <c r="H453" s="15">
        <v>5.5000000000000098</v>
      </c>
      <c r="I453" s="45">
        <f t="shared" si="279"/>
        <v>3162277.660168455</v>
      </c>
      <c r="J453" s="32">
        <f t="shared" si="245"/>
        <v>-135.13634974135874</v>
      </c>
      <c r="K453" s="32">
        <f t="shared" si="246"/>
        <v>-50.359429098554237</v>
      </c>
      <c r="L453" s="15">
        <f t="shared" si="255"/>
        <v>3.8729613733905581</v>
      </c>
      <c r="M453" s="15">
        <f t="shared" si="256"/>
        <v>-85.591213500319654</v>
      </c>
      <c r="N453" s="15">
        <f t="shared" si="257"/>
        <v>22.284644459762674</v>
      </c>
      <c r="O453" s="15">
        <f t="shared" si="258"/>
        <v>-89.990026767411038</v>
      </c>
      <c r="P453" s="15">
        <f t="shared" si="259"/>
        <v>-75.185733742456847</v>
      </c>
      <c r="Q453" s="15">
        <f t="shared" si="260"/>
        <v>-64.215266005774453</v>
      </c>
      <c r="R453" s="15">
        <f t="shared" si="261"/>
        <v>-7.2303905545844493</v>
      </c>
      <c r="S453" s="31">
        <f t="shared" si="247"/>
        <v>-239.79650627350514</v>
      </c>
      <c r="T453" s="31">
        <f t="shared" si="248"/>
        <v>-48.370616525013659</v>
      </c>
      <c r="U453" s="15">
        <f t="shared" si="262"/>
        <v>6500</v>
      </c>
      <c r="V453" s="15">
        <f t="shared" si="263"/>
        <v>-89.999991261662302</v>
      </c>
      <c r="W453" s="15">
        <f t="shared" si="264"/>
        <v>-136.33387616472035</v>
      </c>
      <c r="X453" s="15">
        <f t="shared" si="265"/>
        <v>89.989158390084256</v>
      </c>
      <c r="Y453" s="15">
        <f t="shared" si="266"/>
        <v>74.46057715632071</v>
      </c>
      <c r="Z453" s="15">
        <f t="shared" si="267"/>
        <v>-88.374194987704996</v>
      </c>
      <c r="AA453" s="15">
        <f t="shared" si="268"/>
        <v>-30.942249130693796</v>
      </c>
      <c r="AB453" s="31">
        <f t="shared" si="249"/>
        <v>-88.385027859283042</v>
      </c>
      <c r="AC453" s="31">
        <f t="shared" si="250"/>
        <v>-16.557281006236323</v>
      </c>
      <c r="AD453" s="15">
        <f t="shared" si="269"/>
        <v>89.894580383644325</v>
      </c>
      <c r="AE453" s="15">
        <f t="shared" si="270"/>
        <v>54.704028921068812</v>
      </c>
      <c r="AF453" s="15">
        <f t="shared" si="271"/>
        <v>12.600095664447982</v>
      </c>
      <c r="AG453" s="15">
        <f t="shared" si="272"/>
        <v>0.21174769517624178</v>
      </c>
      <c r="AH453" s="15">
        <f t="shared" si="273"/>
        <v>-89.449491656662858</v>
      </c>
      <c r="AI453" s="15">
        <f t="shared" si="274"/>
        <v>-40.347308183549309</v>
      </c>
      <c r="AJ453" s="31">
        <f t="shared" si="251"/>
        <v>13.045184391429444</v>
      </c>
      <c r="AK453" s="31">
        <f t="shared" si="252"/>
        <v>14.568468432695745</v>
      </c>
      <c r="AL453" s="15">
        <f t="shared" si="275"/>
        <v>0</v>
      </c>
      <c r="AM453" s="15">
        <f t="shared" si="276"/>
        <v>0</v>
      </c>
      <c r="AN453" s="15">
        <f t="shared" si="277"/>
        <v>0</v>
      </c>
      <c r="AO453" s="15">
        <f t="shared" si="278"/>
        <v>0</v>
      </c>
      <c r="AP453" s="31">
        <f t="shared" si="253"/>
        <v>0</v>
      </c>
      <c r="AQ453" s="31">
        <f t="shared" si="254"/>
        <v>0</v>
      </c>
    </row>
    <row r="454" spans="8:43" x14ac:dyDescent="0.25">
      <c r="H454" s="15">
        <v>5.5100000000000096</v>
      </c>
      <c r="I454" s="45">
        <f t="shared" si="279"/>
        <v>3235936.5692963596</v>
      </c>
      <c r="J454" s="32">
        <f t="shared" si="245"/>
        <v>-135.51264890907308</v>
      </c>
      <c r="K454" s="32">
        <f t="shared" si="246"/>
        <v>-50.713536802007638</v>
      </c>
      <c r="L454" s="15">
        <f t="shared" si="255"/>
        <v>3.8729613733905581</v>
      </c>
      <c r="M454" s="15">
        <f t="shared" si="256"/>
        <v>-85.691187410836335</v>
      </c>
      <c r="N454" s="15">
        <f t="shared" si="257"/>
        <v>22.483489247780824</v>
      </c>
      <c r="O454" s="15">
        <f t="shared" si="258"/>
        <v>-89.9902537858964</v>
      </c>
      <c r="P454" s="15">
        <f t="shared" si="259"/>
        <v>-75.385733736534476</v>
      </c>
      <c r="Q454" s="15">
        <f t="shared" si="260"/>
        <v>-64.728296996577924</v>
      </c>
      <c r="R454" s="15">
        <f t="shared" si="261"/>
        <v>-7.3932468533559419</v>
      </c>
      <c r="S454" s="31">
        <f t="shared" si="247"/>
        <v>-240.40973819331066</v>
      </c>
      <c r="T454" s="31">
        <f t="shared" si="248"/>
        <v>-48.534628029844633</v>
      </c>
      <c r="U454" s="15">
        <f t="shared" si="262"/>
        <v>6500</v>
      </c>
      <c r="V454" s="15">
        <f t="shared" si="263"/>
        <v>-89.999991460571152</v>
      </c>
      <c r="W454" s="15">
        <f t="shared" si="264"/>
        <v>-136.53387616472034</v>
      </c>
      <c r="X454" s="15">
        <f t="shared" si="265"/>
        <v>89.989405175249573</v>
      </c>
      <c r="Y454" s="15">
        <f t="shared" si="266"/>
        <v>74.660577149322123</v>
      </c>
      <c r="Z454" s="15">
        <f t="shared" si="267"/>
        <v>-88.411183638523582</v>
      </c>
      <c r="AA454" s="15">
        <f t="shared" si="268"/>
        <v>-31.142091786281163</v>
      </c>
      <c r="AB454" s="31">
        <f t="shared" si="249"/>
        <v>-88.421769923845162</v>
      </c>
      <c r="AC454" s="31">
        <f t="shared" si="250"/>
        <v>-16.757123668822267</v>
      </c>
      <c r="AD454" s="15">
        <f t="shared" si="269"/>
        <v>89.89698002184619</v>
      </c>
      <c r="AE454" s="15">
        <f t="shared" si="270"/>
        <v>54.904028259362136</v>
      </c>
      <c r="AF454" s="15">
        <f t="shared" si="271"/>
        <v>12.883901197601769</v>
      </c>
      <c r="AG454" s="15">
        <f t="shared" si="272"/>
        <v>0.22147677661223464</v>
      </c>
      <c r="AH454" s="15">
        <f t="shared" si="273"/>
        <v>-89.462022011365235</v>
      </c>
      <c r="AI454" s="15">
        <f t="shared" si="274"/>
        <v>-40.547290139315109</v>
      </c>
      <c r="AJ454" s="31">
        <f t="shared" si="251"/>
        <v>13.318859208082728</v>
      </c>
      <c r="AK454" s="31">
        <f t="shared" si="252"/>
        <v>14.578214896659262</v>
      </c>
      <c r="AL454" s="15">
        <f t="shared" si="275"/>
        <v>0</v>
      </c>
      <c r="AM454" s="15">
        <f t="shared" si="276"/>
        <v>0</v>
      </c>
      <c r="AN454" s="15">
        <f t="shared" si="277"/>
        <v>0</v>
      </c>
      <c r="AO454" s="15">
        <f t="shared" si="278"/>
        <v>0</v>
      </c>
      <c r="AP454" s="31">
        <f t="shared" si="253"/>
        <v>0</v>
      </c>
      <c r="AQ454" s="31">
        <f t="shared" si="254"/>
        <v>0</v>
      </c>
    </row>
    <row r="455" spans="8:43" x14ac:dyDescent="0.25">
      <c r="H455" s="15">
        <v>5.5200000000000102</v>
      </c>
      <c r="I455" s="45">
        <f t="shared" si="279"/>
        <v>3311311.2148259953</v>
      </c>
      <c r="J455" s="32">
        <f t="shared" si="245"/>
        <v>-135.8722288320958</v>
      </c>
      <c r="K455" s="32">
        <f t="shared" si="246"/>
        <v>-51.068538153867635</v>
      </c>
      <c r="L455" s="15">
        <f t="shared" si="255"/>
        <v>3.8729613733905581</v>
      </c>
      <c r="M455" s="15">
        <f t="shared" si="256"/>
        <v>-85.788911044300121</v>
      </c>
      <c r="N455" s="15">
        <f t="shared" si="257"/>
        <v>22.682385741979306</v>
      </c>
      <c r="O455" s="15">
        <f t="shared" si="258"/>
        <v>-89.990475636810416</v>
      </c>
      <c r="P455" s="15">
        <f t="shared" si="259"/>
        <v>-75.585733730878673</v>
      </c>
      <c r="Q455" s="15">
        <f t="shared" si="260"/>
        <v>-65.233876161054113</v>
      </c>
      <c r="R455" s="15">
        <f t="shared" si="261"/>
        <v>-7.5574758593804772</v>
      </c>
      <c r="S455" s="31">
        <f t="shared" si="247"/>
        <v>-241.01326284216464</v>
      </c>
      <c r="T455" s="31">
        <f t="shared" si="248"/>
        <v>-48.699960536014878</v>
      </c>
      <c r="U455" s="15">
        <f t="shared" si="262"/>
        <v>6500</v>
      </c>
      <c r="V455" s="15">
        <f t="shared" si="263"/>
        <v>-89.999991654952296</v>
      </c>
      <c r="W455" s="15">
        <f t="shared" si="264"/>
        <v>-136.73387616472036</v>
      </c>
      <c r="X455" s="15">
        <f t="shared" si="265"/>
        <v>89.989646342899064</v>
      </c>
      <c r="Y455" s="15">
        <f t="shared" si="266"/>
        <v>74.860577142638533</v>
      </c>
      <c r="Z455" s="15">
        <f t="shared" si="267"/>
        <v>-88.447331604908257</v>
      </c>
      <c r="AA455" s="15">
        <f t="shared" si="268"/>
        <v>-31.341941518211989</v>
      </c>
      <c r="AB455" s="31">
        <f t="shared" si="249"/>
        <v>-88.457676916961489</v>
      </c>
      <c r="AC455" s="31">
        <f t="shared" si="250"/>
        <v>-16.956973407436699</v>
      </c>
      <c r="AD455" s="15">
        <f t="shared" si="269"/>
        <v>89.899325037963095</v>
      </c>
      <c r="AE455" s="15">
        <f t="shared" si="270"/>
        <v>55.104027627437091</v>
      </c>
      <c r="AF455" s="15">
        <f t="shared" si="271"/>
        <v>13.173653079166799</v>
      </c>
      <c r="AG455" s="15">
        <f t="shared" si="272"/>
        <v>0.2316410692821117</v>
      </c>
      <c r="AH455" s="15">
        <f t="shared" si="273"/>
        <v>-89.474267190099582</v>
      </c>
      <c r="AI455" s="15">
        <f t="shared" si="274"/>
        <v>-40.747272907135262</v>
      </c>
      <c r="AJ455" s="31">
        <f t="shared" si="251"/>
        <v>13.598710927030311</v>
      </c>
      <c r="AK455" s="31">
        <f t="shared" si="252"/>
        <v>14.588395789583942</v>
      </c>
      <c r="AL455" s="15">
        <f t="shared" si="275"/>
        <v>0</v>
      </c>
      <c r="AM455" s="15">
        <f t="shared" si="276"/>
        <v>0</v>
      </c>
      <c r="AN455" s="15">
        <f t="shared" si="277"/>
        <v>0</v>
      </c>
      <c r="AO455" s="15">
        <f t="shared" si="278"/>
        <v>0</v>
      </c>
      <c r="AP455" s="31">
        <f t="shared" si="253"/>
        <v>0</v>
      </c>
      <c r="AQ455" s="31">
        <f t="shared" si="254"/>
        <v>0</v>
      </c>
    </row>
    <row r="456" spans="8:43" x14ac:dyDescent="0.25">
      <c r="H456" s="15">
        <v>5.53000000000001</v>
      </c>
      <c r="I456" s="45">
        <f t="shared" si="279"/>
        <v>3388441.5613921052</v>
      </c>
      <c r="J456" s="32">
        <f t="shared" si="245"/>
        <v>-136.21502209090627</v>
      </c>
      <c r="K456" s="32">
        <f t="shared" si="246"/>
        <v>-51.424376719276836</v>
      </c>
      <c r="L456" s="15">
        <f t="shared" si="255"/>
        <v>3.8729613733905581</v>
      </c>
      <c r="M456" s="15">
        <f t="shared" si="256"/>
        <v>-85.884433939523561</v>
      </c>
      <c r="N456" s="15">
        <f t="shared" si="257"/>
        <v>22.881331640309668</v>
      </c>
      <c r="O456" s="15">
        <f t="shared" si="258"/>
        <v>-89.990692437781377</v>
      </c>
      <c r="P456" s="15">
        <f t="shared" si="259"/>
        <v>-75.7857337254774</v>
      </c>
      <c r="Q456" s="15">
        <f t="shared" si="260"/>
        <v>-65.731956577018664</v>
      </c>
      <c r="R456" s="15">
        <f t="shared" si="261"/>
        <v>-7.7230375707127372</v>
      </c>
      <c r="S456" s="31">
        <f t="shared" si="247"/>
        <v>-241.60708295432357</v>
      </c>
      <c r="T456" s="31">
        <f t="shared" si="248"/>
        <v>-48.866576343615506</v>
      </c>
      <c r="U456" s="15">
        <f t="shared" si="262"/>
        <v>6500</v>
      </c>
      <c r="V456" s="15">
        <f t="shared" si="263"/>
        <v>-89.999991844908763</v>
      </c>
      <c r="W456" s="15">
        <f t="shared" si="264"/>
        <v>-136.93387616472035</v>
      </c>
      <c r="X456" s="15">
        <f t="shared" si="265"/>
        <v>89.989882020902996</v>
      </c>
      <c r="Y456" s="15">
        <f t="shared" si="266"/>
        <v>75.060577136255716</v>
      </c>
      <c r="Z456" s="15">
        <f t="shared" si="267"/>
        <v>-88.482657937817791</v>
      </c>
      <c r="AA456" s="15">
        <f t="shared" si="268"/>
        <v>-31.541798008466216</v>
      </c>
      <c r="AB456" s="31">
        <f t="shared" si="249"/>
        <v>-88.492767761823558</v>
      </c>
      <c r="AC456" s="31">
        <f t="shared" si="250"/>
        <v>-17.156829904073732</v>
      </c>
      <c r="AD456" s="15">
        <f t="shared" si="269"/>
        <v>89.901616675322188</v>
      </c>
      <c r="AE456" s="15">
        <f t="shared" si="270"/>
        <v>55.304027023953239</v>
      </c>
      <c r="AF456" s="15">
        <f t="shared" si="271"/>
        <v>13.469445630863429</v>
      </c>
      <c r="AG456" s="15">
        <f t="shared" si="272"/>
        <v>0.24225895492656174</v>
      </c>
      <c r="AH456" s="15">
        <f t="shared" si="273"/>
        <v>-89.486233680944764</v>
      </c>
      <c r="AI456" s="15">
        <f t="shared" si="274"/>
        <v>-40.9472564504674</v>
      </c>
      <c r="AJ456" s="31">
        <f t="shared" si="251"/>
        <v>13.884828625240857</v>
      </c>
      <c r="AK456" s="31">
        <f t="shared" si="252"/>
        <v>14.599029528412402</v>
      </c>
      <c r="AL456" s="15">
        <f t="shared" si="275"/>
        <v>0</v>
      </c>
      <c r="AM456" s="15">
        <f t="shared" si="276"/>
        <v>0</v>
      </c>
      <c r="AN456" s="15">
        <f t="shared" si="277"/>
        <v>0</v>
      </c>
      <c r="AO456" s="15">
        <f t="shared" si="278"/>
        <v>0</v>
      </c>
      <c r="AP456" s="31">
        <f t="shared" si="253"/>
        <v>0</v>
      </c>
      <c r="AQ456" s="31">
        <f t="shared" si="254"/>
        <v>0</v>
      </c>
    </row>
    <row r="457" spans="8:43" x14ac:dyDescent="0.25">
      <c r="H457" s="15">
        <v>5.5400000000000098</v>
      </c>
      <c r="I457" s="45">
        <f t="shared" si="279"/>
        <v>3467368.5045253979</v>
      </c>
      <c r="J457" s="32">
        <f t="shared" si="245"/>
        <v>-136.54097011597253</v>
      </c>
      <c r="K457" s="32">
        <f t="shared" si="246"/>
        <v>-51.780995672008288</v>
      </c>
      <c r="L457" s="15">
        <f t="shared" si="255"/>
        <v>3.8729613733905581</v>
      </c>
      <c r="M457" s="15">
        <f t="shared" si="256"/>
        <v>-85.977804618757574</v>
      </c>
      <c r="N457" s="15">
        <f t="shared" si="257"/>
        <v>23.080324742140213</v>
      </c>
      <c r="O457" s="15">
        <f t="shared" si="258"/>
        <v>-89.99090430375999</v>
      </c>
      <c r="P457" s="15">
        <f t="shared" si="259"/>
        <v>-75.985733720319246</v>
      </c>
      <c r="Q457" s="15">
        <f t="shared" si="260"/>
        <v>-66.222501151703639</v>
      </c>
      <c r="R457" s="15">
        <f t="shared" si="261"/>
        <v>-7.8898923571982928</v>
      </c>
      <c r="S457" s="31">
        <f t="shared" si="247"/>
        <v>-242.1912100742212</v>
      </c>
      <c r="T457" s="31">
        <f t="shared" si="248"/>
        <v>-49.034438023112358</v>
      </c>
      <c r="U457" s="15">
        <f t="shared" si="262"/>
        <v>6500</v>
      </c>
      <c r="V457" s="15">
        <f t="shared" si="263"/>
        <v>-89.999992030541307</v>
      </c>
      <c r="W457" s="15">
        <f t="shared" si="264"/>
        <v>-137.13387616472033</v>
      </c>
      <c r="X457" s="15">
        <f t="shared" si="265"/>
        <v>89.990112334220925</v>
      </c>
      <c r="Y457" s="15">
        <f t="shared" si="266"/>
        <v>75.2605771301602</v>
      </c>
      <c r="Z457" s="15">
        <f t="shared" si="267"/>
        <v>-88.517181260246318</v>
      </c>
      <c r="AA457" s="15">
        <f t="shared" si="268"/>
        <v>-31.741660953296012</v>
      </c>
      <c r="AB457" s="31">
        <f t="shared" si="249"/>
        <v>-88.5270609565667</v>
      </c>
      <c r="AC457" s="31">
        <f t="shared" si="250"/>
        <v>-17.356692854999032</v>
      </c>
      <c r="AD457" s="15">
        <f t="shared" si="269"/>
        <v>89.903856148950609</v>
      </c>
      <c r="AE457" s="15">
        <f t="shared" si="270"/>
        <v>55.504026447630572</v>
      </c>
      <c r="AF457" s="15">
        <f t="shared" si="271"/>
        <v>13.771372590379121</v>
      </c>
      <c r="AG457" s="15">
        <f t="shared" si="272"/>
        <v>0.2533494928859486</v>
      </c>
      <c r="AH457" s="15">
        <f t="shared" si="273"/>
        <v>-89.497927824514363</v>
      </c>
      <c r="AI457" s="15">
        <f t="shared" si="274"/>
        <v>-41.147240734413408</v>
      </c>
      <c r="AJ457" s="31">
        <f t="shared" si="251"/>
        <v>14.177300914815362</v>
      </c>
      <c r="AK457" s="31">
        <f t="shared" si="252"/>
        <v>14.610135206103109</v>
      </c>
      <c r="AL457" s="15">
        <f t="shared" si="275"/>
        <v>0</v>
      </c>
      <c r="AM457" s="15">
        <f t="shared" si="276"/>
        <v>0</v>
      </c>
      <c r="AN457" s="15">
        <f t="shared" si="277"/>
        <v>0</v>
      </c>
      <c r="AO457" s="15">
        <f t="shared" si="278"/>
        <v>0</v>
      </c>
      <c r="AP457" s="31">
        <f t="shared" si="253"/>
        <v>0</v>
      </c>
      <c r="AQ457" s="31">
        <f t="shared" si="254"/>
        <v>0</v>
      </c>
    </row>
    <row r="458" spans="8:43" x14ac:dyDescent="0.25">
      <c r="H458" s="15">
        <v>5.5500000000000096</v>
      </c>
      <c r="I458" s="45">
        <f t="shared" si="279"/>
        <v>3548133.8923358377</v>
      </c>
      <c r="J458" s="32">
        <f t="shared" si="245"/>
        <v>-136.8500230226357</v>
      </c>
      <c r="K458" s="32">
        <f t="shared" si="246"/>
        <v>-52.138337841841256</v>
      </c>
      <c r="L458" s="15">
        <f t="shared" si="255"/>
        <v>3.8729613733905581</v>
      </c>
      <c r="M458" s="15">
        <f t="shared" si="256"/>
        <v>-86.069070603557606</v>
      </c>
      <c r="N458" s="15">
        <f t="shared" si="257"/>
        <v>23.279362943882063</v>
      </c>
      <c r="O458" s="15">
        <f t="shared" si="258"/>
        <v>-89.991111347080405</v>
      </c>
      <c r="P458" s="15">
        <f t="shared" si="259"/>
        <v>-76.185733715393241</v>
      </c>
      <c r="Q458" s="15">
        <f t="shared" si="260"/>
        <v>-66.705482258109839</v>
      </c>
      <c r="R458" s="15">
        <f t="shared" si="261"/>
        <v>-8.0580010202025889</v>
      </c>
      <c r="S458" s="31">
        <f t="shared" si="247"/>
        <v>-242.76566420874786</v>
      </c>
      <c r="T458" s="31">
        <f t="shared" si="248"/>
        <v>-49.203508479448807</v>
      </c>
      <c r="U458" s="15">
        <f t="shared" si="262"/>
        <v>6500</v>
      </c>
      <c r="V458" s="15">
        <f t="shared" si="263"/>
        <v>-89.999992211948324</v>
      </c>
      <c r="W458" s="15">
        <f t="shared" si="264"/>
        <v>-137.33387616472032</v>
      </c>
      <c r="X458" s="15">
        <f t="shared" si="265"/>
        <v>89.990337404968002</v>
      </c>
      <c r="Y458" s="15">
        <f t="shared" si="266"/>
        <v>75.460577124339025</v>
      </c>
      <c r="Z458" s="15">
        <f t="shared" si="267"/>
        <v>-88.550919776586269</v>
      </c>
      <c r="AA458" s="15">
        <f t="shared" si="268"/>
        <v>-31.941530062586882</v>
      </c>
      <c r="AB458" s="31">
        <f t="shared" si="249"/>
        <v>-88.560574583566591</v>
      </c>
      <c r="AC458" s="31">
        <f t="shared" si="250"/>
        <v>-17.556561970111066</v>
      </c>
      <c r="AD458" s="15">
        <f t="shared" si="269"/>
        <v>89.906044646219485</v>
      </c>
      <c r="AE458" s="15">
        <f t="shared" si="270"/>
        <v>55.704025897246638</v>
      </c>
      <c r="AF458" s="15">
        <f t="shared" si="271"/>
        <v>14.07952694075796</v>
      </c>
      <c r="AG458" s="15">
        <f t="shared" si="272"/>
        <v>0.26493243611725775</v>
      </c>
      <c r="AH458" s="15">
        <f t="shared" si="273"/>
        <v>-89.509355817298669</v>
      </c>
      <c r="AI458" s="15">
        <f t="shared" si="274"/>
        <v>-41.347225725645274</v>
      </c>
      <c r="AJ458" s="31">
        <f t="shared" si="251"/>
        <v>14.476215769678774</v>
      </c>
      <c r="AK458" s="31">
        <f t="shared" si="252"/>
        <v>14.62173260771862</v>
      </c>
      <c r="AL458" s="15">
        <f t="shared" si="275"/>
        <v>0</v>
      </c>
      <c r="AM458" s="15">
        <f t="shared" si="276"/>
        <v>0</v>
      </c>
      <c r="AN458" s="15">
        <f t="shared" si="277"/>
        <v>0</v>
      </c>
      <c r="AO458" s="15">
        <f t="shared" si="278"/>
        <v>0</v>
      </c>
      <c r="AP458" s="31">
        <f t="shared" si="253"/>
        <v>0</v>
      </c>
      <c r="AQ458" s="31">
        <f t="shared" si="254"/>
        <v>0</v>
      </c>
    </row>
    <row r="459" spans="8:43" x14ac:dyDescent="0.25">
      <c r="H459" s="15">
        <v>5.5600000000000103</v>
      </c>
      <c r="I459" s="45">
        <f t="shared" si="279"/>
        <v>3630780.5477011041</v>
      </c>
      <c r="J459" s="32">
        <f t="shared" si="245"/>
        <v>-137.1421394457027</v>
      </c>
      <c r="K459" s="32">
        <f t="shared" si="246"/>
        <v>-52.496345757349708</v>
      </c>
      <c r="L459" s="15">
        <f t="shared" si="255"/>
        <v>3.8729613733905581</v>
      </c>
      <c r="M459" s="15">
        <f t="shared" si="256"/>
        <v>-86.158278430759196</v>
      </c>
      <c r="N459" s="15">
        <f t="shared" si="257"/>
        <v>23.478444234795855</v>
      </c>
      <c r="O459" s="15">
        <f t="shared" si="258"/>
        <v>-89.99131367751967</v>
      </c>
      <c r="P459" s="15">
        <f t="shared" si="259"/>
        <v>-76.385733710688953</v>
      </c>
      <c r="Q459" s="15">
        <f t="shared" si="260"/>
        <v>-67.180881360417516</v>
      </c>
      <c r="R459" s="15">
        <f t="shared" si="261"/>
        <v>-8.2273248474244856</v>
      </c>
      <c r="S459" s="31">
        <f t="shared" si="247"/>
        <v>-243.33047346869637</v>
      </c>
      <c r="T459" s="31">
        <f t="shared" si="248"/>
        <v>-49.373751011052619</v>
      </c>
      <c r="U459" s="15">
        <f t="shared" si="262"/>
        <v>6500</v>
      </c>
      <c r="V459" s="15">
        <f t="shared" si="263"/>
        <v>-89.999992389226037</v>
      </c>
      <c r="W459" s="15">
        <f t="shared" si="264"/>
        <v>-137.53387616472034</v>
      </c>
      <c r="X459" s="15">
        <f t="shared" si="265"/>
        <v>89.990557352479684</v>
      </c>
      <c r="Y459" s="15">
        <f t="shared" si="266"/>
        <v>75.660577118779869</v>
      </c>
      <c r="Z459" s="15">
        <f t="shared" si="267"/>
        <v>-88.583891281803488</v>
      </c>
      <c r="AA459" s="15">
        <f t="shared" si="268"/>
        <v>-32.141405059247447</v>
      </c>
      <c r="AB459" s="31">
        <f t="shared" si="249"/>
        <v>-88.593326318549842</v>
      </c>
      <c r="AC459" s="31">
        <f t="shared" si="250"/>
        <v>-17.756436972330803</v>
      </c>
      <c r="AD459" s="15">
        <f t="shared" si="269"/>
        <v>89.908183327473523</v>
      </c>
      <c r="AE459" s="15">
        <f t="shared" si="270"/>
        <v>55.904025371633999</v>
      </c>
      <c r="AF459" s="15">
        <f t="shared" si="271"/>
        <v>14.394000729001501</v>
      </c>
      <c r="AG459" s="15">
        <f t="shared" si="272"/>
        <v>0.27702824673428683</v>
      </c>
      <c r="AH459" s="15">
        <f t="shared" si="273"/>
        <v>-89.520523714931528</v>
      </c>
      <c r="AI459" s="15">
        <f t="shared" si="274"/>
        <v>-41.547211392334574</v>
      </c>
      <c r="AJ459" s="31">
        <f t="shared" si="251"/>
        <v>14.7816603415435</v>
      </c>
      <c r="AK459" s="31">
        <f t="shared" si="252"/>
        <v>14.633842226033714</v>
      </c>
      <c r="AL459" s="15">
        <f t="shared" si="275"/>
        <v>0</v>
      </c>
      <c r="AM459" s="15">
        <f t="shared" si="276"/>
        <v>0</v>
      </c>
      <c r="AN459" s="15">
        <f t="shared" si="277"/>
        <v>0</v>
      </c>
      <c r="AO459" s="15">
        <f t="shared" si="278"/>
        <v>0</v>
      </c>
      <c r="AP459" s="31">
        <f t="shared" si="253"/>
        <v>0</v>
      </c>
      <c r="AQ459" s="31">
        <f t="shared" si="254"/>
        <v>0</v>
      </c>
    </row>
    <row r="460" spans="8:43" x14ac:dyDescent="0.25">
      <c r="H460" s="15">
        <v>5.5700000000000101</v>
      </c>
      <c r="I460" s="45">
        <f t="shared" si="279"/>
        <v>3715352.2909718184</v>
      </c>
      <c r="J460" s="32">
        <f t="shared" si="245"/>
        <v>-137.4172863766168</v>
      </c>
      <c r="K460" s="32">
        <f t="shared" si="246"/>
        <v>-52.854961684282777</v>
      </c>
      <c r="L460" s="15">
        <f t="shared" si="255"/>
        <v>3.8729613733905581</v>
      </c>
      <c r="M460" s="15">
        <f t="shared" si="256"/>
        <v>-86.245473668530281</v>
      </c>
      <c r="N460" s="15">
        <f t="shared" si="257"/>
        <v>23.677566692971865</v>
      </c>
      <c r="O460" s="15">
        <f t="shared" si="258"/>
        <v>-89.991511402356082</v>
      </c>
      <c r="P460" s="15">
        <f t="shared" si="259"/>
        <v>-76.585733706196379</v>
      </c>
      <c r="Q460" s="15">
        <f t="shared" si="260"/>
        <v>-67.648688631044436</v>
      </c>
      <c r="R460" s="15">
        <f t="shared" si="261"/>
        <v>-8.3978256628658734</v>
      </c>
      <c r="S460" s="31">
        <f t="shared" si="247"/>
        <v>-243.88567370193078</v>
      </c>
      <c r="T460" s="31">
        <f t="shared" si="248"/>
        <v>-49.545129363825424</v>
      </c>
      <c r="U460" s="15">
        <f t="shared" si="262"/>
        <v>6500</v>
      </c>
      <c r="V460" s="15">
        <f t="shared" si="263"/>
        <v>-89.999992562468407</v>
      </c>
      <c r="W460" s="15">
        <f t="shared" si="264"/>
        <v>-137.73387616472033</v>
      </c>
      <c r="X460" s="15">
        <f t="shared" si="265"/>
        <v>89.990772293375016</v>
      </c>
      <c r="Y460" s="15">
        <f t="shared" si="266"/>
        <v>75.860577113470896</v>
      </c>
      <c r="Z460" s="15">
        <f t="shared" si="267"/>
        <v>-88.616113170426758</v>
      </c>
      <c r="AA460" s="15">
        <f t="shared" si="268"/>
        <v>-32.341285678626221</v>
      </c>
      <c r="AB460" s="31">
        <f t="shared" si="249"/>
        <v>-88.625333439520148</v>
      </c>
      <c r="AC460" s="31">
        <f t="shared" si="250"/>
        <v>-17.95631759701854</v>
      </c>
      <c r="AD460" s="15">
        <f t="shared" si="269"/>
        <v>89.91027332664595</v>
      </c>
      <c r="AE460" s="15">
        <f t="shared" si="270"/>
        <v>56.104024869677758</v>
      </c>
      <c r="AF460" s="15">
        <f t="shared" si="271"/>
        <v>14.714884873571972</v>
      </c>
      <c r="AG460" s="15">
        <f t="shared" si="272"/>
        <v>0.28965811096837157</v>
      </c>
      <c r="AH460" s="15">
        <f t="shared" si="273"/>
        <v>-89.531437435383808</v>
      </c>
      <c r="AI460" s="15">
        <f t="shared" si="274"/>
        <v>-41.747197704084947</v>
      </c>
      <c r="AJ460" s="31">
        <f t="shared" si="251"/>
        <v>15.093720764834117</v>
      </c>
      <c r="AK460" s="31">
        <f t="shared" si="252"/>
        <v>14.646485276561187</v>
      </c>
      <c r="AL460" s="15">
        <f t="shared" si="275"/>
        <v>0</v>
      </c>
      <c r="AM460" s="15">
        <f t="shared" si="276"/>
        <v>0</v>
      </c>
      <c r="AN460" s="15">
        <f t="shared" si="277"/>
        <v>0</v>
      </c>
      <c r="AO460" s="15">
        <f t="shared" si="278"/>
        <v>0</v>
      </c>
      <c r="AP460" s="31">
        <f t="shared" si="253"/>
        <v>0</v>
      </c>
      <c r="AQ460" s="31">
        <f t="shared" si="254"/>
        <v>0</v>
      </c>
    </row>
    <row r="461" spans="8:43" x14ac:dyDescent="0.25">
      <c r="H461" s="15">
        <v>5.5800000000000098</v>
      </c>
      <c r="I461" s="45">
        <f t="shared" si="279"/>
        <v>3801893.9632056998</v>
      </c>
      <c r="J461" s="32">
        <f t="shared" si="245"/>
        <v>-137.67543900590181</v>
      </c>
      <c r="K461" s="32">
        <f t="shared" si="246"/>
        <v>-53.214127659752897</v>
      </c>
      <c r="L461" s="15">
        <f t="shared" si="255"/>
        <v>3.8729613733905581</v>
      </c>
      <c r="M461" s="15">
        <f t="shared" si="256"/>
        <v>-86.330700932470975</v>
      </c>
      <c r="N461" s="15">
        <f t="shared" si="257"/>
        <v>23.876728481477478</v>
      </c>
      <c r="O461" s="15">
        <f t="shared" si="258"/>
        <v>-89.991704626425914</v>
      </c>
      <c r="P461" s="15">
        <f t="shared" si="259"/>
        <v>-76.785733701905983</v>
      </c>
      <c r="Q461" s="15">
        <f t="shared" si="260"/>
        <v>-68.108902561791311</v>
      </c>
      <c r="R461" s="15">
        <f t="shared" si="261"/>
        <v>-8.5694658720568899</v>
      </c>
      <c r="S461" s="31">
        <f t="shared" si="247"/>
        <v>-244.43130812068819</v>
      </c>
      <c r="T461" s="31">
        <f t="shared" si="248"/>
        <v>-49.717607780220426</v>
      </c>
      <c r="U461" s="15">
        <f t="shared" si="262"/>
        <v>6500</v>
      </c>
      <c r="V461" s="15">
        <f t="shared" si="263"/>
        <v>-89.999992731767279</v>
      </c>
      <c r="W461" s="15">
        <f t="shared" si="264"/>
        <v>-137.93387616472032</v>
      </c>
      <c r="X461" s="15">
        <f t="shared" si="265"/>
        <v>89.990982341618491</v>
      </c>
      <c r="Y461" s="15">
        <f t="shared" si="266"/>
        <v>76.060577108400835</v>
      </c>
      <c r="Z461" s="15">
        <f t="shared" si="267"/>
        <v>-88.647602445354963</v>
      </c>
      <c r="AA461" s="15">
        <f t="shared" si="268"/>
        <v>-32.541171667954586</v>
      </c>
      <c r="AB461" s="31">
        <f t="shared" si="249"/>
        <v>-88.656612835503751</v>
      </c>
      <c r="AC461" s="31">
        <f t="shared" si="250"/>
        <v>-18.156203591416954</v>
      </c>
      <c r="AD461" s="15">
        <f t="shared" si="269"/>
        <v>89.912315751859737</v>
      </c>
      <c r="AE461" s="15">
        <f t="shared" si="270"/>
        <v>56.304024390313202</v>
      </c>
      <c r="AF461" s="15">
        <f t="shared" si="271"/>
        <v>15.042268960515239</v>
      </c>
      <c r="AG461" s="15">
        <f t="shared" si="272"/>
        <v>0.30284395343902104</v>
      </c>
      <c r="AH461" s="15">
        <f t="shared" si="273"/>
        <v>-89.542102762084838</v>
      </c>
      <c r="AI461" s="15">
        <f t="shared" si="274"/>
        <v>-41.947184631867749</v>
      </c>
      <c r="AJ461" s="31">
        <f t="shared" si="251"/>
        <v>15.412481950290143</v>
      </c>
      <c r="AK461" s="31">
        <f t="shared" si="252"/>
        <v>14.659683711884476</v>
      </c>
      <c r="AL461" s="15">
        <f t="shared" si="275"/>
        <v>0</v>
      </c>
      <c r="AM461" s="15">
        <f t="shared" si="276"/>
        <v>0</v>
      </c>
      <c r="AN461" s="15">
        <f t="shared" si="277"/>
        <v>0</v>
      </c>
      <c r="AO461" s="15">
        <f t="shared" si="278"/>
        <v>0</v>
      </c>
      <c r="AP461" s="31">
        <f t="shared" si="253"/>
        <v>0</v>
      </c>
      <c r="AQ461" s="31">
        <f t="shared" si="254"/>
        <v>0</v>
      </c>
    </row>
    <row r="462" spans="8:43" x14ac:dyDescent="0.25">
      <c r="H462" s="15">
        <v>5.5900000000000096</v>
      </c>
      <c r="I462" s="45">
        <f t="shared" si="279"/>
        <v>3890451.4499428957</v>
      </c>
      <c r="J462" s="32">
        <f t="shared" si="245"/>
        <v>-137.91658057338992</v>
      </c>
      <c r="K462" s="32">
        <f t="shared" si="246"/>
        <v>-53.573785522477763</v>
      </c>
      <c r="L462" s="15">
        <f t="shared" si="255"/>
        <v>3.8729613733905581</v>
      </c>
      <c r="M462" s="15">
        <f t="shared" si="256"/>
        <v>-86.414003901732968</v>
      </c>
      <c r="N462" s="15">
        <f t="shared" si="257"/>
        <v>24.075927844665316</v>
      </c>
      <c r="O462" s="15">
        <f t="shared" si="258"/>
        <v>-89.991893452179113</v>
      </c>
      <c r="P462" s="15">
        <f t="shared" si="259"/>
        <v>-76.985733697808712</v>
      </c>
      <c r="Q462" s="15">
        <f t="shared" si="260"/>
        <v>-68.561529571353404</v>
      </c>
      <c r="R462" s="15">
        <f t="shared" si="261"/>
        <v>-8.7422085026593219</v>
      </c>
      <c r="S462" s="31">
        <f t="shared" si="247"/>
        <v>-244.9674269252655</v>
      </c>
      <c r="T462" s="31">
        <f t="shared" si="248"/>
        <v>-49.891151043537761</v>
      </c>
      <c r="U462" s="15">
        <f t="shared" si="262"/>
        <v>6500</v>
      </c>
      <c r="V462" s="15">
        <f t="shared" si="263"/>
        <v>-89.999992897212465</v>
      </c>
      <c r="W462" s="15">
        <f t="shared" si="264"/>
        <v>-138.13387616472031</v>
      </c>
      <c r="X462" s="15">
        <f t="shared" si="265"/>
        <v>89.991187608580447</v>
      </c>
      <c r="Y462" s="15">
        <f t="shared" si="266"/>
        <v>76.260577103559001</v>
      </c>
      <c r="Z462" s="15">
        <f t="shared" si="267"/>
        <v>-88.678375726483978</v>
      </c>
      <c r="AA462" s="15">
        <f t="shared" si="268"/>
        <v>-32.741062785814414</v>
      </c>
      <c r="AB462" s="31">
        <f t="shared" si="249"/>
        <v>-88.687181015115996</v>
      </c>
      <c r="AC462" s="31">
        <f t="shared" si="250"/>
        <v>-18.356094714118605</v>
      </c>
      <c r="AD462" s="15">
        <f t="shared" si="269"/>
        <v>89.914311686015012</v>
      </c>
      <c r="AE462" s="15">
        <f t="shared" si="270"/>
        <v>56.504023932523566</v>
      </c>
      <c r="AF462" s="15">
        <f t="shared" si="271"/>
        <v>15.37624102795046</v>
      </c>
      <c r="AG462" s="15">
        <f t="shared" si="272"/>
        <v>0.31660845061557891</v>
      </c>
      <c r="AH462" s="15">
        <f t="shared" si="273"/>
        <v>-89.552525346973923</v>
      </c>
      <c r="AI462" s="15">
        <f t="shared" si="274"/>
        <v>-42.147172147960532</v>
      </c>
      <c r="AJ462" s="31">
        <f t="shared" si="251"/>
        <v>15.738027366991545</v>
      </c>
      <c r="AK462" s="31">
        <f t="shared" si="252"/>
        <v>14.673460235178609</v>
      </c>
      <c r="AL462" s="15">
        <f t="shared" si="275"/>
        <v>0</v>
      </c>
      <c r="AM462" s="15">
        <f t="shared" si="276"/>
        <v>0</v>
      </c>
      <c r="AN462" s="15">
        <f t="shared" si="277"/>
        <v>0</v>
      </c>
      <c r="AO462" s="15">
        <f t="shared" si="278"/>
        <v>0</v>
      </c>
      <c r="AP462" s="31">
        <f t="shared" si="253"/>
        <v>0</v>
      </c>
      <c r="AQ462" s="31">
        <f t="shared" si="254"/>
        <v>0</v>
      </c>
    </row>
    <row r="463" spans="8:43" x14ac:dyDescent="0.25">
      <c r="H463" s="15">
        <v>5.6000000000000103</v>
      </c>
      <c r="I463" s="45">
        <f t="shared" si="279"/>
        <v>3981071.7055350705</v>
      </c>
      <c r="J463" s="32">
        <f t="shared" si="245"/>
        <v>-138.14070222854281</v>
      </c>
      <c r="K463" s="32">
        <f t="shared" si="246"/>
        <v>-53.933876939351649</v>
      </c>
      <c r="L463" s="15">
        <f t="shared" si="255"/>
        <v>3.8729613733905581</v>
      </c>
      <c r="M463" s="15">
        <f t="shared" si="256"/>
        <v>-86.495425335133987</v>
      </c>
      <c r="N463" s="15">
        <f t="shared" si="257"/>
        <v>24.275163104635979</v>
      </c>
      <c r="O463" s="15">
        <f t="shared" si="258"/>
        <v>-89.992077979733594</v>
      </c>
      <c r="P463" s="15">
        <f t="shared" si="259"/>
        <v>-77.185733693895855</v>
      </c>
      <c r="Q463" s="15">
        <f t="shared" si="260"/>
        <v>-69.00658361131309</v>
      </c>
      <c r="R463" s="15">
        <f t="shared" si="261"/>
        <v>-8.9160172405915112</v>
      </c>
      <c r="S463" s="31">
        <f t="shared" si="247"/>
        <v>-245.49408692618067</v>
      </c>
      <c r="T463" s="31">
        <f t="shared" si="248"/>
        <v>-50.065724517586432</v>
      </c>
      <c r="U463" s="15">
        <f t="shared" si="262"/>
        <v>6500</v>
      </c>
      <c r="V463" s="15">
        <f t="shared" si="263"/>
        <v>-89.999993058891647</v>
      </c>
      <c r="W463" s="15">
        <f t="shared" si="264"/>
        <v>-138.33387616472032</v>
      </c>
      <c r="X463" s="15">
        <f t="shared" si="265"/>
        <v>89.991388203096136</v>
      </c>
      <c r="Y463" s="15">
        <f t="shared" si="266"/>
        <v>76.46057709893509</v>
      </c>
      <c r="Z463" s="15">
        <f t="shared" si="267"/>
        <v>-88.708449259156453</v>
      </c>
      <c r="AA463" s="15">
        <f t="shared" si="268"/>
        <v>-32.940958801629485</v>
      </c>
      <c r="AB463" s="31">
        <f t="shared" si="249"/>
        <v>-88.717054114951964</v>
      </c>
      <c r="AC463" s="31">
        <f t="shared" si="250"/>
        <v>-18.555990734557604</v>
      </c>
      <c r="AD463" s="15">
        <f t="shared" si="269"/>
        <v>89.916262187363088</v>
      </c>
      <c r="AE463" s="15">
        <f t="shared" si="270"/>
        <v>56.704023495337822</v>
      </c>
      <c r="AF463" s="15">
        <f t="shared" si="271"/>
        <v>15.716887338709544</v>
      </c>
      <c r="AG463" s="15">
        <f t="shared" si="272"/>
        <v>0.33097504334277361</v>
      </c>
      <c r="AH463" s="15">
        <f t="shared" si="273"/>
        <v>-89.562710713482815</v>
      </c>
      <c r="AI463" s="15">
        <f t="shared" si="274"/>
        <v>-42.347160225888203</v>
      </c>
      <c r="AJ463" s="31">
        <f t="shared" si="251"/>
        <v>16.070438812589813</v>
      </c>
      <c r="AK463" s="31">
        <f t="shared" si="252"/>
        <v>14.687838312792394</v>
      </c>
      <c r="AL463" s="15">
        <f t="shared" si="275"/>
        <v>0</v>
      </c>
      <c r="AM463" s="15">
        <f t="shared" si="276"/>
        <v>0</v>
      </c>
      <c r="AN463" s="15">
        <f t="shared" si="277"/>
        <v>0</v>
      </c>
      <c r="AO463" s="15">
        <f t="shared" si="278"/>
        <v>0</v>
      </c>
      <c r="AP463" s="31">
        <f t="shared" si="253"/>
        <v>0</v>
      </c>
      <c r="AQ463" s="31">
        <f t="shared" si="254"/>
        <v>0</v>
      </c>
    </row>
    <row r="464" spans="8:43" x14ac:dyDescent="0.25">
      <c r="H464" s="15">
        <v>5.6100000000000101</v>
      </c>
      <c r="I464" s="45">
        <f t="shared" si="279"/>
        <v>4073802.7780412273</v>
      </c>
      <c r="J464" s="32">
        <f t="shared" si="245"/>
        <v>-138.34780290297002</v>
      </c>
      <c r="K464" s="32">
        <f t="shared" si="246"/>
        <v>-54.294343428647331</v>
      </c>
      <c r="L464" s="15">
        <f t="shared" si="255"/>
        <v>3.8729613733905581</v>
      </c>
      <c r="M464" s="15">
        <f t="shared" si="256"/>
        <v>-86.575007087243918</v>
      </c>
      <c r="N464" s="15">
        <f t="shared" si="257"/>
        <v>24.474432657849533</v>
      </c>
      <c r="O464" s="15">
        <f t="shared" si="258"/>
        <v>-89.992258306928278</v>
      </c>
      <c r="P464" s="15">
        <f t="shared" si="259"/>
        <v>-77.3857336901591</v>
      </c>
      <c r="Q464" s="15">
        <f t="shared" si="260"/>
        <v>-69.444085772561266</v>
      </c>
      <c r="R464" s="15">
        <f t="shared" si="261"/>
        <v>-9.0908564618353758</v>
      </c>
      <c r="S464" s="31">
        <f t="shared" si="247"/>
        <v>-246.01135116673345</v>
      </c>
      <c r="T464" s="31">
        <f t="shared" si="248"/>
        <v>-50.241294181879979</v>
      </c>
      <c r="U464" s="15">
        <f t="shared" si="262"/>
        <v>6500</v>
      </c>
      <c r="V464" s="15">
        <f t="shared" si="263"/>
        <v>-89.999993216890559</v>
      </c>
      <c r="W464" s="15">
        <f t="shared" si="264"/>
        <v>-138.53387616472031</v>
      </c>
      <c r="X464" s="15">
        <f t="shared" si="265"/>
        <v>89.991584231523376</v>
      </c>
      <c r="Y464" s="15">
        <f t="shared" si="266"/>
        <v>76.660577094519269</v>
      </c>
      <c r="Z464" s="15">
        <f t="shared" si="267"/>
        <v>-88.737838922437149</v>
      </c>
      <c r="AA464" s="15">
        <f t="shared" si="268"/>
        <v>-33.140859495179598</v>
      </c>
      <c r="AB464" s="31">
        <f t="shared" si="249"/>
        <v>-88.746247907804332</v>
      </c>
      <c r="AC464" s="31">
        <f t="shared" si="250"/>
        <v>-18.755891432523526</v>
      </c>
      <c r="AD464" s="15">
        <f t="shared" si="269"/>
        <v>89.918168290067484</v>
      </c>
      <c r="AE464" s="15">
        <f t="shared" si="270"/>
        <v>56.904023077828626</v>
      </c>
      <c r="AF464" s="15">
        <f t="shared" si="271"/>
        <v>16.06429214095148</v>
      </c>
      <c r="AG464" s="15">
        <f t="shared" si="272"/>
        <v>0.34596794829450239</v>
      </c>
      <c r="AH464" s="15">
        <f t="shared" si="273"/>
        <v>-89.572664259451201</v>
      </c>
      <c r="AI464" s="15">
        <f t="shared" si="274"/>
        <v>-42.547148840366951</v>
      </c>
      <c r="AJ464" s="31">
        <f t="shared" si="251"/>
        <v>16.409796171567763</v>
      </c>
      <c r="AK464" s="31">
        <f t="shared" si="252"/>
        <v>14.702842185756175</v>
      </c>
      <c r="AL464" s="15">
        <f t="shared" si="275"/>
        <v>0</v>
      </c>
      <c r="AM464" s="15">
        <f t="shared" si="276"/>
        <v>0</v>
      </c>
      <c r="AN464" s="15">
        <f t="shared" si="277"/>
        <v>0</v>
      </c>
      <c r="AO464" s="15">
        <f t="shared" si="278"/>
        <v>0</v>
      </c>
      <c r="AP464" s="31">
        <f t="shared" si="253"/>
        <v>0</v>
      </c>
      <c r="AQ464" s="31">
        <f t="shared" si="254"/>
        <v>0</v>
      </c>
    </row>
    <row r="465" spans="8:43" x14ac:dyDescent="0.25">
      <c r="H465" s="15">
        <v>5.6200000000000099</v>
      </c>
      <c r="I465" s="45">
        <f t="shared" si="279"/>
        <v>4168693.8347034557</v>
      </c>
      <c r="J465" s="32">
        <f t="shared" si="245"/>
        <v>-138.53788919703322</v>
      </c>
      <c r="K465" s="32">
        <f t="shared" si="246"/>
        <v>-54.655126380171744</v>
      </c>
      <c r="L465" s="15">
        <f t="shared" si="255"/>
        <v>3.8729613733905581</v>
      </c>
      <c r="M465" s="15">
        <f t="shared" si="256"/>
        <v>-86.652790124421742</v>
      </c>
      <c r="N465" s="15">
        <f t="shared" si="257"/>
        <v>24.673734971879924</v>
      </c>
      <c r="O465" s="15">
        <f t="shared" si="258"/>
        <v>-89.992434529375032</v>
      </c>
      <c r="P465" s="15">
        <f t="shared" si="259"/>
        <v>-77.585733686590515</v>
      </c>
      <c r="Q465" s="15">
        <f t="shared" si="260"/>
        <v>-69.874063893926916</v>
      </c>
      <c r="R465" s="15">
        <f t="shared" si="261"/>
        <v>-9.2666912601002345</v>
      </c>
      <c r="S465" s="31">
        <f t="shared" si="247"/>
        <v>-246.5192885477237</v>
      </c>
      <c r="T465" s="31">
        <f t="shared" si="248"/>
        <v>-50.417826662545863</v>
      </c>
      <c r="U465" s="15">
        <f t="shared" si="262"/>
        <v>6500</v>
      </c>
      <c r="V465" s="15">
        <f t="shared" si="263"/>
        <v>-89.999993371292987</v>
      </c>
      <c r="W465" s="15">
        <f t="shared" si="264"/>
        <v>-138.73387616472033</v>
      </c>
      <c r="X465" s="15">
        <f t="shared" si="265"/>
        <v>89.991775797799036</v>
      </c>
      <c r="Y465" s="15">
        <f t="shared" si="266"/>
        <v>76.860577090302201</v>
      </c>
      <c r="Z465" s="15">
        <f t="shared" si="267"/>
        <v>-88.76656023721641</v>
      </c>
      <c r="AA465" s="15">
        <f t="shared" si="268"/>
        <v>-33.340764656136407</v>
      </c>
      <c r="AB465" s="31">
        <f t="shared" si="249"/>
        <v>-88.774777810710361</v>
      </c>
      <c r="AC465" s="31">
        <f t="shared" si="250"/>
        <v>-18.955796597697422</v>
      </c>
      <c r="AD465" s="15">
        <f t="shared" si="269"/>
        <v>89.920031004752204</v>
      </c>
      <c r="AE465" s="15">
        <f t="shared" si="270"/>
        <v>57.1040226791104</v>
      </c>
      <c r="AF465" s="15">
        <f t="shared" si="271"/>
        <v>16.418537416625</v>
      </c>
      <c r="AG465" s="15">
        <f t="shared" si="272"/>
        <v>0.36161216821183972</v>
      </c>
      <c r="AH465" s="15">
        <f t="shared" si="273"/>
        <v>-89.582391259976362</v>
      </c>
      <c r="AI465" s="15">
        <f t="shared" si="274"/>
        <v>-42.747137967250708</v>
      </c>
      <c r="AJ465" s="31">
        <f t="shared" si="251"/>
        <v>16.756177161400842</v>
      </c>
      <c r="AK465" s="31">
        <f t="shared" si="252"/>
        <v>14.718496880071534</v>
      </c>
      <c r="AL465" s="15">
        <f t="shared" si="275"/>
        <v>0</v>
      </c>
      <c r="AM465" s="15">
        <f t="shared" si="276"/>
        <v>0</v>
      </c>
      <c r="AN465" s="15">
        <f t="shared" si="277"/>
        <v>0</v>
      </c>
      <c r="AO465" s="15">
        <f t="shared" si="278"/>
        <v>0</v>
      </c>
      <c r="AP465" s="31">
        <f t="shared" si="253"/>
        <v>0</v>
      </c>
      <c r="AQ465" s="31">
        <f t="shared" si="254"/>
        <v>0</v>
      </c>
    </row>
    <row r="466" spans="8:43" x14ac:dyDescent="0.25">
      <c r="H466" s="15">
        <v>5.6300000000000097</v>
      </c>
      <c r="I466" s="45">
        <f t="shared" si="279"/>
        <v>4265795.1880160235</v>
      </c>
      <c r="J466" s="32">
        <f t="shared" si="245"/>
        <v>-138.71097528220568</v>
      </c>
      <c r="K466" s="32">
        <f t="shared" si="246"/>
        <v>-55.016167072718112</v>
      </c>
      <c r="L466" s="15">
        <f t="shared" si="255"/>
        <v>3.8729613733905581</v>
      </c>
      <c r="M466" s="15">
        <f t="shared" si="256"/>
        <v>-86.7288145407841</v>
      </c>
      <c r="N466" s="15">
        <f t="shared" si="257"/>
        <v>24.873068582306566</v>
      </c>
      <c r="O466" s="15">
        <f t="shared" si="258"/>
        <v>-89.992606740509302</v>
      </c>
      <c r="P466" s="15">
        <f t="shared" si="259"/>
        <v>-77.785733683182542</v>
      </c>
      <c r="Q466" s="15">
        <f t="shared" si="260"/>
        <v>-70.296552174626797</v>
      </c>
      <c r="R466" s="15">
        <f t="shared" si="261"/>
        <v>-9.443487470529293</v>
      </c>
      <c r="S466" s="31">
        <f t="shared" si="247"/>
        <v>-247.01797345592018</v>
      </c>
      <c r="T466" s="31">
        <f t="shared" si="248"/>
        <v>-50.595289259140301</v>
      </c>
      <c r="U466" s="15">
        <f t="shared" si="262"/>
        <v>6500</v>
      </c>
      <c r="V466" s="15">
        <f t="shared" si="263"/>
        <v>-89.999993522180787</v>
      </c>
      <c r="W466" s="15">
        <f t="shared" si="264"/>
        <v>-138.93387616472029</v>
      </c>
      <c r="X466" s="15">
        <f t="shared" si="265"/>
        <v>89.991963003494064</v>
      </c>
      <c r="Y466" s="15">
        <f t="shared" si="266"/>
        <v>77.060577086274918</v>
      </c>
      <c r="Z466" s="15">
        <f t="shared" si="267"/>
        <v>-88.794628374144978</v>
      </c>
      <c r="AA466" s="15">
        <f t="shared" si="268"/>
        <v>-33.540674083619912</v>
      </c>
      <c r="AB466" s="31">
        <f t="shared" si="249"/>
        <v>-88.802658892831701</v>
      </c>
      <c r="AC466" s="31">
        <f t="shared" si="250"/>
        <v>-19.155706029208169</v>
      </c>
      <c r="AD466" s="15">
        <f t="shared" si="269"/>
        <v>89.921851319037486</v>
      </c>
      <c r="AE466" s="15">
        <f t="shared" si="270"/>
        <v>57.304022298337415</v>
      </c>
      <c r="AF466" s="15">
        <f t="shared" si="271"/>
        <v>16.779702617707432</v>
      </c>
      <c r="AG466" s="15">
        <f t="shared" si="272"/>
        <v>0.37793350077282245</v>
      </c>
      <c r="AH466" s="15">
        <f t="shared" si="273"/>
        <v>-89.591896870198724</v>
      </c>
      <c r="AI466" s="15">
        <f t="shared" si="274"/>
        <v>-42.947127583479883</v>
      </c>
      <c r="AJ466" s="31">
        <f t="shared" si="251"/>
        <v>17.109657066546191</v>
      </c>
      <c r="AK466" s="31">
        <f t="shared" si="252"/>
        <v>14.734828215630351</v>
      </c>
      <c r="AL466" s="15">
        <f t="shared" si="275"/>
        <v>0</v>
      </c>
      <c r="AM466" s="15">
        <f t="shared" si="276"/>
        <v>0</v>
      </c>
      <c r="AN466" s="15">
        <f t="shared" si="277"/>
        <v>0</v>
      </c>
      <c r="AO466" s="15">
        <f t="shared" si="278"/>
        <v>0</v>
      </c>
      <c r="AP466" s="31">
        <f t="shared" si="253"/>
        <v>0</v>
      </c>
      <c r="AQ466" s="31">
        <f t="shared" si="254"/>
        <v>0</v>
      </c>
    </row>
    <row r="467" spans="8:43" x14ac:dyDescent="0.25">
      <c r="H467" s="15">
        <v>5.6400000000000103</v>
      </c>
      <c r="I467" s="45">
        <f t="shared" si="279"/>
        <v>4365158.3224017657</v>
      </c>
      <c r="J467" s="32">
        <f t="shared" si="245"/>
        <v>-138.86708282063097</v>
      </c>
      <c r="K467" s="32">
        <f t="shared" si="246"/>
        <v>-55.377406689175167</v>
      </c>
      <c r="L467" s="15">
        <f t="shared" si="255"/>
        <v>3.8729613733905581</v>
      </c>
      <c r="M467" s="15">
        <f t="shared" si="256"/>
        <v>-86.803119574087887</v>
      </c>
      <c r="N467" s="15">
        <f t="shared" si="257"/>
        <v>25.072432089737955</v>
      </c>
      <c r="O467" s="15">
        <f t="shared" si="258"/>
        <v>-89.992775031639695</v>
      </c>
      <c r="P467" s="15">
        <f t="shared" si="259"/>
        <v>-77.985733679927975</v>
      </c>
      <c r="Q467" s="15">
        <f t="shared" si="260"/>
        <v>-70.711590791984463</v>
      </c>
      <c r="R467" s="15">
        <f t="shared" si="261"/>
        <v>-9.6212116896437454</v>
      </c>
      <c r="S467" s="31">
        <f t="shared" si="247"/>
        <v>-247.50748539771206</v>
      </c>
      <c r="T467" s="31">
        <f t="shared" si="248"/>
        <v>-50.773649967568801</v>
      </c>
      <c r="U467" s="15">
        <f t="shared" si="262"/>
        <v>6500</v>
      </c>
      <c r="V467" s="15">
        <f t="shared" si="263"/>
        <v>-89.999993669633938</v>
      </c>
      <c r="W467" s="15">
        <f t="shared" si="264"/>
        <v>-139.13387616472031</v>
      </c>
      <c r="X467" s="15">
        <f t="shared" si="265"/>
        <v>89.992145947867385</v>
      </c>
      <c r="Y467" s="15">
        <f t="shared" si="266"/>
        <v>77.260577082428924</v>
      </c>
      <c r="Z467" s="15">
        <f t="shared" si="267"/>
        <v>-88.822058161402481</v>
      </c>
      <c r="AA467" s="15">
        <f t="shared" si="268"/>
        <v>-33.740587585774868</v>
      </c>
      <c r="AB467" s="31">
        <f t="shared" si="249"/>
        <v>-88.829905883169033</v>
      </c>
      <c r="AC467" s="31">
        <f t="shared" si="250"/>
        <v>-19.355619535209136</v>
      </c>
      <c r="AD467" s="15">
        <f t="shared" si="269"/>
        <v>89.92363019806335</v>
      </c>
      <c r="AE467" s="15">
        <f t="shared" si="270"/>
        <v>57.504021934702017</v>
      </c>
      <c r="AF467" s="15">
        <f t="shared" si="271"/>
        <v>17.147864390211083</v>
      </c>
      <c r="AG467" s="15">
        <f t="shared" si="272"/>
        <v>0.3949585459333258</v>
      </c>
      <c r="AH467" s="15">
        <f t="shared" si="273"/>
        <v>-89.601186128024324</v>
      </c>
      <c r="AI467" s="15">
        <f t="shared" si="274"/>
        <v>-43.147117667032582</v>
      </c>
      <c r="AJ467" s="31">
        <f t="shared" si="251"/>
        <v>17.470308460250109</v>
      </c>
      <c r="AK467" s="31">
        <f t="shared" si="252"/>
        <v>14.751862813602763</v>
      </c>
      <c r="AL467" s="15">
        <f t="shared" si="275"/>
        <v>0</v>
      </c>
      <c r="AM467" s="15">
        <f t="shared" si="276"/>
        <v>0</v>
      </c>
      <c r="AN467" s="15">
        <f t="shared" si="277"/>
        <v>0</v>
      </c>
      <c r="AO467" s="15">
        <f t="shared" si="278"/>
        <v>0</v>
      </c>
      <c r="AP467" s="31">
        <f t="shared" si="253"/>
        <v>0</v>
      </c>
      <c r="AQ467" s="31">
        <f t="shared" si="254"/>
        <v>0</v>
      </c>
    </row>
    <row r="468" spans="8:43" x14ac:dyDescent="0.25">
      <c r="H468" s="15">
        <v>5.6500000000000101</v>
      </c>
      <c r="I468" s="45">
        <f t="shared" si="279"/>
        <v>4466835.921509739</v>
      </c>
      <c r="J468" s="32">
        <f t="shared" ref="J468:J503" si="280">180+S468+AB468+AJ468+AP468</f>
        <v>-139.0062409030968</v>
      </c>
      <c r="K468" s="32">
        <f t="shared" ref="K468:K503" si="281">T468+AC468+AK468+AQ468</f>
        <v>-55.738786329665842</v>
      </c>
      <c r="L468" s="15">
        <f t="shared" si="255"/>
        <v>3.8729613733905581</v>
      </c>
      <c r="M468" s="15">
        <f t="shared" si="256"/>
        <v>-86.875743621510878</v>
      </c>
      <c r="N468" s="15">
        <f t="shared" si="257"/>
        <v>25.271824156961657</v>
      </c>
      <c r="O468" s="15">
        <f t="shared" si="258"/>
        <v>-89.992939491996395</v>
      </c>
      <c r="P468" s="15">
        <f t="shared" si="259"/>
        <v>-78.185733676819879</v>
      </c>
      <c r="Q468" s="15">
        <f t="shared" si="260"/>
        <v>-71.119225525706753</v>
      </c>
      <c r="R468" s="15">
        <f t="shared" si="261"/>
        <v>-9.7998312917249866</v>
      </c>
      <c r="S468" s="31">
        <f t="shared" ref="S468:S503" si="282">M468+O468+Q468</f>
        <v>-247.98790863921403</v>
      </c>
      <c r="T468" s="31">
        <f t="shared" ref="T468:T503" si="283">20*LOG(L468)+N468+P468+R468</f>
        <v>-50.952877499318248</v>
      </c>
      <c r="U468" s="15">
        <f t="shared" si="262"/>
        <v>6500</v>
      </c>
      <c r="V468" s="15">
        <f t="shared" si="263"/>
        <v>-89.999993813730669</v>
      </c>
      <c r="W468" s="15">
        <f t="shared" si="264"/>
        <v>-139.33387616472029</v>
      </c>
      <c r="X468" s="15">
        <f t="shared" si="265"/>
        <v>89.992324727918515</v>
      </c>
      <c r="Y468" s="15">
        <f t="shared" si="266"/>
        <v>77.460577078756003</v>
      </c>
      <c r="Z468" s="15">
        <f t="shared" si="267"/>
        <v>-88.848864092302833</v>
      </c>
      <c r="AA468" s="15">
        <f t="shared" si="268"/>
        <v>-33.94050497936589</v>
      </c>
      <c r="AB468" s="31">
        <f t="shared" ref="AB468:AB503" si="284">V468+X468+Z468</f>
        <v>-88.856533178114987</v>
      </c>
      <c r="AC468" s="31">
        <f t="shared" ref="AC468:AC503" si="285">20*LOG(U468)+W468+Y468+AA468</f>
        <v>-19.555536932473068</v>
      </c>
      <c r="AD468" s="15">
        <f t="shared" si="269"/>
        <v>89.925368585001266</v>
      </c>
      <c r="AE468" s="15">
        <f t="shared" si="270"/>
        <v>57.704021587432877</v>
      </c>
      <c r="AF468" s="15">
        <f t="shared" si="271"/>
        <v>17.523096286017115</v>
      </c>
      <c r="AG468" s="15">
        <f t="shared" si="272"/>
        <v>0.41271471157037953</v>
      </c>
      <c r="AH468" s="15">
        <f t="shared" si="273"/>
        <v>-89.610263956786156</v>
      </c>
      <c r="AI468" s="15">
        <f t="shared" si="274"/>
        <v>-43.347108196877777</v>
      </c>
      <c r="AJ468" s="31">
        <f t="shared" ref="AJ468:AJ503" si="286">AD468+AF468+AH468</f>
        <v>17.838200914232232</v>
      </c>
      <c r="AK468" s="31">
        <f t="shared" ref="AK468:AK503" si="287">AE468+AG468+AI468</f>
        <v>14.76962810212548</v>
      </c>
      <c r="AL468" s="15">
        <f t="shared" si="275"/>
        <v>0</v>
      </c>
      <c r="AM468" s="15">
        <f t="shared" si="276"/>
        <v>0</v>
      </c>
      <c r="AN468" s="15">
        <f t="shared" si="277"/>
        <v>0</v>
      </c>
      <c r="AO468" s="15">
        <f t="shared" si="278"/>
        <v>0</v>
      </c>
      <c r="AP468" s="31">
        <f t="shared" ref="AP468:AP503" si="288">AL468+AN468</f>
        <v>0</v>
      </c>
      <c r="AQ468" s="31">
        <f t="shared" ref="AQ468:AQ503" si="289">AM468+AO468</f>
        <v>0</v>
      </c>
    </row>
    <row r="469" spans="8:43" x14ac:dyDescent="0.25">
      <c r="H469" s="15">
        <v>5.6600000000000099</v>
      </c>
      <c r="I469" s="45">
        <f t="shared" si="279"/>
        <v>4570881.8961488605</v>
      </c>
      <c r="J469" s="32">
        <f t="shared" si="280"/>
        <v>-139.1284860064101</v>
      </c>
      <c r="K469" s="32">
        <f t="shared" si="281"/>
        <v>-56.10024702310227</v>
      </c>
      <c r="L469" s="15">
        <f t="shared" si="255"/>
        <v>3.8729613733905581</v>
      </c>
      <c r="M469" s="15">
        <f t="shared" si="256"/>
        <v>-86.946724255316283</v>
      </c>
      <c r="N469" s="15">
        <f t="shared" si="257"/>
        <v>25.471243506216222</v>
      </c>
      <c r="O469" s="15">
        <f t="shared" si="258"/>
        <v>-89.993100208778444</v>
      </c>
      <c r="P469" s="15">
        <f t="shared" si="259"/>
        <v>-78.385733673851661</v>
      </c>
      <c r="Q469" s="15">
        <f t="shared" si="260"/>
        <v>-71.519507389853445</v>
      </c>
      <c r="R469" s="15">
        <f t="shared" si="261"/>
        <v>-9.9793144418402147</v>
      </c>
      <c r="S469" s="31">
        <f t="shared" si="282"/>
        <v>-248.45933185394819</v>
      </c>
      <c r="T469" s="31">
        <f t="shared" si="283"/>
        <v>-51.132941297210692</v>
      </c>
      <c r="U469" s="15">
        <f t="shared" si="262"/>
        <v>6500</v>
      </c>
      <c r="V469" s="15">
        <f t="shared" si="263"/>
        <v>-89.99999395454735</v>
      </c>
      <c r="W469" s="15">
        <f t="shared" si="264"/>
        <v>-139.53387616472031</v>
      </c>
      <c r="X469" s="15">
        <f t="shared" si="265"/>
        <v>89.992499438438998</v>
      </c>
      <c r="Y469" s="15">
        <f t="shared" si="266"/>
        <v>77.660577075248398</v>
      </c>
      <c r="Z469" s="15">
        <f t="shared" si="267"/>
        <v>-88.875060332739139</v>
      </c>
      <c r="AA469" s="15">
        <f t="shared" si="268"/>
        <v>-34.140426089390978</v>
      </c>
      <c r="AB469" s="31">
        <f t="shared" si="284"/>
        <v>-88.882554848847491</v>
      </c>
      <c r="AC469" s="31">
        <f t="shared" si="285"/>
        <v>-19.755458046005778</v>
      </c>
      <c r="AD469" s="15">
        <f t="shared" si="269"/>
        <v>89.927067401554197</v>
      </c>
      <c r="AE469" s="15">
        <f t="shared" si="270"/>
        <v>57.904021255793396</v>
      </c>
      <c r="AF469" s="15">
        <f t="shared" si="271"/>
        <v>17.905468462676495</v>
      </c>
      <c r="AG469" s="15">
        <f t="shared" si="272"/>
        <v>0.43123021725166388</v>
      </c>
      <c r="AH469" s="15">
        <f t="shared" si="273"/>
        <v>-89.619135167845116</v>
      </c>
      <c r="AI469" s="15">
        <f t="shared" si="274"/>
        <v>-43.547099152930869</v>
      </c>
      <c r="AJ469" s="31">
        <f t="shared" si="286"/>
        <v>18.213400696385577</v>
      </c>
      <c r="AK469" s="31">
        <f t="shared" si="287"/>
        <v>14.788152320114193</v>
      </c>
      <c r="AL469" s="15">
        <f t="shared" si="275"/>
        <v>0</v>
      </c>
      <c r="AM469" s="15">
        <f t="shared" si="276"/>
        <v>0</v>
      </c>
      <c r="AN469" s="15">
        <f t="shared" si="277"/>
        <v>0</v>
      </c>
      <c r="AO469" s="15">
        <f t="shared" si="278"/>
        <v>0</v>
      </c>
      <c r="AP469" s="31">
        <f t="shared" si="288"/>
        <v>0</v>
      </c>
      <c r="AQ469" s="31">
        <f t="shared" si="289"/>
        <v>0</v>
      </c>
    </row>
    <row r="470" spans="8:43" x14ac:dyDescent="0.25">
      <c r="H470" s="15">
        <v>5.6700000000000097</v>
      </c>
      <c r="I470" s="45">
        <f t="shared" si="279"/>
        <v>4677351.4128720937</v>
      </c>
      <c r="J470" s="32">
        <f t="shared" si="280"/>
        <v>-139.23386197092648</v>
      </c>
      <c r="K470" s="32">
        <f t="shared" si="281"/>
        <v>-56.461729737549994</v>
      </c>
      <c r="L470" s="15">
        <f t="shared" si="255"/>
        <v>3.8729613733905581</v>
      </c>
      <c r="M470" s="15">
        <f t="shared" si="256"/>
        <v>-87.016098238387841</v>
      </c>
      <c r="N470" s="15">
        <f t="shared" si="257"/>
        <v>25.670688916579433</v>
      </c>
      <c r="O470" s="15">
        <f t="shared" si="258"/>
        <v>-89.993257267200008</v>
      </c>
      <c r="P470" s="15">
        <f t="shared" si="259"/>
        <v>-78.585733671017039</v>
      </c>
      <c r="Q470" s="15">
        <f t="shared" si="260"/>
        <v>-71.912492273486393</v>
      </c>
      <c r="R470" s="15">
        <f t="shared" si="261"/>
        <v>-10.159630105717628</v>
      </c>
      <c r="S470" s="31">
        <f t="shared" si="282"/>
        <v>-248.92184777907426</v>
      </c>
      <c r="T470" s="31">
        <f t="shared" si="283"/>
        <v>-51.313811547890268</v>
      </c>
      <c r="U470" s="15">
        <f t="shared" si="262"/>
        <v>6500</v>
      </c>
      <c r="V470" s="15">
        <f t="shared" si="263"/>
        <v>-89.999994092158659</v>
      </c>
      <c r="W470" s="15">
        <f t="shared" si="264"/>
        <v>-139.7338761647203</v>
      </c>
      <c r="X470" s="15">
        <f t="shared" si="265"/>
        <v>89.992670172062631</v>
      </c>
      <c r="Y470" s="15">
        <f t="shared" si="266"/>
        <v>77.860577071898661</v>
      </c>
      <c r="Z470" s="15">
        <f t="shared" si="267"/>
        <v>-88.900660728470868</v>
      </c>
      <c r="AA470" s="15">
        <f t="shared" si="268"/>
        <v>-34.340350748712048</v>
      </c>
      <c r="AB470" s="31">
        <f t="shared" si="284"/>
        <v>-88.907984648566895</v>
      </c>
      <c r="AC470" s="31">
        <f t="shared" si="285"/>
        <v>-19.955382708676574</v>
      </c>
      <c r="AD470" s="15">
        <f t="shared" si="269"/>
        <v>89.928727548445195</v>
      </c>
      <c r="AE470" s="15">
        <f t="shared" si="270"/>
        <v>58.104020939080115</v>
      </c>
      <c r="AF470" s="15">
        <f t="shared" si="271"/>
        <v>18.295047371401857</v>
      </c>
      <c r="AG470" s="15">
        <f t="shared" si="272"/>
        <v>0.45053409594777277</v>
      </c>
      <c r="AH470" s="15">
        <f t="shared" si="273"/>
        <v>-89.627804463132378</v>
      </c>
      <c r="AI470" s="15">
        <f t="shared" si="274"/>
        <v>-43.747090516011049</v>
      </c>
      <c r="AJ470" s="31">
        <f t="shared" si="286"/>
        <v>18.595970456714667</v>
      </c>
      <c r="AK470" s="31">
        <f t="shared" si="287"/>
        <v>14.80746451901684</v>
      </c>
      <c r="AL470" s="15">
        <f t="shared" si="275"/>
        <v>0</v>
      </c>
      <c r="AM470" s="15">
        <f t="shared" si="276"/>
        <v>0</v>
      </c>
      <c r="AN470" s="15">
        <f t="shared" si="277"/>
        <v>0</v>
      </c>
      <c r="AO470" s="15">
        <f t="shared" si="278"/>
        <v>0</v>
      </c>
      <c r="AP470" s="31">
        <f t="shared" si="288"/>
        <v>0</v>
      </c>
      <c r="AQ470" s="31">
        <f t="shared" si="289"/>
        <v>0</v>
      </c>
    </row>
    <row r="471" spans="8:43" x14ac:dyDescent="0.25">
      <c r="H471" s="15">
        <v>5.6800000000000104</v>
      </c>
      <c r="I471" s="45">
        <f t="shared" si="279"/>
        <v>4786300.9232265064</v>
      </c>
      <c r="J471" s="32">
        <f t="shared" si="280"/>
        <v>-139.32241999875271</v>
      </c>
      <c r="K471" s="32">
        <f t="shared" si="281"/>
        <v>-56.823175389802152</v>
      </c>
      <c r="L471" s="15">
        <f t="shared" si="255"/>
        <v>3.8729613733905581</v>
      </c>
      <c r="M471" s="15">
        <f t="shared" si="256"/>
        <v>-87.083901539623824</v>
      </c>
      <c r="N471" s="15">
        <f t="shared" si="257"/>
        <v>25.870159221468757</v>
      </c>
      <c r="O471" s="15">
        <f t="shared" si="258"/>
        <v>-89.993410750535517</v>
      </c>
      <c r="P471" s="15">
        <f t="shared" si="259"/>
        <v>-78.785733668310016</v>
      </c>
      <c r="Q471" s="15">
        <f t="shared" si="260"/>
        <v>-72.29824059084504</v>
      </c>
      <c r="R471" s="15">
        <f t="shared" si="261"/>
        <v>-10.34074805667823</v>
      </c>
      <c r="S471" s="31">
        <f t="shared" si="282"/>
        <v>-249.37555288100438</v>
      </c>
      <c r="T471" s="31">
        <f t="shared" si="283"/>
        <v>-51.495459191254525</v>
      </c>
      <c r="U471" s="15">
        <f t="shared" si="262"/>
        <v>6500</v>
      </c>
      <c r="V471" s="15">
        <f t="shared" si="263"/>
        <v>-89.99999422663754</v>
      </c>
      <c r="W471" s="15">
        <f t="shared" si="264"/>
        <v>-139.93387616472032</v>
      </c>
      <c r="X471" s="15">
        <f t="shared" si="265"/>
        <v>89.992837019314635</v>
      </c>
      <c r="Y471" s="15">
        <f t="shared" si="266"/>
        <v>78.0605770686997</v>
      </c>
      <c r="Z471" s="15">
        <f t="shared" si="267"/>
        <v>-88.925678812256294</v>
      </c>
      <c r="AA471" s="15">
        <f t="shared" si="268"/>
        <v>-34.540278797702157</v>
      </c>
      <c r="AB471" s="31">
        <f t="shared" si="284"/>
        <v>-88.932836019579199</v>
      </c>
      <c r="AC471" s="31">
        <f t="shared" si="285"/>
        <v>-20.15531076086566</v>
      </c>
      <c r="AD471" s="15">
        <f t="shared" si="269"/>
        <v>89.930349905894985</v>
      </c>
      <c r="AE471" s="15">
        <f t="shared" si="270"/>
        <v>58.304020636621289</v>
      </c>
      <c r="AF471" s="15">
        <f t="shared" si="271"/>
        <v>18.691895433570242</v>
      </c>
      <c r="AG471" s="15">
        <f t="shared" si="272"/>
        <v>0.4706561934973813</v>
      </c>
      <c r="AH471" s="15">
        <f t="shared" si="273"/>
        <v>-89.636276437634365</v>
      </c>
      <c r="AI471" s="15">
        <f t="shared" si="274"/>
        <v>-43.947082267800639</v>
      </c>
      <c r="AJ471" s="31">
        <f t="shared" si="286"/>
        <v>18.985968901830859</v>
      </c>
      <c r="AK471" s="31">
        <f t="shared" si="287"/>
        <v>14.827594562318033</v>
      </c>
      <c r="AL471" s="15">
        <f t="shared" si="275"/>
        <v>0</v>
      </c>
      <c r="AM471" s="15">
        <f t="shared" si="276"/>
        <v>0</v>
      </c>
      <c r="AN471" s="15">
        <f t="shared" si="277"/>
        <v>0</v>
      </c>
      <c r="AO471" s="15">
        <f t="shared" si="278"/>
        <v>0</v>
      </c>
      <c r="AP471" s="31">
        <f t="shared" si="288"/>
        <v>0</v>
      </c>
      <c r="AQ471" s="31">
        <f t="shared" si="289"/>
        <v>0</v>
      </c>
    </row>
    <row r="472" spans="8:43" x14ac:dyDescent="0.25">
      <c r="H472" s="15">
        <v>5.69</v>
      </c>
      <c r="I472" s="45">
        <f t="shared" si="279"/>
        <v>4897788.1936844736</v>
      </c>
      <c r="J472" s="32">
        <f t="shared" si="280"/>
        <v>-139.39421867290861</v>
      </c>
      <c r="K472" s="32">
        <f t="shared" si="281"/>
        <v>-57.184524854567698</v>
      </c>
      <c r="L472" s="15">
        <f t="shared" si="255"/>
        <v>3.8729613733905581</v>
      </c>
      <c r="M472" s="15">
        <f t="shared" si="256"/>
        <v>-87.150169349179379</v>
      </c>
      <c r="N472" s="15">
        <f t="shared" si="257"/>
        <v>26.069653306248778</v>
      </c>
      <c r="O472" s="15">
        <f t="shared" si="258"/>
        <v>-89.993560740163872</v>
      </c>
      <c r="P472" s="15">
        <f t="shared" si="259"/>
        <v>-78.985733665724609</v>
      </c>
      <c r="Q472" s="15">
        <f t="shared" si="260"/>
        <v>-72.676816941762269</v>
      </c>
      <c r="R472" s="15">
        <f t="shared" si="261"/>
        <v>-10.522638879828994</v>
      </c>
      <c r="S472" s="31">
        <f t="shared" si="282"/>
        <v>-249.82054703110552</v>
      </c>
      <c r="T472" s="31">
        <f t="shared" si="283"/>
        <v>-51.677855927039865</v>
      </c>
      <c r="U472" s="15">
        <f t="shared" si="262"/>
        <v>6500</v>
      </c>
      <c r="V472" s="15">
        <f t="shared" si="263"/>
        <v>-89.999994358055318</v>
      </c>
      <c r="W472" s="15">
        <f t="shared" si="264"/>
        <v>-140.13387616472011</v>
      </c>
      <c r="X472" s="15">
        <f t="shared" si="265"/>
        <v>89.99300006865964</v>
      </c>
      <c r="Y472" s="15">
        <f t="shared" si="266"/>
        <v>78.260577065644512</v>
      </c>
      <c r="Z472" s="15">
        <f t="shared" si="267"/>
        <v>-88.950127810832797</v>
      </c>
      <c r="AA472" s="15">
        <f t="shared" si="268"/>
        <v>-34.740210083908153</v>
      </c>
      <c r="AB472" s="31">
        <f t="shared" si="284"/>
        <v>-88.957122100228474</v>
      </c>
      <c r="AC472" s="31">
        <f t="shared" si="285"/>
        <v>-20.355242050126634</v>
      </c>
      <c r="AD472" s="15">
        <f t="shared" si="269"/>
        <v>89.931935334088521</v>
      </c>
      <c r="AE472" s="15">
        <f t="shared" si="270"/>
        <v>58.504020347775111</v>
      </c>
      <c r="AF472" s="15">
        <f t="shared" si="271"/>
        <v>19.096070706158301</v>
      </c>
      <c r="AG472" s="15">
        <f t="shared" si="272"/>
        <v>0.49162716562970454</v>
      </c>
      <c r="AH472" s="15">
        <f t="shared" si="273"/>
        <v>-89.644555581821422</v>
      </c>
      <c r="AI472" s="15">
        <f t="shared" si="274"/>
        <v>-44.147074390806004</v>
      </c>
      <c r="AJ472" s="31">
        <f t="shared" si="286"/>
        <v>19.383450458425401</v>
      </c>
      <c r="AK472" s="31">
        <f t="shared" si="287"/>
        <v>14.848573122598808</v>
      </c>
      <c r="AL472" s="15">
        <f t="shared" si="275"/>
        <v>0</v>
      </c>
      <c r="AM472" s="15">
        <f t="shared" si="276"/>
        <v>0</v>
      </c>
      <c r="AN472" s="15">
        <f t="shared" si="277"/>
        <v>0</v>
      </c>
      <c r="AO472" s="15">
        <f t="shared" si="278"/>
        <v>0</v>
      </c>
      <c r="AP472" s="31">
        <f t="shared" si="288"/>
        <v>0</v>
      </c>
      <c r="AQ472" s="31">
        <f t="shared" si="289"/>
        <v>0</v>
      </c>
    </row>
    <row r="473" spans="8:43" x14ac:dyDescent="0.25">
      <c r="H473" s="15">
        <v>5.7</v>
      </c>
      <c r="I473" s="45">
        <f t="shared" si="279"/>
        <v>5011872.3362727351</v>
      </c>
      <c r="J473" s="32">
        <f t="shared" si="280"/>
        <v>-139.44932399749655</v>
      </c>
      <c r="K473" s="32">
        <f t="shared" si="281"/>
        <v>-57.545718973682376</v>
      </c>
      <c r="L473" s="15">
        <f t="shared" si="255"/>
        <v>3.8729613733905581</v>
      </c>
      <c r="M473" s="15">
        <f t="shared" si="256"/>
        <v>-87.214936093548147</v>
      </c>
      <c r="N473" s="15">
        <f t="shared" si="257"/>
        <v>26.269170105942855</v>
      </c>
      <c r="O473" s="15">
        <f t="shared" si="258"/>
        <v>-89.99370731561153</v>
      </c>
      <c r="P473" s="15">
        <f t="shared" si="259"/>
        <v>-79.18573366325576</v>
      </c>
      <c r="Q473" s="15">
        <f t="shared" si="260"/>
        <v>-73.048289782912633</v>
      </c>
      <c r="R473" s="15">
        <f t="shared" si="261"/>
        <v>-10.705273973720919</v>
      </c>
      <c r="S473" s="31">
        <f t="shared" si="282"/>
        <v>-250.2569331920723</v>
      </c>
      <c r="T473" s="31">
        <f t="shared" si="283"/>
        <v>-51.86097421876886</v>
      </c>
      <c r="U473" s="15">
        <f t="shared" si="262"/>
        <v>6500</v>
      </c>
      <c r="V473" s="15">
        <f t="shared" si="263"/>
        <v>-89.999994486481654</v>
      </c>
      <c r="W473" s="15">
        <f t="shared" si="264"/>
        <v>-140.3338761647201</v>
      </c>
      <c r="X473" s="15">
        <f t="shared" si="265"/>
        <v>89.993159406548529</v>
      </c>
      <c r="Y473" s="15">
        <f t="shared" si="266"/>
        <v>78.460577062727012</v>
      </c>
      <c r="Z473" s="15">
        <f t="shared" si="267"/>
        <v>-88.974020651748106</v>
      </c>
      <c r="AA473" s="15">
        <f t="shared" si="268"/>
        <v>-34.940144461729609</v>
      </c>
      <c r="AB473" s="31">
        <f t="shared" si="284"/>
        <v>-88.980855731681231</v>
      </c>
      <c r="AC473" s="31">
        <f t="shared" si="285"/>
        <v>-20.555176430865579</v>
      </c>
      <c r="AD473" s="15">
        <f t="shared" si="269"/>
        <v>89.933484673631114</v>
      </c>
      <c r="AE473" s="15">
        <f t="shared" si="270"/>
        <v>58.704020071929328</v>
      </c>
      <c r="AF473" s="15">
        <f t="shared" si="271"/>
        <v>19.507626536647507</v>
      </c>
      <c r="AG473" s="15">
        <f t="shared" si="272"/>
        <v>0.51347847234410704</v>
      </c>
      <c r="AH473" s="15">
        <f t="shared" si="273"/>
        <v>-89.652646284021642</v>
      </c>
      <c r="AI473" s="15">
        <f t="shared" si="274"/>
        <v>-44.347066868321377</v>
      </c>
      <c r="AJ473" s="31">
        <f t="shared" si="286"/>
        <v>19.788464926256978</v>
      </c>
      <c r="AK473" s="31">
        <f t="shared" si="287"/>
        <v>14.870431675952055</v>
      </c>
      <c r="AL473" s="15">
        <f t="shared" si="275"/>
        <v>0</v>
      </c>
      <c r="AM473" s="15">
        <f t="shared" si="276"/>
        <v>0</v>
      </c>
      <c r="AN473" s="15">
        <f t="shared" si="277"/>
        <v>0</v>
      </c>
      <c r="AO473" s="15">
        <f t="shared" si="278"/>
        <v>0</v>
      </c>
      <c r="AP473" s="31">
        <f t="shared" si="288"/>
        <v>0</v>
      </c>
      <c r="AQ473" s="31">
        <f t="shared" si="289"/>
        <v>0</v>
      </c>
    </row>
    <row r="474" spans="8:43" x14ac:dyDescent="0.25">
      <c r="H474" s="15">
        <v>5.71</v>
      </c>
      <c r="I474" s="45">
        <f t="shared" si="279"/>
        <v>5128613.8399136513</v>
      </c>
      <c r="J474" s="32">
        <f t="shared" si="280"/>
        <v>-139.48780945869413</v>
      </c>
      <c r="K474" s="32">
        <f t="shared" si="281"/>
        <v>-57.9066985657415</v>
      </c>
      <c r="L474" s="15">
        <f t="shared" si="255"/>
        <v>3.8729613733905581</v>
      </c>
      <c r="M474" s="15">
        <f t="shared" si="256"/>
        <v>-87.27823545047363</v>
      </c>
      <c r="N474" s="15">
        <f t="shared" si="257"/>
        <v>26.468708603041403</v>
      </c>
      <c r="O474" s="15">
        <f t="shared" si="258"/>
        <v>-89.993850554594758</v>
      </c>
      <c r="P474" s="15">
        <f t="shared" si="259"/>
        <v>-79.385733660897998</v>
      </c>
      <c r="Q474" s="15">
        <f t="shared" si="260"/>
        <v>-73.412731110360824</v>
      </c>
      <c r="R474" s="15">
        <f t="shared" si="261"/>
        <v>-10.888625549666761</v>
      </c>
      <c r="S474" s="31">
        <f t="shared" si="282"/>
        <v>-250.68481711542921</v>
      </c>
      <c r="T474" s="31">
        <f t="shared" si="283"/>
        <v>-52.044787295258395</v>
      </c>
      <c r="U474" s="15">
        <f t="shared" si="262"/>
        <v>6500</v>
      </c>
      <c r="V474" s="15">
        <f t="shared" si="263"/>
        <v>-89.999994611984647</v>
      </c>
      <c r="W474" s="15">
        <f t="shared" si="264"/>
        <v>-140.53387616472011</v>
      </c>
      <c r="X474" s="15">
        <f t="shared" si="265"/>
        <v>89.993315117464377</v>
      </c>
      <c r="Y474" s="15">
        <f t="shared" si="266"/>
        <v>78.660577059940806</v>
      </c>
      <c r="Z474" s="15">
        <f t="shared" si="267"/>
        <v>-88.997369970044616</v>
      </c>
      <c r="AA474" s="15">
        <f t="shared" si="268"/>
        <v>-35.140081792109974</v>
      </c>
      <c r="AB474" s="31">
        <f t="shared" si="284"/>
        <v>-89.004049464564886</v>
      </c>
      <c r="AC474" s="31">
        <f t="shared" si="285"/>
        <v>-20.755113764032167</v>
      </c>
      <c r="AD474" s="15">
        <f t="shared" si="269"/>
        <v>89.934998745994051</v>
      </c>
      <c r="AE474" s="15">
        <f t="shared" si="270"/>
        <v>58.904019808498617</v>
      </c>
      <c r="AF474" s="15">
        <f t="shared" si="271"/>
        <v>19.92661120804696</v>
      </c>
      <c r="AG474" s="15">
        <f t="shared" si="272"/>
        <v>0.53624236944261139</v>
      </c>
      <c r="AH474" s="15">
        <f t="shared" si="273"/>
        <v>-89.660552832741047</v>
      </c>
      <c r="AI474" s="15">
        <f t="shared" si="274"/>
        <v>-44.547059684392167</v>
      </c>
      <c r="AJ474" s="31">
        <f t="shared" si="286"/>
        <v>20.201057121299968</v>
      </c>
      <c r="AK474" s="31">
        <f t="shared" si="287"/>
        <v>14.893202493549062</v>
      </c>
      <c r="AL474" s="15">
        <f t="shared" si="275"/>
        <v>0</v>
      </c>
      <c r="AM474" s="15">
        <f t="shared" si="276"/>
        <v>0</v>
      </c>
      <c r="AN474" s="15">
        <f t="shared" si="277"/>
        <v>0</v>
      </c>
      <c r="AO474" s="15">
        <f t="shared" si="278"/>
        <v>0</v>
      </c>
      <c r="AP474" s="31">
        <f t="shared" si="288"/>
        <v>0</v>
      </c>
      <c r="AQ474" s="31">
        <f t="shared" si="289"/>
        <v>0</v>
      </c>
    </row>
    <row r="475" spans="8:43" x14ac:dyDescent="0.25">
      <c r="H475" s="15">
        <v>5.72</v>
      </c>
      <c r="I475" s="45">
        <f t="shared" si="279"/>
        <v>5248074.6024977285</v>
      </c>
      <c r="J475" s="32">
        <f t="shared" si="280"/>
        <v>-139.5097561061493</v>
      </c>
      <c r="K475" s="32">
        <f t="shared" si="281"/>
        <v>-58.26740443656437</v>
      </c>
      <c r="L475" s="15">
        <f t="shared" si="255"/>
        <v>3.8729613733905581</v>
      </c>
      <c r="M475" s="15">
        <f t="shared" si="256"/>
        <v>-87.340100363684414</v>
      </c>
      <c r="N475" s="15">
        <f t="shared" si="257"/>
        <v>26.668267825406975</v>
      </c>
      <c r="O475" s="15">
        <f t="shared" si="258"/>
        <v>-89.993990533060725</v>
      </c>
      <c r="P475" s="15">
        <f t="shared" si="259"/>
        <v>-79.58573365864639</v>
      </c>
      <c r="Q475" s="15">
        <f t="shared" si="260"/>
        <v>-73.770216153785242</v>
      </c>
      <c r="R475" s="15">
        <f t="shared" si="261"/>
        <v>-11.072666628915162</v>
      </c>
      <c r="S475" s="31">
        <f t="shared" si="282"/>
        <v>-251.10430705053037</v>
      </c>
      <c r="T475" s="31">
        <f t="shared" si="283"/>
        <v>-52.229269149889618</v>
      </c>
      <c r="U475" s="15">
        <f t="shared" si="262"/>
        <v>6500</v>
      </c>
      <c r="V475" s="15">
        <f t="shared" si="263"/>
        <v>-89.99999473463086</v>
      </c>
      <c r="W475" s="15">
        <f t="shared" si="264"/>
        <v>-140.7338761647201</v>
      </c>
      <c r="X475" s="15">
        <f t="shared" si="265"/>
        <v>89.993467283967135</v>
      </c>
      <c r="Y475" s="15">
        <f t="shared" si="266"/>
        <v>78.860577057280011</v>
      </c>
      <c r="Z475" s="15">
        <f t="shared" si="267"/>
        <v>-89.02018811480032</v>
      </c>
      <c r="AA475" s="15">
        <f t="shared" si="268"/>
        <v>-35.340021942243652</v>
      </c>
      <c r="AB475" s="31">
        <f t="shared" si="284"/>
        <v>-89.026715565464045</v>
      </c>
      <c r="AC475" s="31">
        <f t="shared" si="285"/>
        <v>-20.955053916826628</v>
      </c>
      <c r="AD475" s="15">
        <f t="shared" si="269"/>
        <v>89.936478353950037</v>
      </c>
      <c r="AE475" s="15">
        <f t="shared" si="270"/>
        <v>59.104019556924243</v>
      </c>
      <c r="AF475" s="15">
        <f t="shared" si="271"/>
        <v>20.353067574826341</v>
      </c>
      <c r="AG475" s="15">
        <f t="shared" si="272"/>
        <v>0.55995189700958548</v>
      </c>
      <c r="AH475" s="15">
        <f t="shared" si="273"/>
        <v>-89.668279418931249</v>
      </c>
      <c r="AI475" s="15">
        <f t="shared" si="274"/>
        <v>-44.747052823781949</v>
      </c>
      <c r="AJ475" s="31">
        <f t="shared" si="286"/>
        <v>20.621266509845128</v>
      </c>
      <c r="AK475" s="31">
        <f t="shared" si="287"/>
        <v>14.916918630151876</v>
      </c>
      <c r="AL475" s="15">
        <f t="shared" si="275"/>
        <v>0</v>
      </c>
      <c r="AM475" s="15">
        <f t="shared" si="276"/>
        <v>0</v>
      </c>
      <c r="AN475" s="15">
        <f t="shared" si="277"/>
        <v>0</v>
      </c>
      <c r="AO475" s="15">
        <f t="shared" si="278"/>
        <v>0</v>
      </c>
      <c r="AP475" s="31">
        <f t="shared" si="288"/>
        <v>0</v>
      </c>
      <c r="AQ475" s="31">
        <f t="shared" si="289"/>
        <v>0</v>
      </c>
    </row>
    <row r="476" spans="8:43" x14ac:dyDescent="0.25">
      <c r="H476" s="15">
        <v>5.73</v>
      </c>
      <c r="I476" s="45">
        <f t="shared" si="279"/>
        <v>5370317.963702539</v>
      </c>
      <c r="J476" s="32">
        <f t="shared" si="280"/>
        <v>-139.51525265412272</v>
      </c>
      <c r="K476" s="32">
        <f t="shared" si="281"/>
        <v>-58.627777390881818</v>
      </c>
      <c r="L476" s="15">
        <f t="shared" si="255"/>
        <v>3.8729613733905581</v>
      </c>
      <c r="M476" s="15">
        <f t="shared" si="256"/>
        <v>-87.400563057445382</v>
      </c>
      <c r="N476" s="15">
        <f t="shared" si="257"/>
        <v>26.867846844269007</v>
      </c>
      <c r="O476" s="15">
        <f t="shared" si="258"/>
        <v>-89.994127325227851</v>
      </c>
      <c r="P476" s="15">
        <f t="shared" si="259"/>
        <v>-79.78573365649612</v>
      </c>
      <c r="Q476" s="15">
        <f t="shared" si="260"/>
        <v>-74.120823082638609</v>
      </c>
      <c r="R476" s="15">
        <f t="shared" si="261"/>
        <v>-11.257371037864576</v>
      </c>
      <c r="S476" s="31">
        <f t="shared" si="282"/>
        <v>-251.51551346531181</v>
      </c>
      <c r="T476" s="31">
        <f t="shared" si="283"/>
        <v>-52.414394537826723</v>
      </c>
      <c r="U476" s="15">
        <f t="shared" si="262"/>
        <v>6500</v>
      </c>
      <c r="V476" s="15">
        <f t="shared" si="263"/>
        <v>-89.999994854485294</v>
      </c>
      <c r="W476" s="15">
        <f t="shared" si="264"/>
        <v>-140.93387616472012</v>
      </c>
      <c r="X476" s="15">
        <f t="shared" si="265"/>
        <v>89.99361598673751</v>
      </c>
      <c r="Y476" s="15">
        <f t="shared" si="266"/>
        <v>79.060577054738999</v>
      </c>
      <c r="Z476" s="15">
        <f t="shared" si="267"/>
        <v>-89.042487155528534</v>
      </c>
      <c r="AA476" s="15">
        <f t="shared" si="268"/>
        <v>-35.539964785295112</v>
      </c>
      <c r="AB476" s="31">
        <f t="shared" si="284"/>
        <v>-89.048866023276318</v>
      </c>
      <c r="AC476" s="31">
        <f t="shared" si="285"/>
        <v>-21.154996762419117</v>
      </c>
      <c r="AD476" s="15">
        <f t="shared" si="269"/>
        <v>89.937924281998917</v>
      </c>
      <c r="AE476" s="15">
        <f t="shared" si="270"/>
        <v>59.30401931667258</v>
      </c>
      <c r="AF476" s="15">
        <f t="shared" si="271"/>
        <v>20.787032690672291</v>
      </c>
      <c r="AG476" s="15">
        <f t="shared" si="272"/>
        <v>0.58464086463138343</v>
      </c>
      <c r="AH476" s="15">
        <f t="shared" si="273"/>
        <v>-89.675830138205768</v>
      </c>
      <c r="AI476" s="15">
        <f t="shared" si="274"/>
        <v>-44.947046271939939</v>
      </c>
      <c r="AJ476" s="31">
        <f t="shared" si="286"/>
        <v>21.04912683446544</v>
      </c>
      <c r="AK476" s="31">
        <f t="shared" si="287"/>
        <v>14.941613909364023</v>
      </c>
      <c r="AL476" s="15">
        <f t="shared" si="275"/>
        <v>0</v>
      </c>
      <c r="AM476" s="15">
        <f t="shared" si="276"/>
        <v>0</v>
      </c>
      <c r="AN476" s="15">
        <f t="shared" si="277"/>
        <v>0</v>
      </c>
      <c r="AO476" s="15">
        <f t="shared" si="278"/>
        <v>0</v>
      </c>
      <c r="AP476" s="31">
        <f t="shared" si="288"/>
        <v>0</v>
      </c>
      <c r="AQ476" s="31">
        <f t="shared" si="289"/>
        <v>0</v>
      </c>
    </row>
    <row r="477" spans="8:43" x14ac:dyDescent="0.25">
      <c r="H477" s="15">
        <v>5.74</v>
      </c>
      <c r="I477" s="45">
        <f t="shared" si="279"/>
        <v>5495408.7385762567</v>
      </c>
      <c r="J477" s="32">
        <f t="shared" si="280"/>
        <v>-139.50439560148936</v>
      </c>
      <c r="K477" s="32">
        <f t="shared" si="281"/>
        <v>-58.987758245637366</v>
      </c>
      <c r="L477" s="15">
        <f t="shared" si="255"/>
        <v>3.8729613733905581</v>
      </c>
      <c r="M477" s="15">
        <f t="shared" si="256"/>
        <v>-87.459655050919963</v>
      </c>
      <c r="N477" s="15">
        <f t="shared" si="257"/>
        <v>27.067444772305841</v>
      </c>
      <c r="O477" s="15">
        <f t="shared" si="258"/>
        <v>-89.994261003625198</v>
      </c>
      <c r="P477" s="15">
        <f t="shared" si="259"/>
        <v>-79.985733654442612</v>
      </c>
      <c r="Q477" s="15">
        <f t="shared" si="260"/>
        <v>-74.464632724426238</v>
      </c>
      <c r="R477" s="15">
        <f t="shared" si="261"/>
        <v>-11.442713401498072</v>
      </c>
      <c r="S477" s="31">
        <f t="shared" si="282"/>
        <v>-251.9185487789714</v>
      </c>
      <c r="T477" s="31">
        <f t="shared" si="283"/>
        <v>-52.600138971369873</v>
      </c>
      <c r="U477" s="15">
        <f t="shared" si="262"/>
        <v>6500</v>
      </c>
      <c r="V477" s="15">
        <f t="shared" si="263"/>
        <v>-89.9999949716115</v>
      </c>
      <c r="W477" s="15">
        <f t="shared" si="264"/>
        <v>-141.13387616472011</v>
      </c>
      <c r="X477" s="15">
        <f t="shared" si="265"/>
        <v>89.993761304619653</v>
      </c>
      <c r="Y477" s="15">
        <f t="shared" si="266"/>
        <v>79.260577052312314</v>
      </c>
      <c r="Z477" s="15">
        <f t="shared" si="267"/>
        <v>-89.06427888843919</v>
      </c>
      <c r="AA477" s="15">
        <f t="shared" si="268"/>
        <v>-35.73991020013078</v>
      </c>
      <c r="AB477" s="31">
        <f t="shared" si="284"/>
        <v>-89.070512555431037</v>
      </c>
      <c r="AC477" s="31">
        <f t="shared" si="285"/>
        <v>-21.354942179681458</v>
      </c>
      <c r="AD477" s="15">
        <f t="shared" si="269"/>
        <v>89.939337296783521</v>
      </c>
      <c r="AE477" s="15">
        <f t="shared" si="270"/>
        <v>59.504019087233999</v>
      </c>
      <c r="AF477" s="15">
        <f t="shared" si="271"/>
        <v>21.228537429135766</v>
      </c>
      <c r="AG477" s="15">
        <f t="shared" si="272"/>
        <v>0.61034383315013274</v>
      </c>
      <c r="AH477" s="15">
        <f t="shared" si="273"/>
        <v>-89.683208993006204</v>
      </c>
      <c r="AI477" s="15">
        <f t="shared" si="274"/>
        <v>-45.147040014970166</v>
      </c>
      <c r="AJ477" s="31">
        <f t="shared" si="286"/>
        <v>21.484665732913086</v>
      </c>
      <c r="AK477" s="31">
        <f t="shared" si="287"/>
        <v>14.967322905413965</v>
      </c>
      <c r="AL477" s="15">
        <f t="shared" si="275"/>
        <v>0</v>
      </c>
      <c r="AM477" s="15">
        <f t="shared" si="276"/>
        <v>0</v>
      </c>
      <c r="AN477" s="15">
        <f t="shared" si="277"/>
        <v>0</v>
      </c>
      <c r="AO477" s="15">
        <f t="shared" si="278"/>
        <v>0</v>
      </c>
      <c r="AP477" s="31">
        <f t="shared" si="288"/>
        <v>0</v>
      </c>
      <c r="AQ477" s="31">
        <f t="shared" si="289"/>
        <v>0</v>
      </c>
    </row>
    <row r="478" spans="8:43" x14ac:dyDescent="0.25">
      <c r="H478" s="15">
        <v>5.75</v>
      </c>
      <c r="I478" s="45">
        <f t="shared" si="279"/>
        <v>5623413.2519035023</v>
      </c>
      <c r="J478" s="32">
        <f t="shared" si="280"/>
        <v>-139.47728936947723</v>
      </c>
      <c r="K478" s="32">
        <f t="shared" si="281"/>
        <v>-59.347287845280135</v>
      </c>
      <c r="L478" s="15">
        <f t="shared" si="255"/>
        <v>3.8729613733905581</v>
      </c>
      <c r="M478" s="15">
        <f t="shared" si="256"/>
        <v>-87.517407172338096</v>
      </c>
      <c r="N478" s="15">
        <f t="shared" si="257"/>
        <v>27.267060761810164</v>
      </c>
      <c r="O478" s="15">
        <f t="shared" si="258"/>
        <v>-89.994391639130768</v>
      </c>
      <c r="P478" s="15">
        <f t="shared" si="259"/>
        <v>-80.185733652481531</v>
      </c>
      <c r="Q478" s="15">
        <f t="shared" si="260"/>
        <v>-74.801728295197819</v>
      </c>
      <c r="R478" s="15">
        <f t="shared" si="261"/>
        <v>-11.628669135211078</v>
      </c>
      <c r="S478" s="31">
        <f t="shared" si="282"/>
        <v>-252.31352710666667</v>
      </c>
      <c r="T478" s="31">
        <f t="shared" si="283"/>
        <v>-52.786478713617477</v>
      </c>
      <c r="U478" s="15">
        <f t="shared" si="262"/>
        <v>6500</v>
      </c>
      <c r="V478" s="15">
        <f t="shared" si="263"/>
        <v>-89.999995086071607</v>
      </c>
      <c r="W478" s="15">
        <f t="shared" si="264"/>
        <v>-141.3338761647201</v>
      </c>
      <c r="X478" s="15">
        <f t="shared" si="265"/>
        <v>89.993903314663044</v>
      </c>
      <c r="Y478" s="15">
        <f t="shared" si="266"/>
        <v>79.460577049994868</v>
      </c>
      <c r="Z478" s="15">
        <f t="shared" si="267"/>
        <v>-89.085574842564498</v>
      </c>
      <c r="AA478" s="15">
        <f t="shared" si="268"/>
        <v>-35.939858071063085</v>
      </c>
      <c r="AB478" s="31">
        <f t="shared" si="284"/>
        <v>-89.091666613973061</v>
      </c>
      <c r="AC478" s="31">
        <f t="shared" si="285"/>
        <v>-21.554890052931199</v>
      </c>
      <c r="AD478" s="15">
        <f t="shared" si="269"/>
        <v>89.940718147496085</v>
      </c>
      <c r="AE478" s="15">
        <f t="shared" si="270"/>
        <v>59.704018868121835</v>
      </c>
      <c r="AF478" s="15">
        <f t="shared" si="271"/>
        <v>21.677606098385823</v>
      </c>
      <c r="AG478" s="15">
        <f t="shared" si="272"/>
        <v>0.63709609274870749</v>
      </c>
      <c r="AH478" s="15">
        <f t="shared" si="273"/>
        <v>-89.690419894719426</v>
      </c>
      <c r="AI478" s="15">
        <f t="shared" si="274"/>
        <v>-45.347034039602008</v>
      </c>
      <c r="AJ478" s="31">
        <f t="shared" si="286"/>
        <v>21.927904351162482</v>
      </c>
      <c r="AK478" s="31">
        <f t="shared" si="287"/>
        <v>14.994080921268534</v>
      </c>
      <c r="AL478" s="15">
        <f t="shared" si="275"/>
        <v>0</v>
      </c>
      <c r="AM478" s="15">
        <f t="shared" si="276"/>
        <v>0</v>
      </c>
      <c r="AN478" s="15">
        <f t="shared" si="277"/>
        <v>0</v>
      </c>
      <c r="AO478" s="15">
        <f t="shared" si="278"/>
        <v>0</v>
      </c>
      <c r="AP478" s="31">
        <f t="shared" si="288"/>
        <v>0</v>
      </c>
      <c r="AQ478" s="31">
        <f t="shared" si="289"/>
        <v>0</v>
      </c>
    </row>
    <row r="479" spans="8:43" x14ac:dyDescent="0.25">
      <c r="H479" s="15">
        <v>5.76</v>
      </c>
      <c r="I479" s="45">
        <f t="shared" si="279"/>
        <v>5754399.3733715694</v>
      </c>
      <c r="J479" s="32">
        <f t="shared" si="280"/>
        <v>-139.43404645579392</v>
      </c>
      <c r="K479" s="32">
        <f t="shared" si="281"/>
        <v>-59.706307079414636</v>
      </c>
      <c r="L479" s="15">
        <f t="shared" si="255"/>
        <v>3.8729613733905581</v>
      </c>
      <c r="M479" s="15">
        <f t="shared" si="256"/>
        <v>-87.573849572965827</v>
      </c>
      <c r="N479" s="15">
        <f t="shared" si="257"/>
        <v>27.466694002934183</v>
      </c>
      <c r="O479" s="15">
        <f t="shared" si="258"/>
        <v>-89.994519301009234</v>
      </c>
      <c r="P479" s="15">
        <f t="shared" si="259"/>
        <v>-80.385733650608699</v>
      </c>
      <c r="Q479" s="15">
        <f t="shared" si="260"/>
        <v>-75.132195142275151</v>
      </c>
      <c r="R479" s="15">
        <f t="shared" si="261"/>
        <v>-11.815214435196291</v>
      </c>
      <c r="S479" s="31">
        <f t="shared" si="282"/>
        <v>-252.70056401625021</v>
      </c>
      <c r="T479" s="31">
        <f t="shared" si="283"/>
        <v>-52.973390770605839</v>
      </c>
      <c r="U479" s="15">
        <f t="shared" si="262"/>
        <v>6500</v>
      </c>
      <c r="V479" s="15">
        <f t="shared" si="263"/>
        <v>-89.999995197926268</v>
      </c>
      <c r="W479" s="15">
        <f t="shared" si="264"/>
        <v>-141.53387616472008</v>
      </c>
      <c r="X479" s="15">
        <f t="shared" si="265"/>
        <v>89.994042092163255</v>
      </c>
      <c r="Y479" s="15">
        <f t="shared" si="266"/>
        <v>79.6605770477817</v>
      </c>
      <c r="Z479" s="15">
        <f t="shared" si="267"/>
        <v>-89.106386285751569</v>
      </c>
      <c r="AA479" s="15">
        <f t="shared" si="268"/>
        <v>-36.139808287605788</v>
      </c>
      <c r="AB479" s="31">
        <f t="shared" si="284"/>
        <v>-89.112339391514581</v>
      </c>
      <c r="AC479" s="31">
        <f t="shared" si="285"/>
        <v>-21.754840271687058</v>
      </c>
      <c r="AD479" s="15">
        <f t="shared" si="269"/>
        <v>89.942067566275526</v>
      </c>
      <c r="AE479" s="15">
        <f t="shared" si="270"/>
        <v>59.904018658871323</v>
      </c>
      <c r="AF479" s="15">
        <f t="shared" si="271"/>
        <v>22.134256051442073</v>
      </c>
      <c r="AG479" s="15">
        <f t="shared" si="272"/>
        <v>0.66493363716895559</v>
      </c>
      <c r="AH479" s="15">
        <f t="shared" si="273"/>
        <v>-89.697466665746731</v>
      </c>
      <c r="AI479" s="15">
        <f t="shared" si="274"/>
        <v>-45.547028333162025</v>
      </c>
      <c r="AJ479" s="31">
        <f t="shared" si="286"/>
        <v>22.378856951970874</v>
      </c>
      <c r="AK479" s="31">
        <f t="shared" si="287"/>
        <v>15.021923962878255</v>
      </c>
      <c r="AL479" s="15">
        <f t="shared" si="275"/>
        <v>0</v>
      </c>
      <c r="AM479" s="15">
        <f t="shared" si="276"/>
        <v>0</v>
      </c>
      <c r="AN479" s="15">
        <f t="shared" si="277"/>
        <v>0</v>
      </c>
      <c r="AO479" s="15">
        <f t="shared" si="278"/>
        <v>0</v>
      </c>
      <c r="AP479" s="31">
        <f t="shared" si="288"/>
        <v>0</v>
      </c>
      <c r="AQ479" s="31">
        <f t="shared" si="289"/>
        <v>0</v>
      </c>
    </row>
    <row r="480" spans="8:43" x14ac:dyDescent="0.25">
      <c r="H480" s="15">
        <v>5.77</v>
      </c>
      <c r="I480" s="45">
        <f t="shared" si="279"/>
        <v>5888436.5535558891</v>
      </c>
      <c r="J480" s="32">
        <f t="shared" si="280"/>
        <v>-139.37478760356032</v>
      </c>
      <c r="K480" s="32">
        <f t="shared" si="281"/>
        <v>-60.064756903157104</v>
      </c>
      <c r="L480" s="15">
        <f t="shared" si="255"/>
        <v>3.8729613733905581</v>
      </c>
      <c r="M480" s="15">
        <f t="shared" si="256"/>
        <v>-87.629011740872755</v>
      </c>
      <c r="N480" s="15">
        <f t="shared" si="257"/>
        <v>27.666343722011483</v>
      </c>
      <c r="O480" s="15">
        <f t="shared" si="258"/>
        <v>-89.994644056948644</v>
      </c>
      <c r="P480" s="15">
        <f t="shared" si="259"/>
        <v>-80.585733648820167</v>
      </c>
      <c r="Q480" s="15">
        <f t="shared" si="260"/>
        <v>-75.456120499172897</v>
      </c>
      <c r="R480" s="15">
        <f t="shared" si="261"/>
        <v>-12.00232626754244</v>
      </c>
      <c r="S480" s="31">
        <f t="shared" si="282"/>
        <v>-253.07977629699431</v>
      </c>
      <c r="T480" s="31">
        <f t="shared" si="283"/>
        <v>-53.160852882086161</v>
      </c>
      <c r="U480" s="15">
        <f t="shared" si="262"/>
        <v>6500</v>
      </c>
      <c r="V480" s="15">
        <f t="shared" si="263"/>
        <v>-89.999995307234812</v>
      </c>
      <c r="W480" s="15">
        <f t="shared" si="264"/>
        <v>-141.73387616472007</v>
      </c>
      <c r="X480" s="15">
        <f t="shared" si="265"/>
        <v>89.994177710701962</v>
      </c>
      <c r="Y480" s="15">
        <f t="shared" si="266"/>
        <v>79.860577045668165</v>
      </c>
      <c r="Z480" s="15">
        <f t="shared" si="267"/>
        <v>-89.126724230524374</v>
      </c>
      <c r="AA480" s="15">
        <f t="shared" si="268"/>
        <v>-36.339760744240451</v>
      </c>
      <c r="AB480" s="31">
        <f t="shared" si="284"/>
        <v>-89.132541827057224</v>
      </c>
      <c r="AC480" s="31">
        <f t="shared" si="285"/>
        <v>-21.954792730435244</v>
      </c>
      <c r="AD480" s="15">
        <f t="shared" si="269"/>
        <v>89.94338626859556</v>
      </c>
      <c r="AE480" s="15">
        <f t="shared" si="270"/>
        <v>60.104018459038642</v>
      </c>
      <c r="AF480" s="15">
        <f t="shared" si="271"/>
        <v>22.598497293421804</v>
      </c>
      <c r="AG480" s="15">
        <f t="shared" si="272"/>
        <v>0.69389313387281781</v>
      </c>
      <c r="AH480" s="15">
        <f t="shared" si="273"/>
        <v>-89.704353041526161</v>
      </c>
      <c r="AI480" s="15">
        <f t="shared" si="274"/>
        <v>-45.74702288354716</v>
      </c>
      <c r="AJ480" s="31">
        <f t="shared" si="286"/>
        <v>22.8375305204912</v>
      </c>
      <c r="AK480" s="31">
        <f t="shared" si="287"/>
        <v>15.050888709364301</v>
      </c>
      <c r="AL480" s="15">
        <f t="shared" si="275"/>
        <v>0</v>
      </c>
      <c r="AM480" s="15">
        <f t="shared" si="276"/>
        <v>0</v>
      </c>
      <c r="AN480" s="15">
        <f t="shared" si="277"/>
        <v>0</v>
      </c>
      <c r="AO480" s="15">
        <f t="shared" si="278"/>
        <v>0</v>
      </c>
      <c r="AP480" s="31">
        <f t="shared" si="288"/>
        <v>0</v>
      </c>
      <c r="AQ480" s="31">
        <f t="shared" si="289"/>
        <v>0</v>
      </c>
    </row>
    <row r="481" spans="8:43" x14ac:dyDescent="0.25">
      <c r="H481" s="15">
        <v>5.78</v>
      </c>
      <c r="I481" s="45">
        <f t="shared" si="279"/>
        <v>6025595.8607435878</v>
      </c>
      <c r="J481" s="32">
        <f t="shared" si="280"/>
        <v>-139.29964198325195</v>
      </c>
      <c r="K481" s="32">
        <f t="shared" si="281"/>
        <v>-60.422578360529322</v>
      </c>
      <c r="L481" s="15">
        <f t="shared" si="255"/>
        <v>3.8729613733905581</v>
      </c>
      <c r="M481" s="15">
        <f t="shared" si="256"/>
        <v>-87.682922514494663</v>
      </c>
      <c r="N481" s="15">
        <f t="shared" si="257"/>
        <v>27.86600917995198</v>
      </c>
      <c r="O481" s="15">
        <f t="shared" si="258"/>
        <v>-89.994765973096207</v>
      </c>
      <c r="P481" s="15">
        <f t="shared" si="259"/>
        <v>-80.785733647112167</v>
      </c>
      <c r="Q481" s="15">
        <f t="shared" si="260"/>
        <v>-75.773593252610141</v>
      </c>
      <c r="R481" s="15">
        <f t="shared" si="261"/>
        <v>-12.189982356194539</v>
      </c>
      <c r="S481" s="31">
        <f t="shared" si="282"/>
        <v>-253.45128174020101</v>
      </c>
      <c r="T481" s="31">
        <f t="shared" si="283"/>
        <v>-53.348843511089761</v>
      </c>
      <c r="U481" s="15">
        <f t="shared" si="262"/>
        <v>6500</v>
      </c>
      <c r="V481" s="15">
        <f t="shared" si="263"/>
        <v>-89.999995414055192</v>
      </c>
      <c r="W481" s="15">
        <f t="shared" si="264"/>
        <v>-141.93387616472009</v>
      </c>
      <c r="X481" s="15">
        <f t="shared" si="265"/>
        <v>89.994310242185904</v>
      </c>
      <c r="Y481" s="15">
        <f t="shared" si="266"/>
        <v>80.060577043649758</v>
      </c>
      <c r="Z481" s="15">
        <f t="shared" si="267"/>
        <v>-89.146599439818161</v>
      </c>
      <c r="AA481" s="15">
        <f t="shared" si="268"/>
        <v>-36.53971534019319</v>
      </c>
      <c r="AB481" s="31">
        <f t="shared" si="284"/>
        <v>-89.152284611687449</v>
      </c>
      <c r="AC481" s="31">
        <f t="shared" si="285"/>
        <v>-22.154747328406408</v>
      </c>
      <c r="AD481" s="15">
        <f t="shared" si="269"/>
        <v>89.944674953644011</v>
      </c>
      <c r="AE481" s="15">
        <f t="shared" si="270"/>
        <v>60.304018268199926</v>
      </c>
      <c r="AF481" s="15">
        <f t="shared" si="271"/>
        <v>23.070332087501519</v>
      </c>
      <c r="AG481" s="15">
        <f t="shared" si="272"/>
        <v>0.7240118899659308</v>
      </c>
      <c r="AH481" s="15">
        <f t="shared" si="273"/>
        <v>-89.711082672509022</v>
      </c>
      <c r="AI481" s="15">
        <f t="shared" si="274"/>
        <v>-45.947017679199007</v>
      </c>
      <c r="AJ481" s="31">
        <f t="shared" si="286"/>
        <v>23.303924368636515</v>
      </c>
      <c r="AK481" s="31">
        <f t="shared" si="287"/>
        <v>15.081012478966848</v>
      </c>
      <c r="AL481" s="15">
        <f t="shared" si="275"/>
        <v>0</v>
      </c>
      <c r="AM481" s="15">
        <f t="shared" si="276"/>
        <v>0</v>
      </c>
      <c r="AN481" s="15">
        <f t="shared" si="277"/>
        <v>0</v>
      </c>
      <c r="AO481" s="15">
        <f t="shared" si="278"/>
        <v>0</v>
      </c>
      <c r="AP481" s="31">
        <f t="shared" si="288"/>
        <v>0</v>
      </c>
      <c r="AQ481" s="31">
        <f t="shared" si="289"/>
        <v>0</v>
      </c>
    </row>
    <row r="482" spans="8:43" x14ac:dyDescent="0.25">
      <c r="H482" s="15">
        <v>5.79</v>
      </c>
      <c r="I482" s="45">
        <f t="shared" si="279"/>
        <v>6165950.0186148304</v>
      </c>
      <c r="J482" s="32">
        <f t="shared" si="280"/>
        <v>-139.20874738562492</v>
      </c>
      <c r="K482" s="32">
        <f t="shared" si="281"/>
        <v>-60.779712611199422</v>
      </c>
      <c r="L482" s="15">
        <f t="shared" si="255"/>
        <v>3.8729613733905581</v>
      </c>
      <c r="M482" s="15">
        <f t="shared" si="256"/>
        <v>-87.735610095988392</v>
      </c>
      <c r="N482" s="15">
        <f t="shared" si="257"/>
        <v>28.065689670707133</v>
      </c>
      <c r="O482" s="15">
        <f t="shared" si="258"/>
        <v>-89.994885114093492</v>
      </c>
      <c r="P482" s="15">
        <f t="shared" si="259"/>
        <v>-80.985733645481005</v>
      </c>
      <c r="Q482" s="15">
        <f t="shared" si="260"/>
        <v>-76.084703721459931</v>
      </c>
      <c r="R482" s="15">
        <f t="shared" si="261"/>
        <v>-12.378161169915447</v>
      </c>
      <c r="S482" s="31">
        <f t="shared" si="282"/>
        <v>-253.8151989315418</v>
      </c>
      <c r="T482" s="31">
        <f t="shared" si="283"/>
        <v>-53.53734183242436</v>
      </c>
      <c r="U482" s="15">
        <f t="shared" si="262"/>
        <v>6500</v>
      </c>
      <c r="V482" s="15">
        <f t="shared" si="263"/>
        <v>-89.999995518444038</v>
      </c>
      <c r="W482" s="15">
        <f t="shared" si="264"/>
        <v>-142.13387616472008</v>
      </c>
      <c r="X482" s="15">
        <f t="shared" si="265"/>
        <v>89.994439756885015</v>
      </c>
      <c r="Y482" s="15">
        <f t="shared" si="266"/>
        <v>80.260577041722186</v>
      </c>
      <c r="Z482" s="15">
        <f t="shared" si="267"/>
        <v>-89.166022432588107</v>
      </c>
      <c r="AA482" s="15">
        <f t="shared" si="268"/>
        <v>-36.739671979221541</v>
      </c>
      <c r="AB482" s="31">
        <f t="shared" si="284"/>
        <v>-89.171578194147131</v>
      </c>
      <c r="AC482" s="31">
        <f t="shared" si="285"/>
        <v>-22.354703969362319</v>
      </c>
      <c r="AD482" s="15">
        <f t="shared" si="269"/>
        <v>89.945934304693552</v>
      </c>
      <c r="AE482" s="15">
        <f t="shared" si="270"/>
        <v>60.504018085950328</v>
      </c>
      <c r="AF482" s="15">
        <f t="shared" si="271"/>
        <v>23.549754561462073</v>
      </c>
      <c r="AG482" s="15">
        <f t="shared" si="272"/>
        <v>0.7553278137161954</v>
      </c>
      <c r="AH482" s="15">
        <f t="shared" si="273"/>
        <v>-89.717659126091618</v>
      </c>
      <c r="AI482" s="15">
        <f t="shared" si="274"/>
        <v>-46.147012709079263</v>
      </c>
      <c r="AJ482" s="31">
        <f t="shared" si="286"/>
        <v>23.778029740064014</v>
      </c>
      <c r="AK482" s="31">
        <f t="shared" si="287"/>
        <v>15.112333190587258</v>
      </c>
      <c r="AL482" s="15">
        <f t="shared" si="275"/>
        <v>0</v>
      </c>
      <c r="AM482" s="15">
        <f t="shared" si="276"/>
        <v>0</v>
      </c>
      <c r="AN482" s="15">
        <f t="shared" si="277"/>
        <v>0</v>
      </c>
      <c r="AO482" s="15">
        <f t="shared" si="278"/>
        <v>0</v>
      </c>
      <c r="AP482" s="31">
        <f t="shared" si="288"/>
        <v>0</v>
      </c>
      <c r="AQ482" s="31">
        <f t="shared" si="289"/>
        <v>0</v>
      </c>
    </row>
    <row r="483" spans="8:43" x14ac:dyDescent="0.25">
      <c r="H483" s="15">
        <v>5.8</v>
      </c>
      <c r="I483" s="45">
        <f t="shared" si="279"/>
        <v>6309573.4448019415</v>
      </c>
      <c r="J483" s="32">
        <f t="shared" si="280"/>
        <v>-139.10225042339516</v>
      </c>
      <c r="K483" s="32">
        <f t="shared" si="281"/>
        <v>-61.136100960855856</v>
      </c>
      <c r="L483" s="15">
        <f t="shared" si="255"/>
        <v>3.8729613733905581</v>
      </c>
      <c r="M483" s="15">
        <f t="shared" si="256"/>
        <v>-87.787102064377706</v>
      </c>
      <c r="N483" s="15">
        <f t="shared" si="257"/>
        <v>28.265384519802495</v>
      </c>
      <c r="O483" s="15">
        <f t="shared" si="258"/>
        <v>-89.995001543110618</v>
      </c>
      <c r="P483" s="15">
        <f t="shared" si="259"/>
        <v>-81.185733643923271</v>
      </c>
      <c r="Q483" s="15">
        <f t="shared" si="260"/>
        <v>-76.38954344743901</v>
      </c>
      <c r="R483" s="15">
        <f t="shared" si="261"/>
        <v>-12.56684190837991</v>
      </c>
      <c r="S483" s="31">
        <f t="shared" si="282"/>
        <v>-254.17164705492735</v>
      </c>
      <c r="T483" s="31">
        <f t="shared" si="283"/>
        <v>-53.72632772023573</v>
      </c>
      <c r="U483" s="15">
        <f t="shared" si="262"/>
        <v>6500</v>
      </c>
      <c r="V483" s="15">
        <f t="shared" si="263"/>
        <v>-89.999995620456716</v>
      </c>
      <c r="W483" s="15">
        <f t="shared" si="264"/>
        <v>-142.3338761647201</v>
      </c>
      <c r="X483" s="15">
        <f t="shared" si="265"/>
        <v>89.994566323469698</v>
      </c>
      <c r="Y483" s="15">
        <f t="shared" si="266"/>
        <v>80.460577039881372</v>
      </c>
      <c r="Z483" s="15">
        <f t="shared" si="267"/>
        <v>-89.18500348929544</v>
      </c>
      <c r="AA483" s="15">
        <f t="shared" si="268"/>
        <v>-36.939630569410966</v>
      </c>
      <c r="AB483" s="31">
        <f t="shared" si="284"/>
        <v>-89.190432786282457</v>
      </c>
      <c r="AC483" s="31">
        <f t="shared" si="285"/>
        <v>-22.554662561392576</v>
      </c>
      <c r="AD483" s="15">
        <f t="shared" si="269"/>
        <v>89.947164989463886</v>
      </c>
      <c r="AE483" s="15">
        <f t="shared" si="270"/>
        <v>60.704017911903321</v>
      </c>
      <c r="AF483" s="15">
        <f t="shared" si="271"/>
        <v>24.036750316853873</v>
      </c>
      <c r="AG483" s="15">
        <f t="shared" si="272"/>
        <v>0.78787937151557785</v>
      </c>
      <c r="AH483" s="15">
        <f t="shared" si="273"/>
        <v>-89.724085888503112</v>
      </c>
      <c r="AI483" s="15">
        <f t="shared" si="274"/>
        <v>-46.347007962646451</v>
      </c>
      <c r="AJ483" s="31">
        <f t="shared" si="286"/>
        <v>24.259829417814643</v>
      </c>
      <c r="AK483" s="31">
        <f t="shared" si="287"/>
        <v>15.14488932077245</v>
      </c>
      <c r="AL483" s="15">
        <f t="shared" si="275"/>
        <v>0</v>
      </c>
      <c r="AM483" s="15">
        <f t="shared" si="276"/>
        <v>0</v>
      </c>
      <c r="AN483" s="15">
        <f t="shared" si="277"/>
        <v>0</v>
      </c>
      <c r="AO483" s="15">
        <f t="shared" si="278"/>
        <v>0</v>
      </c>
      <c r="AP483" s="31">
        <f t="shared" si="288"/>
        <v>0</v>
      </c>
      <c r="AQ483" s="31">
        <f t="shared" si="289"/>
        <v>0</v>
      </c>
    </row>
    <row r="484" spans="8:43" x14ac:dyDescent="0.25">
      <c r="H484" s="15">
        <v>5.81</v>
      </c>
      <c r="I484" s="45">
        <f t="shared" si="279"/>
        <v>6456542.2903465526</v>
      </c>
      <c r="J484" s="32">
        <f t="shared" si="280"/>
        <v>-138.98030673923225</v>
      </c>
      <c r="K484" s="32">
        <f t="shared" si="281"/>
        <v>-61.491684895471167</v>
      </c>
      <c r="L484" s="15">
        <f t="shared" si="255"/>
        <v>3.8729613733905581</v>
      </c>
      <c r="M484" s="15">
        <f t="shared" si="256"/>
        <v>-87.837425388488057</v>
      </c>
      <c r="N484" s="15">
        <f t="shared" si="257"/>
        <v>28.465093082934359</v>
      </c>
      <c r="O484" s="15">
        <f t="shared" si="258"/>
        <v>-89.995115321879808</v>
      </c>
      <c r="P484" s="15">
        <f t="shared" si="259"/>
        <v>-81.385733642435625</v>
      </c>
      <c r="Q484" s="15">
        <f t="shared" si="260"/>
        <v>-76.68820499730036</v>
      </c>
      <c r="R484" s="15">
        <f t="shared" si="261"/>
        <v>-12.756004487523505</v>
      </c>
      <c r="S484" s="31">
        <f t="shared" si="282"/>
        <v>-254.52074570766825</v>
      </c>
      <c r="T484" s="31">
        <f t="shared" si="283"/>
        <v>-53.915781734759811</v>
      </c>
      <c r="U484" s="15">
        <f t="shared" si="262"/>
        <v>6500</v>
      </c>
      <c r="V484" s="15">
        <f t="shared" si="263"/>
        <v>-89.999995720147282</v>
      </c>
      <c r="W484" s="15">
        <f t="shared" si="264"/>
        <v>-142.53387616472008</v>
      </c>
      <c r="X484" s="15">
        <f t="shared" si="265"/>
        <v>89.994690009047247</v>
      </c>
      <c r="Y484" s="15">
        <f t="shared" si="266"/>
        <v>80.660577038123392</v>
      </c>
      <c r="Z484" s="15">
        <f t="shared" si="267"/>
        <v>-89.203552657273107</v>
      </c>
      <c r="AA484" s="15">
        <f t="shared" si="268"/>
        <v>-37.139591022980262</v>
      </c>
      <c r="AB484" s="31">
        <f t="shared" si="284"/>
        <v>-89.208858368373143</v>
      </c>
      <c r="AC484" s="31">
        <f t="shared" si="285"/>
        <v>-22.75462301671984</v>
      </c>
      <c r="AD484" s="15">
        <f t="shared" si="269"/>
        <v>89.948367660475824</v>
      </c>
      <c r="AE484" s="15">
        <f t="shared" si="270"/>
        <v>60.904017745689686</v>
      </c>
      <c r="AF484" s="15">
        <f t="shared" si="271"/>
        <v>24.531296042984131</v>
      </c>
      <c r="AG484" s="15">
        <f t="shared" si="272"/>
        <v>0.82170554015223773</v>
      </c>
      <c r="AH484" s="15">
        <f t="shared" si="273"/>
        <v>-89.730366366650799</v>
      </c>
      <c r="AI484" s="15">
        <f t="shared" si="274"/>
        <v>-46.547003429833438</v>
      </c>
      <c r="AJ484" s="31">
        <f t="shared" si="286"/>
        <v>24.74929733680915</v>
      </c>
      <c r="AK484" s="31">
        <f t="shared" si="287"/>
        <v>15.178719856008485</v>
      </c>
      <c r="AL484" s="15">
        <f t="shared" si="275"/>
        <v>0</v>
      </c>
      <c r="AM484" s="15">
        <f t="shared" si="276"/>
        <v>0</v>
      </c>
      <c r="AN484" s="15">
        <f t="shared" si="277"/>
        <v>0</v>
      </c>
      <c r="AO484" s="15">
        <f t="shared" si="278"/>
        <v>0</v>
      </c>
      <c r="AP484" s="31">
        <f t="shared" si="288"/>
        <v>0</v>
      </c>
      <c r="AQ484" s="31">
        <f t="shared" si="289"/>
        <v>0</v>
      </c>
    </row>
    <row r="485" spans="8:43" x14ac:dyDescent="0.25">
      <c r="H485" s="15">
        <v>5.82</v>
      </c>
      <c r="I485" s="45">
        <f t="shared" si="279"/>
        <v>6606934.4800759675</v>
      </c>
      <c r="J485" s="32">
        <f t="shared" si="280"/>
        <v>-138.84308121743638</v>
      </c>
      <c r="K485" s="32">
        <f t="shared" si="281"/>
        <v>-61.846406119684559</v>
      </c>
      <c r="L485" s="15">
        <f t="shared" si="255"/>
        <v>3.8729613733905581</v>
      </c>
      <c r="M485" s="15">
        <f t="shared" si="256"/>
        <v>-87.886606439669634</v>
      </c>
      <c r="N485" s="15">
        <f t="shared" si="257"/>
        <v>28.664814744628234</v>
      </c>
      <c r="O485" s="15">
        <f t="shared" si="258"/>
        <v>-89.995226510728031</v>
      </c>
      <c r="P485" s="15">
        <f t="shared" si="259"/>
        <v>-81.585733641014968</v>
      </c>
      <c r="Q485" s="15">
        <f t="shared" si="260"/>
        <v>-76.980781776259889</v>
      </c>
      <c r="R485" s="15">
        <f t="shared" si="261"/>
        <v>-12.945629524261408</v>
      </c>
      <c r="S485" s="31">
        <f t="shared" si="282"/>
        <v>-254.86261472665757</v>
      </c>
      <c r="T485" s="31">
        <f t="shared" si="283"/>
        <v>-54.105685108383177</v>
      </c>
      <c r="U485" s="15">
        <f t="shared" si="262"/>
        <v>6500</v>
      </c>
      <c r="V485" s="15">
        <f t="shared" si="263"/>
        <v>-89.999995817568617</v>
      </c>
      <c r="W485" s="15">
        <f t="shared" si="264"/>
        <v>-142.7338761647201</v>
      </c>
      <c r="X485" s="15">
        <f t="shared" si="265"/>
        <v>89.99481087919736</v>
      </c>
      <c r="Y485" s="15">
        <f t="shared" si="266"/>
        <v>80.860577036444553</v>
      </c>
      <c r="Z485" s="15">
        <f t="shared" si="267"/>
        <v>-89.22167975597344</v>
      </c>
      <c r="AA485" s="15">
        <f t="shared" si="268"/>
        <v>-37.339553256096004</v>
      </c>
      <c r="AB485" s="31">
        <f t="shared" si="284"/>
        <v>-89.226864694344698</v>
      </c>
      <c r="AC485" s="31">
        <f t="shared" si="285"/>
        <v>-22.954585251514438</v>
      </c>
      <c r="AD485" s="15">
        <f t="shared" si="269"/>
        <v>89.94954295539722</v>
      </c>
      <c r="AE485" s="15">
        <f t="shared" si="270"/>
        <v>61.104017586956935</v>
      </c>
      <c r="AF485" s="15">
        <f t="shared" si="271"/>
        <v>25.033359138091917</v>
      </c>
      <c r="AG485" s="15">
        <f t="shared" si="272"/>
        <v>0.85684575428236021</v>
      </c>
      <c r="AH485" s="15">
        <f t="shared" si="273"/>
        <v>-89.736503889923256</v>
      </c>
      <c r="AI485" s="15">
        <f t="shared" si="274"/>
        <v>-46.74699910102624</v>
      </c>
      <c r="AJ485" s="31">
        <f t="shared" si="286"/>
        <v>25.246398203565889</v>
      </c>
      <c r="AK485" s="31">
        <f t="shared" si="287"/>
        <v>15.213864240213056</v>
      </c>
      <c r="AL485" s="15">
        <f t="shared" si="275"/>
        <v>0</v>
      </c>
      <c r="AM485" s="15">
        <f t="shared" si="276"/>
        <v>0</v>
      </c>
      <c r="AN485" s="15">
        <f t="shared" si="277"/>
        <v>0</v>
      </c>
      <c r="AO485" s="15">
        <f t="shared" si="278"/>
        <v>0</v>
      </c>
      <c r="AP485" s="31">
        <f t="shared" si="288"/>
        <v>0</v>
      </c>
      <c r="AQ485" s="31">
        <f t="shared" si="289"/>
        <v>0</v>
      </c>
    </row>
    <row r="486" spans="8:43" x14ac:dyDescent="0.25">
      <c r="H486" s="15">
        <v>5.83</v>
      </c>
      <c r="I486" s="45">
        <f t="shared" si="279"/>
        <v>6760829.7539198259</v>
      </c>
      <c r="J486" s="32">
        <f t="shared" si="280"/>
        <v>-138.69074819648361</v>
      </c>
      <c r="K486" s="32">
        <f t="shared" si="281"/>
        <v>-62.200206599495438</v>
      </c>
      <c r="L486" s="15">
        <f t="shared" si="255"/>
        <v>3.8729613733905581</v>
      </c>
      <c r="M486" s="15">
        <f t="shared" si="256"/>
        <v>-87.934671004308015</v>
      </c>
      <c r="N486" s="15">
        <f t="shared" si="257"/>
        <v>28.864548916956039</v>
      </c>
      <c r="O486" s="15">
        <f t="shared" si="258"/>
        <v>-89.995335168609103</v>
      </c>
      <c r="P486" s="15">
        <f t="shared" si="259"/>
        <v>-81.785733639658233</v>
      </c>
      <c r="Q486" s="15">
        <f t="shared" si="260"/>
        <v>-77.2673678523593</v>
      </c>
      <c r="R486" s="15">
        <f t="shared" si="261"/>
        <v>-13.135698320682888</v>
      </c>
      <c r="S486" s="31">
        <f t="shared" si="282"/>
        <v>-255.19737402527642</v>
      </c>
      <c r="T486" s="31">
        <f t="shared" si="283"/>
        <v>-54.296019731120126</v>
      </c>
      <c r="U486" s="15">
        <f t="shared" si="262"/>
        <v>6500</v>
      </c>
      <c r="V486" s="15">
        <f t="shared" si="263"/>
        <v>-89.999995912772377</v>
      </c>
      <c r="W486" s="15">
        <f t="shared" si="264"/>
        <v>-142.93387616472009</v>
      </c>
      <c r="X486" s="15">
        <f t="shared" si="265"/>
        <v>89.994928998006998</v>
      </c>
      <c r="Y486" s="15">
        <f t="shared" si="266"/>
        <v>81.060577034841273</v>
      </c>
      <c r="Z486" s="15">
        <f t="shared" si="267"/>
        <v>-89.239394382100343</v>
      </c>
      <c r="AA486" s="15">
        <f t="shared" si="268"/>
        <v>-37.539517188694944</v>
      </c>
      <c r="AB486" s="31">
        <f t="shared" si="284"/>
        <v>-89.244461296865722</v>
      </c>
      <c r="AC486" s="31">
        <f t="shared" si="285"/>
        <v>-23.154549185716647</v>
      </c>
      <c r="AD486" s="15">
        <f t="shared" si="269"/>
        <v>89.95069149738103</v>
      </c>
      <c r="AE486" s="15">
        <f t="shared" si="270"/>
        <v>61.304017435368301</v>
      </c>
      <c r="AF486" s="15">
        <f t="shared" si="271"/>
        <v>25.542897340230333</v>
      </c>
      <c r="AG486" s="15">
        <f t="shared" si="272"/>
        <v>0.89333984901644881</v>
      </c>
      <c r="AH486" s="15">
        <f t="shared" si="273"/>
        <v>-89.742501711952826</v>
      </c>
      <c r="AI486" s="15">
        <f t="shared" si="274"/>
        <v>-46.946994967043416</v>
      </c>
      <c r="AJ486" s="31">
        <f t="shared" si="286"/>
        <v>25.751087125658529</v>
      </c>
      <c r="AK486" s="31">
        <f t="shared" si="287"/>
        <v>15.250362317341335</v>
      </c>
      <c r="AL486" s="15">
        <f t="shared" si="275"/>
        <v>0</v>
      </c>
      <c r="AM486" s="15">
        <f t="shared" si="276"/>
        <v>0</v>
      </c>
      <c r="AN486" s="15">
        <f t="shared" si="277"/>
        <v>0</v>
      </c>
      <c r="AO486" s="15">
        <f t="shared" si="278"/>
        <v>0</v>
      </c>
      <c r="AP486" s="31">
        <f t="shared" si="288"/>
        <v>0</v>
      </c>
      <c r="AQ486" s="31">
        <f t="shared" si="289"/>
        <v>0</v>
      </c>
    </row>
    <row r="487" spans="8:43" x14ac:dyDescent="0.25">
      <c r="H487" s="15">
        <v>5.84</v>
      </c>
      <c r="I487" s="45">
        <f t="shared" si="279"/>
        <v>6918309.7091893721</v>
      </c>
      <c r="J487" s="32">
        <f t="shared" si="280"/>
        <v>-138.52349167945508</v>
      </c>
      <c r="K487" s="32">
        <f t="shared" si="281"/>
        <v>-62.553028609426292</v>
      </c>
      <c r="L487" s="15">
        <f t="shared" si="255"/>
        <v>3.8729613733905581</v>
      </c>
      <c r="M487" s="15">
        <f t="shared" si="256"/>
        <v>-87.981644296122099</v>
      </c>
      <c r="N487" s="15">
        <f t="shared" si="257"/>
        <v>29.064295038309961</v>
      </c>
      <c r="O487" s="15">
        <f t="shared" si="258"/>
        <v>-89.995441353134893</v>
      </c>
      <c r="P487" s="15">
        <f t="shared" si="259"/>
        <v>-81.985733638362547</v>
      </c>
      <c r="Q487" s="15">
        <f t="shared" si="260"/>
        <v>-77.54805779144651</v>
      </c>
      <c r="R487" s="15">
        <f t="shared" si="261"/>
        <v>-13.326192847820566</v>
      </c>
      <c r="S487" s="31">
        <f t="shared" si="282"/>
        <v>-255.52514344070352</v>
      </c>
      <c r="T487" s="31">
        <f t="shared" si="283"/>
        <v>-54.486768135608187</v>
      </c>
      <c r="U487" s="15">
        <f t="shared" si="262"/>
        <v>6500</v>
      </c>
      <c r="V487" s="15">
        <f t="shared" si="263"/>
        <v>-89.999996005809052</v>
      </c>
      <c r="W487" s="15">
        <f t="shared" si="264"/>
        <v>-143.13387616472008</v>
      </c>
      <c r="X487" s="15">
        <f t="shared" si="265"/>
        <v>89.995044428104322</v>
      </c>
      <c r="Y487" s="15">
        <f t="shared" si="266"/>
        <v>81.260577033310142</v>
      </c>
      <c r="Z487" s="15">
        <f t="shared" si="267"/>
        <v>-89.25670591462837</v>
      </c>
      <c r="AA487" s="15">
        <f t="shared" si="268"/>
        <v>-37.739482744314714</v>
      </c>
      <c r="AB487" s="31">
        <f t="shared" si="284"/>
        <v>-89.2616574923331</v>
      </c>
      <c r="AC487" s="31">
        <f t="shared" si="285"/>
        <v>-23.354514742867536</v>
      </c>
      <c r="AD487" s="15">
        <f t="shared" si="269"/>
        <v>89.951813895395745</v>
      </c>
      <c r="AE487" s="15">
        <f t="shared" si="270"/>
        <v>61.504017290602285</v>
      </c>
      <c r="AF487" s="15">
        <f t="shared" si="271"/>
        <v>26.059858370523816</v>
      </c>
      <c r="AG487" s="15">
        <f t="shared" si="272"/>
        <v>0.93122799756392771</v>
      </c>
      <c r="AH487" s="15">
        <f t="shared" si="273"/>
        <v>-89.748363012338032</v>
      </c>
      <c r="AI487" s="15">
        <f t="shared" si="274"/>
        <v>-47.146991019116783</v>
      </c>
      <c r="AJ487" s="31">
        <f t="shared" si="286"/>
        <v>26.263309253581525</v>
      </c>
      <c r="AK487" s="31">
        <f t="shared" si="287"/>
        <v>15.288254269049432</v>
      </c>
      <c r="AL487" s="15">
        <f t="shared" si="275"/>
        <v>0</v>
      </c>
      <c r="AM487" s="15">
        <f t="shared" si="276"/>
        <v>0</v>
      </c>
      <c r="AN487" s="15">
        <f t="shared" si="277"/>
        <v>0</v>
      </c>
      <c r="AO487" s="15">
        <f t="shared" si="278"/>
        <v>0</v>
      </c>
      <c r="AP487" s="31">
        <f t="shared" si="288"/>
        <v>0</v>
      </c>
      <c r="AQ487" s="31">
        <f t="shared" si="289"/>
        <v>0</v>
      </c>
    </row>
    <row r="488" spans="8:43" x14ac:dyDescent="0.25">
      <c r="H488" s="15">
        <v>5.85</v>
      </c>
      <c r="I488" s="45">
        <f t="shared" si="279"/>
        <v>7079457.8438413851</v>
      </c>
      <c r="J488" s="32">
        <f t="shared" si="280"/>
        <v>-138.34150553921543</v>
      </c>
      <c r="K488" s="32">
        <f t="shared" si="281"/>
        <v>-62.904814784270854</v>
      </c>
      <c r="L488" s="15">
        <f t="shared" si="255"/>
        <v>3.8729613733905581</v>
      </c>
      <c r="M488" s="15">
        <f t="shared" si="256"/>
        <v>-88.0275509682494</v>
      </c>
      <c r="N488" s="15">
        <f t="shared" si="257"/>
        <v>29.264052572230163</v>
      </c>
      <c r="O488" s="15">
        <f t="shared" si="258"/>
        <v>-89.995545120605797</v>
      </c>
      <c r="P488" s="15">
        <f t="shared" si="259"/>
        <v>-82.185733637125196</v>
      </c>
      <c r="Q488" s="15">
        <f t="shared" si="260"/>
        <v>-77.822946502434576</v>
      </c>
      <c r="R488" s="15">
        <f t="shared" si="261"/>
        <v>-13.517095729084952</v>
      </c>
      <c r="S488" s="31">
        <f t="shared" si="282"/>
        <v>-255.84604259128977</v>
      </c>
      <c r="T488" s="31">
        <f t="shared" si="283"/>
        <v>-54.677913481715017</v>
      </c>
      <c r="U488" s="15">
        <f t="shared" si="262"/>
        <v>6500</v>
      </c>
      <c r="V488" s="15">
        <f t="shared" si="263"/>
        <v>-89.999996096727926</v>
      </c>
      <c r="W488" s="15">
        <f t="shared" si="264"/>
        <v>-143.33387616472007</v>
      </c>
      <c r="X488" s="15">
        <f t="shared" si="265"/>
        <v>89.995157230691873</v>
      </c>
      <c r="Y488" s="15">
        <f t="shared" si="266"/>
        <v>81.460577031847933</v>
      </c>
      <c r="Z488" s="15">
        <f t="shared" si="267"/>
        <v>-89.27362351971091</v>
      </c>
      <c r="AA488" s="15">
        <f t="shared" si="268"/>
        <v>-37.93944984993194</v>
      </c>
      <c r="AB488" s="31">
        <f t="shared" si="284"/>
        <v>-89.278462385746963</v>
      </c>
      <c r="AC488" s="31">
        <f t="shared" si="285"/>
        <v>-23.55448184994696</v>
      </c>
      <c r="AD488" s="15">
        <f t="shared" si="269"/>
        <v>89.952910744548177</v>
      </c>
      <c r="AE488" s="15">
        <f t="shared" si="270"/>
        <v>61.704017152351803</v>
      </c>
      <c r="AF488" s="15">
        <f t="shared" si="271"/>
        <v>26.584179591600069</v>
      </c>
      <c r="AG488" s="15">
        <f t="shared" si="272"/>
        <v>0.97055064391209822</v>
      </c>
      <c r="AH488" s="15">
        <f t="shared" si="273"/>
        <v>-89.75409089832695</v>
      </c>
      <c r="AI488" s="15">
        <f t="shared" si="274"/>
        <v>-47.346987248872779</v>
      </c>
      <c r="AJ488" s="31">
        <f t="shared" si="286"/>
        <v>26.782999437821303</v>
      </c>
      <c r="AK488" s="31">
        <f t="shared" si="287"/>
        <v>15.327580547391122</v>
      </c>
      <c r="AL488" s="15">
        <f t="shared" si="275"/>
        <v>0</v>
      </c>
      <c r="AM488" s="15">
        <f t="shared" si="276"/>
        <v>0</v>
      </c>
      <c r="AN488" s="15">
        <f t="shared" si="277"/>
        <v>0</v>
      </c>
      <c r="AO488" s="15">
        <f t="shared" si="278"/>
        <v>0</v>
      </c>
      <c r="AP488" s="31">
        <f t="shared" si="288"/>
        <v>0</v>
      </c>
      <c r="AQ488" s="31">
        <f t="shared" si="289"/>
        <v>0</v>
      </c>
    </row>
    <row r="489" spans="8:43" x14ac:dyDescent="0.25">
      <c r="H489" s="15">
        <v>5.86</v>
      </c>
      <c r="I489" s="45">
        <f t="shared" si="279"/>
        <v>7244359.6007499192</v>
      </c>
      <c r="J489" s="32">
        <f t="shared" si="280"/>
        <v>-138.14499371507247</v>
      </c>
      <c r="K489" s="32">
        <f t="shared" si="281"/>
        <v>-63.255508175501106</v>
      </c>
      <c r="L489" s="15">
        <f t="shared" si="255"/>
        <v>3.8729613733905581</v>
      </c>
      <c r="M489" s="15">
        <f t="shared" si="256"/>
        <v>-88.072415125119392</v>
      </c>
      <c r="N489" s="15">
        <f t="shared" si="257"/>
        <v>29.463821006284256</v>
      </c>
      <c r="O489" s="15">
        <f t="shared" si="258"/>
        <v>-89.995646526040716</v>
      </c>
      <c r="P489" s="15">
        <f t="shared" si="259"/>
        <v>-82.385733635943538</v>
      </c>
      <c r="Q489" s="15">
        <f t="shared" si="260"/>
        <v>-78.092129092487738</v>
      </c>
      <c r="R489" s="15">
        <f t="shared" si="261"/>
        <v>-13.708390223447985</v>
      </c>
      <c r="S489" s="31">
        <f t="shared" si="282"/>
        <v>-256.16019074364783</v>
      </c>
      <c r="T489" s="31">
        <f t="shared" si="283"/>
        <v>-54.869439540842301</v>
      </c>
      <c r="U489" s="15">
        <f t="shared" si="262"/>
        <v>6500</v>
      </c>
      <c r="V489" s="15">
        <f t="shared" si="263"/>
        <v>-89.999996185577245</v>
      </c>
      <c r="W489" s="15">
        <f t="shared" si="264"/>
        <v>-143.53387616472008</v>
      </c>
      <c r="X489" s="15">
        <f t="shared" si="265"/>
        <v>89.99526746557909</v>
      </c>
      <c r="Y489" s="15">
        <f t="shared" si="266"/>
        <v>81.660577030451535</v>
      </c>
      <c r="Z489" s="15">
        <f t="shared" si="267"/>
        <v>-89.29015615547992</v>
      </c>
      <c r="AA489" s="15">
        <f t="shared" si="268"/>
        <v>-38.139418435807706</v>
      </c>
      <c r="AB489" s="31">
        <f t="shared" si="284"/>
        <v>-89.294884875478076</v>
      </c>
      <c r="AC489" s="31">
        <f t="shared" si="285"/>
        <v>-23.754450437219141</v>
      </c>
      <c r="AD489" s="15">
        <f t="shared" si="269"/>
        <v>89.953982626399068</v>
      </c>
      <c r="AE489" s="15">
        <f t="shared" si="270"/>
        <v>61.904017020323622</v>
      </c>
      <c r="AF489" s="15">
        <f t="shared" si="271"/>
        <v>27.115787684116658</v>
      </c>
      <c r="AG489" s="15">
        <f t="shared" si="272"/>
        <v>1.0113484305513778</v>
      </c>
      <c r="AH489" s="15">
        <f t="shared" si="273"/>
        <v>-89.759688406462288</v>
      </c>
      <c r="AI489" s="15">
        <f t="shared" si="274"/>
        <v>-47.546983648314665</v>
      </c>
      <c r="AJ489" s="31">
        <f t="shared" si="286"/>
        <v>27.310081904053433</v>
      </c>
      <c r="AK489" s="31">
        <f t="shared" si="287"/>
        <v>15.368381802560336</v>
      </c>
      <c r="AL489" s="15">
        <f t="shared" si="275"/>
        <v>0</v>
      </c>
      <c r="AM489" s="15">
        <f t="shared" si="276"/>
        <v>0</v>
      </c>
      <c r="AN489" s="15">
        <f t="shared" si="277"/>
        <v>0</v>
      </c>
      <c r="AO489" s="15">
        <f t="shared" si="278"/>
        <v>0</v>
      </c>
      <c r="AP489" s="31">
        <f t="shared" si="288"/>
        <v>0</v>
      </c>
      <c r="AQ489" s="31">
        <f t="shared" si="289"/>
        <v>0</v>
      </c>
    </row>
    <row r="490" spans="8:43" x14ac:dyDescent="0.25">
      <c r="H490" s="15">
        <v>5.87</v>
      </c>
      <c r="I490" s="45">
        <f t="shared" si="279"/>
        <v>7413102.4130091807</v>
      </c>
      <c r="J490" s="32">
        <f t="shared" si="280"/>
        <v>-137.93417039753899</v>
      </c>
      <c r="K490" s="32">
        <f t="shared" si="281"/>
        <v>-63.605052312361032</v>
      </c>
      <c r="L490" s="15">
        <f t="shared" si="255"/>
        <v>3.8729613733905581</v>
      </c>
      <c r="M490" s="15">
        <f t="shared" si="256"/>
        <v>-88.116260334114997</v>
      </c>
      <c r="N490" s="15">
        <f t="shared" si="257"/>
        <v>29.663599850996071</v>
      </c>
      <c r="O490" s="15">
        <f t="shared" si="258"/>
        <v>-89.995745623206162</v>
      </c>
      <c r="P490" s="15">
        <f t="shared" si="259"/>
        <v>-82.585733634815043</v>
      </c>
      <c r="Q490" s="15">
        <f t="shared" si="260"/>
        <v>-78.355700731771762</v>
      </c>
      <c r="R490" s="15">
        <f t="shared" si="261"/>
        <v>-13.90006020845205</v>
      </c>
      <c r="S490" s="31">
        <f t="shared" si="282"/>
        <v>-256.46770668909295</v>
      </c>
      <c r="T490" s="31">
        <f t="shared" si="283"/>
        <v>-55.061330680006051</v>
      </c>
      <c r="U490" s="15">
        <f t="shared" si="262"/>
        <v>6500</v>
      </c>
      <c r="V490" s="15">
        <f t="shared" si="263"/>
        <v>-89.999996272404104</v>
      </c>
      <c r="W490" s="15">
        <f t="shared" si="264"/>
        <v>-143.73387616472007</v>
      </c>
      <c r="X490" s="15">
        <f t="shared" si="265"/>
        <v>89.995375191213967</v>
      </c>
      <c r="Y490" s="15">
        <f t="shared" si="266"/>
        <v>81.860577029117962</v>
      </c>
      <c r="Z490" s="15">
        <f t="shared" si="267"/>
        <v>-89.306312576739259</v>
      </c>
      <c r="AA490" s="15">
        <f t="shared" si="268"/>
        <v>-38.339388435339814</v>
      </c>
      <c r="AB490" s="31">
        <f t="shared" si="284"/>
        <v>-89.310933657929397</v>
      </c>
      <c r="AC490" s="31">
        <f t="shared" si="285"/>
        <v>-23.95442043808481</v>
      </c>
      <c r="AD490" s="15">
        <f t="shared" si="269"/>
        <v>89.955030109271348</v>
      </c>
      <c r="AE490" s="15">
        <f t="shared" si="270"/>
        <v>62.104016894237674</v>
      </c>
      <c r="AF490" s="15">
        <f t="shared" si="271"/>
        <v>27.65459834440135</v>
      </c>
      <c r="AG490" s="15">
        <f t="shared" si="272"/>
        <v>1.0536621212977071</v>
      </c>
      <c r="AH490" s="15">
        <f t="shared" si="273"/>
        <v>-89.765158504189344</v>
      </c>
      <c r="AI490" s="15">
        <f t="shared" si="274"/>
        <v>-47.74698020980555</v>
      </c>
      <c r="AJ490" s="31">
        <f t="shared" si="286"/>
        <v>27.844469949483354</v>
      </c>
      <c r="AK490" s="31">
        <f t="shared" si="287"/>
        <v>15.41069880572983</v>
      </c>
      <c r="AL490" s="15">
        <f t="shared" si="275"/>
        <v>0</v>
      </c>
      <c r="AM490" s="15">
        <f t="shared" si="276"/>
        <v>0</v>
      </c>
      <c r="AN490" s="15">
        <f t="shared" si="277"/>
        <v>0</v>
      </c>
      <c r="AO490" s="15">
        <f t="shared" si="278"/>
        <v>0</v>
      </c>
      <c r="AP490" s="31">
        <f t="shared" si="288"/>
        <v>0</v>
      </c>
      <c r="AQ490" s="31">
        <f t="shared" si="289"/>
        <v>0</v>
      </c>
    </row>
    <row r="491" spans="8:43" x14ac:dyDescent="0.25">
      <c r="H491" s="15">
        <v>5.88</v>
      </c>
      <c r="I491" s="45">
        <f t="shared" si="279"/>
        <v>7585775.750291842</v>
      </c>
      <c r="J491" s="32">
        <f t="shared" si="280"/>
        <v>-137.70926019773376</v>
      </c>
      <c r="K491" s="32">
        <f t="shared" si="281"/>
        <v>-63.95339126762596</v>
      </c>
      <c r="L491" s="15">
        <f t="shared" si="255"/>
        <v>3.8729613733905581</v>
      </c>
      <c r="M491" s="15">
        <f t="shared" si="256"/>
        <v>-88.15910963702396</v>
      </c>
      <c r="N491" s="15">
        <f t="shared" si="257"/>
        <v>29.863388638822016</v>
      </c>
      <c r="O491" s="15">
        <f t="shared" si="258"/>
        <v>-89.995842464644753</v>
      </c>
      <c r="P491" s="15">
        <f t="shared" si="259"/>
        <v>-82.785733633737351</v>
      </c>
      <c r="Q491" s="15">
        <f t="shared" si="260"/>
        <v>-78.613756527399261</v>
      </c>
      <c r="R491" s="15">
        <f t="shared" si="261"/>
        <v>-14.092090163114534</v>
      </c>
      <c r="S491" s="31">
        <f t="shared" si="282"/>
        <v>-256.76870862906799</v>
      </c>
      <c r="T491" s="31">
        <f t="shared" si="283"/>
        <v>-55.25357184576491</v>
      </c>
      <c r="U491" s="15">
        <f t="shared" si="262"/>
        <v>6500</v>
      </c>
      <c r="V491" s="15">
        <f t="shared" si="263"/>
        <v>-89.99999635725456</v>
      </c>
      <c r="W491" s="15">
        <f t="shared" si="264"/>
        <v>-143.93387616472009</v>
      </c>
      <c r="X491" s="15">
        <f t="shared" si="265"/>
        <v>89.995480464714035</v>
      </c>
      <c r="Y491" s="15">
        <f t="shared" si="266"/>
        <v>82.060577027844431</v>
      </c>
      <c r="Z491" s="15">
        <f t="shared" si="267"/>
        <v>-89.322101339554109</v>
      </c>
      <c r="AA491" s="15">
        <f t="shared" si="268"/>
        <v>-38.539359784921956</v>
      </c>
      <c r="AB491" s="31">
        <f t="shared" si="284"/>
        <v>-89.326617232094634</v>
      </c>
      <c r="AC491" s="31">
        <f t="shared" si="285"/>
        <v>-24.154391788940501</v>
      </c>
      <c r="AD491" s="15">
        <f t="shared" si="269"/>
        <v>89.956053748551497</v>
      </c>
      <c r="AE491" s="15">
        <f t="shared" si="270"/>
        <v>62.304016773826518</v>
      </c>
      <c r="AF491" s="15">
        <f t="shared" si="271"/>
        <v>28.200516006304603</v>
      </c>
      <c r="AG491" s="15">
        <f t="shared" si="272"/>
        <v>1.0975325193052445</v>
      </c>
      <c r="AH491" s="15">
        <f t="shared" si="273"/>
        <v>-89.770504091427227</v>
      </c>
      <c r="AI491" s="15">
        <f t="shared" si="274"/>
        <v>-47.946976926052315</v>
      </c>
      <c r="AJ491" s="31">
        <f t="shared" si="286"/>
        <v>28.386065663428866</v>
      </c>
      <c r="AK491" s="31">
        <f t="shared" si="287"/>
        <v>15.45457236707945</v>
      </c>
      <c r="AL491" s="15">
        <f t="shared" si="275"/>
        <v>0</v>
      </c>
      <c r="AM491" s="15">
        <f t="shared" si="276"/>
        <v>0</v>
      </c>
      <c r="AN491" s="15">
        <f t="shared" si="277"/>
        <v>0</v>
      </c>
      <c r="AO491" s="15">
        <f t="shared" si="278"/>
        <v>0</v>
      </c>
      <c r="AP491" s="31">
        <f t="shared" si="288"/>
        <v>0</v>
      </c>
      <c r="AQ491" s="31">
        <f t="shared" si="289"/>
        <v>0</v>
      </c>
    </row>
    <row r="492" spans="8:43" x14ac:dyDescent="0.25">
      <c r="H492" s="15">
        <v>5.89</v>
      </c>
      <c r="I492" s="45">
        <f t="shared" si="279"/>
        <v>7762471.1662869211</v>
      </c>
      <c r="J492" s="32">
        <f t="shared" si="280"/>
        <v>-137.47049829790117</v>
      </c>
      <c r="K492" s="32">
        <f t="shared" si="281"/>
        <v>-64.300469727953271</v>
      </c>
      <c r="L492" s="15">
        <f t="shared" si="255"/>
        <v>3.8729613733905581</v>
      </c>
      <c r="M492" s="15">
        <f t="shared" si="256"/>
        <v>-88.200985561280433</v>
      </c>
      <c r="N492" s="15">
        <f t="shared" si="257"/>
        <v>30.063186923172367</v>
      </c>
      <c r="O492" s="15">
        <f t="shared" si="258"/>
        <v>-89.995937101703092</v>
      </c>
      <c r="P492" s="15">
        <f t="shared" si="259"/>
        <v>-82.985733632708161</v>
      </c>
      <c r="Q492" s="15">
        <f t="shared" si="260"/>
        <v>-78.86639140619549</v>
      </c>
      <c r="R492" s="15">
        <f t="shared" si="261"/>
        <v>-14.284465150790961</v>
      </c>
      <c r="S492" s="31">
        <f t="shared" si="282"/>
        <v>-257.063314069179</v>
      </c>
      <c r="T492" s="31">
        <f t="shared" si="283"/>
        <v>-55.446148548061799</v>
      </c>
      <c r="U492" s="15">
        <f t="shared" si="262"/>
        <v>6500</v>
      </c>
      <c r="V492" s="15">
        <f t="shared" si="263"/>
        <v>-89.999996440173561</v>
      </c>
      <c r="W492" s="15">
        <f t="shared" si="264"/>
        <v>-144.13387616472008</v>
      </c>
      <c r="X492" s="15">
        <f t="shared" si="265"/>
        <v>89.995583341896719</v>
      </c>
      <c r="Y492" s="15">
        <f t="shared" si="266"/>
        <v>82.260577026628212</v>
      </c>
      <c r="Z492" s="15">
        <f t="shared" si="267"/>
        <v>-89.337530805738467</v>
      </c>
      <c r="AA492" s="15">
        <f t="shared" si="268"/>
        <v>-38.739332423808875</v>
      </c>
      <c r="AB492" s="31">
        <f t="shared" si="284"/>
        <v>-89.341943904015309</v>
      </c>
      <c r="AC492" s="31">
        <f t="shared" si="285"/>
        <v>-24.354364429043628</v>
      </c>
      <c r="AD492" s="15">
        <f t="shared" si="269"/>
        <v>89.957054086984002</v>
      </c>
      <c r="AE492" s="15">
        <f t="shared" si="270"/>
        <v>62.504016658834765</v>
      </c>
      <c r="AF492" s="15">
        <f t="shared" si="271"/>
        <v>28.753433590413692</v>
      </c>
      <c r="AG492" s="15">
        <f t="shared" si="272"/>
        <v>1.1430003804073805</v>
      </c>
      <c r="AH492" s="15">
        <f t="shared" si="273"/>
        <v>-89.775728002104572</v>
      </c>
      <c r="AI492" s="15">
        <f t="shared" si="274"/>
        <v>-48.146973790089987</v>
      </c>
      <c r="AJ492" s="31">
        <f t="shared" si="286"/>
        <v>28.934759675293122</v>
      </c>
      <c r="AK492" s="31">
        <f t="shared" si="287"/>
        <v>15.500043249152156</v>
      </c>
      <c r="AL492" s="15">
        <f t="shared" si="275"/>
        <v>0</v>
      </c>
      <c r="AM492" s="15">
        <f t="shared" si="276"/>
        <v>0</v>
      </c>
      <c r="AN492" s="15">
        <f t="shared" si="277"/>
        <v>0</v>
      </c>
      <c r="AO492" s="15">
        <f t="shared" si="278"/>
        <v>0</v>
      </c>
      <c r="AP492" s="31">
        <f t="shared" si="288"/>
        <v>0</v>
      </c>
      <c r="AQ492" s="31">
        <f t="shared" si="289"/>
        <v>0</v>
      </c>
    </row>
    <row r="493" spans="8:43" x14ac:dyDescent="0.25">
      <c r="H493" s="15">
        <v>5.9</v>
      </c>
      <c r="I493" s="45">
        <f t="shared" si="279"/>
        <v>7943282.3472428331</v>
      </c>
      <c r="J493" s="32">
        <f t="shared" si="280"/>
        <v>-137.21813057950328</v>
      </c>
      <c r="K493" s="32">
        <f t="shared" si="281"/>
        <v>-64.646233068699672</v>
      </c>
      <c r="L493" s="15">
        <f t="shared" si="255"/>
        <v>3.8729613733905581</v>
      </c>
      <c r="M493" s="15">
        <f t="shared" si="256"/>
        <v>-88.241910130998875</v>
      </c>
      <c r="N493" s="15">
        <f t="shared" si="257"/>
        <v>30.262994277476079</v>
      </c>
      <c r="O493" s="15">
        <f t="shared" si="258"/>
        <v>-89.996029584558997</v>
      </c>
      <c r="P493" s="15">
        <f t="shared" si="259"/>
        <v>-83.185733631725313</v>
      </c>
      <c r="Q493" s="15">
        <f t="shared" si="260"/>
        <v>-79.113700005909735</v>
      </c>
      <c r="R493" s="15">
        <f t="shared" si="261"/>
        <v>-14.477170802054536</v>
      </c>
      <c r="S493" s="31">
        <f t="shared" si="282"/>
        <v>-257.35163972146762</v>
      </c>
      <c r="T493" s="31">
        <f t="shared" si="283"/>
        <v>-55.639046844038809</v>
      </c>
      <c r="U493" s="15">
        <f t="shared" si="262"/>
        <v>6500</v>
      </c>
      <c r="V493" s="15">
        <f t="shared" si="263"/>
        <v>-89.999996521205119</v>
      </c>
      <c r="W493" s="15">
        <f t="shared" si="264"/>
        <v>-144.3338761647201</v>
      </c>
      <c r="X493" s="15">
        <f t="shared" si="265"/>
        <v>89.995683877308849</v>
      </c>
      <c r="Y493" s="15">
        <f t="shared" si="266"/>
        <v>82.460577025466762</v>
      </c>
      <c r="Z493" s="15">
        <f t="shared" si="267"/>
        <v>-89.352609147242816</v>
      </c>
      <c r="AA493" s="15">
        <f t="shared" si="268"/>
        <v>-38.93930629398784</v>
      </c>
      <c r="AB493" s="31">
        <f t="shared" si="284"/>
        <v>-89.356921791139087</v>
      </c>
      <c r="AC493" s="31">
        <f t="shared" si="285"/>
        <v>-24.55433830038406</v>
      </c>
      <c r="AD493" s="15">
        <f t="shared" si="269"/>
        <v>89.9580316549591</v>
      </c>
      <c r="AE493" s="15">
        <f t="shared" si="270"/>
        <v>62.704016549018505</v>
      </c>
      <c r="AF493" s="15">
        <f t="shared" si="271"/>
        <v>29.313232283804712</v>
      </c>
      <c r="AG493" s="15">
        <f t="shared" si="272"/>
        <v>1.1901063219718264</v>
      </c>
      <c r="AH493" s="15">
        <f t="shared" si="273"/>
        <v>-89.780833005660398</v>
      </c>
      <c r="AI493" s="15">
        <f t="shared" si="274"/>
        <v>-48.346970795267126</v>
      </c>
      <c r="AJ493" s="31">
        <f t="shared" si="286"/>
        <v>29.490430933103411</v>
      </c>
      <c r="AK493" s="31">
        <f t="shared" si="287"/>
        <v>15.547152075723204</v>
      </c>
      <c r="AL493" s="15">
        <f t="shared" si="275"/>
        <v>0</v>
      </c>
      <c r="AM493" s="15">
        <f t="shared" si="276"/>
        <v>0</v>
      </c>
      <c r="AN493" s="15">
        <f t="shared" si="277"/>
        <v>0</v>
      </c>
      <c r="AO493" s="15">
        <f t="shared" si="278"/>
        <v>0</v>
      </c>
      <c r="AP493" s="31">
        <f t="shared" si="288"/>
        <v>0</v>
      </c>
      <c r="AQ493" s="31">
        <f t="shared" si="289"/>
        <v>0</v>
      </c>
    </row>
    <row r="494" spans="8:43" x14ac:dyDescent="0.25">
      <c r="H494" s="15">
        <v>5.91</v>
      </c>
      <c r="I494" s="45">
        <f t="shared" si="279"/>
        <v>8128305.1616410092</v>
      </c>
      <c r="J494" s="32">
        <f t="shared" si="280"/>
        <v>-136.95241372534451</v>
      </c>
      <c r="K494" s="32">
        <f t="shared" si="281"/>
        <v>-64.990627433021075</v>
      </c>
      <c r="L494" s="15">
        <f t="shared" si="255"/>
        <v>3.8729613733905581</v>
      </c>
      <c r="M494" s="15">
        <f t="shared" si="256"/>
        <v>-88.281904877801281</v>
      </c>
      <c r="N494" s="15">
        <f t="shared" si="257"/>
        <v>30.462810294286854</v>
      </c>
      <c r="O494" s="15">
        <f t="shared" si="258"/>
        <v>-89.996119962248116</v>
      </c>
      <c r="P494" s="15">
        <f t="shared" si="259"/>
        <v>-83.385733630786675</v>
      </c>
      <c r="Q494" s="15">
        <f t="shared" si="260"/>
        <v>-79.355776574497071</v>
      </c>
      <c r="R494" s="15">
        <f t="shared" si="261"/>
        <v>-14.67019329764355</v>
      </c>
      <c r="S494" s="31">
        <f t="shared" si="282"/>
        <v>-257.6338014145465</v>
      </c>
      <c r="T494" s="31">
        <f t="shared" si="283"/>
        <v>-55.832253321878412</v>
      </c>
      <c r="U494" s="15">
        <f t="shared" si="262"/>
        <v>6500</v>
      </c>
      <c r="V494" s="15">
        <f t="shared" si="263"/>
        <v>-89.999996600392151</v>
      </c>
      <c r="W494" s="15">
        <f t="shared" si="264"/>
        <v>-144.53387616472008</v>
      </c>
      <c r="X494" s="15">
        <f t="shared" si="265"/>
        <v>89.995782124255641</v>
      </c>
      <c r="Y494" s="15">
        <f t="shared" si="266"/>
        <v>82.660577024357565</v>
      </c>
      <c r="Z494" s="15">
        <f t="shared" si="267"/>
        <v>-89.367344350444441</v>
      </c>
      <c r="AA494" s="15">
        <f t="shared" si="268"/>
        <v>-39.139281340055703</v>
      </c>
      <c r="AB494" s="31">
        <f t="shared" si="284"/>
        <v>-89.371558826580952</v>
      </c>
      <c r="AC494" s="31">
        <f t="shared" si="285"/>
        <v>-24.754313347561109</v>
      </c>
      <c r="AD494" s="15">
        <f t="shared" si="269"/>
        <v>89.958986970793987</v>
      </c>
      <c r="AE494" s="15">
        <f t="shared" si="270"/>
        <v>62.904016444144773</v>
      </c>
      <c r="AF494" s="15">
        <f t="shared" si="271"/>
        <v>29.879781353499688</v>
      </c>
      <c r="AG494" s="15">
        <f t="shared" si="272"/>
        <v>1.2388907275052199</v>
      </c>
      <c r="AH494" s="15">
        <f t="shared" si="273"/>
        <v>-89.785821808510747</v>
      </c>
      <c r="AI494" s="15">
        <f t="shared" si="274"/>
        <v>-48.54696793523155</v>
      </c>
      <c r="AJ494" s="31">
        <f t="shared" si="286"/>
        <v>30.052946515782935</v>
      </c>
      <c r="AK494" s="31">
        <f t="shared" si="287"/>
        <v>15.595939236418445</v>
      </c>
      <c r="AL494" s="15">
        <f t="shared" si="275"/>
        <v>0</v>
      </c>
      <c r="AM494" s="15">
        <f t="shared" si="276"/>
        <v>0</v>
      </c>
      <c r="AN494" s="15">
        <f t="shared" si="277"/>
        <v>0</v>
      </c>
      <c r="AO494" s="15">
        <f t="shared" si="278"/>
        <v>0</v>
      </c>
      <c r="AP494" s="31">
        <f t="shared" si="288"/>
        <v>0</v>
      </c>
      <c r="AQ494" s="31">
        <f t="shared" si="289"/>
        <v>0</v>
      </c>
    </row>
    <row r="495" spans="8:43" x14ac:dyDescent="0.25">
      <c r="H495" s="15">
        <v>5.92</v>
      </c>
      <c r="I495" s="45">
        <f t="shared" si="279"/>
        <v>8317637.7110267133</v>
      </c>
      <c r="J495" s="32">
        <f t="shared" si="280"/>
        <v>-136.6736152922374</v>
      </c>
      <c r="K495" s="32">
        <f t="shared" si="281"/>
        <v>-65.333599815017706</v>
      </c>
      <c r="L495" s="15">
        <f t="shared" si="255"/>
        <v>3.8729613733905581</v>
      </c>
      <c r="M495" s="15">
        <f t="shared" si="256"/>
        <v>-88.320990851439959</v>
      </c>
      <c r="N495" s="15">
        <f t="shared" si="257"/>
        <v>30.662634584428975</v>
      </c>
      <c r="O495" s="15">
        <f t="shared" si="258"/>
        <v>-89.996208282689878</v>
      </c>
      <c r="P495" s="15">
        <f t="shared" si="259"/>
        <v>-83.585733629890271</v>
      </c>
      <c r="Q495" s="15">
        <f t="shared" si="260"/>
        <v>-79.592714877098771</v>
      </c>
      <c r="R495" s="15">
        <f t="shared" si="261"/>
        <v>-14.863519351523248</v>
      </c>
      <c r="S495" s="31">
        <f t="shared" si="282"/>
        <v>-257.90991401122864</v>
      </c>
      <c r="T495" s="31">
        <f t="shared" si="283"/>
        <v>-56.025755084719577</v>
      </c>
      <c r="U495" s="15">
        <f t="shared" si="262"/>
        <v>6500</v>
      </c>
      <c r="V495" s="15">
        <f t="shared" si="263"/>
        <v>-89.999996677776664</v>
      </c>
      <c r="W495" s="15">
        <f t="shared" si="264"/>
        <v>-144.73387616472007</v>
      </c>
      <c r="X495" s="15">
        <f t="shared" si="265"/>
        <v>89.995878134828914</v>
      </c>
      <c r="Y495" s="15">
        <f t="shared" si="266"/>
        <v>82.860577023298262</v>
      </c>
      <c r="Z495" s="15">
        <f t="shared" si="267"/>
        <v>-89.381744220341872</v>
      </c>
      <c r="AA495" s="15">
        <f t="shared" si="268"/>
        <v>-39.339257509101657</v>
      </c>
      <c r="AB495" s="31">
        <f t="shared" si="284"/>
        <v>-89.385862763289623</v>
      </c>
      <c r="AC495" s="31">
        <f t="shared" si="285"/>
        <v>-24.954289517666354</v>
      </c>
      <c r="AD495" s="15">
        <f t="shared" si="269"/>
        <v>89.959920541007634</v>
      </c>
      <c r="AE495" s="15">
        <f t="shared" si="270"/>
        <v>63.10401634399112</v>
      </c>
      <c r="AF495" s="15">
        <f t="shared" si="271"/>
        <v>30.452937996755413</v>
      </c>
      <c r="AG495" s="15">
        <f t="shared" si="272"/>
        <v>1.2893936472941203</v>
      </c>
      <c r="AH495" s="15">
        <f t="shared" si="273"/>
        <v>-89.79069705548217</v>
      </c>
      <c r="AI495" s="15">
        <f t="shared" si="274"/>
        <v>-48.746965203917014</v>
      </c>
      <c r="AJ495" s="31">
        <f t="shared" si="286"/>
        <v>30.622161482280873</v>
      </c>
      <c r="AK495" s="31">
        <f t="shared" si="287"/>
        <v>15.646444787368225</v>
      </c>
      <c r="AL495" s="15">
        <f t="shared" si="275"/>
        <v>0</v>
      </c>
      <c r="AM495" s="15">
        <f t="shared" si="276"/>
        <v>0</v>
      </c>
      <c r="AN495" s="15">
        <f t="shared" si="277"/>
        <v>0</v>
      </c>
      <c r="AO495" s="15">
        <f t="shared" si="278"/>
        <v>0</v>
      </c>
      <c r="AP495" s="31">
        <f t="shared" si="288"/>
        <v>0</v>
      </c>
      <c r="AQ495" s="31">
        <f t="shared" si="289"/>
        <v>0</v>
      </c>
    </row>
    <row r="496" spans="8:43" x14ac:dyDescent="0.25">
      <c r="H496" s="15">
        <v>5.93</v>
      </c>
      <c r="I496" s="45">
        <f t="shared" si="279"/>
        <v>8511380.3820237666</v>
      </c>
      <c r="J496" s="32">
        <f t="shared" si="280"/>
        <v>-136.38201375079768</v>
      </c>
      <c r="K496" s="32">
        <f t="shared" si="281"/>
        <v>-65.675098146626397</v>
      </c>
      <c r="L496" s="15">
        <f t="shared" si="255"/>
        <v>3.8729613733905581</v>
      </c>
      <c r="M496" s="15">
        <f t="shared" si="256"/>
        <v>-88.359188630217318</v>
      </c>
      <c r="N496" s="15">
        <f t="shared" si="257"/>
        <v>30.862466776180906</v>
      </c>
      <c r="O496" s="15">
        <f t="shared" si="258"/>
        <v>-89.996294592712971</v>
      </c>
      <c r="P496" s="15">
        <f t="shared" si="259"/>
        <v>-83.785733629034226</v>
      </c>
      <c r="Q496" s="15">
        <f t="shared" si="260"/>
        <v>-79.824608110353537</v>
      </c>
      <c r="R496" s="15">
        <f t="shared" si="261"/>
        <v>-15.057136194103297</v>
      </c>
      <c r="S496" s="31">
        <f t="shared" si="282"/>
        <v>-258.18009133328383</v>
      </c>
      <c r="T496" s="31">
        <f t="shared" si="283"/>
        <v>-56.219539734691651</v>
      </c>
      <c r="U496" s="15">
        <f t="shared" si="262"/>
        <v>6500</v>
      </c>
      <c r="V496" s="15">
        <f t="shared" si="263"/>
        <v>-89.999996753399699</v>
      </c>
      <c r="W496" s="15">
        <f t="shared" si="264"/>
        <v>-144.93387616472006</v>
      </c>
      <c r="X496" s="15">
        <f t="shared" si="265"/>
        <v>89.995971959934735</v>
      </c>
      <c r="Y496" s="15">
        <f t="shared" si="266"/>
        <v>83.060577022286651</v>
      </c>
      <c r="Z496" s="15">
        <f t="shared" si="267"/>
        <v>-89.395816384656129</v>
      </c>
      <c r="AA496" s="15">
        <f t="shared" si="268"/>
        <v>-39.539234750595163</v>
      </c>
      <c r="AB496" s="31">
        <f t="shared" si="284"/>
        <v>-89.399841178121093</v>
      </c>
      <c r="AC496" s="31">
        <f t="shared" si="285"/>
        <v>-25.15426676017146</v>
      </c>
      <c r="AD496" s="15">
        <f t="shared" si="269"/>
        <v>89.960832860589363</v>
      </c>
      <c r="AE496" s="15">
        <f t="shared" si="270"/>
        <v>63.304016248345135</v>
      </c>
      <c r="AF496" s="15">
        <f t="shared" si="271"/>
        <v>31.03254723123047</v>
      </c>
      <c r="AG496" s="15">
        <f t="shared" si="272"/>
        <v>1.34165469542188</v>
      </c>
      <c r="AH496" s="15">
        <f t="shared" si="273"/>
        <v>-89.795461331212593</v>
      </c>
      <c r="AI496" s="15">
        <f t="shared" si="274"/>
        <v>-48.946962595530287</v>
      </c>
      <c r="AJ496" s="31">
        <f t="shared" si="286"/>
        <v>31.197918760607237</v>
      </c>
      <c r="AK496" s="31">
        <f t="shared" si="287"/>
        <v>15.698708348236728</v>
      </c>
      <c r="AL496" s="15">
        <f t="shared" si="275"/>
        <v>0</v>
      </c>
      <c r="AM496" s="15">
        <f t="shared" si="276"/>
        <v>0</v>
      </c>
      <c r="AN496" s="15">
        <f t="shared" si="277"/>
        <v>0</v>
      </c>
      <c r="AO496" s="15">
        <f t="shared" si="278"/>
        <v>0</v>
      </c>
      <c r="AP496" s="31">
        <f t="shared" si="288"/>
        <v>0</v>
      </c>
      <c r="AQ496" s="31">
        <f t="shared" si="289"/>
        <v>0</v>
      </c>
    </row>
    <row r="497" spans="8:43" x14ac:dyDescent="0.25">
      <c r="H497" s="15">
        <v>5.94</v>
      </c>
      <c r="I497" s="45">
        <f t="shared" si="279"/>
        <v>8709635.8995608222</v>
      </c>
      <c r="J497" s="32">
        <f t="shared" si="280"/>
        <v>-136.07789848908465</v>
      </c>
      <c r="K497" s="32">
        <f t="shared" si="281"/>
        <v>-66.015071387906545</v>
      </c>
      <c r="L497" s="15">
        <f t="shared" si="255"/>
        <v>3.8729613733905581</v>
      </c>
      <c r="M497" s="15">
        <f t="shared" si="256"/>
        <v>-88.396518331204987</v>
      </c>
      <c r="N497" s="15">
        <f t="shared" si="257"/>
        <v>31.062306514495106</v>
      </c>
      <c r="O497" s="15">
        <f t="shared" si="258"/>
        <v>-89.996378938080085</v>
      </c>
      <c r="P497" s="15">
        <f t="shared" si="259"/>
        <v>-83.985733628216721</v>
      </c>
      <c r="Q497" s="15">
        <f t="shared" si="260"/>
        <v>-80.05154882367782</v>
      </c>
      <c r="R497" s="15">
        <f t="shared" si="261"/>
        <v>-15.251031555647563</v>
      </c>
      <c r="S497" s="31">
        <f t="shared" si="282"/>
        <v>-258.44444609296289</v>
      </c>
      <c r="T497" s="31">
        <f t="shared" si="283"/>
        <v>-56.413595357104221</v>
      </c>
      <c r="U497" s="15">
        <f t="shared" si="262"/>
        <v>6500</v>
      </c>
      <c r="V497" s="15">
        <f t="shared" si="263"/>
        <v>-89.999996827301345</v>
      </c>
      <c r="W497" s="15">
        <f t="shared" si="264"/>
        <v>-145.13387616472008</v>
      </c>
      <c r="X497" s="15">
        <f t="shared" si="265"/>
        <v>89.996063649320433</v>
      </c>
      <c r="Y497" s="15">
        <f t="shared" si="266"/>
        <v>83.2605770213206</v>
      </c>
      <c r="Z497" s="15">
        <f t="shared" si="267"/>
        <v>-89.409568297840153</v>
      </c>
      <c r="AA497" s="15">
        <f t="shared" si="268"/>
        <v>-39.739213016278882</v>
      </c>
      <c r="AB497" s="31">
        <f t="shared" si="284"/>
        <v>-89.413501475821064</v>
      </c>
      <c r="AC497" s="31">
        <f t="shared" si="285"/>
        <v>-25.354245026821246</v>
      </c>
      <c r="AD497" s="15">
        <f t="shared" si="269"/>
        <v>89.961724413261223</v>
      </c>
      <c r="AE497" s="15">
        <f t="shared" si="270"/>
        <v>63.504016157003932</v>
      </c>
      <c r="AF497" s="15">
        <f t="shared" si="271"/>
        <v>31.618441827958506</v>
      </c>
      <c r="AG497" s="15">
        <f t="shared" si="272"/>
        <v>1.3957129435538387</v>
      </c>
      <c r="AH497" s="15">
        <f t="shared" si="273"/>
        <v>-89.800117161520404</v>
      </c>
      <c r="AI497" s="15">
        <f t="shared" si="274"/>
        <v>-49.146960104538849</v>
      </c>
      <c r="AJ497" s="31">
        <f t="shared" si="286"/>
        <v>31.780049079699324</v>
      </c>
      <c r="AK497" s="31">
        <f t="shared" si="287"/>
        <v>15.752768996018915</v>
      </c>
      <c r="AL497" s="15">
        <f t="shared" si="275"/>
        <v>0</v>
      </c>
      <c r="AM497" s="15">
        <f t="shared" si="276"/>
        <v>0</v>
      </c>
      <c r="AN497" s="15">
        <f t="shared" si="277"/>
        <v>0</v>
      </c>
      <c r="AO497" s="15">
        <f t="shared" si="278"/>
        <v>0</v>
      </c>
      <c r="AP497" s="31">
        <f t="shared" si="288"/>
        <v>0</v>
      </c>
      <c r="AQ497" s="31">
        <f t="shared" si="289"/>
        <v>0</v>
      </c>
    </row>
    <row r="498" spans="8:43" x14ac:dyDescent="0.25">
      <c r="H498" s="15">
        <v>5.95</v>
      </c>
      <c r="I498" s="45">
        <f t="shared" si="279"/>
        <v>8912509.3813374713</v>
      </c>
      <c r="J498" s="32">
        <f t="shared" si="280"/>
        <v>-135.76156977696877</v>
      </c>
      <c r="K498" s="32">
        <f t="shared" si="281"/>
        <v>-66.353469620307663</v>
      </c>
      <c r="L498" s="15">
        <f t="shared" si="255"/>
        <v>3.8729613733905581</v>
      </c>
      <c r="M498" s="15">
        <f t="shared" si="256"/>
        <v>-88.432999620264411</v>
      </c>
      <c r="N498" s="15">
        <f t="shared" si="257"/>
        <v>31.262153460252474</v>
      </c>
      <c r="O498" s="15">
        <f t="shared" si="258"/>
        <v>-89.996461363512267</v>
      </c>
      <c r="P498" s="15">
        <f t="shared" si="259"/>
        <v>-84.185733627436008</v>
      </c>
      <c r="Q498" s="15">
        <f t="shared" si="260"/>
        <v>-80.27362884716112</v>
      </c>
      <c r="R498" s="15">
        <f t="shared" si="261"/>
        <v>-15.44519364990856</v>
      </c>
      <c r="S498" s="31">
        <f t="shared" si="282"/>
        <v>-258.70308983093776</v>
      </c>
      <c r="T498" s="31">
        <f t="shared" si="283"/>
        <v>-56.607910504827132</v>
      </c>
      <c r="U498" s="15">
        <f t="shared" si="262"/>
        <v>6500</v>
      </c>
      <c r="V498" s="15">
        <f t="shared" si="263"/>
        <v>-89.999996899520795</v>
      </c>
      <c r="W498" s="15">
        <f t="shared" si="264"/>
        <v>-145.3338761647201</v>
      </c>
      <c r="X498" s="15">
        <f t="shared" si="265"/>
        <v>89.99615325160093</v>
      </c>
      <c r="Y498" s="15">
        <f t="shared" si="266"/>
        <v>83.460577020397992</v>
      </c>
      <c r="Z498" s="15">
        <f t="shared" si="267"/>
        <v>-89.423007244999013</v>
      </c>
      <c r="AA498" s="15">
        <f t="shared" si="268"/>
        <v>-39.939192260066406</v>
      </c>
      <c r="AB498" s="31">
        <f t="shared" si="284"/>
        <v>-89.426850892918878</v>
      </c>
      <c r="AC498" s="31">
        <f t="shared" si="285"/>
        <v>-25.554224271531396</v>
      </c>
      <c r="AD498" s="15">
        <f t="shared" si="269"/>
        <v>89.962595671734519</v>
      </c>
      <c r="AE498" s="15">
        <f t="shared" si="270"/>
        <v>63.704016069773758</v>
      </c>
      <c r="AF498" s="15">
        <f t="shared" si="271"/>
        <v>32.210442289895724</v>
      </c>
      <c r="AG498" s="15">
        <f t="shared" si="272"/>
        <v>1.4516068119362573</v>
      </c>
      <c r="AH498" s="15">
        <f t="shared" si="273"/>
        <v>-89.804667014742364</v>
      </c>
      <c r="AI498" s="15">
        <f t="shared" si="274"/>
        <v>-49.346957725659152</v>
      </c>
      <c r="AJ498" s="31">
        <f t="shared" si="286"/>
        <v>32.368370946887879</v>
      </c>
      <c r="AK498" s="31">
        <f t="shared" si="287"/>
        <v>15.808665156050864</v>
      </c>
      <c r="AL498" s="15">
        <f t="shared" si="275"/>
        <v>0</v>
      </c>
      <c r="AM498" s="15">
        <f t="shared" si="276"/>
        <v>0</v>
      </c>
      <c r="AN498" s="15">
        <f t="shared" si="277"/>
        <v>0</v>
      </c>
      <c r="AO498" s="15">
        <f t="shared" si="278"/>
        <v>0</v>
      </c>
      <c r="AP498" s="31">
        <f t="shared" si="288"/>
        <v>0</v>
      </c>
      <c r="AQ498" s="31">
        <f t="shared" si="289"/>
        <v>0</v>
      </c>
    </row>
    <row r="499" spans="8:43" x14ac:dyDescent="0.25">
      <c r="H499" s="15">
        <v>5.96</v>
      </c>
      <c r="I499" s="45">
        <f t="shared" si="279"/>
        <v>9120108.3935591131</v>
      </c>
      <c r="J499" s="32">
        <f t="shared" si="280"/>
        <v>-135.43333868832084</v>
      </c>
      <c r="K499" s="32">
        <f t="shared" si="281"/>
        <v>-66.690244142450808</v>
      </c>
      <c r="L499" s="15">
        <f t="shared" si="255"/>
        <v>3.8729613733905581</v>
      </c>
      <c r="M499" s="15">
        <f t="shared" si="256"/>
        <v>-88.468651721870998</v>
      </c>
      <c r="N499" s="15">
        <f t="shared" si="257"/>
        <v>31.462007289550073</v>
      </c>
      <c r="O499" s="15">
        <f t="shared" si="258"/>
        <v>-89.996541912712559</v>
      </c>
      <c r="P499" s="15">
        <f t="shared" si="259"/>
        <v>-84.385733626690438</v>
      </c>
      <c r="Q499" s="15">
        <f t="shared" si="260"/>
        <v>-80.490939225730017</v>
      </c>
      <c r="R499" s="15">
        <f t="shared" si="261"/>
        <v>-15.63961115801485</v>
      </c>
      <c r="S499" s="31">
        <f t="shared" si="282"/>
        <v>-258.95613286031357</v>
      </c>
      <c r="T499" s="31">
        <f t="shared" si="283"/>
        <v>-56.802474182890258</v>
      </c>
      <c r="U499" s="15">
        <f t="shared" si="262"/>
        <v>6500</v>
      </c>
      <c r="V499" s="15">
        <f t="shared" si="263"/>
        <v>-89.999996970096305</v>
      </c>
      <c r="W499" s="15">
        <f t="shared" si="264"/>
        <v>-145.53387616472008</v>
      </c>
      <c r="X499" s="15">
        <f t="shared" si="265"/>
        <v>89.996240814284505</v>
      </c>
      <c r="Y499" s="15">
        <f t="shared" si="266"/>
        <v>83.660577019516921</v>
      </c>
      <c r="Z499" s="15">
        <f t="shared" si="267"/>
        <v>-89.436140345722137</v>
      </c>
      <c r="AA499" s="15">
        <f t="shared" si="268"/>
        <v>-40.139172437944794</v>
      </c>
      <c r="AB499" s="31">
        <f t="shared" si="284"/>
        <v>-89.439896501533937</v>
      </c>
      <c r="AC499" s="31">
        <f t="shared" si="285"/>
        <v>-25.754204450290842</v>
      </c>
      <c r="AD499" s="15">
        <f t="shared" si="269"/>
        <v>89.963447097960398</v>
      </c>
      <c r="AE499" s="15">
        <f t="shared" si="270"/>
        <v>63.904015986469588</v>
      </c>
      <c r="AF499" s="15">
        <f t="shared" si="271"/>
        <v>32.808356878607505</v>
      </c>
      <c r="AG499" s="15">
        <f t="shared" si="272"/>
        <v>1.5093739581061598</v>
      </c>
      <c r="AH499" s="15">
        <f t="shared" si="273"/>
        <v>-89.809113303041215</v>
      </c>
      <c r="AI499" s="15">
        <f t="shared" si="274"/>
        <v>-49.546955453845463</v>
      </c>
      <c r="AJ499" s="31">
        <f t="shared" si="286"/>
        <v>32.96269067352668</v>
      </c>
      <c r="AK499" s="31">
        <f t="shared" si="287"/>
        <v>15.866434490730292</v>
      </c>
      <c r="AL499" s="15">
        <f t="shared" si="275"/>
        <v>0</v>
      </c>
      <c r="AM499" s="15">
        <f t="shared" si="276"/>
        <v>0</v>
      </c>
      <c r="AN499" s="15">
        <f t="shared" si="277"/>
        <v>0</v>
      </c>
      <c r="AO499" s="15">
        <f t="shared" si="278"/>
        <v>0</v>
      </c>
      <c r="AP499" s="31">
        <f t="shared" si="288"/>
        <v>0</v>
      </c>
      <c r="AQ499" s="31">
        <f t="shared" si="289"/>
        <v>0</v>
      </c>
    </row>
    <row r="500" spans="8:43" x14ac:dyDescent="0.25">
      <c r="H500" s="15">
        <v>5.97</v>
      </c>
      <c r="I500" s="45">
        <f t="shared" si="279"/>
        <v>9332543.0079699252</v>
      </c>
      <c r="J500" s="32">
        <f t="shared" si="280"/>
        <v>-135.0935269783717</v>
      </c>
      <c r="K500" s="32">
        <f t="shared" si="281"/>
        <v>-67.025347567902514</v>
      </c>
      <c r="L500" s="15">
        <f t="shared" si="255"/>
        <v>3.8729613733905581</v>
      </c>
      <c r="M500" s="15">
        <f t="shared" si="256"/>
        <v>-88.503493428744349</v>
      </c>
      <c r="N500" s="15">
        <f t="shared" si="257"/>
        <v>31.661867693020316</v>
      </c>
      <c r="O500" s="15">
        <f t="shared" si="258"/>
        <v>-89.996620628389209</v>
      </c>
      <c r="P500" s="15">
        <f t="shared" si="259"/>
        <v>-84.585733625978406</v>
      </c>
      <c r="Q500" s="15">
        <f t="shared" si="260"/>
        <v>-80.703570159243867</v>
      </c>
      <c r="R500" s="15">
        <f t="shared" si="261"/>
        <v>-15.834273212635638</v>
      </c>
      <c r="S500" s="31">
        <f t="shared" si="282"/>
        <v>-259.20368421637738</v>
      </c>
      <c r="T500" s="31">
        <f t="shared" si="283"/>
        <v>-56.997275833328764</v>
      </c>
      <c r="U500" s="15">
        <f t="shared" si="262"/>
        <v>6500</v>
      </c>
      <c r="V500" s="15">
        <f t="shared" si="263"/>
        <v>-89.999997039065335</v>
      </c>
      <c r="W500" s="15">
        <f t="shared" si="264"/>
        <v>-145.73387616472007</v>
      </c>
      <c r="X500" s="15">
        <f t="shared" si="265"/>
        <v>89.996326383798106</v>
      </c>
      <c r="Y500" s="15">
        <f t="shared" si="266"/>
        <v>83.860577018675514</v>
      </c>
      <c r="Z500" s="15">
        <f t="shared" si="267"/>
        <v>-89.448974557830127</v>
      </c>
      <c r="AA500" s="15">
        <f t="shared" si="268"/>
        <v>-40.339153507881143</v>
      </c>
      <c r="AB500" s="31">
        <f t="shared" si="284"/>
        <v>-89.452645213097355</v>
      </c>
      <c r="AC500" s="31">
        <f t="shared" si="285"/>
        <v>-25.954185521068588</v>
      </c>
      <c r="AD500" s="15">
        <f t="shared" si="269"/>
        <v>89.964279143374839</v>
      </c>
      <c r="AE500" s="15">
        <f t="shared" si="270"/>
        <v>64.104015906914711</v>
      </c>
      <c r="AF500" s="15">
        <f t="shared" si="271"/>
        <v>33.411981691411739</v>
      </c>
      <c r="AG500" s="15">
        <f t="shared" si="272"/>
        <v>1.5690511638592362</v>
      </c>
      <c r="AH500" s="15">
        <f t="shared" si="273"/>
        <v>-89.813458383683539</v>
      </c>
      <c r="AI500" s="15">
        <f t="shared" si="274"/>
        <v>-49.746953284279122</v>
      </c>
      <c r="AJ500" s="31">
        <f t="shared" si="286"/>
        <v>33.562802451103039</v>
      </c>
      <c r="AK500" s="31">
        <f t="shared" si="287"/>
        <v>15.926113786494831</v>
      </c>
      <c r="AL500" s="15">
        <f t="shared" si="275"/>
        <v>0</v>
      </c>
      <c r="AM500" s="15">
        <f t="shared" si="276"/>
        <v>0</v>
      </c>
      <c r="AN500" s="15">
        <f t="shared" si="277"/>
        <v>0</v>
      </c>
      <c r="AO500" s="15">
        <f t="shared" si="278"/>
        <v>0</v>
      </c>
      <c r="AP500" s="31">
        <f t="shared" si="288"/>
        <v>0</v>
      </c>
      <c r="AQ500" s="31">
        <f t="shared" si="289"/>
        <v>0</v>
      </c>
    </row>
    <row r="501" spans="8:43" x14ac:dyDescent="0.25">
      <c r="H501" s="15">
        <v>5.98</v>
      </c>
      <c r="I501" s="45">
        <f t="shared" si="279"/>
        <v>9549925.860214375</v>
      </c>
      <c r="J501" s="32">
        <f t="shared" si="280"/>
        <v>-134.74246691389368</v>
      </c>
      <c r="K501" s="32">
        <f t="shared" si="281"/>
        <v>-67.35873392436892</v>
      </c>
      <c r="L501" s="15">
        <f t="shared" si="255"/>
        <v>3.8729613733905581</v>
      </c>
      <c r="M501" s="15">
        <f t="shared" si="256"/>
        <v>-88.537543111287107</v>
      </c>
      <c r="N501" s="15">
        <f t="shared" si="257"/>
        <v>31.861734375180525</v>
      </c>
      <c r="O501" s="15">
        <f t="shared" si="258"/>
        <v>-89.99669755227832</v>
      </c>
      <c r="P501" s="15">
        <f t="shared" si="259"/>
        <v>-84.78573362529842</v>
      </c>
      <c r="Q501" s="15">
        <f t="shared" si="260"/>
        <v>-80.911610948195502</v>
      </c>
      <c r="R501" s="15">
        <f t="shared" si="261"/>
        <v>-16.029169382443804</v>
      </c>
      <c r="S501" s="31">
        <f t="shared" si="282"/>
        <v>-259.44585161176093</v>
      </c>
      <c r="T501" s="31">
        <f t="shared" si="283"/>
        <v>-57.192305320296732</v>
      </c>
      <c r="U501" s="15">
        <f t="shared" si="262"/>
        <v>6500</v>
      </c>
      <c r="V501" s="15">
        <f t="shared" si="263"/>
        <v>-89.999997106464434</v>
      </c>
      <c r="W501" s="15">
        <f t="shared" si="264"/>
        <v>-145.93387616472006</v>
      </c>
      <c r="X501" s="15">
        <f t="shared" si="265"/>
        <v>89.996410005511777</v>
      </c>
      <c r="Y501" s="15">
        <f t="shared" si="266"/>
        <v>84.060577017871964</v>
      </c>
      <c r="Z501" s="15">
        <f t="shared" si="267"/>
        <v>-89.461516681037438</v>
      </c>
      <c r="AA501" s="15">
        <f t="shared" si="268"/>
        <v>-40.539135429733683</v>
      </c>
      <c r="AB501" s="31">
        <f t="shared" si="284"/>
        <v>-89.465103781990095</v>
      </c>
      <c r="AC501" s="31">
        <f t="shared" si="285"/>
        <v>-26.154167443724667</v>
      </c>
      <c r="AD501" s="15">
        <f t="shared" si="269"/>
        <v>89.965092249137925</v>
      </c>
      <c r="AE501" s="15">
        <f t="shared" si="270"/>
        <v>64.304015830940401</v>
      </c>
      <c r="AF501" s="15">
        <f t="shared" si="271"/>
        <v>34.021100791007974</v>
      </c>
      <c r="AG501" s="15">
        <f t="shared" si="272"/>
        <v>1.6306742210704217</v>
      </c>
      <c r="AH501" s="15">
        <f t="shared" si="273"/>
        <v>-89.817704560288576</v>
      </c>
      <c r="AI501" s="15">
        <f t="shared" si="274"/>
        <v>-49.946951212358343</v>
      </c>
      <c r="AJ501" s="31">
        <f t="shared" si="286"/>
        <v>34.168488479857331</v>
      </c>
      <c r="AK501" s="31">
        <f t="shared" si="287"/>
        <v>15.987738839652479</v>
      </c>
      <c r="AL501" s="15">
        <f t="shared" si="275"/>
        <v>0</v>
      </c>
      <c r="AM501" s="15">
        <f t="shared" si="276"/>
        <v>0</v>
      </c>
      <c r="AN501" s="15">
        <f t="shared" si="277"/>
        <v>0</v>
      </c>
      <c r="AO501" s="15">
        <f t="shared" si="278"/>
        <v>0</v>
      </c>
      <c r="AP501" s="31">
        <f t="shared" si="288"/>
        <v>0</v>
      </c>
      <c r="AQ501" s="31">
        <f t="shared" si="289"/>
        <v>0</v>
      </c>
    </row>
    <row r="502" spans="8:43" x14ac:dyDescent="0.25">
      <c r="H502" s="15">
        <v>5.99</v>
      </c>
      <c r="I502" s="45">
        <f t="shared" si="279"/>
        <v>9772372.20955812</v>
      </c>
      <c r="J502" s="32">
        <f t="shared" si="280"/>
        <v>-134.38050105419219</v>
      </c>
      <c r="K502" s="32">
        <f t="shared" si="281"/>
        <v>-67.690358753690248</v>
      </c>
      <c r="L502" s="15">
        <f t="shared" si="255"/>
        <v>3.8729613733905581</v>
      </c>
      <c r="M502" s="15">
        <f t="shared" si="256"/>
        <v>-88.570818726834574</v>
      </c>
      <c r="N502" s="15">
        <f t="shared" si="257"/>
        <v>32.061607053811436</v>
      </c>
      <c r="O502" s="15">
        <f t="shared" si="258"/>
        <v>-89.996772725165954</v>
      </c>
      <c r="P502" s="15">
        <f t="shared" si="259"/>
        <v>-84.985733624649043</v>
      </c>
      <c r="Q502" s="15">
        <f t="shared" si="260"/>
        <v>-81.115149944699795</v>
      </c>
      <c r="R502" s="15">
        <f t="shared" si="261"/>
        <v>-16.224289656895028</v>
      </c>
      <c r="S502" s="31">
        <f t="shared" si="282"/>
        <v>-259.68274139670029</v>
      </c>
      <c r="T502" s="31">
        <f t="shared" si="283"/>
        <v>-57.387552915467666</v>
      </c>
      <c r="U502" s="15">
        <f t="shared" si="262"/>
        <v>6500</v>
      </c>
      <c r="V502" s="15">
        <f t="shared" si="263"/>
        <v>-89.999997172329344</v>
      </c>
      <c r="W502" s="15">
        <f t="shared" si="264"/>
        <v>-146.13387616472008</v>
      </c>
      <c r="X502" s="15">
        <f t="shared" si="265"/>
        <v>89.996491723762887</v>
      </c>
      <c r="Y502" s="15">
        <f t="shared" si="266"/>
        <v>84.260577017104595</v>
      </c>
      <c r="Z502" s="15">
        <f t="shared" si="267"/>
        <v>-89.473773360533116</v>
      </c>
      <c r="AA502" s="15">
        <f t="shared" si="268"/>
        <v>-40.739118165166637</v>
      </c>
      <c r="AB502" s="31">
        <f t="shared" si="284"/>
        <v>-89.477278809099573</v>
      </c>
      <c r="AC502" s="31">
        <f t="shared" si="285"/>
        <v>-26.354150179925007</v>
      </c>
      <c r="AD502" s="15">
        <f t="shared" si="269"/>
        <v>89.965886846367738</v>
      </c>
      <c r="AE502" s="15">
        <f t="shared" si="270"/>
        <v>64.504015758385492</v>
      </c>
      <c r="AF502" s="15">
        <f t="shared" si="271"/>
        <v>34.635486389288651</v>
      </c>
      <c r="AG502" s="15">
        <f t="shared" si="272"/>
        <v>1.6942778170053543</v>
      </c>
      <c r="AH502" s="15">
        <f t="shared" si="273"/>
        <v>-89.821854084048709</v>
      </c>
      <c r="AI502" s="15">
        <f t="shared" si="274"/>
        <v>-50.146949233688424</v>
      </c>
      <c r="AJ502" s="31">
        <f t="shared" si="286"/>
        <v>34.779519151607673</v>
      </c>
      <c r="AK502" s="31">
        <f t="shared" si="287"/>
        <v>16.051344341702425</v>
      </c>
      <c r="AL502" s="15">
        <f t="shared" si="275"/>
        <v>0</v>
      </c>
      <c r="AM502" s="15">
        <f t="shared" si="276"/>
        <v>0</v>
      </c>
      <c r="AN502" s="15">
        <f t="shared" si="277"/>
        <v>0</v>
      </c>
      <c r="AO502" s="15">
        <f t="shared" si="278"/>
        <v>0</v>
      </c>
      <c r="AP502" s="31">
        <f t="shared" si="288"/>
        <v>0</v>
      </c>
      <c r="AQ502" s="31">
        <f t="shared" si="289"/>
        <v>0</v>
      </c>
    </row>
    <row r="503" spans="8:43" x14ac:dyDescent="0.25">
      <c r="H503" s="15">
        <v>6</v>
      </c>
      <c r="I503" s="45">
        <f t="shared" si="279"/>
        <v>10000000</v>
      </c>
      <c r="J503" s="32">
        <f t="shared" si="280"/>
        <v>-134.00798198128643</v>
      </c>
      <c r="K503" s="32">
        <f t="shared" si="281"/>
        <v>-68.020179211974963</v>
      </c>
      <c r="L503" s="15">
        <f t="shared" si="255"/>
        <v>3.8729613733905581</v>
      </c>
      <c r="M503" s="15">
        <f t="shared" si="256"/>
        <v>-88.603337828718168</v>
      </c>
      <c r="N503" s="15">
        <f t="shared" si="257"/>
        <v>32.261485459363364</v>
      </c>
      <c r="O503" s="15">
        <f t="shared" si="258"/>
        <v>-89.996846186909764</v>
      </c>
      <c r="P503" s="15">
        <f t="shared" si="259"/>
        <v>-85.185733624028884</v>
      </c>
      <c r="Q503" s="15">
        <f t="shared" si="260"/>
        <v>-81.314274508465118</v>
      </c>
      <c r="R503" s="15">
        <f t="shared" si="261"/>
        <v>-16.41962443133799</v>
      </c>
      <c r="S503" s="31">
        <f t="shared" si="282"/>
        <v>-259.91445852409305</v>
      </c>
      <c r="T503" s="31">
        <f t="shared" si="283"/>
        <v>-57.583009283738548</v>
      </c>
      <c r="U503" s="15">
        <f t="shared" si="262"/>
        <v>6500</v>
      </c>
      <c r="V503" s="15">
        <f t="shared" si="263"/>
        <v>-89.999997236694995</v>
      </c>
      <c r="W503" s="15">
        <f t="shared" si="264"/>
        <v>-146.33387616472007</v>
      </c>
      <c r="X503" s="15">
        <f t="shared" si="265"/>
        <v>89.996571581879493</v>
      </c>
      <c r="Y503" s="15">
        <f t="shared" si="266"/>
        <v>84.46057701637173</v>
      </c>
      <c r="Z503" s="15">
        <f t="shared" si="267"/>
        <v>-89.485751090481216</v>
      </c>
      <c r="AA503" s="15">
        <f t="shared" si="268"/>
        <v>-40.939101677569028</v>
      </c>
      <c r="AB503" s="31">
        <f t="shared" si="284"/>
        <v>-89.489176745296717</v>
      </c>
      <c r="AC503" s="31">
        <f t="shared" si="285"/>
        <v>-26.554133693060251</v>
      </c>
      <c r="AD503" s="15">
        <f t="shared" si="269"/>
        <v>89.966663356369097</v>
      </c>
      <c r="AE503" s="15">
        <f t="shared" si="270"/>
        <v>64.704015689096067</v>
      </c>
      <c r="AF503" s="15">
        <f t="shared" si="271"/>
        <v>35.254899086656351</v>
      </c>
      <c r="AG503" s="15">
        <f t="shared" si="272"/>
        <v>1.7598954198002501</v>
      </c>
      <c r="AH503" s="15">
        <f t="shared" si="273"/>
        <v>-89.825909154922115</v>
      </c>
      <c r="AI503" s="15">
        <f t="shared" si="274"/>
        <v>-50.346947344072476</v>
      </c>
      <c r="AJ503" s="31">
        <f t="shared" si="286"/>
        <v>35.395653288103333</v>
      </c>
      <c r="AK503" s="31">
        <f t="shared" si="287"/>
        <v>16.116963764823836</v>
      </c>
      <c r="AL503" s="15">
        <f t="shared" si="275"/>
        <v>0</v>
      </c>
      <c r="AM503" s="15">
        <f t="shared" si="276"/>
        <v>0</v>
      </c>
      <c r="AN503" s="15">
        <f t="shared" si="277"/>
        <v>0</v>
      </c>
      <c r="AO503" s="15">
        <f t="shared" si="278"/>
        <v>0</v>
      </c>
      <c r="AP503" s="31">
        <f t="shared" si="288"/>
        <v>0</v>
      </c>
      <c r="AQ503" s="31">
        <f t="shared" si="289"/>
        <v>0</v>
      </c>
    </row>
  </sheetData>
  <mergeCells count="19">
    <mergeCell ref="B42:B43"/>
    <mergeCell ref="B44:B45"/>
    <mergeCell ref="B46:B47"/>
    <mergeCell ref="B40:B41"/>
    <mergeCell ref="A1:A2"/>
    <mergeCell ref="C40:D40"/>
    <mergeCell ref="E40:F40"/>
    <mergeCell ref="AD1:AK1"/>
    <mergeCell ref="AL1:AQ1"/>
    <mergeCell ref="J1:K1"/>
    <mergeCell ref="H1:H2"/>
    <mergeCell ref="I1:I2"/>
    <mergeCell ref="C16:C18"/>
    <mergeCell ref="C3:C6"/>
    <mergeCell ref="C11:C13"/>
    <mergeCell ref="C7:C10"/>
    <mergeCell ref="C14:C15"/>
    <mergeCell ref="L1:T1"/>
    <mergeCell ref="U1:AC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87673-8719-4AB8-B72E-DC72DCF85AEC}">
  <dimension ref="A1:R112"/>
  <sheetViews>
    <sheetView topLeftCell="A82" zoomScaleNormal="100" workbookViewId="0">
      <selection activeCell="B116" sqref="B116"/>
    </sheetView>
  </sheetViews>
  <sheetFormatPr defaultRowHeight="15" x14ac:dyDescent="0.25"/>
  <cols>
    <col min="1" max="1" width="49.5703125" customWidth="1"/>
    <col min="2" max="2" width="16.85546875" customWidth="1"/>
    <col min="3" max="3" width="11.42578125" style="55" customWidth="1"/>
    <col min="4" max="4" width="12.7109375" customWidth="1"/>
    <col min="5" max="5" width="29.140625" customWidth="1"/>
    <col min="6" max="6" width="11.28515625" customWidth="1"/>
    <col min="7" max="7" width="16.7109375" customWidth="1"/>
    <col min="8" max="8" width="12.28515625" customWidth="1"/>
    <col min="9" max="9" width="13.85546875" customWidth="1"/>
    <col min="10" max="10" width="13" customWidth="1"/>
    <col min="11" max="11" width="12.7109375" customWidth="1"/>
    <col min="18" max="18" width="3.28515625" customWidth="1"/>
  </cols>
  <sheetData>
    <row r="1" spans="1:18" ht="14.65" customHeight="1" x14ac:dyDescent="0.25">
      <c r="A1" s="119" t="s">
        <v>207</v>
      </c>
      <c r="B1" s="119"/>
      <c r="C1" s="119"/>
      <c r="D1" s="53"/>
      <c r="E1" s="53"/>
      <c r="F1" s="29"/>
      <c r="G1" s="53"/>
      <c r="H1" s="53"/>
      <c r="I1" s="53"/>
      <c r="J1" s="53"/>
    </row>
    <row r="2" spans="1:18" ht="14.65" customHeight="1" thickBot="1" x14ac:dyDescent="0.3">
      <c r="A2" s="119"/>
      <c r="B2" s="119"/>
      <c r="C2" s="119"/>
      <c r="D2" s="53"/>
      <c r="E2" s="53"/>
      <c r="F2" s="53"/>
      <c r="G2" s="53"/>
    </row>
    <row r="3" spans="1:18" ht="19.899999999999999" customHeight="1" thickBot="1" x14ac:dyDescent="0.3">
      <c r="A3" s="66"/>
      <c r="B3" s="66"/>
      <c r="C3" s="66"/>
      <c r="D3" s="64"/>
      <c r="E3" s="69" t="s">
        <v>331</v>
      </c>
      <c r="F3" s="65"/>
      <c r="G3" s="67" t="s">
        <v>307</v>
      </c>
      <c r="H3" s="1"/>
      <c r="I3" s="1"/>
      <c r="J3" s="1"/>
      <c r="K3" s="1"/>
      <c r="L3" s="1"/>
      <c r="M3" s="1"/>
      <c r="N3" s="1"/>
      <c r="O3" s="1"/>
      <c r="P3" s="1"/>
      <c r="Q3" s="1"/>
      <c r="R3" s="1"/>
    </row>
    <row r="4" spans="1:18" ht="14.65" customHeight="1" x14ac:dyDescent="0.25">
      <c r="A4" s="94" t="s">
        <v>211</v>
      </c>
      <c r="B4" s="95"/>
      <c r="C4" s="96"/>
      <c r="D4" s="82"/>
      <c r="E4" s="82"/>
      <c r="F4" s="82"/>
      <c r="G4" s="82"/>
      <c r="H4" s="6"/>
      <c r="I4" s="6"/>
      <c r="J4" s="6"/>
      <c r="K4" s="6"/>
      <c r="L4" s="6"/>
      <c r="M4" s="6"/>
      <c r="N4" s="6"/>
      <c r="O4" s="6"/>
      <c r="P4" s="6"/>
      <c r="Q4" s="6"/>
      <c r="R4" s="1"/>
    </row>
    <row r="5" spans="1:18" ht="14.65" customHeight="1" x14ac:dyDescent="0.25">
      <c r="A5" s="21" t="s">
        <v>5</v>
      </c>
      <c r="B5" s="21" t="s">
        <v>6</v>
      </c>
      <c r="C5" s="22" t="s">
        <v>7</v>
      </c>
      <c r="D5" s="82"/>
      <c r="E5" s="82"/>
      <c r="F5" s="82"/>
      <c r="G5" s="82"/>
      <c r="H5" s="6"/>
      <c r="I5" s="6"/>
      <c r="J5" s="6"/>
      <c r="K5" s="6"/>
      <c r="L5" s="6"/>
      <c r="M5" s="6"/>
      <c r="N5" s="6"/>
      <c r="O5" s="6"/>
      <c r="P5" s="6"/>
      <c r="Q5" s="6"/>
      <c r="R5" s="1"/>
    </row>
    <row r="6" spans="1:18" ht="14.65" customHeight="1" x14ac:dyDescent="0.25">
      <c r="A6" s="8" t="s">
        <v>34</v>
      </c>
      <c r="B6" s="74">
        <f>vin_nom</f>
        <v>20</v>
      </c>
      <c r="C6" s="15" t="s">
        <v>9</v>
      </c>
      <c r="D6" s="82"/>
      <c r="E6" s="82"/>
      <c r="F6" s="82"/>
      <c r="G6" s="82"/>
      <c r="H6" s="6"/>
      <c r="I6" s="6"/>
      <c r="J6" s="6"/>
      <c r="K6" s="6"/>
      <c r="L6" s="6"/>
      <c r="M6" s="6"/>
      <c r="N6" s="6"/>
      <c r="O6" s="6"/>
      <c r="P6" s="6"/>
      <c r="Q6" s="6"/>
      <c r="R6" s="1"/>
    </row>
    <row r="7" spans="1:18" ht="14.65" customHeight="1" x14ac:dyDescent="0.25">
      <c r="A7" s="8" t="s">
        <v>36</v>
      </c>
      <c r="B7" s="74">
        <f>vout</f>
        <v>24</v>
      </c>
      <c r="C7" s="15" t="s">
        <v>9</v>
      </c>
      <c r="D7" s="82"/>
      <c r="E7" s="82"/>
      <c r="F7" s="82"/>
      <c r="G7" s="82"/>
      <c r="H7" s="6"/>
      <c r="I7" s="6"/>
      <c r="J7" s="6"/>
      <c r="K7" s="6"/>
      <c r="L7" s="6"/>
      <c r="M7" s="6"/>
      <c r="N7" s="6"/>
      <c r="O7" s="6"/>
      <c r="P7" s="6"/>
      <c r="Q7" s="6"/>
      <c r="R7" s="1"/>
    </row>
    <row r="8" spans="1:18" ht="14.65" customHeight="1" x14ac:dyDescent="0.25">
      <c r="A8" s="8" t="s">
        <v>212</v>
      </c>
      <c r="B8" s="74">
        <f>iout_actual_max</f>
        <v>1.875</v>
      </c>
      <c r="C8" s="15" t="s">
        <v>10</v>
      </c>
      <c r="D8" s="82"/>
      <c r="E8" s="82"/>
      <c r="F8" s="82"/>
      <c r="G8" s="82"/>
      <c r="H8" s="6"/>
      <c r="I8" s="6"/>
      <c r="J8" s="6"/>
      <c r="K8" s="6"/>
      <c r="L8" s="6"/>
      <c r="M8" s="6"/>
      <c r="N8" s="6"/>
      <c r="O8" s="6"/>
      <c r="P8" s="6"/>
      <c r="Q8" s="6"/>
      <c r="R8" s="1"/>
    </row>
    <row r="9" spans="1:18" ht="14.65" customHeight="1" x14ac:dyDescent="0.25">
      <c r="A9" s="8" t="s">
        <v>213</v>
      </c>
      <c r="B9" s="57" t="s">
        <v>214</v>
      </c>
      <c r="C9" s="56" t="s">
        <v>14</v>
      </c>
      <c r="D9" s="82"/>
      <c r="E9" s="82"/>
      <c r="F9" s="82"/>
      <c r="G9" s="82"/>
      <c r="H9" s="6"/>
      <c r="I9" s="6"/>
      <c r="J9" s="6"/>
      <c r="K9" s="6"/>
      <c r="L9" s="6"/>
      <c r="M9" s="6"/>
      <c r="N9" s="6"/>
      <c r="O9" s="6"/>
      <c r="P9" s="6"/>
      <c r="Q9" s="6"/>
      <c r="R9" s="1"/>
    </row>
    <row r="10" spans="1:18" ht="14.65" customHeight="1" x14ac:dyDescent="0.25">
      <c r="A10" s="122"/>
      <c r="B10" s="122"/>
      <c r="C10" s="122"/>
      <c r="D10" s="82"/>
      <c r="E10" s="82"/>
      <c r="F10" s="82"/>
      <c r="G10" s="82"/>
      <c r="H10" s="6"/>
      <c r="I10" s="6"/>
      <c r="J10" s="6"/>
      <c r="K10" s="6"/>
      <c r="L10" s="6"/>
      <c r="M10" s="6"/>
      <c r="N10" s="6"/>
      <c r="O10" s="6"/>
      <c r="P10" s="6"/>
      <c r="Q10" s="6"/>
      <c r="R10" s="1"/>
    </row>
    <row r="11" spans="1:18" ht="15.75" x14ac:dyDescent="0.25">
      <c r="A11" s="97" t="s">
        <v>209</v>
      </c>
      <c r="B11" s="97"/>
      <c r="C11" s="97"/>
      <c r="D11" s="6"/>
      <c r="E11" s="6"/>
      <c r="F11" s="6"/>
      <c r="G11" s="6"/>
      <c r="H11" s="6"/>
      <c r="I11" s="6"/>
      <c r="J11" s="6"/>
      <c r="K11" s="6"/>
      <c r="L11" s="6"/>
      <c r="M11" s="6"/>
      <c r="N11" s="6"/>
      <c r="O11" s="6"/>
      <c r="P11" s="6"/>
      <c r="Q11" s="6"/>
      <c r="R11" s="1"/>
    </row>
    <row r="12" spans="1:18" x14ac:dyDescent="0.25">
      <c r="A12" s="8" t="s">
        <v>308</v>
      </c>
      <c r="B12" s="8">
        <f>P_loss_inductor_total</f>
        <v>214.87360411112786</v>
      </c>
      <c r="C12" s="15" t="s">
        <v>30</v>
      </c>
      <c r="D12" s="6"/>
      <c r="E12" s="6"/>
      <c r="F12" s="6"/>
      <c r="G12" s="6"/>
      <c r="H12" s="6"/>
      <c r="I12" s="6"/>
      <c r="J12" s="6"/>
      <c r="K12" s="6"/>
      <c r="L12" s="6"/>
      <c r="M12" s="6"/>
      <c r="N12" s="6"/>
      <c r="O12" s="6"/>
      <c r="P12" s="6"/>
      <c r="Q12" s="6"/>
      <c r="R12" s="1"/>
    </row>
    <row r="13" spans="1:18" x14ac:dyDescent="0.25">
      <c r="A13" s="8" t="s">
        <v>309</v>
      </c>
      <c r="B13" s="8">
        <f>P_loss_FET_Rdson</f>
        <v>329.9845539292121</v>
      </c>
      <c r="C13" s="15" t="s">
        <v>30</v>
      </c>
      <c r="D13" s="6"/>
      <c r="E13" s="6"/>
      <c r="F13" s="6"/>
      <c r="G13" s="6"/>
      <c r="H13" s="6"/>
      <c r="I13" s="6"/>
      <c r="J13" s="6"/>
      <c r="K13" s="6"/>
      <c r="L13" s="6"/>
      <c r="M13" s="6"/>
      <c r="N13" s="6"/>
      <c r="O13" s="6"/>
      <c r="P13" s="6"/>
      <c r="Q13" s="6"/>
      <c r="R13" s="1"/>
    </row>
    <row r="14" spans="1:18" x14ac:dyDescent="0.25">
      <c r="A14" s="8" t="s">
        <v>310</v>
      </c>
      <c r="B14" s="8">
        <f>P_loss_LS_switching</f>
        <v>644.99710212765956</v>
      </c>
      <c r="C14" s="15" t="s">
        <v>30</v>
      </c>
      <c r="D14" s="6"/>
      <c r="E14" s="6"/>
      <c r="F14" s="6"/>
      <c r="G14" s="6"/>
      <c r="H14" s="6"/>
      <c r="I14" s="6"/>
      <c r="J14" s="6"/>
      <c r="K14" s="6"/>
      <c r="L14" s="6"/>
      <c r="M14" s="6"/>
      <c r="N14" s="6"/>
      <c r="O14" s="6"/>
      <c r="P14" s="6"/>
      <c r="Q14" s="6"/>
      <c r="R14" s="1"/>
    </row>
    <row r="15" spans="1:18" x14ac:dyDescent="0.25">
      <c r="A15" s="8" t="s">
        <v>311</v>
      </c>
      <c r="B15" s="8">
        <f>P_loss_FET_driving</f>
        <v>13.9392</v>
      </c>
      <c r="C15" s="15" t="s">
        <v>30</v>
      </c>
      <c r="D15" s="6"/>
      <c r="E15" s="6"/>
      <c r="F15" s="6"/>
      <c r="G15" s="6"/>
      <c r="H15" s="6"/>
      <c r="I15" s="6"/>
      <c r="J15" s="6"/>
      <c r="K15" s="6"/>
      <c r="L15" s="6"/>
      <c r="M15" s="6"/>
      <c r="N15" s="6"/>
      <c r="O15" s="6"/>
      <c r="P15" s="6"/>
      <c r="Q15" s="6"/>
      <c r="R15" s="1"/>
    </row>
    <row r="16" spans="1:18" x14ac:dyDescent="0.25">
      <c r="A16" s="8" t="s">
        <v>312</v>
      </c>
      <c r="B16" s="8">
        <f>P_loss_FET_out</f>
        <v>34.56</v>
      </c>
      <c r="C16" s="15" t="s">
        <v>30</v>
      </c>
      <c r="D16" s="6"/>
      <c r="E16" s="6"/>
      <c r="F16" s="6"/>
      <c r="G16" s="6"/>
      <c r="H16" s="6"/>
      <c r="I16" s="6"/>
      <c r="J16" s="6"/>
      <c r="K16" s="6"/>
      <c r="L16" s="6"/>
      <c r="M16" s="6"/>
      <c r="N16" s="6"/>
      <c r="O16" s="6"/>
      <c r="P16" s="6"/>
      <c r="Q16" s="6"/>
      <c r="R16" s="1"/>
    </row>
    <row r="17" spans="1:18" x14ac:dyDescent="0.25">
      <c r="A17" s="8" t="s">
        <v>313</v>
      </c>
      <c r="B17" s="8">
        <f>P_loss_VCC</f>
        <v>40.127999999999993</v>
      </c>
      <c r="C17" s="15" t="s">
        <v>30</v>
      </c>
      <c r="D17" s="6"/>
      <c r="E17" s="6"/>
      <c r="F17" s="6"/>
      <c r="G17" s="6"/>
      <c r="H17" s="6"/>
      <c r="I17" s="6"/>
      <c r="J17" s="6"/>
      <c r="K17" s="6"/>
      <c r="L17" s="6"/>
      <c r="M17" s="6"/>
      <c r="N17" s="6"/>
      <c r="O17" s="6"/>
      <c r="P17" s="6"/>
      <c r="Q17" s="6"/>
      <c r="R17" s="1"/>
    </row>
    <row r="18" spans="1:18" x14ac:dyDescent="0.25">
      <c r="A18" s="8" t="s">
        <v>314</v>
      </c>
      <c r="B18" s="8">
        <f>P_loss_FET_dead</f>
        <v>54.227744680851053</v>
      </c>
      <c r="C18" s="15" t="s">
        <v>30</v>
      </c>
      <c r="D18" s="6"/>
      <c r="E18" s="6"/>
      <c r="F18" s="6"/>
      <c r="G18" s="6"/>
      <c r="H18" s="6"/>
      <c r="I18" s="6"/>
      <c r="J18" s="6"/>
      <c r="K18" s="6"/>
      <c r="L18" s="6"/>
      <c r="M18" s="6"/>
      <c r="N18" s="6"/>
      <c r="O18" s="6"/>
      <c r="P18" s="6"/>
      <c r="Q18" s="6"/>
      <c r="R18" s="1"/>
    </row>
    <row r="19" spans="1:18" x14ac:dyDescent="0.25">
      <c r="A19" s="8" t="s">
        <v>315</v>
      </c>
      <c r="B19" s="8">
        <f>P_loss_diode_rr</f>
        <v>25.92</v>
      </c>
      <c r="C19" s="15" t="s">
        <v>30</v>
      </c>
      <c r="D19" s="6"/>
      <c r="E19" s="6"/>
      <c r="F19" s="6"/>
      <c r="G19" s="6"/>
      <c r="H19" s="6"/>
      <c r="I19" s="6"/>
      <c r="J19" s="6"/>
      <c r="K19" s="6"/>
      <c r="L19" s="6"/>
      <c r="M19" s="6"/>
      <c r="N19" s="6"/>
      <c r="O19" s="6"/>
      <c r="P19" s="6"/>
      <c r="Q19" s="6"/>
      <c r="R19" s="1"/>
    </row>
    <row r="20" spans="1:18" x14ac:dyDescent="0.25">
      <c r="A20" s="8" t="s">
        <v>316</v>
      </c>
      <c r="B20" s="8">
        <f>P_loss_quiescent</f>
        <v>1.448</v>
      </c>
      <c r="C20" s="15" t="s">
        <v>30</v>
      </c>
      <c r="D20" s="6"/>
      <c r="E20" s="6"/>
      <c r="F20" s="6"/>
      <c r="G20" s="6"/>
      <c r="H20" s="6"/>
      <c r="I20" s="6"/>
      <c r="J20" s="6"/>
      <c r="K20" s="6"/>
      <c r="L20" s="6"/>
      <c r="M20" s="6"/>
      <c r="N20" s="6"/>
      <c r="O20" s="6"/>
      <c r="P20" s="6"/>
      <c r="Q20" s="6"/>
      <c r="R20" s="1"/>
    </row>
    <row r="21" spans="1:18" x14ac:dyDescent="0.25">
      <c r="A21" s="8" t="s">
        <v>317</v>
      </c>
      <c r="B21" s="8">
        <f>P_loss_fb_res</f>
        <v>0.36807463735701962</v>
      </c>
      <c r="C21" s="15" t="s">
        <v>30</v>
      </c>
      <c r="D21" s="6"/>
      <c r="E21" s="6"/>
      <c r="F21" s="6"/>
      <c r="G21" s="6"/>
      <c r="H21" s="6"/>
      <c r="I21" s="6"/>
      <c r="J21" s="6"/>
      <c r="K21" s="6"/>
      <c r="L21" s="6"/>
      <c r="M21" s="6"/>
      <c r="N21" s="6"/>
      <c r="O21" s="6"/>
      <c r="P21" s="6"/>
      <c r="Q21" s="6"/>
      <c r="R21" s="1"/>
    </row>
    <row r="22" spans="1:18" x14ac:dyDescent="0.25">
      <c r="A22" s="9" t="s">
        <v>208</v>
      </c>
      <c r="B22" s="8">
        <f>SUM(B12:B21)</f>
        <v>1360.4462794862075</v>
      </c>
      <c r="C22" s="15" t="s">
        <v>30</v>
      </c>
      <c r="D22" s="6"/>
      <c r="E22" s="6"/>
      <c r="F22" s="6"/>
      <c r="G22" s="6"/>
      <c r="H22" s="6"/>
      <c r="I22" s="6"/>
      <c r="J22" s="6"/>
      <c r="K22" s="6"/>
      <c r="L22" s="6"/>
      <c r="M22" s="6"/>
      <c r="N22" s="6"/>
      <c r="O22" s="6"/>
      <c r="P22" s="6"/>
      <c r="Q22" s="6"/>
      <c r="R22" s="1"/>
    </row>
    <row r="23" spans="1:18" x14ac:dyDescent="0.25">
      <c r="A23" s="9" t="s">
        <v>210</v>
      </c>
      <c r="B23" s="8">
        <f>(vout*iout_actual_max)/(vout*iout_actual_max+B22/1000)*100</f>
        <v>97.065502192785885</v>
      </c>
      <c r="C23" s="15" t="s">
        <v>11</v>
      </c>
      <c r="D23" s="6"/>
      <c r="E23" s="6"/>
      <c r="F23" s="6"/>
      <c r="G23" s="6"/>
      <c r="H23" s="6"/>
      <c r="I23" s="6"/>
      <c r="J23" s="6"/>
      <c r="K23" s="6"/>
      <c r="L23" s="6"/>
      <c r="M23" s="6"/>
      <c r="N23" s="6"/>
      <c r="O23" s="6"/>
      <c r="P23" s="6"/>
      <c r="Q23" s="6"/>
      <c r="R23" s="1"/>
    </row>
    <row r="24" spans="1:18" x14ac:dyDescent="0.25">
      <c r="A24" s="6"/>
      <c r="B24" s="6"/>
      <c r="C24" s="54"/>
      <c r="D24" s="6"/>
      <c r="E24" s="6"/>
      <c r="F24" s="6"/>
      <c r="G24" s="6"/>
      <c r="H24" s="6"/>
      <c r="I24" s="6"/>
      <c r="J24" s="6"/>
      <c r="K24" s="6"/>
      <c r="L24" s="6"/>
      <c r="M24" s="6"/>
      <c r="N24" s="6"/>
      <c r="O24" s="6"/>
      <c r="P24" s="6"/>
      <c r="Q24" s="6"/>
      <c r="R24" s="1"/>
    </row>
    <row r="25" spans="1:18" ht="15.75" x14ac:dyDescent="0.25">
      <c r="A25" s="121" t="s">
        <v>215</v>
      </c>
      <c r="B25" s="121"/>
      <c r="C25" s="121"/>
      <c r="D25" s="5"/>
      <c r="E25" s="5"/>
      <c r="F25" s="5"/>
      <c r="G25" s="5"/>
      <c r="H25" s="5"/>
      <c r="I25" s="5"/>
      <c r="J25" s="5"/>
      <c r="K25" s="5"/>
      <c r="L25" s="5"/>
      <c r="M25" s="5"/>
      <c r="N25" s="5"/>
      <c r="O25" s="5"/>
      <c r="P25" s="5"/>
      <c r="Q25" s="5"/>
      <c r="R25" s="1"/>
    </row>
    <row r="26" spans="1:18" ht="18" x14ac:dyDescent="0.25">
      <c r="A26" s="8" t="s">
        <v>233</v>
      </c>
      <c r="B26" s="74">
        <f>iL_rms_act_max</f>
        <v>2.6463896833855181</v>
      </c>
      <c r="C26" s="15" t="s">
        <v>10</v>
      </c>
      <c r="D26" s="6"/>
      <c r="E26" s="6"/>
      <c r="F26" s="6"/>
      <c r="G26" s="6"/>
      <c r="H26" s="6"/>
      <c r="I26" s="6"/>
      <c r="J26" s="6"/>
      <c r="K26" s="6"/>
      <c r="L26" s="6"/>
      <c r="M26" s="6"/>
      <c r="N26" s="6"/>
      <c r="O26" s="6"/>
      <c r="P26" s="6"/>
      <c r="Q26" s="6"/>
      <c r="R26" s="1"/>
    </row>
    <row r="27" spans="1:18" ht="18" x14ac:dyDescent="0.25">
      <c r="A27" s="8" t="s">
        <v>216</v>
      </c>
      <c r="B27" s="74">
        <f>iL_p2p_act_max</f>
        <v>0.79122340425531923</v>
      </c>
      <c r="C27" s="15" t="s">
        <v>10</v>
      </c>
      <c r="D27" s="6"/>
      <c r="E27" s="6"/>
      <c r="F27" s="6"/>
      <c r="G27" s="6"/>
      <c r="H27" s="6"/>
      <c r="I27" s="6"/>
      <c r="J27" s="6"/>
      <c r="K27" s="6"/>
      <c r="L27" s="6"/>
      <c r="M27" s="6"/>
      <c r="N27" s="6"/>
      <c r="O27" s="6"/>
      <c r="P27" s="6"/>
      <c r="Q27" s="6"/>
      <c r="R27" s="1"/>
    </row>
    <row r="28" spans="1:18" ht="18" x14ac:dyDescent="0.25">
      <c r="A28" s="8" t="s">
        <v>217</v>
      </c>
      <c r="B28" s="57">
        <v>18.5</v>
      </c>
      <c r="C28" s="15" t="s">
        <v>18</v>
      </c>
      <c r="D28" s="6"/>
      <c r="E28" s="6"/>
      <c r="F28" s="6"/>
      <c r="G28" s="6"/>
      <c r="H28" s="6"/>
      <c r="I28" s="6"/>
      <c r="J28" s="6"/>
      <c r="K28" s="6"/>
      <c r="L28" s="6"/>
      <c r="M28" s="6"/>
      <c r="N28" s="6"/>
      <c r="O28" s="6"/>
      <c r="P28" s="6"/>
      <c r="Q28" s="6"/>
      <c r="R28" s="1"/>
    </row>
    <row r="29" spans="1:18" ht="18" x14ac:dyDescent="0.25">
      <c r="A29" s="9" t="s">
        <v>347</v>
      </c>
      <c r="B29" s="8">
        <f>0.0002443*(iL_p2p_act_nom*1000)^2-0.09109*iL_p2p_act_nom*1000+15.84</f>
        <v>127.08823952517477</v>
      </c>
      <c r="C29" s="15" t="s">
        <v>30</v>
      </c>
      <c r="D29" s="6"/>
      <c r="E29" s="6"/>
      <c r="F29" s="6"/>
      <c r="G29" s="6"/>
      <c r="H29" s="6"/>
      <c r="I29" s="6"/>
      <c r="J29" s="6"/>
      <c r="K29" s="6"/>
      <c r="L29" s="6"/>
      <c r="M29" s="6"/>
      <c r="N29" s="6"/>
      <c r="O29" s="6"/>
      <c r="P29" s="6"/>
      <c r="Q29" s="6"/>
      <c r="R29" s="1"/>
    </row>
    <row r="30" spans="1:18" ht="18" x14ac:dyDescent="0.25">
      <c r="A30" s="9" t="s">
        <v>348</v>
      </c>
      <c r="B30" s="8">
        <f>iL_rms_act_nom^2*R_L_DCR</f>
        <v>87.785364585953076</v>
      </c>
      <c r="C30" s="15" t="s">
        <v>30</v>
      </c>
      <c r="D30" s="6"/>
      <c r="E30" s="6"/>
      <c r="F30" s="6"/>
      <c r="G30" s="6"/>
      <c r="H30" s="6"/>
      <c r="I30" s="6"/>
      <c r="J30" s="6"/>
      <c r="K30" s="6"/>
      <c r="L30" s="6"/>
      <c r="M30" s="6"/>
      <c r="N30" s="6"/>
      <c r="O30" s="6"/>
      <c r="P30" s="6"/>
      <c r="Q30" s="6"/>
      <c r="R30" s="1"/>
    </row>
    <row r="31" spans="1:18" ht="18" x14ac:dyDescent="0.25">
      <c r="A31" s="9" t="s">
        <v>219</v>
      </c>
      <c r="B31" s="8">
        <f>IF(OR(P_loss_act_inductor_AC="",P_loss_act_inductor_DC=""),P_loss_inductor_AC+P_loss_inductor_DC,P_loss_act_inductor_AC+P_loss_act_inductor_DC)</f>
        <v>214.87360411112786</v>
      </c>
      <c r="C31" s="15" t="s">
        <v>30</v>
      </c>
      <c r="D31" s="6"/>
      <c r="E31" s="6"/>
      <c r="F31" s="6"/>
      <c r="G31" s="6"/>
      <c r="H31" s="6"/>
      <c r="I31" s="6"/>
      <c r="J31" s="6"/>
      <c r="K31" s="6"/>
      <c r="L31" s="6"/>
      <c r="M31" s="6"/>
      <c r="N31" s="6"/>
      <c r="O31" s="6"/>
      <c r="P31" s="6"/>
      <c r="Q31" s="6"/>
      <c r="R31" s="1"/>
    </row>
    <row r="32" spans="1:18" x14ac:dyDescent="0.25">
      <c r="A32" s="6"/>
      <c r="B32" s="6"/>
      <c r="C32" s="54"/>
      <c r="D32" s="6"/>
      <c r="E32" s="6"/>
      <c r="F32" s="6"/>
      <c r="G32" s="6"/>
      <c r="H32" s="6"/>
      <c r="I32" s="6"/>
      <c r="J32" s="6"/>
      <c r="K32" s="6"/>
      <c r="L32" s="6"/>
      <c r="M32" s="6"/>
      <c r="N32" s="6"/>
      <c r="O32" s="6"/>
      <c r="P32" s="6"/>
      <c r="Q32" s="6"/>
      <c r="R32" s="1"/>
    </row>
    <row r="33" spans="1:18" ht="15.75" x14ac:dyDescent="0.25">
      <c r="A33" s="121" t="s">
        <v>223</v>
      </c>
      <c r="B33" s="121"/>
      <c r="C33" s="121"/>
      <c r="D33" s="5"/>
      <c r="E33" s="5"/>
      <c r="F33" s="5"/>
      <c r="G33" s="5"/>
      <c r="H33" s="5"/>
      <c r="I33" s="5"/>
      <c r="J33" s="5"/>
      <c r="K33" s="5"/>
      <c r="L33" s="5"/>
      <c r="M33" s="5"/>
      <c r="N33" s="5"/>
      <c r="O33" s="5"/>
      <c r="P33" s="5"/>
      <c r="Q33" s="5"/>
      <c r="R33" s="1"/>
    </row>
    <row r="34" spans="1:18" ht="18" x14ac:dyDescent="0.25">
      <c r="A34" s="8" t="s">
        <v>224</v>
      </c>
      <c r="B34" s="57">
        <v>50</v>
      </c>
      <c r="C34" s="15" t="s">
        <v>18</v>
      </c>
      <c r="D34" s="6"/>
      <c r="E34" s="6"/>
      <c r="F34" s="6"/>
      <c r="G34" s="6"/>
      <c r="H34" s="6"/>
      <c r="I34" s="6"/>
      <c r="J34" s="6"/>
      <c r="K34" s="6"/>
      <c r="L34" s="6"/>
      <c r="M34" s="6"/>
      <c r="N34" s="6"/>
      <c r="O34" s="6"/>
      <c r="P34" s="6"/>
      <c r="Q34" s="6"/>
      <c r="R34" s="1"/>
    </row>
    <row r="35" spans="1:18" ht="18" x14ac:dyDescent="0.25">
      <c r="A35" s="8" t="s">
        <v>225</v>
      </c>
      <c r="B35" s="57">
        <v>40</v>
      </c>
      <c r="C35" s="15" t="s">
        <v>18</v>
      </c>
      <c r="D35" s="6"/>
      <c r="E35" s="6"/>
      <c r="F35" s="6"/>
      <c r="G35" s="6"/>
      <c r="H35" s="6"/>
      <c r="I35" s="6"/>
      <c r="J35" s="6"/>
      <c r="K35" s="6"/>
      <c r="L35" s="6"/>
      <c r="M35" s="6"/>
      <c r="N35" s="6"/>
      <c r="O35" s="6"/>
      <c r="P35" s="6"/>
      <c r="Q35" s="6"/>
      <c r="R35" s="1"/>
    </row>
    <row r="36" spans="1:18" ht="18" x14ac:dyDescent="0.25">
      <c r="A36" s="8" t="s">
        <v>228</v>
      </c>
      <c r="B36" s="57">
        <v>1.1000000000000001</v>
      </c>
      <c r="C36" s="80" t="s">
        <v>14</v>
      </c>
      <c r="D36" s="6"/>
      <c r="E36" s="6"/>
      <c r="F36" s="6"/>
      <c r="G36" s="6"/>
      <c r="H36" s="6"/>
      <c r="I36" s="6"/>
      <c r="J36" s="6"/>
      <c r="K36" s="6"/>
      <c r="L36" s="6"/>
      <c r="M36" s="6"/>
      <c r="N36" s="6"/>
      <c r="O36" s="6"/>
      <c r="P36" s="6"/>
      <c r="Q36" s="6"/>
      <c r="R36" s="1"/>
    </row>
    <row r="37" spans="1:18" ht="18" x14ac:dyDescent="0.25">
      <c r="A37" s="8" t="s">
        <v>233</v>
      </c>
      <c r="B37" s="74">
        <f>iL_rms_act_max</f>
        <v>2.6463896833855181</v>
      </c>
      <c r="C37" s="15" t="s">
        <v>10</v>
      </c>
      <c r="D37" s="6"/>
      <c r="E37" s="6"/>
      <c r="F37" s="6"/>
      <c r="G37" s="6"/>
      <c r="H37" s="6"/>
      <c r="I37" s="6"/>
      <c r="J37" s="6"/>
      <c r="K37" s="6"/>
      <c r="L37" s="6"/>
      <c r="M37" s="6"/>
      <c r="N37" s="6"/>
      <c r="O37" s="6"/>
      <c r="P37" s="6"/>
      <c r="Q37" s="6"/>
      <c r="R37" s="1"/>
    </row>
    <row r="38" spans="1:18" ht="18" x14ac:dyDescent="0.25">
      <c r="A38" s="8" t="s">
        <v>232</v>
      </c>
      <c r="B38" s="74">
        <f>duty_nom</f>
        <v>0.25</v>
      </c>
      <c r="C38" s="56" t="s">
        <v>14</v>
      </c>
      <c r="D38" s="6"/>
      <c r="E38" s="6"/>
      <c r="F38" s="6"/>
      <c r="G38" s="6"/>
      <c r="H38" s="6"/>
      <c r="I38" s="6"/>
      <c r="J38" s="6"/>
      <c r="K38" s="6"/>
      <c r="L38" s="6"/>
      <c r="M38" s="6"/>
      <c r="N38" s="6"/>
      <c r="O38" s="6"/>
      <c r="P38" s="6"/>
      <c r="Q38" s="6"/>
      <c r="R38" s="1"/>
    </row>
    <row r="39" spans="1:18" ht="18" x14ac:dyDescent="0.25">
      <c r="A39" s="9" t="s">
        <v>358</v>
      </c>
      <c r="B39" s="8">
        <f>iL_rms_act_nom^2*R_LS_dson*K_R*(1-duty_nom)</f>
        <v>260.51412152306216</v>
      </c>
      <c r="C39" s="15" t="s">
        <v>30</v>
      </c>
      <c r="D39" s="6"/>
      <c r="E39" s="6"/>
      <c r="F39" s="6"/>
      <c r="G39" s="6"/>
      <c r="H39" s="6"/>
      <c r="I39" s="6"/>
      <c r="J39" s="6"/>
      <c r="K39" s="6"/>
      <c r="L39" s="6"/>
      <c r="M39" s="6"/>
      <c r="N39" s="6"/>
      <c r="O39" s="6"/>
      <c r="P39" s="6"/>
      <c r="Q39" s="6"/>
      <c r="R39" s="1"/>
    </row>
    <row r="40" spans="1:18" ht="18" x14ac:dyDescent="0.25">
      <c r="A40" s="9" t="s">
        <v>359</v>
      </c>
      <c r="B40" s="8">
        <f>iL_rms_act_nom^2*R_HS_dson*K_R*duty_nom</f>
        <v>69.470432406149925</v>
      </c>
      <c r="C40" s="15" t="s">
        <v>30</v>
      </c>
      <c r="D40" s="6"/>
      <c r="E40" s="6"/>
      <c r="F40" s="6"/>
      <c r="G40" s="6"/>
      <c r="H40" s="6"/>
      <c r="I40" s="6"/>
      <c r="J40" s="6"/>
      <c r="K40" s="6"/>
      <c r="L40" s="6"/>
      <c r="M40" s="6"/>
      <c r="N40" s="6"/>
      <c r="O40" s="6"/>
      <c r="P40" s="6"/>
      <c r="Q40" s="6"/>
      <c r="R40" s="1"/>
    </row>
    <row r="41" spans="1:18" ht="18" x14ac:dyDescent="0.25">
      <c r="A41" s="9" t="s">
        <v>360</v>
      </c>
      <c r="B41" s="8">
        <f>P_loss_LS_Rdson+P_loss_HS_Rdson</f>
        <v>329.9845539292121</v>
      </c>
      <c r="C41" s="15" t="s">
        <v>30</v>
      </c>
      <c r="D41" s="6"/>
      <c r="E41" s="6"/>
      <c r="F41" s="6"/>
      <c r="G41" s="6"/>
      <c r="H41" s="6"/>
      <c r="I41" s="6"/>
      <c r="J41" s="6"/>
      <c r="K41" s="6"/>
      <c r="L41" s="6"/>
      <c r="M41" s="6"/>
      <c r="N41" s="6"/>
      <c r="O41" s="6"/>
      <c r="P41" s="6"/>
      <c r="Q41" s="6"/>
      <c r="R41" s="1"/>
    </row>
    <row r="42" spans="1:18" x14ac:dyDescent="0.25">
      <c r="A42" s="6"/>
      <c r="B42" s="6"/>
      <c r="C42" s="54"/>
      <c r="D42" s="6"/>
      <c r="E42" s="6"/>
      <c r="F42" s="6"/>
      <c r="G42" s="6"/>
      <c r="H42" s="6"/>
      <c r="I42" s="6"/>
      <c r="J42" s="6"/>
      <c r="K42" s="6"/>
      <c r="L42" s="6"/>
      <c r="M42" s="6"/>
      <c r="N42" s="6"/>
      <c r="O42" s="6"/>
      <c r="P42" s="6"/>
      <c r="Q42" s="6"/>
      <c r="R42" s="1"/>
    </row>
    <row r="43" spans="1:18" ht="15.75" x14ac:dyDescent="0.25">
      <c r="A43" s="121" t="s">
        <v>234</v>
      </c>
      <c r="B43" s="121"/>
      <c r="C43" s="121"/>
      <c r="D43" s="5"/>
      <c r="E43" s="5"/>
      <c r="F43" s="5"/>
      <c r="G43" s="5"/>
      <c r="H43" s="5"/>
      <c r="I43" s="5"/>
      <c r="J43" s="5"/>
      <c r="K43" s="5"/>
      <c r="L43" s="5"/>
      <c r="M43" s="5"/>
      <c r="N43" s="5"/>
      <c r="O43" s="5"/>
      <c r="P43" s="5"/>
      <c r="Q43" s="5"/>
      <c r="R43" s="1"/>
    </row>
    <row r="44" spans="1:18" ht="18" x14ac:dyDescent="0.25">
      <c r="A44" s="8" t="s">
        <v>235</v>
      </c>
      <c r="B44" s="57">
        <v>10.6</v>
      </c>
      <c r="C44" s="15" t="s">
        <v>239</v>
      </c>
      <c r="D44" s="6"/>
      <c r="E44" s="6"/>
      <c r="F44" s="6"/>
      <c r="G44" s="6"/>
      <c r="H44" s="6"/>
      <c r="I44" s="6"/>
      <c r="J44" s="6"/>
      <c r="K44" s="6"/>
      <c r="L44" s="6"/>
      <c r="M44" s="6"/>
      <c r="N44" s="6"/>
      <c r="O44" s="6"/>
      <c r="P44" s="6"/>
      <c r="Q44" s="6"/>
      <c r="R44" s="1"/>
    </row>
    <row r="45" spans="1:18" ht="18" x14ac:dyDescent="0.25">
      <c r="A45" s="8" t="s">
        <v>236</v>
      </c>
      <c r="B45" s="57">
        <v>7.3</v>
      </c>
      <c r="C45" s="15" t="s">
        <v>239</v>
      </c>
      <c r="D45" s="6"/>
      <c r="E45" s="6"/>
      <c r="F45" s="6"/>
      <c r="G45" s="6"/>
      <c r="H45" s="6"/>
      <c r="I45" s="6"/>
      <c r="J45" s="6"/>
      <c r="K45" s="6"/>
      <c r="L45" s="6"/>
      <c r="M45" s="6"/>
      <c r="N45" s="6"/>
      <c r="O45" s="6"/>
      <c r="P45" s="6"/>
      <c r="Q45" s="6"/>
      <c r="R45" s="1"/>
    </row>
    <row r="46" spans="1:18" ht="18" x14ac:dyDescent="0.25">
      <c r="A46" s="8" t="s">
        <v>289</v>
      </c>
      <c r="B46" s="57">
        <v>0.83399999999999996</v>
      </c>
      <c r="C46" s="56" t="s">
        <v>9</v>
      </c>
      <c r="D46" s="6"/>
      <c r="E46" s="6"/>
      <c r="F46" s="6"/>
      <c r="G46" s="6"/>
      <c r="H46" s="6"/>
      <c r="I46" s="6"/>
      <c r="J46" s="6"/>
      <c r="K46" s="6"/>
      <c r="L46" s="6"/>
      <c r="M46" s="6"/>
      <c r="N46" s="6"/>
      <c r="O46" s="6"/>
      <c r="P46" s="6"/>
      <c r="Q46" s="6"/>
      <c r="R46" s="1"/>
    </row>
    <row r="47" spans="1:18" ht="18" x14ac:dyDescent="0.25">
      <c r="A47" s="8" t="s">
        <v>36</v>
      </c>
      <c r="B47" s="75">
        <f>vout</f>
        <v>24</v>
      </c>
      <c r="C47" s="11" t="s">
        <v>9</v>
      </c>
      <c r="D47" s="6"/>
      <c r="E47" s="6"/>
      <c r="F47" s="6"/>
      <c r="G47" s="6"/>
      <c r="H47" s="6"/>
      <c r="I47" s="6"/>
      <c r="J47" s="6"/>
      <c r="K47" s="6"/>
      <c r="L47" s="6"/>
      <c r="M47" s="6"/>
      <c r="N47" s="6"/>
      <c r="O47" s="6"/>
      <c r="P47" s="6"/>
      <c r="Q47" s="6"/>
      <c r="R47" s="1"/>
    </row>
    <row r="48" spans="1:18" ht="18" x14ac:dyDescent="0.25">
      <c r="A48" s="8" t="s">
        <v>237</v>
      </c>
      <c r="B48" s="74">
        <f>iin_max</f>
        <v>2.6315789473684208</v>
      </c>
      <c r="C48" s="56" t="s">
        <v>10</v>
      </c>
      <c r="D48" s="6"/>
      <c r="E48" s="6"/>
      <c r="F48" s="6"/>
      <c r="G48" s="6"/>
      <c r="H48" s="6"/>
      <c r="I48" s="6"/>
      <c r="J48" s="6"/>
      <c r="K48" s="6"/>
      <c r="L48" s="6"/>
      <c r="M48" s="6"/>
      <c r="N48" s="6"/>
      <c r="O48" s="6"/>
      <c r="P48" s="6"/>
      <c r="Q48" s="6"/>
      <c r="R48" s="1"/>
    </row>
    <row r="49" spans="1:18" ht="18" x14ac:dyDescent="0.25">
      <c r="A49" s="8" t="s">
        <v>238</v>
      </c>
      <c r="B49" s="76">
        <f>iL_p2p_act_nom</f>
        <v>0.88652482269503552</v>
      </c>
      <c r="C49" s="11" t="s">
        <v>10</v>
      </c>
      <c r="D49" s="6"/>
      <c r="E49" s="6"/>
      <c r="F49" s="6"/>
      <c r="G49" s="6"/>
      <c r="H49" s="6"/>
      <c r="I49" s="6"/>
      <c r="J49" s="6"/>
      <c r="K49" s="6"/>
      <c r="L49" s="6"/>
      <c r="M49" s="6"/>
      <c r="N49" s="6"/>
      <c r="O49" s="6"/>
      <c r="P49" s="6"/>
      <c r="Q49" s="6"/>
      <c r="R49" s="1"/>
    </row>
    <row r="50" spans="1:18" x14ac:dyDescent="0.25">
      <c r="A50" s="8" t="s">
        <v>45</v>
      </c>
      <c r="B50" s="75">
        <f>f</f>
        <v>1.2</v>
      </c>
      <c r="C50" s="11" t="s">
        <v>12</v>
      </c>
      <c r="D50" s="6"/>
      <c r="E50" s="6"/>
      <c r="F50" s="6"/>
      <c r="G50" s="6"/>
      <c r="H50" s="6"/>
      <c r="I50" s="6"/>
      <c r="J50" s="6"/>
      <c r="K50" s="6"/>
      <c r="L50" s="6"/>
      <c r="M50" s="6"/>
      <c r="N50" s="6"/>
      <c r="O50" s="6"/>
      <c r="P50" s="6"/>
      <c r="Q50" s="6"/>
      <c r="R50" s="1"/>
    </row>
    <row r="51" spans="1:18" ht="18" x14ac:dyDescent="0.25">
      <c r="A51" s="9" t="s">
        <v>242</v>
      </c>
      <c r="B51" s="8">
        <f>0.5*(vout + V_D_HS)*(iin_nom-iL_p2p_act_nom/2)*tau_on*f</f>
        <v>324.84985531914896</v>
      </c>
      <c r="C51" s="15" t="s">
        <v>30</v>
      </c>
      <c r="D51" s="6"/>
      <c r="E51" s="6"/>
      <c r="F51" s="6"/>
      <c r="G51" s="6"/>
      <c r="H51" s="6"/>
      <c r="I51" s="6"/>
      <c r="J51" s="6"/>
      <c r="K51" s="6"/>
      <c r="L51" s="6"/>
      <c r="M51" s="6"/>
      <c r="N51" s="6"/>
      <c r="O51" s="6"/>
      <c r="P51" s="6"/>
      <c r="Q51" s="6"/>
      <c r="R51" s="1"/>
    </row>
    <row r="52" spans="1:18" ht="18" x14ac:dyDescent="0.25">
      <c r="A52" s="9" t="s">
        <v>243</v>
      </c>
      <c r="B52" s="8">
        <f>0.5*(vout + V_D_HS)*(iin_nom+iL_p2p_act_nom/2)*tau_off*f</f>
        <v>320.1472468085106</v>
      </c>
      <c r="C52" s="15" t="s">
        <v>30</v>
      </c>
      <c r="D52" s="6"/>
      <c r="E52" s="6"/>
      <c r="F52" s="6"/>
      <c r="G52" s="6"/>
      <c r="H52" s="6"/>
      <c r="I52" s="6"/>
      <c r="J52" s="6"/>
      <c r="K52" s="6"/>
      <c r="L52" s="6"/>
      <c r="M52" s="6"/>
      <c r="N52" s="6"/>
      <c r="O52" s="6"/>
      <c r="P52" s="6"/>
      <c r="Q52" s="6"/>
      <c r="R52" s="1"/>
    </row>
    <row r="53" spans="1:18" ht="18" x14ac:dyDescent="0.25">
      <c r="A53" s="9" t="s">
        <v>244</v>
      </c>
      <c r="B53" s="8">
        <f>P_loss_LS_on+P_loss_LS_off</f>
        <v>644.99710212765956</v>
      </c>
      <c r="C53" s="15" t="s">
        <v>30</v>
      </c>
      <c r="D53" s="6"/>
      <c r="E53" s="6"/>
      <c r="F53" s="6"/>
      <c r="G53" s="6"/>
      <c r="H53" s="6"/>
      <c r="I53" s="6"/>
      <c r="J53" s="6"/>
      <c r="K53" s="6"/>
      <c r="L53" s="6"/>
      <c r="M53" s="6"/>
      <c r="N53" s="6"/>
      <c r="O53" s="6"/>
      <c r="P53" s="6"/>
      <c r="Q53" s="6"/>
      <c r="R53" s="1"/>
    </row>
    <row r="54" spans="1:18" x14ac:dyDescent="0.25">
      <c r="D54" s="6"/>
      <c r="E54" s="6"/>
      <c r="F54" s="6"/>
      <c r="G54" s="6"/>
      <c r="H54" s="6"/>
      <c r="I54" s="6"/>
      <c r="J54" s="6"/>
      <c r="K54" s="6"/>
      <c r="L54" s="6"/>
      <c r="M54" s="6"/>
      <c r="N54" s="6"/>
      <c r="O54" s="6"/>
      <c r="P54" s="6"/>
      <c r="Q54" s="6"/>
      <c r="R54" s="1"/>
    </row>
    <row r="55" spans="1:18" ht="15.75" x14ac:dyDescent="0.25">
      <c r="A55" s="121" t="s">
        <v>247</v>
      </c>
      <c r="B55" s="121"/>
      <c r="C55" s="121"/>
      <c r="D55" s="5"/>
      <c r="E55" s="5"/>
      <c r="F55" s="5"/>
      <c r="G55" s="5"/>
      <c r="H55" s="5"/>
      <c r="I55" s="5"/>
      <c r="J55" s="5"/>
      <c r="K55" s="5"/>
      <c r="L55" s="5"/>
      <c r="M55" s="5"/>
      <c r="N55" s="5"/>
      <c r="O55" s="5"/>
      <c r="P55" s="5"/>
      <c r="Q55" s="5"/>
      <c r="R55" s="1"/>
    </row>
    <row r="56" spans="1:18" ht="18" x14ac:dyDescent="0.25">
      <c r="A56" s="8" t="s">
        <v>248</v>
      </c>
      <c r="B56" s="77">
        <v>1.1000000000000001</v>
      </c>
      <c r="C56" s="7" t="s">
        <v>206</v>
      </c>
      <c r="D56" s="6"/>
      <c r="E56" s="6"/>
      <c r="F56" s="6"/>
      <c r="G56" s="6"/>
      <c r="H56" s="6"/>
      <c r="I56" s="6"/>
      <c r="J56" s="6"/>
      <c r="K56" s="6"/>
      <c r="L56" s="6"/>
      <c r="M56" s="6"/>
      <c r="N56" s="6"/>
      <c r="O56" s="6"/>
      <c r="P56" s="6"/>
      <c r="Q56" s="6"/>
      <c r="R56" s="1"/>
    </row>
    <row r="57" spans="1:18" ht="18" x14ac:dyDescent="0.25">
      <c r="A57" s="8" t="s">
        <v>249</v>
      </c>
      <c r="B57" s="77">
        <v>1.32</v>
      </c>
      <c r="C57" s="7" t="s">
        <v>206</v>
      </c>
      <c r="D57" s="6"/>
      <c r="E57" s="6"/>
      <c r="F57" s="6"/>
      <c r="G57" s="6"/>
      <c r="H57" s="6"/>
      <c r="I57" s="6"/>
      <c r="J57" s="6"/>
      <c r="K57" s="6"/>
      <c r="L57" s="6"/>
      <c r="M57" s="6"/>
      <c r="N57" s="6"/>
      <c r="O57" s="6"/>
      <c r="P57" s="6"/>
      <c r="Q57" s="6"/>
      <c r="R57" s="1"/>
    </row>
    <row r="58" spans="1:18" ht="18" x14ac:dyDescent="0.25">
      <c r="A58" s="8" t="s">
        <v>250</v>
      </c>
      <c r="B58" s="57">
        <v>4.8</v>
      </c>
      <c r="C58" s="56" t="s">
        <v>9</v>
      </c>
      <c r="D58" s="6"/>
      <c r="E58" s="6"/>
      <c r="F58" s="6"/>
      <c r="G58" s="6"/>
      <c r="H58" s="6"/>
      <c r="I58" s="6"/>
      <c r="J58" s="6"/>
      <c r="K58" s="6"/>
      <c r="L58" s="6"/>
      <c r="M58" s="6"/>
      <c r="N58" s="6"/>
      <c r="O58" s="6"/>
      <c r="P58" s="6"/>
      <c r="Q58" s="6"/>
      <c r="R58" s="1"/>
    </row>
    <row r="59" spans="1:18" ht="18" x14ac:dyDescent="0.25">
      <c r="A59" s="8" t="s">
        <v>251</v>
      </c>
      <c r="B59" s="10">
        <v>4.8</v>
      </c>
      <c r="C59" s="11" t="s">
        <v>9</v>
      </c>
      <c r="D59" s="6"/>
      <c r="E59" s="6"/>
      <c r="F59" s="6"/>
      <c r="G59" s="6"/>
      <c r="H59" s="6"/>
      <c r="I59" s="6"/>
      <c r="J59" s="6"/>
      <c r="K59" s="6"/>
      <c r="L59" s="6"/>
      <c r="M59" s="6"/>
      <c r="N59" s="6"/>
      <c r="O59" s="6"/>
      <c r="P59" s="6"/>
      <c r="Q59" s="6"/>
      <c r="R59" s="1"/>
    </row>
    <row r="60" spans="1:18" x14ac:dyDescent="0.25">
      <c r="A60" s="8" t="s">
        <v>45</v>
      </c>
      <c r="B60" s="75">
        <f>f</f>
        <v>1.2</v>
      </c>
      <c r="C60" s="11" t="s">
        <v>12</v>
      </c>
      <c r="D60" s="6"/>
      <c r="E60" s="6"/>
      <c r="F60" s="6"/>
      <c r="G60" s="6"/>
      <c r="H60" s="6"/>
      <c r="I60" s="6"/>
      <c r="J60" s="6"/>
      <c r="K60" s="6"/>
      <c r="L60" s="6"/>
      <c r="M60" s="6"/>
      <c r="N60" s="6"/>
      <c r="O60" s="6"/>
      <c r="P60" s="6"/>
      <c r="Q60" s="6"/>
      <c r="R60" s="1"/>
    </row>
    <row r="61" spans="1:18" ht="18" x14ac:dyDescent="0.25">
      <c r="A61" s="9" t="s">
        <v>252</v>
      </c>
      <c r="B61" s="8">
        <f>Q_LS_gate*V_LS_gate*f</f>
        <v>6.3360000000000003</v>
      </c>
      <c r="C61" s="15" t="s">
        <v>30</v>
      </c>
      <c r="D61" s="6"/>
      <c r="E61" s="6"/>
      <c r="F61" s="6"/>
      <c r="G61" s="6"/>
      <c r="H61" s="6"/>
      <c r="I61" s="6"/>
      <c r="J61" s="6"/>
      <c r="K61" s="6"/>
      <c r="L61" s="6"/>
      <c r="M61" s="6"/>
      <c r="N61" s="6"/>
      <c r="O61" s="6"/>
      <c r="P61" s="6"/>
      <c r="Q61" s="6"/>
      <c r="R61" s="1"/>
    </row>
    <row r="62" spans="1:18" ht="18" x14ac:dyDescent="0.25">
      <c r="A62" s="9" t="s">
        <v>253</v>
      </c>
      <c r="B62" s="8">
        <f>Q_HS_gate*V_HS_gate*f</f>
        <v>7.6032000000000002</v>
      </c>
      <c r="C62" s="15" t="s">
        <v>30</v>
      </c>
      <c r="D62" s="6"/>
      <c r="E62" s="6"/>
      <c r="F62" s="6"/>
      <c r="G62" s="6"/>
      <c r="H62" s="6"/>
      <c r="I62" s="6"/>
      <c r="J62" s="6"/>
      <c r="K62" s="6"/>
      <c r="L62" s="6"/>
      <c r="M62" s="6"/>
      <c r="N62" s="6"/>
      <c r="O62" s="6"/>
      <c r="P62" s="6"/>
      <c r="Q62" s="6"/>
      <c r="R62" s="1"/>
    </row>
    <row r="63" spans="1:18" ht="18" x14ac:dyDescent="0.25">
      <c r="A63" s="9" t="s">
        <v>254</v>
      </c>
      <c r="B63" s="8">
        <f>P_loss_LS_driving+P_loss_HS_driving</f>
        <v>13.9392</v>
      </c>
      <c r="C63" s="15" t="s">
        <v>30</v>
      </c>
      <c r="D63" s="6"/>
      <c r="E63" s="6"/>
      <c r="F63" s="6"/>
      <c r="G63" s="6"/>
      <c r="H63" s="6"/>
      <c r="I63" s="6"/>
      <c r="J63" s="6"/>
      <c r="K63" s="6"/>
      <c r="L63" s="6"/>
      <c r="M63" s="6"/>
      <c r="N63" s="6"/>
      <c r="O63" s="6"/>
      <c r="P63" s="6"/>
      <c r="Q63" s="6"/>
      <c r="R63" s="1"/>
    </row>
    <row r="64" spans="1:18" x14ac:dyDescent="0.25">
      <c r="D64" s="6"/>
      <c r="E64" s="6"/>
      <c r="F64" s="6"/>
      <c r="G64" s="6"/>
      <c r="H64" s="6"/>
      <c r="I64" s="6"/>
      <c r="J64" s="6"/>
      <c r="K64" s="6"/>
      <c r="L64" s="6"/>
      <c r="M64" s="6"/>
      <c r="N64" s="6"/>
      <c r="O64" s="6"/>
      <c r="P64" s="6"/>
      <c r="Q64" s="6"/>
      <c r="R64" s="1"/>
    </row>
    <row r="65" spans="1:18" ht="15.75" x14ac:dyDescent="0.25">
      <c r="A65" s="121" t="s">
        <v>262</v>
      </c>
      <c r="B65" s="121"/>
      <c r="C65" s="121"/>
      <c r="D65" s="5"/>
      <c r="E65" s="5"/>
      <c r="F65" s="5"/>
      <c r="G65" s="5"/>
      <c r="H65" s="5"/>
      <c r="I65" s="5"/>
      <c r="J65" s="5"/>
      <c r="K65" s="5"/>
      <c r="L65" s="5"/>
      <c r="M65" s="5"/>
      <c r="N65" s="5"/>
      <c r="O65" s="5"/>
      <c r="P65" s="5"/>
      <c r="Q65" s="5"/>
      <c r="R65" s="1"/>
    </row>
    <row r="66" spans="1:18" ht="18" x14ac:dyDescent="0.25">
      <c r="A66" s="8" t="s">
        <v>263</v>
      </c>
      <c r="B66" s="77">
        <v>0.05</v>
      </c>
      <c r="C66" s="81" t="s">
        <v>26</v>
      </c>
      <c r="D66" s="6"/>
      <c r="E66" s="6"/>
      <c r="F66" s="6"/>
      <c r="G66" s="6"/>
      <c r="H66" s="6"/>
      <c r="I66" s="6"/>
      <c r="J66" s="6"/>
      <c r="K66" s="6"/>
      <c r="L66" s="6"/>
      <c r="M66" s="6"/>
      <c r="N66" s="6"/>
      <c r="O66" s="6"/>
      <c r="P66" s="6"/>
      <c r="Q66" s="6"/>
      <c r="R66" s="1"/>
    </row>
    <row r="67" spans="1:18" ht="18" x14ac:dyDescent="0.25">
      <c r="A67" s="8" t="s">
        <v>264</v>
      </c>
      <c r="B67" s="77">
        <v>0.05</v>
      </c>
      <c r="C67" s="81" t="s">
        <v>26</v>
      </c>
      <c r="D67" s="6"/>
      <c r="E67" s="6"/>
      <c r="F67" s="6"/>
      <c r="G67" s="6"/>
      <c r="H67" s="6"/>
      <c r="I67" s="6"/>
      <c r="J67" s="6"/>
      <c r="K67" s="6"/>
      <c r="L67" s="6"/>
      <c r="M67" s="6"/>
      <c r="N67" s="6"/>
      <c r="O67" s="6"/>
      <c r="P67" s="6"/>
      <c r="Q67" s="6"/>
      <c r="R67" s="1"/>
    </row>
    <row r="68" spans="1:18" ht="18" x14ac:dyDescent="0.25">
      <c r="A68" s="8" t="s">
        <v>36</v>
      </c>
      <c r="B68" s="75">
        <f>vout</f>
        <v>24</v>
      </c>
      <c r="C68" s="11" t="s">
        <v>9</v>
      </c>
      <c r="D68" s="6"/>
      <c r="E68" s="6"/>
      <c r="F68" s="6"/>
      <c r="G68" s="6"/>
      <c r="H68" s="6"/>
      <c r="I68" s="6"/>
      <c r="J68" s="6"/>
      <c r="K68" s="6"/>
      <c r="L68" s="6"/>
      <c r="M68" s="6"/>
      <c r="N68" s="6"/>
      <c r="O68" s="6"/>
      <c r="P68" s="6"/>
      <c r="Q68" s="6"/>
      <c r="R68" s="1"/>
    </row>
    <row r="69" spans="1:18" x14ac:dyDescent="0.25">
      <c r="A69" s="8" t="s">
        <v>45</v>
      </c>
      <c r="B69" s="75">
        <f>f</f>
        <v>1.2</v>
      </c>
      <c r="C69" s="11" t="s">
        <v>12</v>
      </c>
      <c r="D69" s="6"/>
      <c r="E69" s="6"/>
      <c r="F69" s="6"/>
      <c r="G69" s="6"/>
      <c r="H69" s="6"/>
      <c r="I69" s="6"/>
      <c r="J69" s="6"/>
      <c r="K69" s="6"/>
      <c r="L69" s="6"/>
      <c r="M69" s="6"/>
      <c r="N69" s="6"/>
      <c r="O69" s="6"/>
      <c r="P69" s="6"/>
      <c r="Q69" s="6"/>
      <c r="R69" s="1"/>
    </row>
    <row r="70" spans="1:18" ht="18" x14ac:dyDescent="0.25">
      <c r="A70" s="9" t="s">
        <v>265</v>
      </c>
      <c r="B70" s="8">
        <f>C_LS_oss*vout^2*f/2</f>
        <v>17.28</v>
      </c>
      <c r="C70" s="15" t="s">
        <v>30</v>
      </c>
      <c r="D70" s="6"/>
      <c r="E70" s="6"/>
      <c r="F70" s="6"/>
      <c r="G70" s="6"/>
      <c r="H70" s="6"/>
      <c r="I70" s="6"/>
      <c r="J70" s="6"/>
      <c r="K70" s="6"/>
      <c r="L70" s="6"/>
      <c r="M70" s="6"/>
      <c r="N70" s="6"/>
      <c r="O70" s="6"/>
      <c r="P70" s="6"/>
      <c r="Q70" s="6"/>
      <c r="R70" s="1"/>
    </row>
    <row r="71" spans="1:18" ht="18" x14ac:dyDescent="0.25">
      <c r="A71" s="9" t="s">
        <v>266</v>
      </c>
      <c r="B71" s="8">
        <f>C_HS_oss*vout^2*f/2</f>
        <v>17.28</v>
      </c>
      <c r="C71" s="15" t="s">
        <v>30</v>
      </c>
      <c r="D71" s="6"/>
      <c r="E71" s="6"/>
      <c r="F71" s="6"/>
      <c r="G71" s="6"/>
      <c r="H71" s="6"/>
      <c r="I71" s="6"/>
      <c r="J71" s="6"/>
      <c r="K71" s="6"/>
      <c r="L71" s="6"/>
      <c r="M71" s="6"/>
      <c r="N71" s="6"/>
      <c r="O71" s="6"/>
      <c r="P71" s="6"/>
      <c r="Q71" s="6"/>
      <c r="R71" s="1"/>
    </row>
    <row r="72" spans="1:18" ht="18" x14ac:dyDescent="0.25">
      <c r="A72" s="9" t="s">
        <v>267</v>
      </c>
      <c r="B72" s="8">
        <f>P_loss_LS_out+P_loss_HS_out</f>
        <v>34.56</v>
      </c>
      <c r="C72" s="15" t="s">
        <v>30</v>
      </c>
      <c r="D72" s="6"/>
      <c r="E72" s="6"/>
      <c r="F72" s="6"/>
      <c r="G72" s="6"/>
      <c r="H72" s="6"/>
      <c r="I72" s="6"/>
      <c r="J72" s="6"/>
      <c r="K72" s="6"/>
      <c r="L72" s="6"/>
      <c r="M72" s="6"/>
      <c r="N72" s="6"/>
      <c r="O72" s="6"/>
      <c r="P72" s="6"/>
      <c r="Q72" s="6"/>
      <c r="R72" s="1"/>
    </row>
    <row r="73" spans="1:18" x14ac:dyDescent="0.25">
      <c r="A73" s="6"/>
      <c r="B73" s="6"/>
      <c r="C73" s="54"/>
      <c r="D73" s="6"/>
      <c r="E73" s="6"/>
      <c r="F73" s="6"/>
      <c r="G73" s="6"/>
      <c r="H73" s="6"/>
      <c r="I73" s="6"/>
      <c r="J73" s="6"/>
      <c r="K73" s="6"/>
      <c r="L73" s="6"/>
      <c r="M73" s="6"/>
      <c r="N73" s="6"/>
      <c r="O73" s="6"/>
      <c r="P73" s="6"/>
      <c r="Q73" s="6"/>
      <c r="R73" s="1"/>
    </row>
    <row r="74" spans="1:18" ht="15.75" x14ac:dyDescent="0.25">
      <c r="A74" s="121" t="s">
        <v>283</v>
      </c>
      <c r="B74" s="121"/>
      <c r="C74" s="121"/>
      <c r="D74" s="5"/>
      <c r="E74" s="5"/>
      <c r="F74" s="5"/>
      <c r="G74" s="5"/>
      <c r="H74" s="5"/>
      <c r="I74" s="5"/>
      <c r="J74" s="5"/>
      <c r="K74" s="5"/>
      <c r="L74" s="5"/>
      <c r="M74" s="5"/>
      <c r="N74" s="5"/>
      <c r="O74" s="5"/>
      <c r="P74" s="5"/>
      <c r="Q74" s="5"/>
      <c r="R74" s="1"/>
    </row>
    <row r="75" spans="1:18" ht="18" x14ac:dyDescent="0.25">
      <c r="A75" s="8" t="s">
        <v>34</v>
      </c>
      <c r="B75" s="75">
        <f>vin_nom</f>
        <v>20</v>
      </c>
      <c r="C75" s="11" t="s">
        <v>9</v>
      </c>
      <c r="D75" s="6"/>
      <c r="E75" s="6"/>
      <c r="F75" s="6"/>
      <c r="G75" s="6"/>
      <c r="H75" s="6"/>
      <c r="I75" s="6"/>
      <c r="J75" s="6"/>
      <c r="K75" s="6"/>
      <c r="L75" s="6"/>
      <c r="M75" s="6"/>
      <c r="N75" s="6"/>
      <c r="O75" s="6"/>
      <c r="P75" s="6"/>
      <c r="Q75" s="6"/>
      <c r="R75" s="1"/>
    </row>
    <row r="76" spans="1:18" ht="18" x14ac:dyDescent="0.25">
      <c r="A76" s="8" t="s">
        <v>36</v>
      </c>
      <c r="B76" s="75">
        <f>vout</f>
        <v>24</v>
      </c>
      <c r="C76" s="11" t="s">
        <v>9</v>
      </c>
      <c r="D76" s="6"/>
      <c r="E76" s="6"/>
      <c r="F76" s="6"/>
      <c r="G76" s="6"/>
      <c r="H76" s="6"/>
      <c r="I76" s="6"/>
      <c r="J76" s="6"/>
      <c r="K76" s="6"/>
      <c r="L76" s="6"/>
      <c r="M76" s="6"/>
      <c r="N76" s="6"/>
      <c r="O76" s="6"/>
      <c r="P76" s="6"/>
      <c r="Q76" s="6"/>
      <c r="R76" s="1"/>
    </row>
    <row r="77" spans="1:18" ht="18" x14ac:dyDescent="0.25">
      <c r="A77" s="8" t="s">
        <v>278</v>
      </c>
      <c r="B77" s="10">
        <f>IF(vin_nom&gt;5.5, vin_nom, vout)</f>
        <v>20</v>
      </c>
      <c r="C77" s="11" t="s">
        <v>9</v>
      </c>
      <c r="D77" s="6"/>
      <c r="E77" s="6"/>
      <c r="F77" s="6"/>
      <c r="G77" s="6"/>
      <c r="H77" s="6"/>
      <c r="I77" s="6"/>
      <c r="J77" s="6"/>
      <c r="K77" s="6"/>
      <c r="L77" s="6"/>
      <c r="M77" s="6"/>
      <c r="N77" s="6"/>
      <c r="O77" s="6"/>
      <c r="P77" s="6"/>
      <c r="Q77" s="6"/>
      <c r="R77" s="1"/>
    </row>
    <row r="78" spans="1:18" ht="18" x14ac:dyDescent="0.25">
      <c r="A78" s="8" t="s">
        <v>280</v>
      </c>
      <c r="B78" s="75">
        <f>V_LS_gate</f>
        <v>4.8</v>
      </c>
      <c r="C78" s="11" t="s">
        <v>9</v>
      </c>
      <c r="D78" s="6"/>
      <c r="E78" s="6"/>
      <c r="F78" s="6"/>
      <c r="G78" s="6"/>
      <c r="H78" s="6"/>
      <c r="I78" s="6"/>
      <c r="J78" s="6"/>
      <c r="K78" s="6"/>
      <c r="L78" s="6"/>
      <c r="M78" s="6"/>
      <c r="N78" s="6"/>
      <c r="O78" s="6"/>
      <c r="P78" s="6"/>
      <c r="Q78" s="6"/>
      <c r="R78" s="1"/>
    </row>
    <row r="79" spans="1:18" ht="18" x14ac:dyDescent="0.25">
      <c r="A79" s="8" t="s">
        <v>248</v>
      </c>
      <c r="B79" s="78">
        <f>Q_LS_gate</f>
        <v>1.1000000000000001</v>
      </c>
      <c r="C79" s="7" t="s">
        <v>206</v>
      </c>
      <c r="D79" s="6"/>
      <c r="E79" s="6"/>
      <c r="F79" s="6"/>
      <c r="G79" s="6"/>
      <c r="H79" s="6"/>
      <c r="I79" s="6"/>
      <c r="J79" s="6"/>
      <c r="K79" s="6"/>
      <c r="L79" s="6"/>
      <c r="M79" s="6"/>
      <c r="N79" s="6"/>
      <c r="O79" s="6"/>
      <c r="P79" s="6"/>
      <c r="Q79" s="6"/>
      <c r="R79" s="1"/>
    </row>
    <row r="80" spans="1:18" x14ac:dyDescent="0.25">
      <c r="A80" s="8" t="s">
        <v>45</v>
      </c>
      <c r="B80" s="75">
        <f>f</f>
        <v>1.2</v>
      </c>
      <c r="C80" s="11" t="s">
        <v>12</v>
      </c>
      <c r="D80" s="6"/>
      <c r="E80" s="6"/>
      <c r="F80" s="6"/>
      <c r="G80" s="6"/>
      <c r="H80" s="6"/>
      <c r="I80" s="6"/>
      <c r="J80" s="6"/>
      <c r="K80" s="6"/>
      <c r="L80" s="6"/>
      <c r="M80" s="6"/>
      <c r="N80" s="6"/>
      <c r="O80" s="6"/>
      <c r="P80" s="6"/>
      <c r="Q80" s="6"/>
      <c r="R80" s="1"/>
    </row>
    <row r="81" spans="1:18" ht="18" x14ac:dyDescent="0.25">
      <c r="A81" s="9" t="s">
        <v>277</v>
      </c>
      <c r="B81" s="11">
        <f>2*(V_DD-V_CC)*Q_LS_gate*f</f>
        <v>40.127999999999993</v>
      </c>
      <c r="C81" s="15" t="s">
        <v>30</v>
      </c>
      <c r="D81" s="6"/>
      <c r="E81" s="6"/>
      <c r="F81" s="6"/>
      <c r="G81" s="6"/>
      <c r="H81" s="6"/>
      <c r="I81" s="6"/>
      <c r="J81" s="6"/>
      <c r="K81" s="6"/>
      <c r="L81" s="6"/>
      <c r="M81" s="6"/>
      <c r="N81" s="6"/>
      <c r="O81" s="6"/>
      <c r="P81" s="6"/>
      <c r="Q81" s="6"/>
      <c r="R81" s="1"/>
    </row>
    <row r="82" spans="1:18" x14ac:dyDescent="0.25">
      <c r="A82" s="6"/>
      <c r="B82" s="6"/>
      <c r="C82" s="54"/>
      <c r="D82" s="6"/>
      <c r="E82" s="6"/>
      <c r="F82" s="6"/>
      <c r="G82" s="6"/>
      <c r="H82" s="6"/>
      <c r="I82" s="6"/>
      <c r="J82" s="6"/>
      <c r="K82" s="6"/>
      <c r="L82" s="6"/>
      <c r="M82" s="6"/>
      <c r="N82" s="6"/>
      <c r="O82" s="6"/>
      <c r="P82" s="6"/>
      <c r="Q82" s="6"/>
      <c r="R82" s="1"/>
    </row>
    <row r="83" spans="1:18" ht="15.75" x14ac:dyDescent="0.25">
      <c r="A83" s="121" t="s">
        <v>284</v>
      </c>
      <c r="B83" s="121"/>
      <c r="C83" s="121"/>
      <c r="D83" s="5"/>
      <c r="E83" s="5"/>
      <c r="F83" s="5"/>
      <c r="G83" s="5"/>
      <c r="H83" s="5"/>
      <c r="I83" s="5"/>
      <c r="J83" s="5"/>
      <c r="K83" s="5"/>
      <c r="L83" s="5"/>
      <c r="M83" s="5"/>
      <c r="N83" s="5"/>
      <c r="O83" s="5"/>
      <c r="P83" s="5"/>
      <c r="Q83" s="5"/>
      <c r="R83" s="1"/>
    </row>
    <row r="84" spans="1:18" ht="18" x14ac:dyDescent="0.25">
      <c r="A84" s="8" t="s">
        <v>273</v>
      </c>
      <c r="B84" s="57">
        <v>8</v>
      </c>
      <c r="C84" s="15" t="s">
        <v>239</v>
      </c>
      <c r="D84" s="6"/>
      <c r="E84" s="6"/>
      <c r="F84" s="6"/>
      <c r="G84" s="6"/>
      <c r="H84" s="6"/>
      <c r="I84" s="6"/>
      <c r="J84" s="6"/>
      <c r="K84" s="6"/>
      <c r="L84" s="6"/>
      <c r="M84" s="6"/>
      <c r="N84" s="6"/>
      <c r="O84" s="6"/>
      <c r="P84" s="6"/>
      <c r="Q84" s="6"/>
      <c r="R84" s="1"/>
    </row>
    <row r="85" spans="1:18" ht="18" x14ac:dyDescent="0.25">
      <c r="A85" s="8" t="s">
        <v>274</v>
      </c>
      <c r="B85" s="57">
        <v>8</v>
      </c>
      <c r="C85" s="15" t="s">
        <v>239</v>
      </c>
      <c r="D85" s="6"/>
      <c r="E85" s="6"/>
      <c r="F85" s="6"/>
      <c r="G85" s="6"/>
      <c r="H85" s="6"/>
      <c r="I85" s="6"/>
      <c r="J85" s="6"/>
      <c r="K85" s="6"/>
      <c r="L85" s="6"/>
      <c r="M85" s="6"/>
      <c r="N85" s="6"/>
      <c r="O85" s="6"/>
      <c r="P85" s="6"/>
      <c r="Q85" s="6"/>
      <c r="R85" s="1"/>
    </row>
    <row r="86" spans="1:18" ht="18" x14ac:dyDescent="0.25">
      <c r="A86" s="8" t="s">
        <v>288</v>
      </c>
      <c r="B86" s="57">
        <v>0.83399999999999996</v>
      </c>
      <c r="C86" s="56" t="s">
        <v>9</v>
      </c>
      <c r="D86" s="6"/>
      <c r="E86" s="6"/>
      <c r="F86" s="6"/>
      <c r="G86" s="6"/>
      <c r="H86" s="6"/>
      <c r="I86" s="6"/>
      <c r="J86" s="6"/>
      <c r="K86" s="6"/>
      <c r="L86" s="6"/>
      <c r="M86" s="6"/>
      <c r="N86" s="6"/>
      <c r="O86" s="6"/>
      <c r="P86" s="6"/>
      <c r="Q86" s="6"/>
      <c r="R86" s="1"/>
    </row>
    <row r="87" spans="1:18" ht="18" x14ac:dyDescent="0.25">
      <c r="A87" s="8" t="s">
        <v>289</v>
      </c>
      <c r="B87" s="74">
        <f>V_D_HS</f>
        <v>0.83399999999999996</v>
      </c>
      <c r="C87" s="56" t="s">
        <v>9</v>
      </c>
      <c r="D87" s="6"/>
      <c r="E87" s="6"/>
      <c r="F87" s="6"/>
      <c r="G87" s="6"/>
      <c r="H87" s="6"/>
      <c r="I87" s="6"/>
      <c r="J87" s="6"/>
      <c r="K87" s="6"/>
      <c r="L87" s="6"/>
      <c r="M87" s="6"/>
      <c r="N87" s="6"/>
      <c r="O87" s="6"/>
      <c r="P87" s="6"/>
      <c r="Q87" s="6"/>
      <c r="R87" s="1"/>
    </row>
    <row r="88" spans="1:18" ht="18" x14ac:dyDescent="0.25">
      <c r="A88" s="8" t="s">
        <v>237</v>
      </c>
      <c r="B88" s="74">
        <f>iin_max</f>
        <v>2.6315789473684208</v>
      </c>
      <c r="C88" s="56" t="s">
        <v>10</v>
      </c>
      <c r="D88" s="6"/>
      <c r="E88" s="6"/>
      <c r="F88" s="6"/>
      <c r="G88" s="6"/>
      <c r="H88" s="6"/>
      <c r="I88" s="6"/>
      <c r="J88" s="6"/>
      <c r="K88" s="6"/>
      <c r="L88" s="6"/>
      <c r="M88" s="6"/>
      <c r="N88" s="6"/>
      <c r="O88" s="6"/>
      <c r="P88" s="6"/>
      <c r="Q88" s="6"/>
      <c r="R88" s="1"/>
    </row>
    <row r="89" spans="1:18" ht="18" x14ac:dyDescent="0.25">
      <c r="A89" s="8" t="s">
        <v>238</v>
      </c>
      <c r="B89" s="76">
        <f>iL_p2p_act_nom</f>
        <v>0.88652482269503552</v>
      </c>
      <c r="C89" s="11" t="s">
        <v>10</v>
      </c>
      <c r="D89" s="6"/>
      <c r="E89" s="6"/>
      <c r="F89" s="6"/>
      <c r="G89" s="6"/>
      <c r="H89" s="6"/>
      <c r="I89" s="6"/>
      <c r="J89" s="6"/>
      <c r="K89" s="6"/>
      <c r="L89" s="6"/>
      <c r="M89" s="6"/>
      <c r="N89" s="6"/>
      <c r="O89" s="6"/>
      <c r="P89" s="6"/>
      <c r="Q89" s="6"/>
      <c r="R89" s="1"/>
    </row>
    <row r="90" spans="1:18" x14ac:dyDescent="0.25">
      <c r="A90" s="8" t="s">
        <v>45</v>
      </c>
      <c r="B90" s="75">
        <f>f</f>
        <v>1.2</v>
      </c>
      <c r="C90" s="11" t="s">
        <v>12</v>
      </c>
      <c r="D90" s="6"/>
      <c r="E90" s="6"/>
      <c r="F90" s="6"/>
      <c r="G90" s="6"/>
      <c r="H90" s="6"/>
      <c r="I90" s="6"/>
      <c r="J90" s="6"/>
      <c r="K90" s="6"/>
      <c r="L90" s="6"/>
      <c r="M90" s="6"/>
      <c r="N90" s="6"/>
      <c r="O90" s="6"/>
      <c r="P90" s="6"/>
      <c r="Q90" s="6"/>
      <c r="R90" s="1"/>
    </row>
    <row r="91" spans="1:18" ht="18" x14ac:dyDescent="0.25">
      <c r="A91" s="9" t="s">
        <v>290</v>
      </c>
      <c r="B91" s="8">
        <f>V_D_HS*(iin_nom+iL_p2p_act_nom)*tau_HS_on_dead*f</f>
        <v>27.113872340425527</v>
      </c>
      <c r="C91" s="15" t="s">
        <v>30</v>
      </c>
      <c r="D91" s="6"/>
      <c r="E91" s="6"/>
      <c r="F91" s="6"/>
      <c r="G91" s="6"/>
      <c r="H91" s="6"/>
      <c r="I91" s="6"/>
      <c r="J91" s="6"/>
      <c r="K91" s="6"/>
      <c r="L91" s="6"/>
      <c r="M91" s="6"/>
      <c r="N91" s="6"/>
      <c r="O91" s="6"/>
      <c r="P91" s="6"/>
      <c r="Q91" s="6"/>
      <c r="R91" s="1"/>
    </row>
    <row r="92" spans="1:18" ht="18" x14ac:dyDescent="0.25">
      <c r="A92" s="9" t="s">
        <v>291</v>
      </c>
      <c r="B92" s="8">
        <f>P_loss_HS_dead*2</f>
        <v>54.227744680851053</v>
      </c>
      <c r="C92" s="15" t="s">
        <v>30</v>
      </c>
      <c r="D92" s="6"/>
      <c r="E92" s="6"/>
      <c r="F92" s="6"/>
      <c r="G92" s="6"/>
      <c r="H92" s="6"/>
      <c r="I92" s="6"/>
      <c r="J92" s="6"/>
      <c r="K92" s="6"/>
      <c r="L92" s="6"/>
      <c r="M92" s="6"/>
      <c r="N92" s="6"/>
      <c r="O92" s="6"/>
      <c r="P92" s="6"/>
      <c r="Q92" s="6"/>
      <c r="R92" s="1"/>
    </row>
    <row r="93" spans="1:18" x14ac:dyDescent="0.25">
      <c r="A93" s="6"/>
      <c r="B93" s="6"/>
      <c r="C93" s="54"/>
      <c r="D93" s="6"/>
      <c r="E93" s="6"/>
      <c r="F93" s="6"/>
      <c r="G93" s="6"/>
      <c r="H93" s="6"/>
      <c r="I93" s="6"/>
      <c r="J93" s="6"/>
      <c r="K93" s="6"/>
      <c r="L93" s="6"/>
      <c r="M93" s="6"/>
      <c r="N93" s="6"/>
      <c r="O93" s="6"/>
      <c r="P93" s="6"/>
      <c r="Q93" s="6"/>
      <c r="R93" s="1"/>
    </row>
    <row r="94" spans="1:18" ht="15.75" x14ac:dyDescent="0.25">
      <c r="A94" s="121" t="s">
        <v>285</v>
      </c>
      <c r="B94" s="121"/>
      <c r="C94" s="121"/>
      <c r="D94" s="5"/>
      <c r="E94" s="5"/>
      <c r="F94" s="5"/>
      <c r="G94" s="5"/>
      <c r="H94" s="5"/>
      <c r="I94" s="5"/>
      <c r="J94" s="5"/>
      <c r="K94" s="5"/>
      <c r="L94" s="5"/>
      <c r="M94" s="5"/>
      <c r="N94" s="5"/>
      <c r="O94" s="5"/>
      <c r="P94" s="5"/>
      <c r="Q94" s="5"/>
      <c r="R94" s="1"/>
    </row>
    <row r="95" spans="1:18" ht="18" x14ac:dyDescent="0.25">
      <c r="A95" s="8" t="s">
        <v>297</v>
      </c>
      <c r="B95" s="57">
        <v>0.9</v>
      </c>
      <c r="C95" s="81" t="s">
        <v>206</v>
      </c>
      <c r="D95" s="6"/>
      <c r="E95" s="6"/>
      <c r="F95" s="6"/>
      <c r="G95" s="6"/>
      <c r="H95" s="6"/>
      <c r="I95" s="6"/>
      <c r="J95" s="6"/>
      <c r="K95" s="6"/>
      <c r="L95" s="6"/>
      <c r="M95" s="6"/>
      <c r="N95" s="6"/>
      <c r="O95" s="6"/>
      <c r="P95" s="6"/>
      <c r="Q95" s="6"/>
      <c r="R95" s="1"/>
    </row>
    <row r="96" spans="1:18" ht="18" x14ac:dyDescent="0.25">
      <c r="A96" s="8" t="s">
        <v>36</v>
      </c>
      <c r="B96" s="75">
        <f>vout</f>
        <v>24</v>
      </c>
      <c r="C96" s="11" t="s">
        <v>9</v>
      </c>
      <c r="D96" s="6"/>
      <c r="E96" s="6"/>
      <c r="F96" s="6"/>
      <c r="G96" s="6"/>
      <c r="H96" s="6"/>
      <c r="I96" s="6"/>
      <c r="J96" s="6"/>
      <c r="K96" s="6"/>
      <c r="L96" s="6"/>
      <c r="M96" s="6"/>
      <c r="N96" s="6"/>
      <c r="O96" s="6"/>
      <c r="P96" s="6"/>
      <c r="Q96" s="6"/>
      <c r="R96" s="1"/>
    </row>
    <row r="97" spans="1:18" x14ac:dyDescent="0.25">
      <c r="A97" s="8" t="s">
        <v>45</v>
      </c>
      <c r="B97" s="75">
        <f>f</f>
        <v>1.2</v>
      </c>
      <c r="C97" s="11" t="s">
        <v>12</v>
      </c>
      <c r="D97" s="6"/>
      <c r="E97" s="6"/>
      <c r="F97" s="6"/>
      <c r="G97" s="6"/>
      <c r="H97" s="6"/>
      <c r="I97" s="6"/>
      <c r="J97" s="6"/>
      <c r="K97" s="6"/>
      <c r="L97" s="6"/>
      <c r="M97" s="6"/>
      <c r="N97" s="6"/>
      <c r="O97" s="6"/>
      <c r="P97" s="6"/>
      <c r="Q97" s="6"/>
      <c r="R97" s="1"/>
    </row>
    <row r="98" spans="1:18" ht="18" x14ac:dyDescent="0.25">
      <c r="A98" s="9" t="s">
        <v>299</v>
      </c>
      <c r="B98" s="8">
        <f>Qrr*vout*f</f>
        <v>25.92</v>
      </c>
      <c r="C98" s="15" t="s">
        <v>30</v>
      </c>
      <c r="D98" s="6"/>
      <c r="E98" s="6"/>
      <c r="F98" s="6"/>
      <c r="G98" s="6"/>
      <c r="H98" s="6"/>
      <c r="I98" s="6"/>
      <c r="J98" s="6"/>
      <c r="K98" s="6"/>
      <c r="L98" s="6"/>
      <c r="M98" s="6"/>
      <c r="N98" s="6"/>
      <c r="O98" s="6"/>
      <c r="P98" s="6"/>
      <c r="Q98" s="6"/>
      <c r="R98" s="1"/>
    </row>
    <row r="99" spans="1:18" x14ac:dyDescent="0.25">
      <c r="A99" s="6"/>
      <c r="B99" s="6"/>
      <c r="C99" s="54"/>
      <c r="D99" s="6"/>
      <c r="E99" s="6"/>
      <c r="F99" s="6"/>
      <c r="G99" s="6"/>
      <c r="H99" s="6"/>
      <c r="I99" s="6"/>
      <c r="J99" s="6"/>
      <c r="K99" s="6"/>
      <c r="L99" s="6"/>
      <c r="M99" s="6"/>
      <c r="N99" s="6"/>
      <c r="O99" s="6"/>
      <c r="P99" s="6"/>
      <c r="Q99" s="6"/>
      <c r="R99" s="1"/>
    </row>
    <row r="100" spans="1:18" ht="15.75" x14ac:dyDescent="0.25">
      <c r="A100" s="121" t="s">
        <v>275</v>
      </c>
      <c r="B100" s="121"/>
      <c r="C100" s="121"/>
      <c r="D100" s="5"/>
      <c r="E100" s="5"/>
      <c r="F100" s="5"/>
      <c r="G100" s="5"/>
      <c r="H100" s="5"/>
      <c r="I100" s="5"/>
      <c r="J100" s="5"/>
      <c r="K100" s="5"/>
      <c r="L100" s="5"/>
      <c r="M100" s="5"/>
      <c r="N100" s="5"/>
      <c r="O100" s="5"/>
      <c r="P100" s="5"/>
      <c r="Q100" s="5"/>
      <c r="R100" s="1"/>
    </row>
    <row r="101" spans="1:18" ht="18" x14ac:dyDescent="0.25">
      <c r="A101" s="8" t="s">
        <v>34</v>
      </c>
      <c r="B101" s="75">
        <f>vin_nom</f>
        <v>20</v>
      </c>
      <c r="C101" s="11" t="s">
        <v>9</v>
      </c>
      <c r="D101" s="6"/>
      <c r="E101" s="6"/>
      <c r="F101" s="6"/>
      <c r="G101" s="6"/>
      <c r="H101" s="6"/>
      <c r="I101" s="6"/>
      <c r="J101" s="6"/>
      <c r="K101" s="6"/>
      <c r="L101" s="6"/>
      <c r="M101" s="6"/>
      <c r="N101" s="6"/>
      <c r="O101" s="6"/>
      <c r="P101" s="6"/>
      <c r="Q101" s="6"/>
      <c r="R101" s="1"/>
    </row>
    <row r="102" spans="1:18" ht="18" x14ac:dyDescent="0.25">
      <c r="A102" s="8" t="s">
        <v>36</v>
      </c>
      <c r="B102" s="75">
        <f>vout</f>
        <v>24</v>
      </c>
      <c r="C102" s="11" t="s">
        <v>9</v>
      </c>
      <c r="D102" s="6"/>
      <c r="E102" s="6"/>
      <c r="F102" s="6"/>
      <c r="G102" s="6"/>
      <c r="H102" s="6"/>
      <c r="I102" s="6"/>
      <c r="J102" s="6"/>
      <c r="K102" s="6"/>
      <c r="L102" s="6"/>
      <c r="M102" s="6"/>
      <c r="N102" s="6"/>
      <c r="O102" s="6"/>
      <c r="P102" s="6"/>
      <c r="Q102" s="6"/>
      <c r="R102" s="1"/>
    </row>
    <row r="103" spans="1:18" ht="18" x14ac:dyDescent="0.25">
      <c r="A103" s="8" t="s">
        <v>303</v>
      </c>
      <c r="B103" s="57">
        <f>IF(vin_nom&lt;5.5,1.5,70)</f>
        <v>70</v>
      </c>
      <c r="C103" s="63" t="s">
        <v>302</v>
      </c>
      <c r="D103" s="6"/>
      <c r="E103" s="6"/>
      <c r="F103" s="6"/>
      <c r="G103" s="6"/>
      <c r="H103" s="6"/>
      <c r="I103" s="6"/>
      <c r="J103" s="6"/>
      <c r="K103" s="6"/>
      <c r="L103" s="6"/>
      <c r="M103" s="6"/>
      <c r="N103" s="6"/>
      <c r="O103" s="6"/>
      <c r="P103" s="6"/>
      <c r="Q103" s="6"/>
      <c r="R103" s="1"/>
    </row>
    <row r="104" spans="1:18" ht="18" x14ac:dyDescent="0.25">
      <c r="A104" s="8" t="s">
        <v>304</v>
      </c>
      <c r="B104" s="57">
        <f>IF(vin_nom&lt;5.5,70,2)</f>
        <v>2</v>
      </c>
      <c r="C104" s="63" t="s">
        <v>302</v>
      </c>
      <c r="D104" s="6"/>
      <c r="E104" s="6"/>
      <c r="F104" s="6"/>
      <c r="G104" s="6"/>
      <c r="H104" s="6"/>
      <c r="I104" s="6"/>
      <c r="J104" s="6"/>
      <c r="K104" s="6"/>
      <c r="L104" s="6"/>
      <c r="M104" s="6"/>
      <c r="N104" s="6"/>
      <c r="O104" s="6"/>
      <c r="P104" s="6"/>
      <c r="Q104" s="6"/>
      <c r="R104" s="1"/>
    </row>
    <row r="105" spans="1:18" ht="18" x14ac:dyDescent="0.25">
      <c r="A105" s="9" t="s">
        <v>305</v>
      </c>
      <c r="B105" s="8">
        <f>vin_nom*IQ_in/1000+vout*IQ_out/1000</f>
        <v>1.448</v>
      </c>
      <c r="C105" s="15" t="s">
        <v>30</v>
      </c>
      <c r="D105" s="6"/>
      <c r="E105" s="6"/>
      <c r="F105" s="6"/>
      <c r="G105" s="6"/>
      <c r="H105" s="6"/>
      <c r="I105" s="6"/>
      <c r="J105" s="6"/>
      <c r="K105" s="6"/>
      <c r="L105" s="6"/>
      <c r="M105" s="6"/>
      <c r="N105" s="6"/>
      <c r="O105" s="6"/>
      <c r="P105" s="6"/>
      <c r="Q105" s="6"/>
      <c r="R105" s="1"/>
    </row>
    <row r="106" spans="1:18" x14ac:dyDescent="0.25">
      <c r="A106" s="6"/>
      <c r="B106" s="6"/>
      <c r="C106" s="54"/>
      <c r="D106" s="6"/>
      <c r="E106" s="6"/>
      <c r="F106" s="6"/>
      <c r="G106" s="6"/>
      <c r="H106" s="6"/>
      <c r="I106" s="6"/>
      <c r="J106" s="6"/>
      <c r="K106" s="6"/>
      <c r="L106" s="6"/>
      <c r="M106" s="6"/>
      <c r="N106" s="6"/>
      <c r="O106" s="6"/>
      <c r="P106" s="6"/>
      <c r="Q106" s="6"/>
      <c r="R106" s="1"/>
    </row>
    <row r="107" spans="1:18" ht="15.75" x14ac:dyDescent="0.25">
      <c r="A107" s="121" t="s">
        <v>276</v>
      </c>
      <c r="B107" s="121"/>
      <c r="C107" s="121"/>
      <c r="D107" s="5"/>
      <c r="E107" s="5"/>
      <c r="F107" s="5"/>
      <c r="G107" s="5"/>
      <c r="H107" s="5"/>
      <c r="I107" s="5"/>
      <c r="J107" s="5"/>
      <c r="K107" s="5"/>
      <c r="L107" s="5"/>
      <c r="M107" s="5"/>
      <c r="N107" s="5"/>
      <c r="O107" s="5"/>
      <c r="P107" s="5"/>
      <c r="Q107" s="5"/>
      <c r="R107" s="1"/>
    </row>
    <row r="108" spans="1:18" ht="18" x14ac:dyDescent="0.25">
      <c r="A108" s="8" t="s">
        <v>152</v>
      </c>
      <c r="B108" s="79">
        <f>R_FT</f>
        <v>1500</v>
      </c>
      <c r="C108" s="11" t="s">
        <v>13</v>
      </c>
      <c r="D108" s="6"/>
      <c r="E108" s="6"/>
      <c r="F108" s="6"/>
      <c r="G108" s="6"/>
      <c r="H108" s="6"/>
      <c r="I108" s="6"/>
      <c r="J108" s="6"/>
      <c r="K108" s="6"/>
      <c r="L108" s="6"/>
      <c r="M108" s="6"/>
      <c r="N108" s="6"/>
      <c r="O108" s="6"/>
      <c r="P108" s="6"/>
      <c r="Q108" s="6"/>
      <c r="R108" s="1"/>
    </row>
    <row r="109" spans="1:18" ht="18" x14ac:dyDescent="0.25">
      <c r="A109" s="8" t="s">
        <v>153</v>
      </c>
      <c r="B109" s="79">
        <f>R_FB</f>
        <v>64.900000000000006</v>
      </c>
      <c r="C109" s="11" t="s">
        <v>13</v>
      </c>
      <c r="D109" s="6"/>
      <c r="E109" s="6"/>
      <c r="F109" s="6"/>
      <c r="G109" s="6"/>
      <c r="H109" s="6"/>
      <c r="I109" s="6"/>
      <c r="J109" s="6"/>
      <c r="K109" s="6"/>
      <c r="L109" s="6"/>
      <c r="M109" s="6"/>
      <c r="N109" s="6"/>
      <c r="O109" s="6"/>
      <c r="P109" s="6"/>
      <c r="Q109" s="6"/>
      <c r="R109" s="1"/>
    </row>
    <row r="110" spans="1:18" ht="18" x14ac:dyDescent="0.25">
      <c r="A110" s="8" t="s">
        <v>36</v>
      </c>
      <c r="B110" s="75">
        <f>vout</f>
        <v>24</v>
      </c>
      <c r="C110" s="11" t="s">
        <v>9</v>
      </c>
      <c r="D110" s="6"/>
      <c r="E110" s="6"/>
      <c r="F110" s="6"/>
      <c r="G110" s="6"/>
      <c r="H110" s="6"/>
      <c r="I110" s="6"/>
      <c r="J110" s="6"/>
      <c r="K110" s="6"/>
      <c r="L110" s="6"/>
      <c r="M110" s="6"/>
      <c r="N110" s="6"/>
      <c r="O110" s="6"/>
      <c r="P110" s="6"/>
      <c r="Q110" s="6"/>
      <c r="R110" s="1"/>
    </row>
    <row r="111" spans="1:18" ht="18" x14ac:dyDescent="0.25">
      <c r="A111" s="9" t="s">
        <v>306</v>
      </c>
      <c r="B111" s="8">
        <f>vout^2/(R_FB+R_FT)</f>
        <v>0.36807463735701962</v>
      </c>
      <c r="C111" s="15" t="s">
        <v>30</v>
      </c>
      <c r="D111" s="6"/>
      <c r="E111" s="6"/>
      <c r="F111" s="6"/>
      <c r="G111" s="6"/>
      <c r="H111" s="6"/>
      <c r="I111" s="6"/>
      <c r="J111" s="6"/>
      <c r="K111" s="6"/>
      <c r="L111" s="6"/>
      <c r="M111" s="6"/>
      <c r="N111" s="6"/>
      <c r="O111" s="6"/>
      <c r="P111" s="6"/>
      <c r="Q111" s="6"/>
      <c r="R111" s="1"/>
    </row>
    <row r="112" spans="1:18" x14ac:dyDescent="0.25">
      <c r="A112" s="1"/>
      <c r="B112" s="1"/>
      <c r="C112" s="68"/>
      <c r="D112" s="1"/>
      <c r="E112" s="1"/>
      <c r="F112" s="1"/>
      <c r="G112" s="1"/>
      <c r="H112" s="1"/>
      <c r="I112" s="1"/>
      <c r="J112" s="1"/>
      <c r="K112" s="1"/>
      <c r="L112" s="1"/>
      <c r="M112" s="1"/>
      <c r="N112" s="1"/>
      <c r="O112" s="1"/>
      <c r="P112" s="1"/>
      <c r="Q112" s="1"/>
      <c r="R112" s="1"/>
    </row>
  </sheetData>
  <mergeCells count="14">
    <mergeCell ref="A4:C4"/>
    <mergeCell ref="A1:C2"/>
    <mergeCell ref="A100:C100"/>
    <mergeCell ref="A107:C107"/>
    <mergeCell ref="A43:C43"/>
    <mergeCell ref="A55:C55"/>
    <mergeCell ref="A65:C65"/>
    <mergeCell ref="A83:C83"/>
    <mergeCell ref="A94:C94"/>
    <mergeCell ref="A33:C33"/>
    <mergeCell ref="A74:C74"/>
    <mergeCell ref="A25:C25"/>
    <mergeCell ref="A11:C11"/>
    <mergeCell ref="A10:C10"/>
  </mergeCells>
  <pageMargins left="0.7" right="0.7" top="0.75" bottom="0.75" header="0.3" footer="0.3"/>
  <pageSetup paperSize="9"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215D2-3B5F-41C7-BD63-613D47FB0516}">
  <dimension ref="A1:A113"/>
  <sheetViews>
    <sheetView workbookViewId="0">
      <selection activeCell="G22" sqref="G22"/>
    </sheetView>
  </sheetViews>
  <sheetFormatPr defaultRowHeight="15" x14ac:dyDescent="0.25"/>
  <cols>
    <col min="1" max="1" width="22.140625" customWidth="1"/>
  </cols>
  <sheetData>
    <row r="1" spans="1:1" ht="15.75" thickBot="1" x14ac:dyDescent="0.3">
      <c r="A1" s="52" t="s">
        <v>41</v>
      </c>
    </row>
    <row r="2" spans="1:1" x14ac:dyDescent="0.25">
      <c r="A2" s="70" t="s">
        <v>37</v>
      </c>
    </row>
    <row r="3" spans="1:1" x14ac:dyDescent="0.25">
      <c r="A3" s="71" t="s">
        <v>38</v>
      </c>
    </row>
    <row r="4" spans="1:1" x14ac:dyDescent="0.25">
      <c r="A4" s="71" t="s">
        <v>39</v>
      </c>
    </row>
    <row r="5" spans="1:1" x14ac:dyDescent="0.25">
      <c r="A5" s="71" t="s">
        <v>40</v>
      </c>
    </row>
    <row r="6" spans="1:1" x14ac:dyDescent="0.25">
      <c r="A6" s="71" t="s">
        <v>56</v>
      </c>
    </row>
    <row r="7" spans="1:1" x14ac:dyDescent="0.25">
      <c r="A7" s="71" t="s">
        <v>42</v>
      </c>
    </row>
    <row r="8" spans="1:1" x14ac:dyDescent="0.25">
      <c r="A8" s="71" t="s">
        <v>52</v>
      </c>
    </row>
    <row r="9" spans="1:1" x14ac:dyDescent="0.25">
      <c r="A9" s="71" t="s">
        <v>43</v>
      </c>
    </row>
    <row r="10" spans="1:1" x14ac:dyDescent="0.25">
      <c r="A10" s="71" t="s">
        <v>48</v>
      </c>
    </row>
    <row r="11" spans="1:1" x14ac:dyDescent="0.25">
      <c r="A11" s="71" t="s">
        <v>49</v>
      </c>
    </row>
    <row r="12" spans="1:1" x14ac:dyDescent="0.25">
      <c r="A12" s="71" t="s">
        <v>50</v>
      </c>
    </row>
    <row r="13" spans="1:1" x14ac:dyDescent="0.25">
      <c r="A13" s="71" t="s">
        <v>51</v>
      </c>
    </row>
    <row r="14" spans="1:1" x14ac:dyDescent="0.25">
      <c r="A14" s="71" t="s">
        <v>57</v>
      </c>
    </row>
    <row r="15" spans="1:1" x14ac:dyDescent="0.25">
      <c r="A15" s="71" t="s">
        <v>53</v>
      </c>
    </row>
    <row r="16" spans="1:1" x14ac:dyDescent="0.25">
      <c r="A16" s="71" t="s">
        <v>60</v>
      </c>
    </row>
    <row r="17" spans="1:1" x14ac:dyDescent="0.25">
      <c r="A17" s="71" t="s">
        <v>366</v>
      </c>
    </row>
    <row r="18" spans="1:1" x14ac:dyDescent="0.25">
      <c r="A18" s="71" t="s">
        <v>58</v>
      </c>
    </row>
    <row r="19" spans="1:1" x14ac:dyDescent="0.25">
      <c r="A19" s="71" t="s">
        <v>61</v>
      </c>
    </row>
    <row r="20" spans="1:1" x14ac:dyDescent="0.25">
      <c r="A20" s="71" t="s">
        <v>62</v>
      </c>
    </row>
    <row r="21" spans="1:1" x14ac:dyDescent="0.25">
      <c r="A21" s="71" t="s">
        <v>63</v>
      </c>
    </row>
    <row r="22" spans="1:1" x14ac:dyDescent="0.25">
      <c r="A22" s="71" t="s">
        <v>66</v>
      </c>
    </row>
    <row r="23" spans="1:1" x14ac:dyDescent="0.25">
      <c r="A23" s="71" t="s">
        <v>67</v>
      </c>
    </row>
    <row r="24" spans="1:1" x14ac:dyDescent="0.25">
      <c r="A24" s="71" t="s">
        <v>68</v>
      </c>
    </row>
    <row r="25" spans="1:1" x14ac:dyDescent="0.25">
      <c r="A25" s="71" t="s">
        <v>69</v>
      </c>
    </row>
    <row r="26" spans="1:1" x14ac:dyDescent="0.25">
      <c r="A26" s="71" t="s">
        <v>70</v>
      </c>
    </row>
    <row r="27" spans="1:1" x14ac:dyDescent="0.25">
      <c r="A27" s="71" t="s">
        <v>364</v>
      </c>
    </row>
    <row r="28" spans="1:1" x14ac:dyDescent="0.25">
      <c r="A28" s="71" t="s">
        <v>76</v>
      </c>
    </row>
    <row r="29" spans="1:1" x14ac:dyDescent="0.25">
      <c r="A29" s="71" t="s">
        <v>81</v>
      </c>
    </row>
    <row r="30" spans="1:1" x14ac:dyDescent="0.25">
      <c r="A30" s="71" t="s">
        <v>82</v>
      </c>
    </row>
    <row r="31" spans="1:1" x14ac:dyDescent="0.25">
      <c r="A31" s="71" t="s">
        <v>83</v>
      </c>
    </row>
    <row r="32" spans="1:1" x14ac:dyDescent="0.25">
      <c r="A32" s="71" t="s">
        <v>84</v>
      </c>
    </row>
    <row r="33" spans="1:1" x14ac:dyDescent="0.25">
      <c r="A33" s="71" t="s">
        <v>85</v>
      </c>
    </row>
    <row r="34" spans="1:1" x14ac:dyDescent="0.25">
      <c r="A34" s="71" t="s">
        <v>88</v>
      </c>
    </row>
    <row r="35" spans="1:1" x14ac:dyDescent="0.25">
      <c r="A35" s="71" t="s">
        <v>90</v>
      </c>
    </row>
    <row r="36" spans="1:1" x14ac:dyDescent="0.25">
      <c r="A36" s="71" t="s">
        <v>92</v>
      </c>
    </row>
    <row r="37" spans="1:1" x14ac:dyDescent="0.25">
      <c r="A37" s="71" t="s">
        <v>94</v>
      </c>
    </row>
    <row r="38" spans="1:1" x14ac:dyDescent="0.25">
      <c r="A38" s="71" t="s">
        <v>100</v>
      </c>
    </row>
    <row r="39" spans="1:1" x14ac:dyDescent="0.25">
      <c r="A39" s="71" t="s">
        <v>102</v>
      </c>
    </row>
    <row r="40" spans="1:1" x14ac:dyDescent="0.25">
      <c r="A40" s="71" t="s">
        <v>105</v>
      </c>
    </row>
    <row r="41" spans="1:1" x14ac:dyDescent="0.25">
      <c r="A41" s="71" t="s">
        <v>124</v>
      </c>
    </row>
    <row r="42" spans="1:1" x14ac:dyDescent="0.25">
      <c r="A42" s="71" t="s">
        <v>125</v>
      </c>
    </row>
    <row r="43" spans="1:1" x14ac:dyDescent="0.25">
      <c r="A43" s="71" t="s">
        <v>126</v>
      </c>
    </row>
    <row r="44" spans="1:1" x14ac:dyDescent="0.25">
      <c r="A44" s="71" t="s">
        <v>127</v>
      </c>
    </row>
    <row r="45" spans="1:1" x14ac:dyDescent="0.25">
      <c r="A45" s="71" t="s">
        <v>121</v>
      </c>
    </row>
    <row r="46" spans="1:1" x14ac:dyDescent="0.25">
      <c r="A46" s="71" t="s">
        <v>133</v>
      </c>
    </row>
    <row r="47" spans="1:1" x14ac:dyDescent="0.25">
      <c r="A47" s="71" t="s">
        <v>134</v>
      </c>
    </row>
    <row r="48" spans="1:1" x14ac:dyDescent="0.25">
      <c r="A48" s="71" t="s">
        <v>122</v>
      </c>
    </row>
    <row r="49" spans="1:1" x14ac:dyDescent="0.25">
      <c r="A49" s="71" t="s">
        <v>332</v>
      </c>
    </row>
    <row r="50" spans="1:1" x14ac:dyDescent="0.25">
      <c r="A50" s="71" t="s">
        <v>123</v>
      </c>
    </row>
    <row r="51" spans="1:1" x14ac:dyDescent="0.25">
      <c r="A51" s="71" t="s">
        <v>128</v>
      </c>
    </row>
    <row r="52" spans="1:1" x14ac:dyDescent="0.25">
      <c r="A52" s="71" t="s">
        <v>129</v>
      </c>
    </row>
    <row r="53" spans="1:1" x14ac:dyDescent="0.25">
      <c r="A53" s="71" t="s">
        <v>130</v>
      </c>
    </row>
    <row r="54" spans="1:1" x14ac:dyDescent="0.25">
      <c r="A54" s="71" t="s">
        <v>149</v>
      </c>
    </row>
    <row r="55" spans="1:1" x14ac:dyDescent="0.25">
      <c r="A55" s="71" t="s">
        <v>150</v>
      </c>
    </row>
    <row r="56" spans="1:1" x14ac:dyDescent="0.25">
      <c r="A56" s="71" t="s">
        <v>151</v>
      </c>
    </row>
    <row r="57" spans="1:1" x14ac:dyDescent="0.25">
      <c r="A57" s="71" t="s">
        <v>155</v>
      </c>
    </row>
    <row r="58" spans="1:1" x14ac:dyDescent="0.25">
      <c r="A58" s="71" t="s">
        <v>156</v>
      </c>
    </row>
    <row r="59" spans="1:1" x14ac:dyDescent="0.25">
      <c r="A59" s="71" t="s">
        <v>157</v>
      </c>
    </row>
    <row r="60" spans="1:1" x14ac:dyDescent="0.25">
      <c r="A60" s="71" t="s">
        <v>158</v>
      </c>
    </row>
    <row r="61" spans="1:1" x14ac:dyDescent="0.25">
      <c r="A61" s="71" t="s">
        <v>159</v>
      </c>
    </row>
    <row r="62" spans="1:1" x14ac:dyDescent="0.25">
      <c r="A62" s="71" t="s">
        <v>199</v>
      </c>
    </row>
    <row r="63" spans="1:1" ht="15.75" thickBot="1" x14ac:dyDescent="0.3">
      <c r="A63" s="72" t="s">
        <v>200</v>
      </c>
    </row>
    <row r="64" spans="1:1" x14ac:dyDescent="0.25">
      <c r="A64" s="71" t="s">
        <v>195</v>
      </c>
    </row>
    <row r="65" spans="1:1" x14ac:dyDescent="0.25">
      <c r="A65" s="71" t="s">
        <v>196</v>
      </c>
    </row>
    <row r="66" spans="1:1" ht="15.75" thickBot="1" x14ac:dyDescent="0.3">
      <c r="A66" s="72" t="s">
        <v>197</v>
      </c>
    </row>
    <row r="67" spans="1:1" x14ac:dyDescent="0.25">
      <c r="A67" s="71" t="s">
        <v>218</v>
      </c>
    </row>
    <row r="68" spans="1:1" x14ac:dyDescent="0.25">
      <c r="A68" s="71" t="s">
        <v>220</v>
      </c>
    </row>
    <row r="69" spans="1:1" x14ac:dyDescent="0.25">
      <c r="A69" s="71" t="s">
        <v>221</v>
      </c>
    </row>
    <row r="70" spans="1:1" x14ac:dyDescent="0.25">
      <c r="A70" s="71" t="s">
        <v>338</v>
      </c>
    </row>
    <row r="71" spans="1:1" x14ac:dyDescent="0.25">
      <c r="A71" s="71" t="s">
        <v>339</v>
      </c>
    </row>
    <row r="72" spans="1:1" x14ac:dyDescent="0.25">
      <c r="A72" s="71" t="s">
        <v>222</v>
      </c>
    </row>
    <row r="73" spans="1:1" x14ac:dyDescent="0.25">
      <c r="A73" s="71" t="s">
        <v>226</v>
      </c>
    </row>
    <row r="74" spans="1:1" x14ac:dyDescent="0.25">
      <c r="A74" s="71" t="s">
        <v>227</v>
      </c>
    </row>
    <row r="75" spans="1:1" x14ac:dyDescent="0.25">
      <c r="A75" s="71" t="s">
        <v>229</v>
      </c>
    </row>
    <row r="76" spans="1:1" x14ac:dyDescent="0.25">
      <c r="A76" s="71" t="s">
        <v>230</v>
      </c>
    </row>
    <row r="77" spans="1:1" x14ac:dyDescent="0.25">
      <c r="A77" s="71" t="s">
        <v>231</v>
      </c>
    </row>
    <row r="78" spans="1:1" x14ac:dyDescent="0.25">
      <c r="A78" s="71" t="s">
        <v>240</v>
      </c>
    </row>
    <row r="79" spans="1:1" x14ac:dyDescent="0.25">
      <c r="A79" s="71" t="s">
        <v>241</v>
      </c>
    </row>
    <row r="80" spans="1:1" x14ac:dyDescent="0.25">
      <c r="A80" s="71" t="s">
        <v>293</v>
      </c>
    </row>
    <row r="81" spans="1:1" x14ac:dyDescent="0.25">
      <c r="A81" s="71" t="s">
        <v>246</v>
      </c>
    </row>
    <row r="82" spans="1:1" x14ac:dyDescent="0.25">
      <c r="A82" s="71" t="s">
        <v>245</v>
      </c>
    </row>
    <row r="83" spans="1:1" x14ac:dyDescent="0.25">
      <c r="A83" s="71" t="s">
        <v>255</v>
      </c>
    </row>
    <row r="84" spans="1:1" x14ac:dyDescent="0.25">
      <c r="A84" s="71" t="s">
        <v>256</v>
      </c>
    </row>
    <row r="85" spans="1:1" x14ac:dyDescent="0.25">
      <c r="A85" s="71" t="s">
        <v>257</v>
      </c>
    </row>
    <row r="86" spans="1:1" x14ac:dyDescent="0.25">
      <c r="A86" s="71" t="s">
        <v>258</v>
      </c>
    </row>
    <row r="87" spans="1:1" x14ac:dyDescent="0.25">
      <c r="A87" s="71" t="s">
        <v>259</v>
      </c>
    </row>
    <row r="88" spans="1:1" x14ac:dyDescent="0.25">
      <c r="A88" s="71" t="s">
        <v>260</v>
      </c>
    </row>
    <row r="89" spans="1:1" x14ac:dyDescent="0.25">
      <c r="A89" s="71" t="s">
        <v>261</v>
      </c>
    </row>
    <row r="90" spans="1:1" x14ac:dyDescent="0.25">
      <c r="A90" s="71" t="s">
        <v>268</v>
      </c>
    </row>
    <row r="91" spans="1:1" x14ac:dyDescent="0.25">
      <c r="A91" s="71" t="s">
        <v>269</v>
      </c>
    </row>
    <row r="92" spans="1:1" x14ac:dyDescent="0.25">
      <c r="A92" s="71" t="s">
        <v>270</v>
      </c>
    </row>
    <row r="93" spans="1:1" x14ac:dyDescent="0.25">
      <c r="A93" s="71" t="s">
        <v>271</v>
      </c>
    </row>
    <row r="94" spans="1:1" x14ac:dyDescent="0.25">
      <c r="A94" s="71" t="s">
        <v>272</v>
      </c>
    </row>
    <row r="95" spans="1:1" x14ac:dyDescent="0.25">
      <c r="A95" s="71" t="s">
        <v>279</v>
      </c>
    </row>
    <row r="96" spans="1:1" x14ac:dyDescent="0.25">
      <c r="A96" s="71" t="s">
        <v>281</v>
      </c>
    </row>
    <row r="97" spans="1:1" x14ac:dyDescent="0.25">
      <c r="A97" s="71" t="s">
        <v>282</v>
      </c>
    </row>
    <row r="98" spans="1:1" x14ac:dyDescent="0.25">
      <c r="A98" s="71" t="s">
        <v>286</v>
      </c>
    </row>
    <row r="99" spans="1:1" x14ac:dyDescent="0.25">
      <c r="A99" s="71" t="s">
        <v>287</v>
      </c>
    </row>
    <row r="100" spans="1:1" x14ac:dyDescent="0.25">
      <c r="A100" s="71" t="s">
        <v>292</v>
      </c>
    </row>
    <row r="101" spans="1:1" x14ac:dyDescent="0.25">
      <c r="A101" s="71" t="s">
        <v>294</v>
      </c>
    </row>
    <row r="102" spans="1:1" x14ac:dyDescent="0.25">
      <c r="A102" s="71" t="s">
        <v>295</v>
      </c>
    </row>
    <row r="103" spans="1:1" x14ac:dyDescent="0.25">
      <c r="A103" s="71" t="s">
        <v>296</v>
      </c>
    </row>
    <row r="104" spans="1:1" x14ac:dyDescent="0.25">
      <c r="A104" s="71" t="s">
        <v>298</v>
      </c>
    </row>
    <row r="105" spans="1:1" x14ac:dyDescent="0.25">
      <c r="A105" s="71" t="s">
        <v>300</v>
      </c>
    </row>
    <row r="106" spans="1:1" x14ac:dyDescent="0.25">
      <c r="A106" s="71" t="s">
        <v>301</v>
      </c>
    </row>
    <row r="107" spans="1:1" x14ac:dyDescent="0.25">
      <c r="A107" s="71" t="s">
        <v>318</v>
      </c>
    </row>
    <row r="108" spans="1:1" ht="15.75" thickBot="1" x14ac:dyDescent="0.3">
      <c r="A108" s="72" t="s">
        <v>319</v>
      </c>
    </row>
    <row r="109" spans="1:1" x14ac:dyDescent="0.25">
      <c r="A109" s="70" t="s">
        <v>322</v>
      </c>
    </row>
    <row r="110" spans="1:1" x14ac:dyDescent="0.25">
      <c r="A110" s="71" t="s">
        <v>323</v>
      </c>
    </row>
    <row r="111" spans="1:1" x14ac:dyDescent="0.25">
      <c r="A111" s="71" t="s">
        <v>328</v>
      </c>
    </row>
    <row r="112" spans="1:1" x14ac:dyDescent="0.25">
      <c r="A112" s="71" t="s">
        <v>329</v>
      </c>
    </row>
    <row r="113" spans="1:1" ht="15.75" thickBot="1" x14ac:dyDescent="0.3">
      <c r="A113" s="72" t="s">
        <v>330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129</vt:i4>
      </vt:variant>
    </vt:vector>
  </HeadingPairs>
  <TitlesOfParts>
    <vt:vector size="133" baseType="lpstr">
      <vt:lpstr>User's_Page</vt:lpstr>
      <vt:lpstr>Loop_Response</vt:lpstr>
      <vt:lpstr>Efficiency</vt:lpstr>
      <vt:lpstr>Variable_List</vt:lpstr>
      <vt:lpstr>A_EA</vt:lpstr>
      <vt:lpstr>A_PS</vt:lpstr>
      <vt:lpstr>C_c</vt:lpstr>
      <vt:lpstr>C_ff</vt:lpstr>
      <vt:lpstr>C_HS_oss</vt:lpstr>
      <vt:lpstr>C_LS_oss</vt:lpstr>
      <vt:lpstr>C_p</vt:lpstr>
      <vt:lpstr>Cin_act</vt:lpstr>
      <vt:lpstr>Cin_cal_min</vt:lpstr>
      <vt:lpstr>Cout</vt:lpstr>
      <vt:lpstr>Cout_cal_min</vt:lpstr>
      <vt:lpstr>Cout_elec</vt:lpstr>
      <vt:lpstr>Cout_MLCC</vt:lpstr>
      <vt:lpstr>D</vt:lpstr>
      <vt:lpstr>D_1</vt:lpstr>
      <vt:lpstr>D_2</vt:lpstr>
      <vt:lpstr>delta_iout</vt:lpstr>
      <vt:lpstr>duty_max</vt:lpstr>
      <vt:lpstr>duty_min</vt:lpstr>
      <vt:lpstr>duty_nom</vt:lpstr>
      <vt:lpstr>efficiency</vt:lpstr>
      <vt:lpstr>efficiency_cal</vt:lpstr>
      <vt:lpstr>f</vt:lpstr>
      <vt:lpstr>fc</vt:lpstr>
      <vt:lpstr>G_EA</vt:lpstr>
      <vt:lpstr>GM</vt:lpstr>
      <vt:lpstr>icin_rms</vt:lpstr>
      <vt:lpstr>icout_rms</vt:lpstr>
      <vt:lpstr>iin_max</vt:lpstr>
      <vt:lpstr>iin_nom</vt:lpstr>
      <vt:lpstr>iin_v2</vt:lpstr>
      <vt:lpstr>iin_vin_max</vt:lpstr>
      <vt:lpstr>iL_act_max</vt:lpstr>
      <vt:lpstr>iL_p2p_1</vt:lpstr>
      <vt:lpstr>iL_p2p_2</vt:lpstr>
      <vt:lpstr>iL_p2p_act_max</vt:lpstr>
      <vt:lpstr>iL_p2p_act_min</vt:lpstr>
      <vt:lpstr>iL_p2p_act_nom</vt:lpstr>
      <vt:lpstr>iL_p2p_cal_max</vt:lpstr>
      <vt:lpstr>iL_p2p_max_act</vt:lpstr>
      <vt:lpstr>iL_p2p_ratio_max</vt:lpstr>
      <vt:lpstr>IL_Peak_to_Peak</vt:lpstr>
      <vt:lpstr>iL_rms_act_max</vt:lpstr>
      <vt:lpstr>iL_rms_act_nom</vt:lpstr>
      <vt:lpstr>ilimit_nom</vt:lpstr>
      <vt:lpstr>iout_actual_max</vt:lpstr>
      <vt:lpstr>iout_cal_max</vt:lpstr>
      <vt:lpstr>IQ_in</vt:lpstr>
      <vt:lpstr>IQ_out</vt:lpstr>
      <vt:lpstr>K_R</vt:lpstr>
      <vt:lpstr>L</vt:lpstr>
      <vt:lpstr>L_cal_min</vt:lpstr>
      <vt:lpstr>p_comp</vt:lpstr>
      <vt:lpstr>p_EA</vt:lpstr>
      <vt:lpstr>p_esr</vt:lpstr>
      <vt:lpstr>p_ff</vt:lpstr>
      <vt:lpstr>p_large</vt:lpstr>
      <vt:lpstr>P_loss_act_inductor_AC</vt:lpstr>
      <vt:lpstr>P_loss_act_inductor_DC</vt:lpstr>
      <vt:lpstr>P_loss_diode_rr</vt:lpstr>
      <vt:lpstr>P_loss_fb_res</vt:lpstr>
      <vt:lpstr>P_loss_FET_dead</vt:lpstr>
      <vt:lpstr>P_loss_FET_driving</vt:lpstr>
      <vt:lpstr>P_loss_FET_out</vt:lpstr>
      <vt:lpstr>P_loss_FET_Rdson</vt:lpstr>
      <vt:lpstr>P_loss_HS_dead</vt:lpstr>
      <vt:lpstr>P_loss_HS_driving</vt:lpstr>
      <vt:lpstr>P_loss_HS_out</vt:lpstr>
      <vt:lpstr>P_loss_HS_Rdson</vt:lpstr>
      <vt:lpstr>P_loss_IC_total</vt:lpstr>
      <vt:lpstr>P_loss_inductor_AC</vt:lpstr>
      <vt:lpstr>P_loss_inductor_DC</vt:lpstr>
      <vt:lpstr>P_loss_inductor_total</vt:lpstr>
      <vt:lpstr>P_loss_LS_driving</vt:lpstr>
      <vt:lpstr>P_loss_LS_off</vt:lpstr>
      <vt:lpstr>P_loss_LS_on</vt:lpstr>
      <vt:lpstr>P_loss_LS_out</vt:lpstr>
      <vt:lpstr>P_loss_LS_Rdson</vt:lpstr>
      <vt:lpstr>P_loss_LS_switching</vt:lpstr>
      <vt:lpstr>P_loss_quiescent</vt:lpstr>
      <vt:lpstr>P_loss_total</vt:lpstr>
      <vt:lpstr>P_loss_VCC</vt:lpstr>
      <vt:lpstr>p_small</vt:lpstr>
      <vt:lpstr>PM</vt:lpstr>
      <vt:lpstr>Q_HS_gate</vt:lpstr>
      <vt:lpstr>Q_LS_gate</vt:lpstr>
      <vt:lpstr>Qrr</vt:lpstr>
      <vt:lpstr>R_c</vt:lpstr>
      <vt:lpstr>R_EA</vt:lpstr>
      <vt:lpstr>R_FB</vt:lpstr>
      <vt:lpstr>R_FT</vt:lpstr>
      <vt:lpstr>R_HS_dson</vt:lpstr>
      <vt:lpstr>R_L_DCR</vt:lpstr>
      <vt:lpstr>R_LS_dson</vt:lpstr>
      <vt:lpstr>R_theta_JA</vt:lpstr>
      <vt:lpstr>Resr_elec</vt:lpstr>
      <vt:lpstr>Resr_MLCC</vt:lpstr>
      <vt:lpstr>rilim</vt:lpstr>
      <vt:lpstr>RL_dc</vt:lpstr>
      <vt:lpstr>Rout</vt:lpstr>
      <vt:lpstr>Rsense</vt:lpstr>
      <vt:lpstr>Switching_Frequency</vt:lpstr>
      <vt:lpstr>tau_HS_on_dead</vt:lpstr>
      <vt:lpstr>tau_LS_on_dead</vt:lpstr>
      <vt:lpstr>tau_off</vt:lpstr>
      <vt:lpstr>tau_on</vt:lpstr>
      <vt:lpstr>temp_rise</vt:lpstr>
      <vt:lpstr>v_1</vt:lpstr>
      <vt:lpstr>v_2</vt:lpstr>
      <vt:lpstr>V_CC</vt:lpstr>
      <vt:lpstr>V_D_HS</vt:lpstr>
      <vt:lpstr>V_D_LS</vt:lpstr>
      <vt:lpstr>V_DD</vt:lpstr>
      <vt:lpstr>V_HS_gate</vt:lpstr>
      <vt:lpstr>V_LS_gate</vt:lpstr>
      <vt:lpstr>vin_max</vt:lpstr>
      <vt:lpstr>vin_min</vt:lpstr>
      <vt:lpstr>vin_nom</vt:lpstr>
      <vt:lpstr>vin_p2p_max</vt:lpstr>
      <vt:lpstr>Vin_Ripple</vt:lpstr>
      <vt:lpstr>vout</vt:lpstr>
      <vt:lpstr>vout_p2p_max</vt:lpstr>
      <vt:lpstr>vout_under_shoot</vt:lpstr>
      <vt:lpstr>vref</vt:lpstr>
      <vt:lpstr>z_comp</vt:lpstr>
      <vt:lpstr>z_esr_1</vt:lpstr>
      <vt:lpstr>z_esr_2</vt:lpstr>
      <vt:lpstr>z_ff</vt:lpstr>
      <vt:lpstr>z_RHP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Zhong, Lei</dc:creator>
  <cp:lastModifiedBy>chun lam</cp:lastModifiedBy>
  <dcterms:created xsi:type="dcterms:W3CDTF">2015-06-05T18:17:20Z</dcterms:created>
  <dcterms:modified xsi:type="dcterms:W3CDTF">2025-06-06T10:33:19Z</dcterms:modified>
</cp:coreProperties>
</file>