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45" documentId="8_{8E0B1184-1D76-4DC7-BD65-5680A137BC50}" xr6:coauthVersionLast="47" xr6:coauthVersionMax="47" xr10:uidLastSave="{57C7D5C1-AE94-4FAF-909A-9536202F6277}"/>
  <bookViews>
    <workbookView xWindow="-108" yWindow="-108" windowWidth="23256" windowHeight="12456" xr2:uid="{00000000-000D-0000-FFFF-FFFF00000000}"/>
  </bookViews>
  <sheets>
    <sheet name="Dual Output" sheetId="17" r:id="rId1"/>
    <sheet name="Single Output" sheetId="16" r:id="rId2"/>
  </sheets>
  <externalReferences>
    <externalReference r:id="rId3"/>
  </externalReferences>
  <definedNames>
    <definedName name="_∆V_MIN">'[1]Main Calculation'!$D$33</definedName>
    <definedName name="_∆VO_ABM">'[1]Main Calculation'!$D$27</definedName>
    <definedName name="BUR" localSheetId="0">'Dual Output'!#REF!</definedName>
    <definedName name="BUR" localSheetId="1">'Single Output'!#REF!</definedName>
    <definedName name="BUR">#REF!</definedName>
    <definedName name="Cboot">'[1]Main Calculation'!$D$148</definedName>
    <definedName name="CBootD_T" localSheetId="0">'Dual Output'!#REF!</definedName>
    <definedName name="CBootD_T" localSheetId="1">'Single Output'!#REF!</definedName>
    <definedName name="CBootD_T">#REF!</definedName>
    <definedName name="CBULK" localSheetId="0">'Dual Output'!#REF!</definedName>
    <definedName name="CBULK" localSheetId="1">'Single Output'!#REF!</definedName>
    <definedName name="CBULK">#REF!</definedName>
    <definedName name="CBULK_act" localSheetId="0">'Dual Output'!#REF!</definedName>
    <definedName name="CBULK_act" localSheetId="1">'Single Output'!#REF!</definedName>
    <definedName name="CBULK_act">#REF!</definedName>
    <definedName name="CBULK_rec" localSheetId="0">'Dual Output'!#REF!</definedName>
    <definedName name="CBULK_rec" localSheetId="1">'Single Output'!#REF!</definedName>
    <definedName name="CBULK_rec">#REF!</definedName>
    <definedName name="CBUR">'[1]Main Calculation'!$D$124</definedName>
    <definedName name="CBUR_act">'[1]Main Calculation'!$D$123</definedName>
    <definedName name="CBUR_rec">'[1]Main Calculation'!$D$122</definedName>
    <definedName name="Cclamp">'[1]Main Calculation'!$D$70</definedName>
    <definedName name="Cclamp_act">'[1]Main Calculation'!$D$69</definedName>
    <definedName name="Cclamp_rec">'[1]Main Calculation'!$D$68</definedName>
    <definedName name="CCS">'[1]Main Calculation'!$D$97</definedName>
    <definedName name="CCS_act">'[1]Main Calculation'!$D$96</definedName>
    <definedName name="CCS_rec">'[1]Main Calculation'!$D$95</definedName>
    <definedName name="CDaux_H" localSheetId="0">'Dual Output'!#REF!</definedName>
    <definedName name="CDaux_H" localSheetId="1">'Single Output'!#REF!</definedName>
    <definedName name="CDaux_H">#REF!</definedName>
    <definedName name="CDaux_T" localSheetId="0">'Dual Output'!#REF!</definedName>
    <definedName name="CDaux_T" localSheetId="1">'Single Output'!#REF!</definedName>
    <definedName name="CDaux_T">#REF!</definedName>
    <definedName name="CDD_1">'[1]Main Calculation'!$D$164</definedName>
    <definedName name="CDD1_act">'[1]Main Calculation'!$D$163</definedName>
    <definedName name="CDD1_rec">'[1]Main Calculation'!$D$162</definedName>
    <definedName name="CDD2_">'[1]Main Calculation'!$D$150</definedName>
    <definedName name="Cdiff">'[1]Main Calculation'!$D$195</definedName>
    <definedName name="Cdiff_act">'[1]Main Calculation'!$D$194</definedName>
    <definedName name="Cdiff_rec">'[1]Main Calculation'!$D$193</definedName>
    <definedName name="CDz" localSheetId="0">'Dual Output'!#REF!</definedName>
    <definedName name="CDz" localSheetId="1">'Single Output'!#REF!</definedName>
    <definedName name="CDz">#REF!</definedName>
    <definedName name="CFB">'[1]Main Calculation'!$D$170</definedName>
    <definedName name="CHVG">'[1]Main Calculation'!$D$140</definedName>
    <definedName name="CHVG_act">'[1]Main Calculation'!$D$139</definedName>
    <definedName name="CHVG_rec">'[1]Main Calculation'!$D$138</definedName>
    <definedName name="Cint">'[1]Main Calculation'!$D$202</definedName>
    <definedName name="Cint_act">'[1]Main Calculation'!$D$201</definedName>
    <definedName name="Cint_rec">'[1]Main Calculation'!$D$200</definedName>
    <definedName name="Ciss_Qs" localSheetId="0">'Dual Output'!#REF!</definedName>
    <definedName name="Ciss_Qs" localSheetId="1">'Single Output'!#REF!</definedName>
    <definedName name="Ciss_Qs">#REF!</definedName>
    <definedName name="Co_1">'[1]Secondary Resonance'!$E$25:$G$25</definedName>
    <definedName name="Co1_dec">'[1]Secondary Resonance'!$E$23</definedName>
    <definedName name="COM_VEE" localSheetId="0">'Dual Output'!$C$14</definedName>
    <definedName name="COM_VEE" localSheetId="1">'Single Output'!#REF!</definedName>
    <definedName name="COM_VEE">#REF!</definedName>
    <definedName name="COSS_QH_bg" localSheetId="0">'Dual Output'!#REF!</definedName>
    <definedName name="COSS_QH_bg" localSheetId="1">'Single Output'!#REF!</definedName>
    <definedName name="COSS_QH_bg">#REF!</definedName>
    <definedName name="COSS_QH_sm" localSheetId="0">'Dual Output'!#REF!</definedName>
    <definedName name="COSS_QH_sm" localSheetId="1">'Single Output'!#REF!</definedName>
    <definedName name="COSS_QH_sm">#REF!</definedName>
    <definedName name="Coss_QH_T" localSheetId="0">'Dual Output'!#REF!</definedName>
    <definedName name="Coss_QH_T" localSheetId="1">'Single Output'!#REF!</definedName>
    <definedName name="Coss_QH_T">#REF!</definedName>
    <definedName name="COSS_QL_bg" localSheetId="0">'Dual Output'!#REF!</definedName>
    <definedName name="COSS_QL_bg" localSheetId="1">'Single Output'!#REF!</definedName>
    <definedName name="COSS_QL_bg">#REF!</definedName>
    <definedName name="COSS_QL_sm" localSheetId="0">'Dual Output'!#REF!</definedName>
    <definedName name="COSS_QL_sm" localSheetId="1">'Single Output'!#REF!</definedName>
    <definedName name="COSS_QL_sm">#REF!</definedName>
    <definedName name="COSS_Qs" localSheetId="0">'Dual Output'!#REF!</definedName>
    <definedName name="COSS_Qs" localSheetId="1">'Single Output'!#REF!</definedName>
    <definedName name="COSS_Qs">#REF!</definedName>
    <definedName name="Coss_SR_bg" localSheetId="0">'Dual Output'!#REF!</definedName>
    <definedName name="Coss_SR_bg" localSheetId="1">'Single Output'!#REF!</definedName>
    <definedName name="Coss_SR_bg">#REF!</definedName>
    <definedName name="COSS_SR_H" localSheetId="0">'Dual Output'!#REF!</definedName>
    <definedName name="COSS_SR_H" localSheetId="1">'Single Output'!#REF!</definedName>
    <definedName name="COSS_SR_H">#REF!</definedName>
    <definedName name="Coss_SR_sm" localSheetId="0">'Dual Output'!#REF!</definedName>
    <definedName name="Coss_SR_sm" localSheetId="1">'Single Output'!#REF!</definedName>
    <definedName name="Coss_SR_sm">#REF!</definedName>
    <definedName name="Coss_SR_T" localSheetId="0">'Dual Output'!#REF!</definedName>
    <definedName name="Coss_SR_T" localSheetId="1">'Single Output'!#REF!</definedName>
    <definedName name="Coss_SR_T">#REF!</definedName>
    <definedName name="COUT" localSheetId="0">'Dual Output'!#REF!</definedName>
    <definedName name="COUT" localSheetId="1">'Single Output'!#REF!</definedName>
    <definedName name="COUT">#REF!</definedName>
    <definedName name="COUT_act" localSheetId="0">'Dual Output'!#REF!</definedName>
    <definedName name="COUT_act" localSheetId="1">'Single Output'!#REF!</definedName>
    <definedName name="COUT_act">#REF!</definedName>
    <definedName name="COUT_rec" localSheetId="0">'Dual Output'!#REF!</definedName>
    <definedName name="COUT_rec" localSheetId="1">'Single Output'!#REF!</definedName>
    <definedName name="COUT_rec">#REF!</definedName>
    <definedName name="COUT2" localSheetId="0">'Dual Output'!$C$51</definedName>
    <definedName name="COUT2">#REF!</definedName>
    <definedName name="COUT2_MIN" localSheetId="0">'Dual Output'!$C$50</definedName>
    <definedName name="COUT2_MIN">#REF!</definedName>
    <definedName name="COUT3" localSheetId="0">'Dual Output'!$C$53</definedName>
    <definedName name="COUT3">#REF!</definedName>
    <definedName name="COUT3_MIN">'Dual Output'!$C$52</definedName>
    <definedName name="CREF">'[1]Main Calculation'!$D$143</definedName>
    <definedName name="CREF_act">'[1]Main Calculation'!$D$142</definedName>
    <definedName name="CREF_rec">'[1]Main Calculation'!$D$141</definedName>
    <definedName name="CSW_T_nor">'[1]Main Calculation'!$D$64</definedName>
    <definedName name="CSWS">'[1]Main Calculation'!$D$129</definedName>
    <definedName name="CSWS_act">'[1]Main Calculation'!$D$128</definedName>
    <definedName name="CSWS_rec">'[1]Main Calculation'!$D$127</definedName>
    <definedName name="CTr">'[1]Main Calculation'!$D$54</definedName>
    <definedName name="CTRmax" localSheetId="0">'Dual Output'!#REF!</definedName>
    <definedName name="CTRmax" localSheetId="1">'Single Output'!#REF!</definedName>
    <definedName name="CTRmax">#REF!</definedName>
    <definedName name="CTRmin" localSheetId="0">'Dual Output'!#REF!</definedName>
    <definedName name="CTRmin" localSheetId="1">'Single Output'!#REF!</definedName>
    <definedName name="CTRmin">#REF!</definedName>
    <definedName name="D_max">'[1]Main Calculation'!$D$48</definedName>
    <definedName name="DBUR">'[1]Hide Calculate'!$D$39</definedName>
    <definedName name="DBUR_min">'[1]Hide Calculate'!$D$51</definedName>
    <definedName name="dCOUT2" localSheetId="0">'Dual Output'!#REF!</definedName>
    <definedName name="dCOUT2">#REF!</definedName>
    <definedName name="dCOUT2_NEG" localSheetId="0">'Dual Output'!$C$27</definedName>
    <definedName name="dCOUT2_NEG">#REF!</definedName>
    <definedName name="dCOUT2_POS" localSheetId="0">'Dual Output'!$C$26</definedName>
    <definedName name="dCOUT2_POS">#REF!</definedName>
    <definedName name="dCOUT3" localSheetId="0">'Dual Output'!#REF!</definedName>
    <definedName name="dCOUT3">#REF!</definedName>
    <definedName name="dCOUT3_NEG" localSheetId="0">'Dual Output'!$C$29</definedName>
    <definedName name="dCOUT3_NEG">#REF!</definedName>
    <definedName name="dCOUT3_POS" localSheetId="0">'Dual Output'!$C$28</definedName>
    <definedName name="dCOUT3_POS">#REF!</definedName>
    <definedName name="Differential_voltage_between_VDD_and_VEE__VDD___VEE">"VDD-VEE"</definedName>
    <definedName name="Dmin">'[1]Hide Calculate'!$D$67</definedName>
    <definedName name="DOPP_max">'[1]Hide Calculate'!$D$28</definedName>
    <definedName name="DOPP_min">'[1]Hide Calculate'!$D$19</definedName>
    <definedName name="DOPP_run">'[1]Hide Calculate'!$D$12</definedName>
    <definedName name="DOPP_start">'[1]Hide Calculate'!$D$59</definedName>
    <definedName name="Drea_CDD1">'[1]Main Calculation'!$D$161</definedName>
    <definedName name="Drea_clamp">'[1]Main Calculation'!$D$67</definedName>
    <definedName name="fBUR_LR">'[1]Main Calculation'!$D$28</definedName>
    <definedName name="fBUR_standyby" localSheetId="0">'Dual Output'!#REF!</definedName>
    <definedName name="fBUR_standyby" localSheetId="1">'Single Output'!#REF!</definedName>
    <definedName name="fBUR_standyby">#REF!</definedName>
    <definedName name="fBUR_UP">'[1]Main Calculation'!$D$29</definedName>
    <definedName name="Fcr_min" localSheetId="0">'Dual Output'!#REF!</definedName>
    <definedName name="Fcr_min" localSheetId="1">'Single Output'!#REF!</definedName>
    <definedName name="Fcr_min">#REF!</definedName>
    <definedName name="fLINE_min" localSheetId="0">'Dual Output'!#REF!</definedName>
    <definedName name="fLINE_min" localSheetId="1">'Single Output'!#REF!</definedName>
    <definedName name="fLINE_min">#REF!</definedName>
    <definedName name="fp_opto" localSheetId="0">'Dual Output'!#REF!</definedName>
    <definedName name="fp_opto" localSheetId="1">'Single Output'!#REF!</definedName>
    <definedName name="fp_opto">#REF!</definedName>
    <definedName name="fsw" localSheetId="0">'Dual Output'!$C$16</definedName>
    <definedName name="fsw" localSheetId="1">'Single Output'!$C$15</definedName>
    <definedName name="fsw">#REF!</definedName>
    <definedName name="fsw_BUR">'[1]Hide Calculate'!$D$38</definedName>
    <definedName name="fsw_BUR_min">'[1]Hide Calculate'!$D$50</definedName>
    <definedName name="fsw_min">'[1]Hide Calculate'!$D$65</definedName>
    <definedName name="fsw_OPP_max">'[1]Hide Calculate'!$D$27</definedName>
    <definedName name="fsw_OPP_min">'[1]Hide Calculate'!$D$17</definedName>
    <definedName name="fsw_OPP_run">'[1]Hide Calculate'!$D$9</definedName>
    <definedName name="fsw_OPP_start">'[1]Hide Calculate'!$D$57</definedName>
    <definedName name="fSWmin" localSheetId="0">'Dual Output'!#REF!</definedName>
    <definedName name="fSWmin" localSheetId="1">'Single Output'!#REF!</definedName>
    <definedName name="fSWmin">#REF!</definedName>
    <definedName name="I_COM_VEE">'Dual Output'!$C$22</definedName>
    <definedName name="I_MAX_POWER">'Dual Output'!$C$40</definedName>
    <definedName name="I_STEP">'Single Output'!$C$19</definedName>
    <definedName name="I_TOTAL_VDDS">'Single Output'!$C$18</definedName>
    <definedName name="I_VDD_COM">'Dual Output'!$C$21</definedName>
    <definedName name="ID_SR_max" localSheetId="0">'Dual Output'!#REF!</definedName>
    <definedName name="ID_SR_max" localSheetId="1">'Single Output'!#REF!</definedName>
    <definedName name="ID_SR_max">#REF!</definedName>
    <definedName name="IDaux_max" localSheetId="0">'Dual Output'!#REF!</definedName>
    <definedName name="IDaux_max" localSheetId="1">'Single Output'!#REF!</definedName>
    <definedName name="IDaux_max">#REF!</definedName>
    <definedName name="IEN_VDD">'[1]Main Calculation'!$D$23</definedName>
    <definedName name="IFB_max">'[1]Main Calculation'!$D$26</definedName>
    <definedName name="IIN_BUR">'[1]Hide Calculate'!$D$40</definedName>
    <definedName name="IIN_BUR_min">'[1]Hide Calculate'!$D$52</definedName>
    <definedName name="IIN_min">'[1]Hide Calculate'!$D$66</definedName>
    <definedName name="IIN_OPP_max">'[1]Hide Calculate'!$D$29</definedName>
    <definedName name="IIN_OPP_min">'[1]Hide Calculate'!$D$18</definedName>
    <definedName name="IIN_OPP_run">'[1]Hide Calculate'!$D$10</definedName>
    <definedName name="IIN_OPP_start">'[1]Hide Calculate'!$D$58</definedName>
    <definedName name="IKA_min" localSheetId="0">'Dual Output'!#REF!</definedName>
    <definedName name="IKA_min" localSheetId="1">'Single Output'!#REF!</definedName>
    <definedName name="IKA_min">#REF!</definedName>
    <definedName name="ILIM_DN" localSheetId="0">'Dual Output'!$G$33</definedName>
    <definedName name="ILIM_DN">#REF!</definedName>
    <definedName name="ILIM_MAX" localSheetId="0">'Dual Output'!$C$32</definedName>
    <definedName name="ILIM_MAX">#REF!</definedName>
    <definedName name="ILIM_UP" localSheetId="0">'Dual Output'!$G$32</definedName>
    <definedName name="ILIM_UP">#REF!</definedName>
    <definedName name="ILIM_UP_TOT" localSheetId="0">'Dual Output'!$G$32</definedName>
    <definedName name="ILIM_UP_TOT">#REF!</definedName>
    <definedName name="IM_nega_BUR">'[1]Hide Calculate'!$D$37</definedName>
    <definedName name="IM_nega_BUR_min">'[1]Hide Calculate'!$D$49</definedName>
    <definedName name="IM_nega_max">'[1]Hide Calculate'!$D$26</definedName>
    <definedName name="IM_nega_min">'[1]Hide Calculate'!$D$64</definedName>
    <definedName name="IM_nega_OPP_min">'[1]Hide Calculate'!$D$16</definedName>
    <definedName name="IM_nega_run">'[1]Hide Calculate'!$D$11</definedName>
    <definedName name="IM_nega_start">'[1]Hide Calculate'!$D$56</definedName>
    <definedName name="IOUT" localSheetId="0">'Dual Output'!#REF!</definedName>
    <definedName name="IOUT" localSheetId="1">'Single Output'!#REF!</definedName>
    <definedName name="IOUT">#REF!</definedName>
    <definedName name="ipk_BUR">'[1]Hide Calculate'!$D$36</definedName>
    <definedName name="ipk_BUR_min">'[1]Hide Calculate'!$D$48</definedName>
    <definedName name="ipk_min">'[1]Hide Calculate'!$D$63</definedName>
    <definedName name="ipk_OPP_max">'[1]Hide Calculate'!$D$25</definedName>
    <definedName name="ipk_OPP_min">'[1]Hide Calculate'!$D$15</definedName>
    <definedName name="IQ">'Single Output'!$C$17</definedName>
    <definedName name="IQ_DRIVER">'Single Output'!#REF!</definedName>
    <definedName name="IQ_DRIVER_VDD" localSheetId="0">'Dual Output'!$C$17</definedName>
    <definedName name="IQ_DRIVER_VDD" localSheetId="1">'Single Output'!#REF!</definedName>
    <definedName name="IQ_DRIVER_VDD">#REF!</definedName>
    <definedName name="IQ_DRIVER_VDDS">'Single Output'!$C$16</definedName>
    <definedName name="IQ_DRIVER_VEE" localSheetId="0">'Dual Output'!$C$18</definedName>
    <definedName name="IQ_DRIVER_VEE" localSheetId="1">'Single Output'!#REF!</definedName>
    <definedName name="IQ_DRIVER_VEE">#REF!</definedName>
    <definedName name="IQ_OTHER_VDD">'Dual Output'!$C$19</definedName>
    <definedName name="IQ_OTHER_VDDS">'Single Output'!$C$17</definedName>
    <definedName name="IQ_OTHER_VEE">'Dual Output'!$C$20</definedName>
    <definedName name="IQH_max" localSheetId="0">'Dual Output'!#REF!</definedName>
    <definedName name="IQH_max" localSheetId="1">'Single Output'!#REF!</definedName>
    <definedName name="IQH_max">#REF!</definedName>
    <definedName name="IQL_max" localSheetId="0">'Dual Output'!#REF!</definedName>
    <definedName name="IQL_max" localSheetId="1">'Single Output'!#REF!</definedName>
    <definedName name="IQL_max">#REF!</definedName>
    <definedName name="iQL_RMS">'[1]Main Calculation'!$D$88</definedName>
    <definedName name="Iref_431" localSheetId="0">'Dual Output'!#REF!</definedName>
    <definedName name="Iref_431" localSheetId="1">'Single Output'!#REF!</definedName>
    <definedName name="Iref_431">#REF!</definedName>
    <definedName name="Iref_431_max" localSheetId="0">'Dual Output'!#REF!</definedName>
    <definedName name="Iref_431_max" localSheetId="1">'Single Output'!#REF!</definedName>
    <definedName name="Iref_431_max">#REF!</definedName>
    <definedName name="IRLIM_CAP" localSheetId="0">'Dual Output'!$C$30</definedName>
    <definedName name="IRLIM_CAP">#REF!</definedName>
    <definedName name="IRUN_VDD">'[1]Main Calculation'!$D$19</definedName>
    <definedName name="Istart_HVG">'[1]Main Calculation'!$D$22</definedName>
    <definedName name="IVCC_qcc" localSheetId="0">'Dual Output'!#REF!</definedName>
    <definedName name="IVCC_qcc" localSheetId="1">'Single Output'!#REF!</definedName>
    <definedName name="IVCC_qcc">#REF!</definedName>
    <definedName name="IVCC_sw">'[1]Hide Calculate'!$D$60</definedName>
    <definedName name="iVSL_BUR">'[1]Hide Calculate'!$D$41</definedName>
    <definedName name="iVSL_max">'[1]Hide Calculate'!$D$31</definedName>
    <definedName name="IVSL_run">'[1]Main Calculation'!$D$7</definedName>
    <definedName name="Iwait_VDD">'[1]Main Calculation'!$D$20</definedName>
    <definedName name="KBUR_CST">'[1]Main Calculation'!$D$17</definedName>
    <definedName name="KCTR_Temp" localSheetId="0">'Dual Output'!#REF!</definedName>
    <definedName name="KCTR_Temp" localSheetId="1">'Single Output'!#REF!</definedName>
    <definedName name="KCTR_Temp">#REF!</definedName>
    <definedName name="Kder" localSheetId="0">'Dual Output'!#REF!</definedName>
    <definedName name="Kder" localSheetId="1">'Single Output'!#REF!</definedName>
    <definedName name="Kder">#REF!</definedName>
    <definedName name="Kder_SR" localSheetId="0">'Dual Output'!#REF!</definedName>
    <definedName name="Kder_SR" localSheetId="1">'Single Output'!#REF!</definedName>
    <definedName name="Kder_SR">#REF!</definedName>
    <definedName name="KDM">'[1]Main Calculation'!$D$16</definedName>
    <definedName name="KLC">'[1]Main Calculation'!$D$15</definedName>
    <definedName name="KRES">'[1]Main Calculation'!$D$32</definedName>
    <definedName name="KTZ" localSheetId="0">'Dual Output'!#REF!</definedName>
    <definedName name="KTZ" localSheetId="1">'Single Output'!#REF!</definedName>
    <definedName name="KTZ">#REF!</definedName>
    <definedName name="KVC">'[1]Hide Calculate'!$D$68</definedName>
    <definedName name="kZmax" localSheetId="0">'[1]Hide Calculate'!#REF!</definedName>
    <definedName name="kZmax" localSheetId="1">'[1]Hide Calculate'!#REF!</definedName>
    <definedName name="kZmax">'[1]Hide Calculate'!#REF!</definedName>
    <definedName name="LK_actual">'[1]Main Calculation'!$D$52</definedName>
    <definedName name="LM">'[1]Main Calculation'!$D$51</definedName>
    <definedName name="LM_actual">'[1]Main Calculation'!$D$50</definedName>
    <definedName name="LM_recommended">'[1]Main Calculation'!$D$49</definedName>
    <definedName name="Lo">'[1]Secondary Resonance'!$E$28</definedName>
    <definedName name="LQs" localSheetId="0">'Dual Output'!#REF!</definedName>
    <definedName name="LQs" localSheetId="1">'Single Output'!#REF!</definedName>
    <definedName name="LQs">#REF!</definedName>
    <definedName name="NA">'[1]Main Calculation'!$D$46</definedName>
    <definedName name="NA_act" localSheetId="0">'[1]Main Calculation'!#REF!</definedName>
    <definedName name="NA_act" localSheetId="1">'[1]Main Calculation'!#REF!</definedName>
    <definedName name="NA_act">'[1]Main Calculation'!#REF!</definedName>
    <definedName name="Na1_">'[1]Burst Mode for USB-PD'!$B$5</definedName>
    <definedName name="Na2_">'[1]Burst Mode for USB-PD'!$B$6</definedName>
    <definedName name="NP">'[1]Main Calculation'!$D$41</definedName>
    <definedName name="NPS">'[1]Main Calculation'!$D$40</definedName>
    <definedName name="NPS_actual" localSheetId="0">'[1]Main Calculation'!#REF!</definedName>
    <definedName name="NPS_actual" localSheetId="1">'[1]Main Calculation'!#REF!</definedName>
    <definedName name="NPS_actual">'[1]Main Calculation'!#REF!</definedName>
    <definedName name="NPS_recommended" localSheetId="0">'[1]Main Calculation'!#REF!</definedName>
    <definedName name="NPS_recommended" localSheetId="1">'[1]Main Calculation'!#REF!</definedName>
    <definedName name="NPS_recommended">'[1]Main Calculation'!#REF!</definedName>
    <definedName name="NS">'[1]Main Calculation'!$D$42</definedName>
    <definedName name="NS_">'[1]Burst Mode for USB-PD'!$B$7</definedName>
    <definedName name="NSS">'[1]Main Calculation'!$D$43</definedName>
    <definedName name="OPP" localSheetId="0">'Dual Output'!#REF!</definedName>
    <definedName name="OPP" localSheetId="1">'Single Output'!#REF!</definedName>
    <definedName name="OPP">#REF!</definedName>
    <definedName name="OVP" localSheetId="0">'Dual Output'!#REF!</definedName>
    <definedName name="OVP" localSheetId="1">'Single Output'!#REF!</definedName>
    <definedName name="OVP">#REF!</definedName>
    <definedName name="P_MAX">'Dual Output'!$C$39</definedName>
    <definedName name="PERCENT_VPP_MAX" localSheetId="1">'Single Output'!$C$23</definedName>
    <definedName name="PERCENT_VPP_MAX">'Dual Output'!$C$25</definedName>
    <definedName name="Po" localSheetId="0">'Dual Output'!$C$38</definedName>
    <definedName name="Po">#REF!</definedName>
    <definedName name="PO_FL" localSheetId="0">'Dual Output'!#REF!</definedName>
    <definedName name="PO_FL" localSheetId="1">'Single Output'!#REF!</definedName>
    <definedName name="PO_FL">#REF!</definedName>
    <definedName name="PRcs">'[1]Main Calculation'!$D$89</definedName>
    <definedName name="PRLIM" localSheetId="0">'Dual Output'!$C$66</definedName>
    <definedName name="PRLIM">#REF!</definedName>
    <definedName name="Qg_Qh">'[1]Hide Calculate'!$D$47</definedName>
    <definedName name="Qgtot" localSheetId="0">'Dual Output'!$C$15</definedName>
    <definedName name="Qgtot" localSheetId="1">'Single Output'!$C$14</definedName>
    <definedName name="Qgtot">#REF!</definedName>
    <definedName name="R_2" localSheetId="0">'Dual Output'!$C$23</definedName>
    <definedName name="R_2" localSheetId="1">'Single Output'!$C$22</definedName>
    <definedName name="R_2">#REF!</definedName>
    <definedName name="R_4" localSheetId="0">'Dual Output'!$C$24</definedName>
    <definedName name="R_4" localSheetId="1">'Single Output'!#REF!</definedName>
    <definedName name="R_4">#REF!</definedName>
    <definedName name="R_OPP">'[1]Main Calculation'!$D$94</definedName>
    <definedName name="Rbias1">'[1]Main Calculation'!$D$179</definedName>
    <definedName name="Rbias1_max_ABM">'[1]Main Calculation'!$D$176</definedName>
    <definedName name="Rbias1_max_SBP">'[1]Main Calculation'!$D$175</definedName>
    <definedName name="Rbias2">'[1]Main Calculation'!$D$174</definedName>
    <definedName name="Rbias2_act">'[1]Main Calculation'!$D$173</definedName>
    <definedName name="Rbias2_rec">'[1]Main Calculation'!$D$172</definedName>
    <definedName name="RBLEED">'[1]Main Calculation'!$D$73</definedName>
    <definedName name="RBLEED_act">'[1]Main Calculation'!$D$72</definedName>
    <definedName name="RBLEED_rec" localSheetId="0">'[1]Main Calculation'!#REF!</definedName>
    <definedName name="RBLEED_rec" localSheetId="1">'[1]Main Calculation'!#REF!</definedName>
    <definedName name="RBLEED_rec">'[1]Main Calculation'!#REF!</definedName>
    <definedName name="RBLEED_recc">'[1]Main Calculation'!$D$71</definedName>
    <definedName name="RBUR1">'[1]Main Calculation'!$D$118</definedName>
    <definedName name="RBUR1_act">'[1]Main Calculation'!$D$117</definedName>
    <definedName name="RBUR1_rec">'[1]Main Calculation'!$D$116</definedName>
    <definedName name="RBUR2">'[1]Main Calculation'!$D$115</definedName>
    <definedName name="RBUR2_act">'[1]Main Calculation'!$D$114</definedName>
    <definedName name="RBUR2_rec">'[1]Main Calculation'!$D$113</definedName>
    <definedName name="RCO" localSheetId="0">'Dual Output'!#REF!</definedName>
    <definedName name="RCO" localSheetId="1">'Single Output'!#REF!</definedName>
    <definedName name="RCO">#REF!</definedName>
    <definedName name="RCOMP">'[1]Main Calculation'!$D$171</definedName>
    <definedName name="RCS">'[1]Main Calculation'!$D$87</definedName>
    <definedName name="RCS_act">'[1]Main Calculation'!$D$86</definedName>
    <definedName name="RCS_rec">'[1]Main Calculation'!$D$85</definedName>
    <definedName name="RDD_1">'[1]Main Calculation'!$D$158</definedName>
    <definedName name="RDD1_act">'[1]Main Calculation'!$D$157</definedName>
    <definedName name="RDD1_rec">'[1]Main Calculation'!$D$156</definedName>
    <definedName name="RDD2_">'[1]Main Calculation'!$D$152</definedName>
    <definedName name="Rdiff">'[1]Main Calculation'!$D$198</definedName>
    <definedName name="Rdiff_act">'[1]Main Calculation'!$D$197</definedName>
    <definedName name="Rdiff_rec">'[1]Main Calculation'!$D$196</definedName>
    <definedName name="RDM">'[1]Main Calculation'!$D$103</definedName>
    <definedName name="RDM_act">'[1]Main Calculation'!$D$102</definedName>
    <definedName name="RDM_rec">'[1]Main Calculation'!$D$101</definedName>
    <definedName name="RDSon_QH" localSheetId="0">'Dual Output'!#REF!</definedName>
    <definedName name="RDSon_QH" localSheetId="1">'Single Output'!#REF!</definedName>
    <definedName name="RDSon_QH">#REF!</definedName>
    <definedName name="RDSon_QL" localSheetId="0">'Dual Output'!#REF!</definedName>
    <definedName name="RDSon_QL" localSheetId="1">'Single Output'!#REF!</definedName>
    <definedName name="RDSon_QL">#REF!</definedName>
    <definedName name="RFB">'[1]Main Calculation'!$D$169</definedName>
    <definedName name="RFB_act">'[1]Main Calculation'!$D$168</definedName>
    <definedName name="RFB_int">'[1]Main Calculation'!$D$25</definedName>
    <definedName name="RFB_max">'[1]Main Calculation'!$D$167</definedName>
    <definedName name="RHVG">'[1]Main Calculation'!$D$137</definedName>
    <definedName name="RHVG_act">'[1]Main Calculation'!$D$136</definedName>
    <definedName name="RHVG_rec">'[1]Main Calculation'!$D$135</definedName>
    <definedName name="RLIM" localSheetId="0">'Dual Output'!$C$62</definedName>
    <definedName name="RLIM">#REF!</definedName>
    <definedName name="RLIM_DN" localSheetId="0">'Dual Output'!$G$56</definedName>
    <definedName name="RLIM_DN">#REF!</definedName>
    <definedName name="RLIM_MAX" localSheetId="0">'Dual Output'!$C$55</definedName>
    <definedName name="RLIM_MAX">#REF!</definedName>
    <definedName name="RLIM_UP" localSheetId="0">'Dual Output'!$G$55</definedName>
    <definedName name="RLIM_UP">#REF!</definedName>
    <definedName name="Rpri_dc">'[1]Main Calculation'!$D$55</definedName>
    <definedName name="RSWS">'[1]Main Calculation'!$D$132</definedName>
    <definedName name="RSWS_act">'[1]Main Calculation'!$D$131</definedName>
    <definedName name="RSWS_rec">'[1]Main Calculation'!$D$130</definedName>
    <definedName name="RTZ">'[1]Main Calculation'!$D$109</definedName>
    <definedName name="RTZ_act">'[1]Main Calculation'!$D$108</definedName>
    <definedName name="RTZ_rec">'[1]Main Calculation'!$D$107</definedName>
    <definedName name="Rvo1_">'[1]Main Calculation'!$D$188</definedName>
    <definedName name="Rvo1_act">'[1]Main Calculation'!$D$187</definedName>
    <definedName name="Rvo1_rec">'[1]Main Calculation'!$D$186</definedName>
    <definedName name="Rvo2_">'[1]Main Calculation'!$D$185</definedName>
    <definedName name="Rvo2_act">'[1]Main Calculation'!$D$184</definedName>
    <definedName name="Rvo2_rec">'[1]Main Calculation'!$D$183</definedName>
    <definedName name="RVS_1">'[1]Main Calculation'!$D$78</definedName>
    <definedName name="RVS_2">'[1]Main Calculation'!$D$81</definedName>
    <definedName name="RVS1_act">'[1]Main Calculation'!$D$77</definedName>
    <definedName name="RVS1_rec">'[1]Main Calculation'!$D$76</definedName>
    <definedName name="RVS2_act">'[1]Main Calculation'!$D$80</definedName>
    <definedName name="RVS2_rec">'[1]Main Calculation'!$D$79</definedName>
    <definedName name="SET" localSheetId="0">'Dual Output'!#REF!</definedName>
    <definedName name="SET" localSheetId="1">'Single Output'!#REF!</definedName>
    <definedName name="SET">#REF!</definedName>
    <definedName name="SETPIN" localSheetId="0">'Dual Output'!#REF!</definedName>
    <definedName name="SETPIN" localSheetId="1">'Single Output'!#REF!</definedName>
    <definedName name="SETPIN">#REF!</definedName>
    <definedName name="STEP_DUTY">'Single Output'!#REF!</definedName>
    <definedName name="tD_CS">'[1]Main Calculation'!$D$9</definedName>
    <definedName name="TD_CS_filter">'[1]Main Calculation'!$D$84</definedName>
    <definedName name="tD_CST">'[1]Hide Calculate'!$D$22</definedName>
    <definedName name="TD_HDr" localSheetId="0">'Dual Output'!#REF!</definedName>
    <definedName name="TD_HDr" localSheetId="1">'Single Output'!#REF!</definedName>
    <definedName name="TD_HDr">#REF!</definedName>
    <definedName name="TD_LDr" localSheetId="0">'Dual Output'!#REF!</definedName>
    <definedName name="TD_LDr" localSheetId="1">'Single Output'!#REF!</definedName>
    <definedName name="TD_LDr">#REF!</definedName>
    <definedName name="tD_RUN_PWML">'[1]Main Calculation'!$D$21</definedName>
    <definedName name="TFDR">'[1]Main Calculation'!$D$30</definedName>
    <definedName name="THVG">'[1]Main Calculation'!$D$159</definedName>
    <definedName name="tres" localSheetId="0">'[1]Hide Calculate'!#REF!</definedName>
    <definedName name="tres" localSheetId="1">'[1]Hide Calculate'!#REF!</definedName>
    <definedName name="tres">'[1]Hide Calculate'!#REF!</definedName>
    <definedName name="Trise_max">'[1]Hide Calculate'!$D$44</definedName>
    <definedName name="TSS_max">'[1]Main Calculation'!$D$160</definedName>
    <definedName name="tSW" localSheetId="0">'[1]Hide Calculate'!#REF!</definedName>
    <definedName name="tSW" localSheetId="1">'[1]Hide Calculate'!#REF!</definedName>
    <definedName name="tSW">'[1]Hide Calculate'!#REF!</definedName>
    <definedName name="tSW_off" localSheetId="0">'[1]Hide Calculate'!#REF!</definedName>
    <definedName name="tSW_off" localSheetId="1">'[1]Hide Calculate'!#REF!</definedName>
    <definedName name="tSW_off">'[1]Hide Calculate'!#REF!</definedName>
    <definedName name="tSW_on" localSheetId="0">'[1]Hide Calculate'!#REF!</definedName>
    <definedName name="tSW_on" localSheetId="1">'[1]Hide Calculate'!#REF!</definedName>
    <definedName name="tSW_on">'[1]Hide Calculate'!#REF!</definedName>
    <definedName name="tSWmax" localSheetId="0">'[1]Hide Calculate'!#REF!</definedName>
    <definedName name="tSWmax" localSheetId="1">'[1]Hide Calculate'!#REF!</definedName>
    <definedName name="tSWmax">'[1]Hide Calculate'!#REF!</definedName>
    <definedName name="TZ_min">'[1]Main Calculation'!$D$106</definedName>
    <definedName name="VBULKmin_tgt" localSheetId="0">'Dual Output'!#REF!</definedName>
    <definedName name="VBULKmin_tgt" localSheetId="1">'Single Output'!#REF!</definedName>
    <definedName name="VBULKmin_tgt">#REF!</definedName>
    <definedName name="Vbur1">'[1]Burst Mode for USB-PD'!$E$9</definedName>
    <definedName name="Vbur2">'[1]Burst Mode for USB-PD'!$E$10</definedName>
    <definedName name="VCE_sat_opto" localSheetId="0">'Dual Output'!#REF!</definedName>
    <definedName name="VCE_sat_opto" localSheetId="1">'Single Output'!#REF!</definedName>
    <definedName name="VCE_sat_opto">#REF!</definedName>
    <definedName name="Vcin_rated" localSheetId="0">'Dual Output'!#REF!</definedName>
    <definedName name="Vcin_rated" localSheetId="1">'Single Output'!#REF!</definedName>
    <definedName name="Vcin_rated">#REF!</definedName>
    <definedName name="Vclamp_max">'[1]Hide Calculate'!$D$5</definedName>
    <definedName name="Vclamp_max_QH">'[1]Hide Calculate'!$D$4</definedName>
    <definedName name="Vclamp_max_SR">'[1]Hide Calculate'!$D$3</definedName>
    <definedName name="VCST_BUR">'[1]Main Calculation'!$D$112</definedName>
    <definedName name="VCST_max">'[1]Main Calculation'!$D$10</definedName>
    <definedName name="VCST_OPP1">'[1]Main Calculation'!$D$11</definedName>
    <definedName name="VCST_OPP4">'[1]Main Calculation'!$D$12</definedName>
    <definedName name="VD_LED" localSheetId="0">'Dual Output'!#REF!</definedName>
    <definedName name="VD_LED" localSheetId="1">'Single Output'!#REF!</definedName>
    <definedName name="VD_LED">#REF!</definedName>
    <definedName name="VD_LED_off" localSheetId="0">'Dual Output'!#REF!</definedName>
    <definedName name="VD_LED_off" localSheetId="1">'Single Output'!#REF!</definedName>
    <definedName name="VD_LED_off">#REF!</definedName>
    <definedName name="VDD">'[1]Main Calculation'!$D$155</definedName>
    <definedName name="VDD_max">'[1]Main Calculation'!$D$5</definedName>
    <definedName name="VDD_off">'[1]Main Calculation'!$D$3</definedName>
    <definedName name="VDD_on">'[1]Main Calculation'!$D$4</definedName>
    <definedName name="VDD_PCT">'[1]Main Calculation'!$D$6</definedName>
    <definedName name="VDD_VEE" localSheetId="0">'Dual Output'!$C$13</definedName>
    <definedName name="VDD_VEE" localSheetId="1">'Single Output'!$C$13</definedName>
    <definedName name="VDD_VEE">#REF!</definedName>
    <definedName name="VDS_actual" localSheetId="0">'Dual Output'!#REF!</definedName>
    <definedName name="VDS_actual" localSheetId="1">'Single Output'!#REF!</definedName>
    <definedName name="VDS_actual">#REF!</definedName>
    <definedName name="VDz" localSheetId="0">'Dual Output'!#REF!</definedName>
    <definedName name="VDz" localSheetId="1">'Single Output'!#REF!</definedName>
    <definedName name="VDz">#REF!</definedName>
    <definedName name="Vf_BootD" localSheetId="0">'Dual Output'!#REF!</definedName>
    <definedName name="Vf_BootD" localSheetId="1">'Single Output'!#REF!</definedName>
    <definedName name="Vf_BootD">#REF!</definedName>
    <definedName name="Vf_Daux" localSheetId="0">'Dual Output'!#REF!</definedName>
    <definedName name="Vf_Daux" localSheetId="1">'Single Output'!#REF!</definedName>
    <definedName name="Vf_Daux">#REF!</definedName>
    <definedName name="Vf_SR" localSheetId="0">'Dual Output'!#REF!</definedName>
    <definedName name="Vf_SR" localSheetId="1">'Single Output'!#REF!</definedName>
    <definedName name="Vf_SR">#REF!</definedName>
    <definedName name="VFB_max">'[1]Main Calculation'!$D$24</definedName>
    <definedName name="Vgs_Qs" localSheetId="0">'Dual Output'!#REF!</definedName>
    <definedName name="Vgs_Qs" localSheetId="1">'Single Output'!#REF!</definedName>
    <definedName name="Vgs_Qs">#REF!</definedName>
    <definedName name="VHVG">'[1]Main Calculation'!$D$18</definedName>
    <definedName name="Vhys_CS">'[1]Main Calculation'!$D$13</definedName>
    <definedName name="VIN_LOW" localSheetId="0">'Dual Output'!#REF!</definedName>
    <definedName name="VIN_LOW" localSheetId="1">'Single Output'!#REF!</definedName>
    <definedName name="VIN_LOW">#REF!</definedName>
    <definedName name="Vin_type" localSheetId="0">'Dual Output'!#REF!</definedName>
    <definedName name="Vin_type" localSheetId="1">'Single Output'!#REF!</definedName>
    <definedName name="Vin_type">#REF!</definedName>
    <definedName name="VINPUT_Brownin" localSheetId="0">'Dual Output'!#REF!</definedName>
    <definedName name="VINPUT_Brownin" localSheetId="1">'Single Output'!#REF!</definedName>
    <definedName name="VINPUT_Brownin">#REF!</definedName>
    <definedName name="VINPUT_Brownout" localSheetId="0">'Dual Output'!#REF!</definedName>
    <definedName name="VINPUT_Brownout" localSheetId="1">'Single Output'!#REF!</definedName>
    <definedName name="VINPUT_Brownout">#REF!</definedName>
    <definedName name="VINPUT_BUR" localSheetId="0">'Dual Output'!#REF!</definedName>
    <definedName name="VINPUT_BUR" localSheetId="1">'Single Output'!#REF!</definedName>
    <definedName name="VINPUT_BUR">#REF!</definedName>
    <definedName name="VINPUT_max" localSheetId="0">'Dual Output'!#REF!</definedName>
    <definedName name="VINPUT_max" localSheetId="1">'Single Output'!#REF!</definedName>
    <definedName name="VINPUT_max">#REF!</definedName>
    <definedName name="VINPUT_nom" localSheetId="0">'Dual Output'!#REF!</definedName>
    <definedName name="VINPUT_nom" localSheetId="1">'Single Output'!#REF!</definedName>
    <definedName name="VINPUT_nom">#REF!</definedName>
    <definedName name="VLk_pri_max">'[1]Hide Calculate'!$D$33</definedName>
    <definedName name="Vo_drop" localSheetId="0">'Dual Output'!#REF!</definedName>
    <definedName name="Vo_drop" localSheetId="1">'Single Output'!#REF!</definedName>
    <definedName name="Vo_drop">#REF!</definedName>
    <definedName name="Voffset_CS_OPP">'[1]Hide Calculate'!$D$30</definedName>
    <definedName name="Vomax">'[1]Burst Mode for USB-PD'!$B$9</definedName>
    <definedName name="Vomin">'[1]Burst Mode for USB-PD'!$B$10</definedName>
    <definedName name="VOUT" localSheetId="0">'Dual Output'!#REF!</definedName>
    <definedName name="VOUT" localSheetId="1">'Single Output'!#REF!</definedName>
    <definedName name="VOUT">#REF!</definedName>
    <definedName name="VPP_MAX" localSheetId="0">'Dual Output'!#REF!</definedName>
    <definedName name="VPP_MAX" localSheetId="1">'Single Output'!#REF!</definedName>
    <definedName name="VPP_MAX">#REF!</definedName>
    <definedName name="VR_pri_max">'[1]Hide Calculate'!$D$32</definedName>
    <definedName name="Vref_431" localSheetId="0">'Dual Output'!#REF!</definedName>
    <definedName name="Vref_431" localSheetId="1">'Single Output'!#REF!</definedName>
    <definedName name="Vref_431">#REF!</definedName>
    <definedName name="VRfl">'[1]Main Calculation'!$D$47</definedName>
    <definedName name="Vs_clamp">'[1]Main Calculation'!$D$14</definedName>
    <definedName name="VSR_actual" localSheetId="0">'Dual Output'!#REF!</definedName>
    <definedName name="VSR_actual" localSheetId="1">'Single Output'!#REF!</definedName>
    <definedName name="VSR_actual">#REF!</definedName>
    <definedName name="Vth_Qs" localSheetId="0">'Dual Output'!#REF!</definedName>
    <definedName name="Vth_Qs" localSheetId="1">'Single Output'!#REF!</definedName>
    <definedName name="Vth_Qs">#REF!</definedName>
    <definedName name="VVS_OVP">'[1]Main Calculation'!$D$8</definedName>
    <definedName name="Vx_SR" localSheetId="0">'Dual Output'!#REF!</definedName>
    <definedName name="Vx_SR" localSheetId="1">'Single Output'!#REF!</definedName>
    <definedName name="Vx_SR">#REF!</definedName>
    <definedName name="Vxh" localSheetId="0">'Dual Output'!#REF!</definedName>
    <definedName name="Vxh" localSheetId="1">'Single Output'!#REF!</definedName>
    <definedName name="Vxh">#REF!</definedName>
    <definedName name="Vxl" localSheetId="0">'Dual Output'!#REF!</definedName>
    <definedName name="Vxl" localSheetId="1">'Single Output'!#REF!</definedName>
    <definedName name="Vxl">#REF!</definedName>
    <definedName name="ΔVCLAMP">'[1]Main Calculation'!$D$35</definedName>
    <definedName name="ΔVSPIKE">'[1]Main Calculation'!$D$34</definedName>
    <definedName name="η">'[1]Main Calculation'!$D$31</definedName>
    <definedName name="η_min" localSheetId="0">'Dual Output'!#REF!</definedName>
    <definedName name="η_min" localSheetId="1">'Single Output'!#REF!</definedName>
    <definedName name="η_min">#REF!</definedName>
    <definedName name="ηXFMR">'[1]Main Calculation'!$D$53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7" l="1"/>
  <c r="B46" i="17"/>
  <c r="B24" i="17"/>
  <c r="E14" i="17"/>
  <c r="G13" i="17" l="1"/>
  <c r="C21" i="17"/>
  <c r="C22" i="17" l="1"/>
  <c r="G57" i="17" l="1"/>
  <c r="C28" i="16" l="1"/>
  <c r="G62" i="17" l="1"/>
  <c r="C40" i="17" l="1"/>
  <c r="C35" i="17"/>
  <c r="G14" i="17" l="1"/>
  <c r="G15" i="17" l="1"/>
  <c r="G61" i="17"/>
  <c r="G39" i="17" l="1"/>
  <c r="C18" i="16" l="1"/>
  <c r="C21" i="16" s="1"/>
  <c r="G50" i="17" l="1"/>
  <c r="C50" i="17" s="1"/>
  <c r="C27" i="16"/>
  <c r="G30" i="17"/>
  <c r="G32" i="17" s="1"/>
  <c r="G55" i="17" s="1"/>
  <c r="C52" i="17" l="1"/>
  <c r="G51" i="17"/>
  <c r="C48" i="17" s="1"/>
  <c r="C61" i="17" l="1"/>
  <c r="C45" i="17"/>
  <c r="C34" i="17"/>
  <c r="G31" i="17" l="1"/>
  <c r="G33" i="17" l="1"/>
  <c r="C30" i="17"/>
  <c r="C36" i="17" s="1"/>
  <c r="C38" i="17" s="1"/>
  <c r="C32" i="17" l="1"/>
  <c r="G56" i="17"/>
  <c r="C55" i="17" s="1"/>
  <c r="C59" i="17" l="1"/>
  <c r="C64" i="17"/>
  <c r="G63" i="17" s="1"/>
  <c r="C63" i="17" s="1"/>
  <c r="G66" i="17" l="1"/>
  <c r="C66" i="17" s="1"/>
</calcChain>
</file>

<file path=xl/sharedStrings.xml><?xml version="1.0" encoding="utf-8"?>
<sst xmlns="http://schemas.openxmlformats.org/spreadsheetml/2006/main" count="216" uniqueCount="128">
  <si>
    <t>mA</t>
  </si>
  <si>
    <t>Disclaimer</t>
    <phoneticPr fontId="0" type="noConversion"/>
  </si>
  <si>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</si>
  <si>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</si>
  <si>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</si>
  <si>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DESIGN REQUIREMENTS</t>
  </si>
  <si>
    <t>V</t>
  </si>
  <si>
    <t>kHz</t>
    <phoneticPr fontId="0" type="noConversion"/>
  </si>
  <si>
    <t>pF</t>
  </si>
  <si>
    <t>µF</t>
  </si>
  <si>
    <t>Differential voltage between VDD and VEE, VDD - VEE =</t>
  </si>
  <si>
    <t>µC</t>
  </si>
  <si>
    <r>
      <t>Switching frequency of gate driver load, f</t>
    </r>
    <r>
      <rPr>
        <vertAlign val="subscript"/>
        <sz val="11"/>
        <rFont val="Arial"/>
        <family val="2"/>
      </rPr>
      <t xml:space="preserve">SW </t>
    </r>
    <r>
      <rPr>
        <sz val="11"/>
        <rFont val="Arial"/>
        <family val="2"/>
      </rPr>
      <t>=</t>
    </r>
  </si>
  <si>
    <t>kΩ</t>
  </si>
  <si>
    <r>
      <t>Filter capacitor between FBVDD and VEE, C</t>
    </r>
    <r>
      <rPr>
        <vertAlign val="subscript"/>
        <sz val="11"/>
        <rFont val="Arial"/>
        <family val="2"/>
      </rPr>
      <t>FBVDD</t>
    </r>
    <r>
      <rPr>
        <sz val="11"/>
        <rFont val="Arial"/>
        <family val="2"/>
      </rPr>
      <t xml:space="preserve"> =</t>
    </r>
  </si>
  <si>
    <r>
      <t>Filter capacitor between FBVEE and VEE, C</t>
    </r>
    <r>
      <rPr>
        <vertAlign val="subscript"/>
        <sz val="11"/>
        <rFont val="Arial"/>
        <family val="2"/>
      </rPr>
      <t>FBVEE</t>
    </r>
    <r>
      <rPr>
        <sz val="11"/>
        <rFont val="Arial"/>
        <family val="2"/>
      </rPr>
      <t xml:space="preserve"> =</t>
    </r>
  </si>
  <si>
    <r>
      <t>Decoupling capacitor between VDD and VEE, C</t>
    </r>
    <r>
      <rPr>
        <vertAlign val="subscript"/>
        <sz val="11"/>
        <rFont val="Arial"/>
        <family val="2"/>
      </rPr>
      <t>OUT1</t>
    </r>
    <r>
      <rPr>
        <sz val="11"/>
        <rFont val="Arial"/>
        <family val="2"/>
      </rPr>
      <t xml:space="preserve"> =</t>
    </r>
  </si>
  <si>
    <t>Ω</t>
  </si>
  <si>
    <t>Differential voltage between COM and VEE, COM - VEE =</t>
  </si>
  <si>
    <t>Respect to VDD-VEE</t>
  </si>
  <si>
    <t>Includes the operating current of gate driver without switching</t>
  </si>
  <si>
    <r>
      <t>Decoupling capacitor between VIN and GNDP, C</t>
    </r>
    <r>
      <rPr>
        <vertAlign val="subscript"/>
        <sz val="11"/>
        <rFont val="Arial"/>
        <family val="2"/>
      </rPr>
      <t>IN</t>
    </r>
    <r>
      <rPr>
        <sz val="11"/>
        <rFont val="Arial"/>
        <family val="2"/>
      </rPr>
      <t xml:space="preserve"> =</t>
    </r>
  </si>
  <si>
    <t>Based on above parameters</t>
  </si>
  <si>
    <t>Note (1): Achieve the minimum required capacitance, careful attention should be paid to the applied DC voltage vs. capacitor rated working voltage, temperature, tolerance and dielectric type.</t>
  </si>
  <si>
    <r>
      <t>Min. energy-storage capacitance between VDD and VEE, C</t>
    </r>
    <r>
      <rPr>
        <vertAlign val="subscript"/>
        <sz val="11"/>
        <rFont val="Arial"/>
        <family val="2"/>
      </rPr>
      <t>OUT2(MIN)</t>
    </r>
  </si>
  <si>
    <t>RECOMMENDED COMPONENT VALUE FROM DESIGN REQUIREMENTS</t>
  </si>
  <si>
    <r>
      <t>Selected energy-storage capacitance between VDD and VEE, C</t>
    </r>
    <r>
      <rPr>
        <vertAlign val="subscript"/>
        <sz val="11"/>
        <rFont val="Arial"/>
        <family val="2"/>
      </rPr>
      <t>OUT2</t>
    </r>
  </si>
  <si>
    <t>OTHER RECOMMENDED COMPONENT VALUE</t>
  </si>
  <si>
    <r>
      <t>Min. R</t>
    </r>
    <r>
      <rPr>
        <vertAlign val="subscript"/>
        <sz val="11"/>
        <rFont val="Arial"/>
        <family val="2"/>
      </rPr>
      <t>LIM</t>
    </r>
    <r>
      <rPr>
        <sz val="11"/>
        <rFont val="Arial"/>
        <family val="2"/>
      </rPr>
      <t xml:space="preserve"> resistance, R</t>
    </r>
    <r>
      <rPr>
        <vertAlign val="subscript"/>
        <sz val="11"/>
        <rFont val="Arial"/>
        <family val="2"/>
      </rPr>
      <t>LIM(MIN)</t>
    </r>
    <r>
      <rPr>
        <sz val="11"/>
        <rFont val="Arial"/>
        <family val="2"/>
      </rPr>
      <t xml:space="preserve"> =</t>
    </r>
  </si>
  <si>
    <t>%</t>
  </si>
  <si>
    <r>
      <t>Quiescent current of the gate driver from (VDD – COM), I</t>
    </r>
    <r>
      <rPr>
        <vertAlign val="subscript"/>
        <sz val="11"/>
        <rFont val="Arial"/>
        <family val="2"/>
      </rPr>
      <t>Q_DRIVER_VDD</t>
    </r>
  </si>
  <si>
    <r>
      <t>Quiescent current of the gate driver from (COM – VEE), I</t>
    </r>
    <r>
      <rPr>
        <vertAlign val="subscript"/>
        <sz val="11"/>
        <rFont val="Arial"/>
        <family val="2"/>
      </rPr>
      <t>Q_DRIVER_VEE</t>
    </r>
  </si>
  <si>
    <r>
      <t>R</t>
    </r>
    <r>
      <rPr>
        <vertAlign val="subscript"/>
        <sz val="11"/>
        <color theme="1"/>
        <rFont val="Calibri"/>
        <family val="2"/>
        <scheme val="minor"/>
      </rPr>
      <t>LIM(MAX)</t>
    </r>
    <r>
      <rPr>
        <sz val="11"/>
        <color theme="1"/>
        <rFont val="Calibri"/>
        <family val="2"/>
        <charset val="136"/>
        <scheme val="minor"/>
      </rPr>
      <t xml:space="preserve"> considering Min. pull-up capability of RLIM regulator</t>
    </r>
  </si>
  <si>
    <r>
      <t>R</t>
    </r>
    <r>
      <rPr>
        <vertAlign val="subscript"/>
        <sz val="11"/>
        <color theme="1"/>
        <rFont val="Calibri"/>
        <family val="2"/>
        <scheme val="minor"/>
      </rPr>
      <t>LIM(MAX)</t>
    </r>
    <r>
      <rPr>
        <sz val="11"/>
        <color theme="1"/>
        <rFont val="Calibri"/>
        <family val="2"/>
        <charset val="136"/>
        <scheme val="minor"/>
      </rPr>
      <t xml:space="preserve"> considering Min. pull-down capability of RLIM regulator</t>
    </r>
  </si>
  <si>
    <t>W</t>
  </si>
  <si>
    <r>
      <t>Total output power requirement, P</t>
    </r>
    <r>
      <rPr>
        <vertAlign val="subscript"/>
        <sz val="11"/>
        <rFont val="Arial"/>
        <family val="2"/>
      </rPr>
      <t>O</t>
    </r>
    <r>
      <rPr>
        <sz val="11"/>
        <rFont val="Arial"/>
        <family val="2"/>
      </rPr>
      <t xml:space="preserve"> =</t>
    </r>
  </si>
  <si>
    <r>
      <t>Total I</t>
    </r>
    <r>
      <rPr>
        <vertAlign val="subscript"/>
        <sz val="11"/>
        <color theme="1"/>
        <rFont val="Calibri"/>
        <family val="2"/>
        <scheme val="minor"/>
      </rPr>
      <t>LIM</t>
    </r>
    <r>
      <rPr>
        <sz val="11"/>
        <color theme="1"/>
        <rFont val="Calibri"/>
        <family val="2"/>
        <charset val="136"/>
        <scheme val="minor"/>
      </rPr>
      <t xml:space="preserve"> considering Min. pull-up capability of RLIM regulator</t>
    </r>
  </si>
  <si>
    <r>
      <t>Total I</t>
    </r>
    <r>
      <rPr>
        <vertAlign val="subscript"/>
        <sz val="11"/>
        <color theme="1"/>
        <rFont val="Calibri"/>
        <family val="2"/>
        <scheme val="minor"/>
      </rPr>
      <t>LIM</t>
    </r>
    <r>
      <rPr>
        <sz val="11"/>
        <color theme="1"/>
        <rFont val="Calibri"/>
        <family val="2"/>
        <charset val="136"/>
        <scheme val="minor"/>
      </rPr>
      <t xml:space="preserve"> considering Min. pull-down capability of RLIM regulator</t>
    </r>
  </si>
  <si>
    <t>Positive means out of RLIM pin
Negative means into RLIM pin</t>
  </si>
  <si>
    <r>
      <t>Max. RLIM current to overcome capacitance variation &amp; differential I</t>
    </r>
    <r>
      <rPr>
        <vertAlign val="subscript"/>
        <sz val="11"/>
        <rFont val="Arial"/>
        <family val="2"/>
      </rPr>
      <t>Q</t>
    </r>
  </si>
  <si>
    <r>
      <t>Min. decoupling capacitance between COM and VEE, C</t>
    </r>
    <r>
      <rPr>
        <vertAlign val="subscript"/>
        <sz val="11"/>
        <rFont val="Arial"/>
        <family val="2"/>
      </rPr>
      <t>OUT3(MIN)</t>
    </r>
    <r>
      <rPr>
        <sz val="11"/>
        <rFont val="Arial"/>
        <family val="2"/>
      </rPr>
      <t xml:space="preserve"> =</t>
    </r>
  </si>
  <si>
    <r>
      <t>Min. component tolerance of C</t>
    </r>
    <r>
      <rPr>
        <vertAlign val="subscript"/>
        <sz val="11"/>
        <rFont val="Arial"/>
        <family val="2"/>
      </rPr>
      <t>OUT2</t>
    </r>
  </si>
  <si>
    <r>
      <t>Max. component tolerance of C</t>
    </r>
    <r>
      <rPr>
        <vertAlign val="subscript"/>
        <sz val="11"/>
        <rFont val="Arial"/>
        <family val="2"/>
      </rPr>
      <t>OUT2</t>
    </r>
  </si>
  <si>
    <r>
      <t>Max. component tolerance of C</t>
    </r>
    <r>
      <rPr>
        <vertAlign val="subscript"/>
        <sz val="11"/>
        <rFont val="Arial"/>
        <family val="2"/>
      </rPr>
      <t>OUT3</t>
    </r>
  </si>
  <si>
    <r>
      <t>Min. component tolerance of C</t>
    </r>
    <r>
      <rPr>
        <vertAlign val="subscript"/>
        <sz val="11"/>
        <rFont val="Arial"/>
        <family val="2"/>
      </rPr>
      <t>OUT3</t>
    </r>
  </si>
  <si>
    <r>
      <t>&lt; Max. power limit of R</t>
    </r>
    <r>
      <rPr>
        <vertAlign val="subscript"/>
        <sz val="11"/>
        <rFont val="Arial"/>
        <family val="2"/>
      </rPr>
      <t>LIM</t>
    </r>
  </si>
  <si>
    <r>
      <t>Max. RLIM current to overcome capacitance variation, I</t>
    </r>
    <r>
      <rPr>
        <vertAlign val="subscript"/>
        <sz val="11"/>
        <rFont val="Arial"/>
        <family val="2"/>
      </rPr>
      <t>RLM_CAP</t>
    </r>
  </si>
  <si>
    <t>Output power contribution from gate driver switching</t>
  </si>
  <si>
    <t>Output power contribution from gate driver quiescent current</t>
  </si>
  <si>
    <r>
      <t>Output power contribution from capacitor mismatch current (I</t>
    </r>
    <r>
      <rPr>
        <vertAlign val="subscript"/>
        <sz val="11"/>
        <rFont val="Arial"/>
        <family val="2"/>
      </rPr>
      <t>RLM_CAP</t>
    </r>
    <r>
      <rPr>
        <sz val="11"/>
        <rFont val="Arial"/>
        <family val="2"/>
      </rPr>
      <t>)</t>
    </r>
  </si>
  <si>
    <r>
      <t>I</t>
    </r>
    <r>
      <rPr>
        <vertAlign val="subscript"/>
        <sz val="11"/>
        <color theme="1"/>
        <rFont val="Calibri"/>
        <family val="2"/>
        <scheme val="minor"/>
      </rPr>
      <t>LIM</t>
    </r>
    <r>
      <rPr>
        <sz val="11"/>
        <color theme="1"/>
        <rFont val="Calibri"/>
        <family val="2"/>
        <charset val="136"/>
        <scheme val="minor"/>
      </rPr>
      <t xml:space="preserve"> out of RLIM pin to compensate the capacitor mismatch</t>
    </r>
  </si>
  <si>
    <r>
      <t>I</t>
    </r>
    <r>
      <rPr>
        <vertAlign val="subscript"/>
        <sz val="11"/>
        <color theme="1"/>
        <rFont val="Calibri"/>
        <family val="2"/>
        <scheme val="minor"/>
      </rPr>
      <t>LIM</t>
    </r>
    <r>
      <rPr>
        <sz val="11"/>
        <color theme="1"/>
        <rFont val="Calibri"/>
        <family val="2"/>
        <charset val="136"/>
        <scheme val="minor"/>
      </rPr>
      <t xml:space="preserve"> into RLIM pin to compensate the capacitor mismatch</t>
    </r>
  </si>
  <si>
    <t>Disclaimer</t>
  </si>
  <si>
    <t>10 // 0.1</t>
  </si>
  <si>
    <r>
      <t>Desired AC gate-switching ripple percentage between VDD and COM, %V</t>
    </r>
    <r>
      <rPr>
        <vertAlign val="subscript"/>
        <sz val="11"/>
        <rFont val="Arial"/>
        <family val="2"/>
      </rPr>
      <t>PP_MAX</t>
    </r>
  </si>
  <si>
    <t>Respect to VDD-COM</t>
  </si>
  <si>
    <r>
      <t>Max. transient power capability based on provided SOA and T</t>
    </r>
    <r>
      <rPr>
        <vertAlign val="subscript"/>
        <sz val="11"/>
        <rFont val="Arial"/>
        <family val="2"/>
      </rPr>
      <t>AMB</t>
    </r>
    <r>
      <rPr>
        <sz val="11"/>
        <rFont val="Arial"/>
        <family val="2"/>
      </rPr>
      <t>, P</t>
    </r>
    <r>
      <rPr>
        <vertAlign val="subscript"/>
        <sz val="11"/>
        <rFont val="Arial"/>
        <family val="2"/>
      </rPr>
      <t>MAX</t>
    </r>
    <r>
      <rPr>
        <sz val="11"/>
        <rFont val="Arial"/>
        <family val="2"/>
      </rPr>
      <t xml:space="preserve"> =</t>
    </r>
  </si>
  <si>
    <r>
      <t>&lt; Max. AVG power capability 
based on provided SOA &amp; T</t>
    </r>
    <r>
      <rPr>
        <vertAlign val="subscript"/>
        <sz val="11"/>
        <rFont val="Arial"/>
        <family val="2"/>
      </rPr>
      <t>AMB</t>
    </r>
  </si>
  <si>
    <r>
      <t>Max. transient output current capability with gate driver load, I</t>
    </r>
    <r>
      <rPr>
        <vertAlign val="subscript"/>
        <sz val="11"/>
        <rFont val="Arial"/>
        <family val="2"/>
      </rPr>
      <t>MAX_POWER</t>
    </r>
    <r>
      <rPr>
        <sz val="11"/>
        <rFont val="Arial"/>
        <family val="2"/>
      </rPr>
      <t xml:space="preserve"> =</t>
    </r>
  </si>
  <si>
    <t>A</t>
  </si>
  <si>
    <r>
      <t>Quiescent current of other load on (COM – VEE) except gate driver, I</t>
    </r>
    <r>
      <rPr>
        <vertAlign val="subscript"/>
        <sz val="11"/>
        <rFont val="Arial"/>
        <family val="2"/>
      </rPr>
      <t>Q_OTHER_VEE</t>
    </r>
  </si>
  <si>
    <r>
      <t>Quiescent current of other load on (VDD – COM) except gate driver, I</t>
    </r>
    <r>
      <rPr>
        <vertAlign val="subscript"/>
        <sz val="11"/>
        <rFont val="Arial"/>
        <family val="2"/>
      </rPr>
      <t>Q_OTHER_VDD</t>
    </r>
  </si>
  <si>
    <r>
      <t>Selected C</t>
    </r>
    <r>
      <rPr>
        <vertAlign val="subscript"/>
        <sz val="11"/>
        <rFont val="Arial"/>
        <family val="2"/>
      </rPr>
      <t>OUT3</t>
    </r>
    <r>
      <rPr>
        <sz val="11"/>
        <rFont val="Arial"/>
        <family val="2"/>
      </rPr>
      <t xml:space="preserve"> value, C</t>
    </r>
    <r>
      <rPr>
        <vertAlign val="subscript"/>
        <sz val="11"/>
        <rFont val="Arial"/>
        <family val="2"/>
      </rPr>
      <t>OUT3</t>
    </r>
    <r>
      <rPr>
        <sz val="11"/>
        <rFont val="Arial"/>
        <family val="2"/>
      </rPr>
      <t xml:space="preserve"> =</t>
    </r>
  </si>
  <si>
    <r>
      <t>R</t>
    </r>
    <r>
      <rPr>
        <vertAlign val="subscript"/>
        <sz val="11"/>
        <color theme="1"/>
        <rFont val="Calibri"/>
        <family val="2"/>
        <scheme val="minor"/>
      </rPr>
      <t>LIM(MAX)</t>
    </r>
    <r>
      <rPr>
        <sz val="11"/>
        <color theme="1"/>
        <rFont val="Calibri"/>
        <family val="2"/>
        <charset val="136"/>
        <scheme val="minor"/>
      </rPr>
      <t xml:space="preserve"> considering Min. pull-down to clear startup overshoot below OVP within 1.5ms</t>
    </r>
  </si>
  <si>
    <t>No gate drive sets as 0µC</t>
  </si>
  <si>
    <t>No gate drive sets as 0kHz</t>
  </si>
  <si>
    <t>No step load sets as 0A</t>
  </si>
  <si>
    <r>
      <t xml:space="preserve">ALL </t>
    </r>
    <r>
      <rPr>
        <b/>
        <sz val="14"/>
        <color rgb="FF92D050"/>
        <rFont val="Arial"/>
        <family val="2"/>
      </rPr>
      <t>GREEN</t>
    </r>
    <r>
      <rPr>
        <b/>
        <sz val="14"/>
        <color theme="1"/>
        <rFont val="Arial"/>
        <family val="2"/>
      </rPr>
      <t xml:space="preserve"> CELLS ARE USER INPUTS; CELLS INTO </t>
    </r>
    <r>
      <rPr>
        <b/>
        <sz val="14"/>
        <color rgb="FFFF0000"/>
        <rFont val="Arial"/>
        <family val="2"/>
      </rPr>
      <t>RED</t>
    </r>
    <r>
      <rPr>
        <b/>
        <sz val="14"/>
        <color theme="1"/>
        <rFont val="Arial"/>
        <family val="2"/>
      </rPr>
      <t xml:space="preserve"> MEANS ERROR ON USER INPUTS</t>
    </r>
  </si>
  <si>
    <r>
      <t>Step load transient of other load from (VDD – VEE), I</t>
    </r>
    <r>
      <rPr>
        <vertAlign val="subscript"/>
        <sz val="11"/>
        <rFont val="Arial"/>
        <family val="2"/>
      </rPr>
      <t>STEP</t>
    </r>
    <r>
      <rPr>
        <sz val="11"/>
        <rFont val="Arial"/>
        <family val="2"/>
      </rPr>
      <t xml:space="preserve"> =</t>
    </r>
  </si>
  <si>
    <r>
      <t>Total gate charge of power switch, Q</t>
    </r>
    <r>
      <rPr>
        <vertAlign val="subscript"/>
        <sz val="11"/>
        <rFont val="Arial"/>
        <family val="2"/>
      </rPr>
      <t>gtot</t>
    </r>
    <r>
      <rPr>
        <sz val="11"/>
        <rFont val="Arial"/>
        <family val="2"/>
      </rPr>
      <t xml:space="preserve"> =</t>
    </r>
  </si>
  <si>
    <r>
      <t>Desired AC ripple percentage between VDD and VEE, %V</t>
    </r>
    <r>
      <rPr>
        <vertAlign val="subscript"/>
        <sz val="11"/>
        <rFont val="Arial"/>
        <family val="2"/>
      </rPr>
      <t>PP_MAX</t>
    </r>
  </si>
  <si>
    <r>
      <t>Total quiescent current from (COM-VEE), I</t>
    </r>
    <r>
      <rPr>
        <vertAlign val="subscript"/>
        <sz val="11"/>
        <rFont val="Arial"/>
        <family val="2"/>
      </rPr>
      <t>Q_COM-VEE</t>
    </r>
  </si>
  <si>
    <r>
      <t>Total quiescent current from (VDD-COM), I</t>
    </r>
    <r>
      <rPr>
        <vertAlign val="subscript"/>
        <sz val="11"/>
        <rFont val="Arial"/>
        <family val="2"/>
      </rPr>
      <t>Q_VDD-COM</t>
    </r>
  </si>
  <si>
    <r>
      <t>Total quiescent current from (VDD-VEE), I</t>
    </r>
    <r>
      <rPr>
        <vertAlign val="subscript"/>
        <sz val="11"/>
        <rFont val="Arial"/>
        <family val="2"/>
      </rPr>
      <t>Q_VDD-VEE</t>
    </r>
  </si>
  <si>
    <r>
      <t>Quiescent current of the gate driver from (VDD – VEE), I</t>
    </r>
    <r>
      <rPr>
        <vertAlign val="subscript"/>
        <sz val="11"/>
        <rFont val="Arial"/>
        <family val="2"/>
      </rPr>
      <t>Q_DRIVER_VDD</t>
    </r>
  </si>
  <si>
    <t>No gate drive sets as 0mA</t>
  </si>
  <si>
    <r>
      <t>Quiescent current of other load on (VDD – VEE) except gate driver, I</t>
    </r>
    <r>
      <rPr>
        <vertAlign val="subscript"/>
        <sz val="11"/>
        <rFont val="Arial"/>
        <family val="2"/>
      </rPr>
      <t>Q_OTHER_VDD</t>
    </r>
  </si>
  <si>
    <r>
      <t>Max. Avg power capability based on provided SOA and T</t>
    </r>
    <r>
      <rPr>
        <vertAlign val="subscript"/>
        <sz val="11"/>
        <rFont val="Arial"/>
        <family val="2"/>
      </rPr>
      <t>AMB</t>
    </r>
    <r>
      <rPr>
        <sz val="11"/>
        <rFont val="Arial"/>
        <family val="2"/>
      </rPr>
      <t>, P</t>
    </r>
    <r>
      <rPr>
        <vertAlign val="subscript"/>
        <sz val="11"/>
        <rFont val="Arial"/>
        <family val="2"/>
      </rPr>
      <t xml:space="preserve">AVG </t>
    </r>
    <r>
      <rPr>
        <sz val="11"/>
        <rFont val="Arial"/>
        <family val="2"/>
      </rPr>
      <t>=</t>
    </r>
  </si>
  <si>
    <r>
      <t xml:space="preserve">Choose </t>
    </r>
    <r>
      <rPr>
        <sz val="11"/>
        <rFont val="Calibri"/>
        <family val="2"/>
      </rPr>
      <t>≥</t>
    </r>
    <r>
      <rPr>
        <sz val="11"/>
        <rFont val="Arial"/>
        <family val="2"/>
      </rPr>
      <t xml:space="preserve"> C</t>
    </r>
    <r>
      <rPr>
        <vertAlign val="subscript"/>
        <sz val="11"/>
        <rFont val="Arial"/>
        <family val="2"/>
      </rPr>
      <t>OUT2(MIN)</t>
    </r>
    <r>
      <rPr>
        <sz val="11"/>
        <rFont val="Arial"/>
        <family val="2"/>
      </rPr>
      <t>. 
Place close to gate driver. Note (1)</t>
    </r>
  </si>
  <si>
    <t>Refer to the Maximum Recommended 
Average Power Area in SOA figure. Note(2).</t>
  </si>
  <si>
    <t>Refer to the Maximum Recommended 
Average Power Area in SOA figure. Note (2).</t>
  </si>
  <si>
    <r>
      <t>Note (3): RLIM regulator efficiency will be impaired if R</t>
    </r>
    <r>
      <rPr>
        <vertAlign val="subscript"/>
        <sz val="11"/>
        <color theme="1"/>
        <rFont val="Calibri"/>
        <family val="2"/>
        <scheme val="minor"/>
      </rPr>
      <t>LIM</t>
    </r>
    <r>
      <rPr>
        <sz val="11"/>
        <color theme="1"/>
        <rFont val="Calibri"/>
        <family val="2"/>
        <charset val="136"/>
        <scheme val="minor"/>
      </rPr>
      <t xml:space="preserve"> is chosen much lower than R</t>
    </r>
    <r>
      <rPr>
        <vertAlign val="subscript"/>
        <sz val="11"/>
        <color theme="1"/>
        <rFont val="Calibri"/>
        <family val="2"/>
        <scheme val="minor"/>
      </rPr>
      <t>LIM(MAX).</t>
    </r>
  </si>
  <si>
    <t>uF</t>
  </si>
  <si>
    <t>K23</t>
  </si>
  <si>
    <t>VDD-COM</t>
  </si>
  <si>
    <t>I_MAX_POWER</t>
  </si>
  <si>
    <t>K23^2+K23+1</t>
  </si>
  <si>
    <t>Desired AC gate-switching ripple between VDD and COM</t>
  </si>
  <si>
    <t>current ratio</t>
  </si>
  <si>
    <r>
      <t>Recommended energy-storage capacitance between VDD and VEE, C</t>
    </r>
    <r>
      <rPr>
        <vertAlign val="subscript"/>
        <sz val="11"/>
        <rFont val="Arial"/>
        <family val="2"/>
      </rPr>
      <t>OUT1B</t>
    </r>
    <r>
      <rPr>
        <sz val="11"/>
        <rFont val="Arial"/>
        <family val="2"/>
      </rPr>
      <t>, at Gate Driver</t>
    </r>
  </si>
  <si>
    <r>
      <t>Selected energy-storage capacitance between VDD and VEE, C</t>
    </r>
    <r>
      <rPr>
        <vertAlign val="subscript"/>
        <sz val="11"/>
        <rFont val="Arial"/>
        <family val="2"/>
      </rPr>
      <t>OUT1B</t>
    </r>
    <r>
      <rPr>
        <sz val="11"/>
        <rFont val="Arial"/>
        <family val="2"/>
      </rPr>
      <t>, at Gate Driver</t>
    </r>
  </si>
  <si>
    <r>
      <t>Resistor Divider Design for V</t>
    </r>
    <r>
      <rPr>
        <b/>
        <i/>
        <vertAlign val="subscript"/>
        <sz val="14"/>
        <rFont val="Arial"/>
        <family val="2"/>
      </rPr>
      <t>VDD-VEE</t>
    </r>
    <r>
      <rPr>
        <b/>
        <i/>
        <sz val="14"/>
        <rFont val="Arial"/>
        <family val="2"/>
      </rPr>
      <t xml:space="preserve"> and V</t>
    </r>
    <r>
      <rPr>
        <b/>
        <i/>
        <vertAlign val="subscript"/>
        <sz val="14"/>
        <rFont val="Arial"/>
        <family val="2"/>
      </rPr>
      <t>COM-VEE</t>
    </r>
  </si>
  <si>
    <r>
      <t>Decoupling Capacitor Design Close to Output Load (C</t>
    </r>
    <r>
      <rPr>
        <b/>
        <i/>
        <vertAlign val="subscript"/>
        <sz val="14"/>
        <rFont val="Arial"/>
        <family val="2"/>
      </rPr>
      <t>OUT1B</t>
    </r>
    <r>
      <rPr>
        <b/>
        <i/>
        <sz val="14"/>
        <rFont val="Arial"/>
        <family val="2"/>
      </rPr>
      <t>, C</t>
    </r>
    <r>
      <rPr>
        <b/>
        <i/>
        <vertAlign val="subscript"/>
        <sz val="14"/>
        <rFont val="Arial"/>
        <family val="2"/>
      </rPr>
      <t>OUT2</t>
    </r>
    <r>
      <rPr>
        <b/>
        <i/>
        <sz val="14"/>
        <rFont val="Arial"/>
        <family val="2"/>
      </rPr>
      <t>, and C</t>
    </r>
    <r>
      <rPr>
        <b/>
        <i/>
        <vertAlign val="subscript"/>
        <sz val="14"/>
        <rFont val="Arial"/>
        <family val="2"/>
      </rPr>
      <t>OUT3</t>
    </r>
    <r>
      <rPr>
        <b/>
        <i/>
        <sz val="14"/>
        <rFont val="Arial"/>
        <family val="2"/>
      </rPr>
      <t>)</t>
    </r>
  </si>
  <si>
    <r>
      <t>RLIM Pin : Single R</t>
    </r>
    <r>
      <rPr>
        <b/>
        <i/>
        <vertAlign val="subscript"/>
        <sz val="14"/>
        <rFont val="Arial"/>
        <family val="2"/>
      </rPr>
      <t>LIM</t>
    </r>
    <r>
      <rPr>
        <b/>
        <i/>
        <sz val="14"/>
        <rFont val="Arial"/>
        <family val="2"/>
      </rPr>
      <t xml:space="preserve"> Resistor Option (Without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</si>
  <si>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RLIM Pin : RDR Option (With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</si>
  <si>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Max. R</t>
    </r>
    <r>
      <rPr>
        <vertAlign val="subscript"/>
        <sz val="11"/>
        <rFont val="Arial"/>
        <family val="2"/>
      </rPr>
      <t>LIM</t>
    </r>
    <r>
      <rPr>
        <sz val="11"/>
        <rFont val="Arial"/>
        <family val="2"/>
      </rPr>
      <t xml:space="preserve"> resistance R</t>
    </r>
    <r>
      <rPr>
        <vertAlign val="subscript"/>
        <sz val="11"/>
        <rFont val="Arial"/>
        <family val="2"/>
      </rPr>
      <t>LIM(MAX)</t>
    </r>
    <r>
      <rPr>
        <sz val="11"/>
        <rFont val="Arial"/>
        <family val="2"/>
      </rPr>
      <t xml:space="preserve"> =</t>
    </r>
  </si>
  <si>
    <r>
      <t>Selected R</t>
    </r>
    <r>
      <rPr>
        <vertAlign val="subscript"/>
        <sz val="11"/>
        <rFont val="Arial"/>
        <family val="2"/>
      </rPr>
      <t>LIM</t>
    </r>
    <r>
      <rPr>
        <sz val="11"/>
        <rFont val="Arial"/>
        <family val="2"/>
      </rPr>
      <t xml:space="preserve"> value, R</t>
    </r>
    <r>
      <rPr>
        <vertAlign val="subscript"/>
        <sz val="11"/>
        <rFont val="Arial"/>
        <family val="2"/>
      </rPr>
      <t>LIM</t>
    </r>
    <r>
      <rPr>
        <sz val="11"/>
        <rFont val="Arial"/>
        <family val="2"/>
      </rPr>
      <t xml:space="preserve"> =</t>
    </r>
  </si>
  <si>
    <r>
      <t>Selected R</t>
    </r>
    <r>
      <rPr>
        <vertAlign val="subscript"/>
        <sz val="11"/>
        <rFont val="Arial"/>
        <family val="2"/>
      </rPr>
      <t>LIM1</t>
    </r>
    <r>
      <rPr>
        <sz val="11"/>
        <rFont val="Arial"/>
        <family val="2"/>
      </rPr>
      <t xml:space="preserve"> value, R</t>
    </r>
    <r>
      <rPr>
        <vertAlign val="subscript"/>
        <sz val="11"/>
        <rFont val="Arial"/>
        <family val="2"/>
      </rPr>
      <t>LIM1</t>
    </r>
    <r>
      <rPr>
        <sz val="11"/>
        <rFont val="Arial"/>
        <family val="2"/>
      </rPr>
      <t xml:space="preserve"> =</t>
    </r>
  </si>
  <si>
    <r>
      <t>Power loss rating of R</t>
    </r>
    <r>
      <rPr>
        <vertAlign val="subscript"/>
        <sz val="11"/>
        <rFont val="Arial"/>
        <family val="2"/>
      </rPr>
      <t>LIM1</t>
    </r>
  </si>
  <si>
    <r>
      <t>&lt; Max. power limit of R</t>
    </r>
    <r>
      <rPr>
        <vertAlign val="subscript"/>
        <sz val="11"/>
        <rFont val="Arial"/>
        <family val="2"/>
      </rPr>
      <t>LIM1</t>
    </r>
  </si>
  <si>
    <r>
      <t>Max. R</t>
    </r>
    <r>
      <rPr>
        <vertAlign val="subscript"/>
        <sz val="11"/>
        <color theme="1"/>
        <rFont val="Arial"/>
        <family val="2"/>
      </rPr>
      <t>LIM1</t>
    </r>
    <r>
      <rPr>
        <sz val="11"/>
        <color theme="1"/>
        <rFont val="Arial"/>
        <family val="2"/>
      </rPr>
      <t xml:space="preserve"> resistance R</t>
    </r>
    <r>
      <rPr>
        <vertAlign val="subscript"/>
        <sz val="11"/>
        <color theme="1"/>
        <rFont val="Arial"/>
        <family val="2"/>
      </rPr>
      <t>LIM1(MAX)</t>
    </r>
    <r>
      <rPr>
        <sz val="11"/>
        <color theme="1"/>
        <rFont val="Arial"/>
        <family val="2"/>
      </rPr>
      <t xml:space="preserve"> =</t>
    </r>
  </si>
  <si>
    <r>
      <t>Max. R</t>
    </r>
    <r>
      <rPr>
        <vertAlign val="subscript"/>
        <sz val="11"/>
        <color theme="1"/>
        <rFont val="Arial"/>
        <family val="2"/>
      </rPr>
      <t>LIM2</t>
    </r>
    <r>
      <rPr>
        <sz val="11"/>
        <color theme="1"/>
        <rFont val="Arial"/>
        <family val="2"/>
      </rPr>
      <t xml:space="preserve"> resistance R</t>
    </r>
    <r>
      <rPr>
        <vertAlign val="subscript"/>
        <sz val="11"/>
        <color theme="1"/>
        <rFont val="Arial"/>
        <family val="2"/>
      </rPr>
      <t>LIM2(MAX)</t>
    </r>
    <r>
      <rPr>
        <sz val="11"/>
        <color theme="1"/>
        <rFont val="Arial"/>
        <family val="2"/>
      </rPr>
      <t xml:space="preserve"> =</t>
    </r>
  </si>
  <si>
    <r>
      <t>Selected R</t>
    </r>
    <r>
      <rPr>
        <vertAlign val="subscript"/>
        <sz val="11"/>
        <rFont val="Arial"/>
        <family val="2"/>
      </rPr>
      <t>LIM2</t>
    </r>
    <r>
      <rPr>
        <sz val="11"/>
        <rFont val="Arial"/>
        <family val="2"/>
      </rPr>
      <t xml:space="preserve"> value, R</t>
    </r>
    <r>
      <rPr>
        <vertAlign val="subscript"/>
        <sz val="11"/>
        <rFont val="Arial"/>
        <family val="2"/>
      </rPr>
      <t>LIM2</t>
    </r>
    <r>
      <rPr>
        <sz val="11"/>
        <rFont val="Arial"/>
        <family val="2"/>
      </rPr>
      <t xml:space="preserve"> =</t>
    </r>
  </si>
  <si>
    <r>
      <t>&lt; Max. power limit of R</t>
    </r>
    <r>
      <rPr>
        <vertAlign val="subscript"/>
        <sz val="11"/>
        <rFont val="Arial"/>
        <family val="2"/>
      </rPr>
      <t>LIM2</t>
    </r>
  </si>
  <si>
    <r>
      <t>Choose closest standard value 
but lower than R</t>
    </r>
    <r>
      <rPr>
        <vertAlign val="subscript"/>
        <sz val="11"/>
        <rFont val="Arial"/>
        <family val="2"/>
      </rPr>
      <t xml:space="preserve">LIM(MAX). </t>
    </r>
    <r>
      <rPr>
        <sz val="11"/>
        <rFont val="Arial"/>
        <family val="2"/>
      </rPr>
      <t>Note (3).</t>
    </r>
  </si>
  <si>
    <r>
      <t>Choose closest stardard value
but higher than C</t>
    </r>
    <r>
      <rPr>
        <vertAlign val="subscript"/>
        <sz val="11"/>
        <rFont val="Arial"/>
        <family val="2"/>
      </rPr>
      <t>OUT3(MIN)</t>
    </r>
    <r>
      <rPr>
        <sz val="11"/>
        <rFont val="Arial"/>
        <family val="2"/>
      </rPr>
      <t>. 
Place close to gate driver. Note (1)</t>
    </r>
  </si>
  <si>
    <r>
      <t>Choose closest stardard value
but higher than C</t>
    </r>
    <r>
      <rPr>
        <vertAlign val="subscript"/>
        <sz val="11"/>
        <rFont val="Arial"/>
        <family val="2"/>
      </rPr>
      <t>OUT2(MIN)</t>
    </r>
    <r>
      <rPr>
        <sz val="11"/>
        <rFont val="Arial"/>
        <family val="2"/>
      </rPr>
      <t>. 
Place close to gate driver. Note (1)</t>
    </r>
  </si>
  <si>
    <r>
      <t>Choose closest stardard value. 
but higher than C</t>
    </r>
    <r>
      <rPr>
        <vertAlign val="subscript"/>
        <sz val="11"/>
        <rFont val="Arial"/>
        <family val="2"/>
      </rPr>
      <t>OUT1B(MIN)</t>
    </r>
    <r>
      <rPr>
        <sz val="11"/>
        <rFont val="Arial"/>
        <family val="2"/>
      </rPr>
      <t>. 
Place close to gate driver. Note (1)</t>
    </r>
  </si>
  <si>
    <r>
      <t>Total output power requirement without RLIM regulator loss, P</t>
    </r>
    <r>
      <rPr>
        <vertAlign val="subscript"/>
        <sz val="11"/>
        <rFont val="Arial"/>
        <family val="2"/>
      </rPr>
      <t>O</t>
    </r>
    <r>
      <rPr>
        <sz val="11"/>
        <rFont val="Arial"/>
        <family val="2"/>
      </rPr>
      <t xml:space="preserve"> =</t>
    </r>
  </si>
  <si>
    <t>current</t>
  </si>
  <si>
    <t>Optional</t>
  </si>
  <si>
    <r>
      <t>Use maximum power at 25</t>
    </r>
    <r>
      <rPr>
        <vertAlign val="superscript"/>
        <sz val="11"/>
        <rFont val="Arial"/>
        <family val="2"/>
      </rPr>
      <t>o</t>
    </r>
    <r>
      <rPr>
        <sz val="11"/>
        <rFont val="Arial"/>
        <family val="2"/>
      </rPr>
      <t>C ambient temperature in the SOA figure.</t>
    </r>
  </si>
  <si>
    <r>
      <t>Choose closest standard value 
but lower than R</t>
    </r>
    <r>
      <rPr>
        <vertAlign val="subscript"/>
        <sz val="11"/>
        <rFont val="Arial"/>
        <family val="2"/>
      </rPr>
      <t>LIM2(MAX)</t>
    </r>
    <r>
      <rPr>
        <sz val="11"/>
        <rFont val="Arial"/>
        <family val="2"/>
      </rPr>
      <t>. Note (3).</t>
    </r>
  </si>
  <si>
    <r>
      <t>Selected energy-storage capacitance between VDD and COM, C</t>
    </r>
    <r>
      <rPr>
        <vertAlign val="subscript"/>
        <sz val="11"/>
        <rFont val="Arial"/>
        <family val="2"/>
      </rPr>
      <t>OUT2</t>
    </r>
    <r>
      <rPr>
        <sz val="11"/>
        <rFont val="Arial"/>
        <family val="2"/>
      </rPr>
      <t xml:space="preserve"> =</t>
    </r>
  </si>
  <si>
    <r>
      <t>Min. energy-storage capacitance between VDD and COM, C</t>
    </r>
    <r>
      <rPr>
        <vertAlign val="subscript"/>
        <sz val="11"/>
        <rFont val="Arial"/>
        <family val="2"/>
      </rPr>
      <t>OUT2(MIN)</t>
    </r>
    <r>
      <rPr>
        <sz val="11"/>
        <rFont val="Arial"/>
        <family val="2"/>
      </rPr>
      <t xml:space="preserve"> =</t>
    </r>
  </si>
  <si>
    <r>
      <t>Power loss rating of R</t>
    </r>
    <r>
      <rPr>
        <vertAlign val="subscript"/>
        <sz val="11"/>
        <rFont val="Arial"/>
        <family val="2"/>
      </rPr>
      <t>LIM</t>
    </r>
    <r>
      <rPr>
        <sz val="11"/>
        <rFont val="Arial"/>
        <family val="2"/>
      </rPr>
      <t xml:space="preserve"> =</t>
    </r>
  </si>
  <si>
    <r>
      <t>Power loss rating of R</t>
    </r>
    <r>
      <rPr>
        <vertAlign val="subscript"/>
        <sz val="11"/>
        <rFont val="Arial"/>
        <family val="2"/>
      </rPr>
      <t>LIM2</t>
    </r>
    <r>
      <rPr>
        <sz val="11"/>
        <rFont val="Arial"/>
        <family val="2"/>
      </rPr>
      <t xml:space="preserve"> =</t>
    </r>
  </si>
  <si>
    <t>2.2 // 0.1</t>
  </si>
  <si>
    <r>
      <t>Bottom feedback resistor between FBVDD and VEE, R</t>
    </r>
    <r>
      <rPr>
        <vertAlign val="subscript"/>
        <sz val="11"/>
        <rFont val="Arial"/>
        <family val="2"/>
      </rPr>
      <t>FBVDD_VEE</t>
    </r>
  </si>
  <si>
    <r>
      <t>UCC1424x-Q1 DESIGN CALCULATOR TOOL: DUAL OUTPUT</t>
    </r>
    <r>
      <rPr>
        <sz val="20"/>
        <color rgb="FFFFFFFF"/>
        <rFont val="Arial"/>
        <family val="2"/>
      </rPr>
      <t xml:space="preserve"> (Ver. 8)</t>
    </r>
  </si>
  <si>
    <t>UCC1424x-Q1 2.0-W, 24-V VIN, High-Efficiency, Isolated DC/DC Module</t>
  </si>
  <si>
    <t>Place close to UCC1424x-Q1.</t>
  </si>
  <si>
    <t>UCC1424x-Q1 2.5-W, 24-V VIN, High-Efficiency, Isolated DC/DC Module</t>
  </si>
  <si>
    <r>
      <t xml:space="preserve">UCC1424x-Q1 DESIGN CALCULATOR TOOL: SINGLE OUTPUT </t>
    </r>
    <r>
      <rPr>
        <sz val="20"/>
        <color rgb="FFFFFFFF"/>
        <rFont val="Arial"/>
        <family val="2"/>
      </rPr>
      <t>(Ver. 8)</t>
    </r>
  </si>
  <si>
    <r>
      <t>Top feedback resistor between VDD and FBVDD, R</t>
    </r>
    <r>
      <rPr>
        <vertAlign val="subscript"/>
        <sz val="11"/>
        <rFont val="Arial"/>
        <family val="2"/>
      </rPr>
      <t>FBVDD_VDD</t>
    </r>
    <r>
      <rPr>
        <sz val="11"/>
        <rFont val="Arial"/>
        <family val="2"/>
      </rPr>
      <t xml:space="preserve"> =</t>
    </r>
  </si>
  <si>
    <r>
      <t>Note (4): Some gate driver datasheets only specify I</t>
    </r>
    <r>
      <rPr>
        <vertAlign val="subscript"/>
        <sz val="11"/>
        <color theme="1"/>
        <rFont val="Calibri"/>
        <family val="2"/>
        <scheme val="minor"/>
      </rPr>
      <t>VDD-to-VEE</t>
    </r>
    <r>
      <rPr>
        <sz val="11"/>
        <color theme="1"/>
        <rFont val="Calibri"/>
        <family val="2"/>
        <charset val="136"/>
        <scheme val="minor"/>
      </rPr>
      <t>, so user may need to check with gate driver manufacturers for I</t>
    </r>
    <r>
      <rPr>
        <vertAlign val="subscript"/>
        <sz val="11"/>
        <color theme="1"/>
        <rFont val="Calibri"/>
        <family val="2"/>
        <scheme val="minor"/>
      </rPr>
      <t>Q_DRIVER_VDD</t>
    </r>
    <r>
      <rPr>
        <sz val="11"/>
        <color theme="1"/>
        <rFont val="Calibri"/>
        <family val="2"/>
        <charset val="136"/>
        <scheme val="minor"/>
      </rPr>
      <t xml:space="preserve"> and I</t>
    </r>
    <r>
      <rPr>
        <vertAlign val="subscript"/>
        <sz val="11"/>
        <color theme="1"/>
        <rFont val="Calibri"/>
        <family val="2"/>
        <scheme val="minor"/>
      </rPr>
      <t>Q_DRIVER_VEE</t>
    </r>
    <r>
      <rPr>
        <sz val="11"/>
        <color theme="1"/>
        <rFont val="Calibri"/>
        <family val="2"/>
        <charset val="136"/>
        <scheme val="minor"/>
      </rPr>
      <t>. Alternatively, user may directly measure the current w/o switching.</t>
    </r>
  </si>
  <si>
    <r>
      <t>Choose closest standard value but  lower than R</t>
    </r>
    <r>
      <rPr>
        <vertAlign val="subscript"/>
        <sz val="11"/>
        <rFont val="Arial"/>
        <family val="2"/>
      </rPr>
      <t xml:space="preserve">LIM1(MAX), </t>
    </r>
    <r>
      <rPr>
        <sz val="11"/>
        <rFont val="Arial"/>
        <family val="2"/>
      </rPr>
      <t>and not more than 3kΩ. Note (3).</t>
    </r>
  </si>
  <si>
    <t>Note (2): The maximum recommended average power SOA area at each Vin is determined by the lower value of the 2.0W limit (dotted line) and the corresponding thermal derating curve (solid line) at that input voltage. 
The part is not recommeded to operate at an ambient temperature higher than 125 deg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</si>
</sst>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00000"/>
  </numFmts>
  <fonts count="32">
    <font>
      <sz val="11"/>
      <color theme="1"/>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sz val="11"/>
      <color theme="1"/>
      <name val="Calibri"/>
      <family val="2"/>
      <charset val="136"/>
      <scheme val="minor"/>
    </font>
    <font>
      <b/>
      <sz val="24"/>
      <color indexed="9"/>
      <name val="Arial"/>
      <family val="2"/>
    </font>
    <font>
      <b/>
      <sz val="12"/>
      <name val="Arial"/>
      <family val="2"/>
    </font>
    <font>
      <sz val="11"/>
      <color theme="1"/>
      <name val="Arial"/>
      <family val="2"/>
    </font>
    <font>
      <sz val="11"/>
      <color theme="0"/>
      <name val="Calibri"/>
      <family val="2"/>
      <charset val="136"/>
      <scheme val="minor"/>
    </font>
    <font>
      <b/>
      <sz val="16"/>
      <color theme="1"/>
      <name val="Arial"/>
      <family val="2"/>
    </font>
    <font>
      <b/>
      <sz val="14"/>
      <color rgb="FFFF0000"/>
      <name val="Arial"/>
      <family val="2"/>
    </font>
    <font>
      <b/>
      <sz val="14"/>
      <color theme="1"/>
      <name val="Arial"/>
      <family val="2"/>
    </font>
    <font>
      <b/>
      <sz val="14"/>
      <color rgb="FF92D050"/>
      <name val="Arial"/>
      <family val="2"/>
    </font>
    <font>
      <sz val="11"/>
      <name val="Arial"/>
      <family val="2"/>
    </font>
    <font>
      <sz val="11"/>
      <color rgb="FFFF00FF"/>
      <name val="Arial"/>
      <family val="2"/>
    </font>
    <font>
      <vertAlign val="subscript"/>
      <sz val="11"/>
      <name val="Arial"/>
      <family val="2"/>
    </font>
    <font>
      <b/>
      <i/>
      <sz val="11"/>
      <color rgb="FFFF0000"/>
      <name val="Arial"/>
      <family val="2"/>
    </font>
    <font>
      <b/>
      <sz val="11"/>
      <name val="Arial"/>
      <family val="2"/>
    </font>
    <font>
      <sz val="11"/>
      <name val="Calibri"/>
      <family val="2"/>
    </font>
    <font>
      <b/>
      <i/>
      <sz val="16"/>
      <color theme="1"/>
      <name val="Arial"/>
      <family val="2"/>
    </font>
    <font>
      <sz val="11"/>
      <color theme="1"/>
      <name val="Calibri"/>
      <family val="2"/>
    </font>
    <font>
      <sz val="14"/>
      <color theme="1"/>
      <name val="Calibri"/>
      <family val="2"/>
      <charset val="136"/>
      <scheme val="minor"/>
    </font>
    <font>
      <vertAlign val="subscript"/>
      <sz val="11"/>
      <color theme="1"/>
      <name val="Calibri"/>
      <family val="2"/>
      <scheme val="minor"/>
    </font>
    <font>
      <sz val="20"/>
      <color rgb="FFFFFFFF"/>
      <name val="Arial"/>
      <family val="2"/>
    </font>
    <font>
      <b/>
      <i/>
      <sz val="16"/>
      <name val="Arial"/>
      <family val="2"/>
    </font>
    <font>
      <b/>
      <sz val="14"/>
      <color rgb="FF0000FF"/>
      <name val="Arial"/>
      <family val="2"/>
    </font>
    <font>
      <vertAlign val="subscript"/>
      <sz val="11"/>
      <color theme="1"/>
      <name val="Arial"/>
      <family val="2"/>
    </font>
    <font>
      <b/>
      <i/>
      <sz val="14"/>
      <name val="Arial"/>
      <family val="2"/>
    </font>
    <font>
      <b/>
      <i/>
      <vertAlign val="subscript"/>
      <sz val="14"/>
      <name val="Arial"/>
      <family val="2"/>
    </font>
    <font>
      <b/>
      <sz val="11"/>
      <color theme="1"/>
      <name val="Arial"/>
      <family val="2"/>
    </font>
    <font>
      <sz val="11"/>
      <name val="Calibri"/>
      <family val="2"/>
      <charset val="136"/>
      <scheme val="minor"/>
    </font>
    <font>
      <vertAlign val="superscript"/>
      <sz val="1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4">
    <xf numFmtId="0" fontId="0" fillId="0" borderId="0"/>
    <xf numFmtId="0" fontId="4" fillId="0" borderId="0">
      <alignment vertical="center"/>
    </xf>
    <xf numFmtId="0" fontId="2" fillId="0" borderId="0"/>
    <xf numFmtId="0" fontId="2" fillId="0" borderId="0"/>
  </cellStyleXfs>
  <cellXfs count="169">
    <xf numFmtId="0" fontId="0" fillId="0" borderId="0" xfId="0"/>
    <xf numFmtId="0" fontId="4" fillId="0" borderId="0" xfId="1">
      <alignment vertical="center"/>
    </xf>
    <xf numFmtId="164" fontId="17" fillId="3" borderId="1" xfId="2" applyNumberFormat="1" applyFont="1" applyFill="1" applyBorder="1" applyAlignment="1" applyProtection="1">
      <alignment horizontal="center" vertical="center"/>
      <protection locked="0"/>
    </xf>
    <xf numFmtId="0" fontId="17" fillId="3" borderId="1" xfId="2" applyFont="1" applyFill="1" applyBorder="1" applyAlignment="1" applyProtection="1">
      <alignment horizontal="center" vertical="center"/>
      <protection locked="0"/>
    </xf>
    <xf numFmtId="0" fontId="17" fillId="3" borderId="17" xfId="2" applyFont="1" applyFill="1" applyBorder="1" applyAlignment="1" applyProtection="1">
      <alignment horizontal="center" vertical="center"/>
      <protection locked="0"/>
    </xf>
    <xf numFmtId="0" fontId="17" fillId="3" borderId="18" xfId="2" applyFont="1" applyFill="1" applyBorder="1" applyAlignment="1" applyProtection="1">
      <alignment horizontal="center" vertical="center"/>
      <protection locked="0"/>
    </xf>
    <xf numFmtId="0" fontId="17" fillId="3" borderId="13" xfId="2" applyFont="1" applyFill="1" applyBorder="1" applyAlignment="1" applyProtection="1">
      <alignment horizontal="center" vertical="center"/>
      <protection locked="0"/>
    </xf>
    <xf numFmtId="0" fontId="3" fillId="0" borderId="0" xfId="1" applyFont="1">
      <alignment vertical="center"/>
    </xf>
    <xf numFmtId="0" fontId="20" fillId="0" borderId="0" xfId="1" applyFont="1">
      <alignment vertical="center"/>
    </xf>
    <xf numFmtId="0" fontId="3" fillId="0" borderId="0" xfId="1" applyFont="1" applyAlignment="1">
      <alignment horizontal="left" vertical="center"/>
    </xf>
    <xf numFmtId="0" fontId="21" fillId="0" borderId="0" xfId="1" applyFont="1">
      <alignment vertical="center"/>
    </xf>
    <xf numFmtId="0" fontId="1" fillId="0" borderId="0" xfId="1" applyFont="1">
      <alignment vertical="center"/>
    </xf>
    <xf numFmtId="2" fontId="17" fillId="3" borderId="1" xfId="2" applyNumberFormat="1" applyFont="1" applyFill="1" applyBorder="1" applyAlignment="1" applyProtection="1">
      <alignment horizontal="center" vertical="center"/>
      <protection locked="0"/>
    </xf>
    <xf numFmtId="2" fontId="4" fillId="0" borderId="0" xfId="1" applyNumberFormat="1">
      <alignment vertical="center"/>
    </xf>
    <xf numFmtId="164" fontId="17" fillId="3" borderId="18" xfId="2" applyNumberFormat="1" applyFont="1" applyFill="1" applyBorder="1" applyAlignment="1" applyProtection="1">
      <alignment horizontal="center" vertical="center"/>
      <protection locked="0"/>
    </xf>
    <xf numFmtId="164" fontId="17" fillId="3" borderId="22" xfId="2" applyNumberFormat="1" applyFont="1" applyFill="1" applyBorder="1" applyAlignment="1" applyProtection="1">
      <alignment horizontal="center" vertical="center"/>
      <protection locked="0"/>
    </xf>
    <xf numFmtId="0" fontId="4" fillId="0" borderId="0" xfId="1" applyProtection="1">
      <alignment vertical="center"/>
      <protection locked="0"/>
    </xf>
    <xf numFmtId="0" fontId="4" fillId="5" borderId="0" xfId="1" applyFill="1" applyProtection="1">
      <alignment vertical="center"/>
      <protection locked="0"/>
    </xf>
    <xf numFmtId="0" fontId="8" fillId="0" borderId="0" xfId="1" applyFont="1" applyProtection="1">
      <alignment vertical="center"/>
      <protection locked="0"/>
    </xf>
    <xf numFmtId="0" fontId="13" fillId="5" borderId="15" xfId="2" applyFont="1" applyFill="1" applyBorder="1" applyAlignment="1" applyProtection="1">
      <alignment vertical="center"/>
      <protection locked="0"/>
    </xf>
    <xf numFmtId="0" fontId="13" fillId="5" borderId="13" xfId="2" applyFont="1" applyFill="1" applyBorder="1" applyAlignment="1" applyProtection="1">
      <alignment vertical="center"/>
      <protection locked="0"/>
    </xf>
    <xf numFmtId="0" fontId="13" fillId="5" borderId="14" xfId="2" applyFont="1" applyFill="1" applyBorder="1" applyAlignment="1" applyProtection="1">
      <alignment horizontal="left" vertical="center" wrapText="1"/>
      <protection locked="0"/>
    </xf>
    <xf numFmtId="0" fontId="13" fillId="5" borderId="14" xfId="2" applyFont="1" applyFill="1" applyBorder="1" applyAlignment="1" applyProtection="1">
      <alignment horizontal="left" vertical="center"/>
      <protection locked="0"/>
    </xf>
    <xf numFmtId="0" fontId="13" fillId="5" borderId="16" xfId="2" applyFont="1" applyFill="1" applyBorder="1" applyAlignment="1" applyProtection="1">
      <alignment vertical="center"/>
      <protection locked="0"/>
    </xf>
    <xf numFmtId="0" fontId="13" fillId="5" borderId="18" xfId="2" applyFont="1" applyFill="1" applyBorder="1" applyAlignment="1" applyProtection="1">
      <alignment vertical="center"/>
      <protection locked="0"/>
    </xf>
    <xf numFmtId="0" fontId="13" fillId="0" borderId="16" xfId="2" applyFont="1" applyBorder="1" applyAlignment="1" applyProtection="1">
      <alignment vertical="center"/>
      <protection locked="0"/>
    </xf>
    <xf numFmtId="0" fontId="13" fillId="5" borderId="19" xfId="2" applyFont="1" applyFill="1" applyBorder="1" applyAlignment="1" applyProtection="1">
      <alignment horizontal="left" vertical="center"/>
      <protection locked="0"/>
    </xf>
    <xf numFmtId="0" fontId="13" fillId="5" borderId="21" xfId="2" applyFont="1" applyFill="1" applyBorder="1" applyAlignment="1" applyProtection="1">
      <alignment vertical="center"/>
      <protection locked="0"/>
    </xf>
    <xf numFmtId="0" fontId="13" fillId="5" borderId="22" xfId="2" applyFont="1" applyFill="1" applyBorder="1" applyAlignment="1" applyProtection="1">
      <alignment vertical="center"/>
      <protection locked="0"/>
    </xf>
    <xf numFmtId="0" fontId="7" fillId="5" borderId="0" xfId="2" applyFont="1" applyFill="1" applyAlignment="1" applyProtection="1">
      <alignment vertical="center"/>
      <protection locked="0"/>
    </xf>
    <xf numFmtId="0" fontId="16" fillId="5" borderId="0" xfId="2" applyFont="1" applyFill="1" applyAlignment="1" applyProtection="1">
      <alignment horizontal="left" vertical="center" wrapText="1"/>
      <protection locked="0"/>
    </xf>
    <xf numFmtId="0" fontId="13" fillId="5" borderId="27" xfId="2" applyFont="1" applyFill="1" applyBorder="1" applyAlignment="1" applyProtection="1">
      <alignment vertical="center"/>
      <protection locked="0"/>
    </xf>
    <xf numFmtId="0" fontId="13" fillId="5" borderId="29" xfId="2" applyFont="1" applyFill="1" applyBorder="1" applyAlignment="1" applyProtection="1">
      <alignment vertical="center"/>
      <protection locked="0"/>
    </xf>
    <xf numFmtId="0" fontId="13" fillId="5" borderId="3" xfId="2" applyFont="1" applyFill="1" applyBorder="1" applyAlignment="1" applyProtection="1">
      <alignment horizontal="left" vertical="center" wrapText="1"/>
      <protection locked="0"/>
    </xf>
    <xf numFmtId="0" fontId="13" fillId="5" borderId="24" xfId="2" applyFont="1" applyFill="1" applyBorder="1" applyAlignment="1" applyProtection="1">
      <alignment vertical="center"/>
      <protection locked="0"/>
    </xf>
    <xf numFmtId="0" fontId="13" fillId="5" borderId="26" xfId="2" applyFont="1" applyFill="1" applyBorder="1" applyAlignment="1" applyProtection="1">
      <alignment vertical="center"/>
      <protection locked="0"/>
    </xf>
    <xf numFmtId="0" fontId="13" fillId="5" borderId="4" xfId="2" applyFont="1" applyFill="1" applyBorder="1" applyAlignment="1" applyProtection="1">
      <alignment horizontal="left" vertical="center"/>
      <protection locked="0"/>
    </xf>
    <xf numFmtId="2" fontId="4" fillId="0" borderId="0" xfId="1" applyNumberFormat="1" applyProtection="1">
      <alignment vertical="center"/>
      <protection locked="0"/>
    </xf>
    <xf numFmtId="0" fontId="13" fillId="0" borderId="16" xfId="2" applyFont="1" applyBorder="1" applyAlignment="1" applyProtection="1">
      <alignment vertical="center" wrapText="1"/>
      <protection locked="0"/>
    </xf>
    <xf numFmtId="0" fontId="13" fillId="5" borderId="18" xfId="2" applyFont="1" applyFill="1" applyBorder="1" applyAlignment="1" applyProtection="1">
      <alignment vertical="center" wrapText="1"/>
      <protection locked="0"/>
    </xf>
    <xf numFmtId="0" fontId="13" fillId="5" borderId="16" xfId="2" applyFont="1" applyFill="1" applyBorder="1" applyAlignment="1" applyProtection="1">
      <alignment vertical="center" wrapText="1"/>
      <protection locked="0"/>
    </xf>
    <xf numFmtId="0" fontId="13" fillId="5" borderId="31" xfId="2" applyFont="1" applyFill="1" applyBorder="1" applyAlignment="1" applyProtection="1">
      <alignment vertical="center"/>
      <protection locked="0"/>
    </xf>
    <xf numFmtId="0" fontId="17" fillId="0" borderId="18" xfId="2" applyFont="1" applyBorder="1" applyAlignment="1">
      <alignment horizontal="center" vertical="center"/>
    </xf>
    <xf numFmtId="165" fontId="17" fillId="0" borderId="18" xfId="2" applyNumberFormat="1" applyFont="1" applyBorder="1" applyAlignment="1">
      <alignment horizontal="center" vertical="center"/>
    </xf>
    <xf numFmtId="0" fontId="17" fillId="5" borderId="13" xfId="2" applyFont="1" applyFill="1" applyBorder="1" applyAlignment="1">
      <alignment horizontal="center" vertical="center"/>
    </xf>
    <xf numFmtId="0" fontId="17" fillId="5" borderId="18" xfId="2" applyFont="1" applyFill="1" applyBorder="1" applyAlignment="1">
      <alignment horizontal="center" vertical="center"/>
    </xf>
    <xf numFmtId="2" fontId="17" fillId="5" borderId="18" xfId="2" applyNumberFormat="1" applyFont="1" applyFill="1" applyBorder="1" applyAlignment="1">
      <alignment horizontal="center" vertical="center"/>
    </xf>
    <xf numFmtId="2" fontId="17" fillId="5" borderId="1" xfId="2" applyNumberFormat="1" applyFont="1" applyFill="1" applyBorder="1" applyAlignment="1">
      <alignment horizontal="center" vertical="center"/>
    </xf>
    <xf numFmtId="2" fontId="17" fillId="5" borderId="26" xfId="2" applyNumberFormat="1" applyFont="1" applyFill="1" applyBorder="1" applyAlignment="1">
      <alignment horizontal="center" vertical="center"/>
    </xf>
    <xf numFmtId="0" fontId="17" fillId="5" borderId="20" xfId="2" applyFont="1" applyFill="1" applyBorder="1" applyAlignment="1">
      <alignment horizontal="center" vertical="center"/>
    </xf>
    <xf numFmtId="164" fontId="17" fillId="5" borderId="20" xfId="2" applyNumberFormat="1" applyFont="1" applyFill="1" applyBorder="1" applyAlignment="1">
      <alignment horizontal="center" vertical="center"/>
    </xf>
    <xf numFmtId="0" fontId="17" fillId="5" borderId="25" xfId="2" applyFont="1" applyFill="1" applyBorder="1" applyAlignment="1">
      <alignment horizontal="center" vertical="center"/>
    </xf>
    <xf numFmtId="0" fontId="17" fillId="5" borderId="28" xfId="2" applyFont="1" applyFill="1" applyBorder="1" applyAlignment="1">
      <alignment horizontal="center" vertical="center"/>
    </xf>
    <xf numFmtId="0" fontId="13" fillId="5" borderId="23" xfId="2" applyFont="1" applyFill="1" applyBorder="1" applyAlignment="1" applyProtection="1">
      <alignment horizontal="left" vertical="center" wrapText="1"/>
      <protection locked="0"/>
    </xf>
    <xf numFmtId="164" fontId="17" fillId="3" borderId="40" xfId="2" applyNumberFormat="1" applyFont="1" applyFill="1" applyBorder="1" applyAlignment="1" applyProtection="1">
      <alignment horizontal="center" vertical="center"/>
      <protection locked="0"/>
    </xf>
    <xf numFmtId="0" fontId="13" fillId="5" borderId="1" xfId="2" applyFont="1" applyFill="1" applyBorder="1" applyAlignment="1" applyProtection="1">
      <alignment vertical="center"/>
      <protection locked="0"/>
    </xf>
    <xf numFmtId="0" fontId="13" fillId="0" borderId="1" xfId="2" applyFont="1" applyBorder="1" applyAlignment="1" applyProtection="1">
      <alignment vertical="center"/>
      <protection locked="0"/>
    </xf>
    <xf numFmtId="165" fontId="17" fillId="0" borderId="1" xfId="2" applyNumberFormat="1" applyFont="1" applyBorder="1" applyAlignment="1">
      <alignment horizontal="center" vertical="center"/>
    </xf>
    <xf numFmtId="0" fontId="13" fillId="5" borderId="37" xfId="2" applyFont="1" applyFill="1" applyBorder="1" applyAlignment="1" applyProtection="1">
      <alignment vertical="center"/>
      <protection locked="0"/>
    </xf>
    <xf numFmtId="0" fontId="13" fillId="5" borderId="43" xfId="2" applyFont="1" applyFill="1" applyBorder="1" applyAlignment="1" applyProtection="1">
      <alignment horizontal="left" vertical="center"/>
      <protection locked="0"/>
    </xf>
    <xf numFmtId="0" fontId="13" fillId="5" borderId="43" xfId="2" applyFont="1" applyFill="1" applyBorder="1" applyAlignment="1" applyProtection="1">
      <alignment horizontal="left" vertical="center" wrapText="1"/>
      <protection locked="0"/>
    </xf>
    <xf numFmtId="0" fontId="13" fillId="0" borderId="21" xfId="2" applyFont="1" applyBorder="1" applyAlignment="1" applyProtection="1">
      <alignment vertical="center"/>
      <protection locked="0"/>
    </xf>
    <xf numFmtId="165" fontId="17" fillId="0" borderId="40" xfId="2" applyNumberFormat="1" applyFont="1" applyBorder="1" applyAlignment="1">
      <alignment horizontal="center" vertical="center"/>
    </xf>
    <xf numFmtId="0" fontId="13" fillId="0" borderId="40" xfId="2" applyFont="1" applyBorder="1" applyAlignment="1" applyProtection="1">
      <alignment vertical="center"/>
      <protection locked="0"/>
    </xf>
    <xf numFmtId="0" fontId="13" fillId="0" borderId="44" xfId="2" applyFont="1" applyBorder="1" applyAlignment="1" applyProtection="1">
      <alignment horizontal="left" vertical="center"/>
      <protection locked="0"/>
    </xf>
    <xf numFmtId="0" fontId="13" fillId="5" borderId="43" xfId="2" applyFont="1" applyFill="1" applyBorder="1" applyAlignment="1" applyProtection="1">
      <alignment vertical="center" wrapText="1"/>
      <protection locked="0"/>
    </xf>
    <xf numFmtId="0" fontId="0" fillId="0" borderId="43" xfId="0" applyBorder="1" applyAlignment="1" applyProtection="1">
      <alignment horizontal="left" vertical="center"/>
      <protection locked="0"/>
    </xf>
    <xf numFmtId="0" fontId="13" fillId="0" borderId="15" xfId="2" applyFont="1" applyBorder="1" applyAlignment="1" applyProtection="1">
      <alignment vertical="center"/>
      <protection locked="0"/>
    </xf>
    <xf numFmtId="0" fontId="13" fillId="0" borderId="43" xfId="2" applyFont="1" applyBorder="1" applyAlignment="1" applyProtection="1">
      <alignment horizontal="left" vertical="center"/>
      <protection locked="0"/>
    </xf>
    <xf numFmtId="0" fontId="17" fillId="5" borderId="38" xfId="2" applyFont="1" applyFill="1" applyBorder="1" applyAlignment="1">
      <alignment horizontal="center" vertical="center"/>
    </xf>
    <xf numFmtId="0" fontId="13" fillId="5" borderId="47" xfId="2" applyFont="1" applyFill="1" applyBorder="1" applyAlignment="1" applyProtection="1">
      <alignment vertical="center"/>
      <protection locked="0"/>
    </xf>
    <xf numFmtId="0" fontId="13" fillId="5" borderId="44" xfId="2" applyFont="1" applyFill="1" applyBorder="1" applyAlignment="1" applyProtection="1">
      <alignment horizontal="left" vertical="center"/>
      <protection locked="0"/>
    </xf>
    <xf numFmtId="0" fontId="13" fillId="5" borderId="44" xfId="2" applyFont="1" applyFill="1" applyBorder="1" applyAlignment="1" applyProtection="1">
      <alignment horizontal="left" vertical="center" wrapText="1"/>
      <protection locked="0"/>
    </xf>
    <xf numFmtId="0" fontId="13" fillId="5" borderId="42" xfId="2" applyFont="1" applyFill="1" applyBorder="1" applyAlignment="1" applyProtection="1">
      <alignment horizontal="left" vertical="center" wrapText="1"/>
      <protection locked="0"/>
    </xf>
    <xf numFmtId="0" fontId="13" fillId="5" borderId="48" xfId="2" applyFont="1" applyFill="1" applyBorder="1" applyAlignment="1" applyProtection="1">
      <alignment horizontal="left" vertical="center"/>
      <protection locked="0"/>
    </xf>
    <xf numFmtId="0" fontId="13" fillId="5" borderId="48" xfId="2" applyFont="1" applyFill="1" applyBorder="1" applyAlignment="1" applyProtection="1">
      <alignment horizontal="left" vertical="center" wrapText="1"/>
      <protection locked="0"/>
    </xf>
    <xf numFmtId="0" fontId="13" fillId="5" borderId="50" xfId="2" applyFont="1" applyFill="1" applyBorder="1" applyAlignment="1" applyProtection="1">
      <alignment horizontal="left" vertical="center" wrapText="1"/>
      <protection locked="0"/>
    </xf>
    <xf numFmtId="0" fontId="7" fillId="0" borderId="15" xfId="0" applyFont="1" applyBorder="1" applyAlignment="1" applyProtection="1">
      <alignment vertical="center"/>
      <protection locked="0"/>
    </xf>
    <xf numFmtId="164" fontId="29" fillId="0" borderId="1" xfId="0" applyNumberFormat="1" applyFont="1" applyBorder="1" applyAlignment="1">
      <alignment horizontal="center" vertical="center"/>
    </xf>
    <xf numFmtId="166" fontId="4" fillId="0" borderId="0" xfId="1" applyNumberFormat="1" applyProtection="1">
      <alignment vertical="center"/>
      <protection locked="0"/>
    </xf>
    <xf numFmtId="166" fontId="4" fillId="0" borderId="0" xfId="1" applyNumberFormat="1">
      <alignment vertical="center"/>
    </xf>
    <xf numFmtId="167" fontId="4" fillId="0" borderId="0" xfId="1" applyNumberFormat="1">
      <alignment vertical="center"/>
    </xf>
    <xf numFmtId="2" fontId="30" fillId="0" borderId="0" xfId="1" applyNumberFormat="1" applyFont="1" applyProtection="1">
      <alignment vertical="center"/>
      <protection locked="0"/>
    </xf>
    <xf numFmtId="0" fontId="17" fillId="3" borderId="22" xfId="2" applyFont="1" applyFill="1" applyBorder="1" applyAlignment="1" applyProtection="1">
      <alignment horizontal="center" vertical="center"/>
      <protection locked="0"/>
    </xf>
    <xf numFmtId="0" fontId="13" fillId="5" borderId="23" xfId="2" applyFont="1" applyFill="1" applyBorder="1" applyAlignment="1" applyProtection="1">
      <alignment horizontal="left" vertical="center"/>
      <protection locked="0"/>
    </xf>
    <xf numFmtId="2" fontId="4" fillId="0" borderId="0" xfId="1" quotePrefix="1" applyNumberFormat="1" applyProtection="1">
      <alignment vertical="center"/>
      <protection locked="0"/>
    </xf>
    <xf numFmtId="2" fontId="17" fillId="5" borderId="20" xfId="2" applyNumberFormat="1" applyFont="1" applyFill="1" applyBorder="1" applyAlignment="1">
      <alignment horizontal="center" vertical="center"/>
    </xf>
    <xf numFmtId="0" fontId="13" fillId="5" borderId="16" xfId="2" applyFont="1" applyFill="1" applyBorder="1" applyAlignment="1">
      <alignment vertical="center"/>
    </xf>
    <xf numFmtId="0" fontId="13" fillId="5" borderId="18" xfId="2" applyFont="1" applyFill="1" applyBorder="1" applyAlignment="1">
      <alignment vertical="center"/>
    </xf>
    <xf numFmtId="0" fontId="13" fillId="5" borderId="48" xfId="2" applyFont="1" applyFill="1" applyBorder="1" applyAlignment="1">
      <alignment horizontal="left" vertical="center"/>
    </xf>
    <xf numFmtId="0" fontId="13" fillId="5" borderId="15" xfId="2" applyFont="1" applyFill="1" applyBorder="1" applyAlignment="1">
      <alignment vertical="center"/>
    </xf>
    <xf numFmtId="0" fontId="13" fillId="5" borderId="43" xfId="2" applyFont="1" applyFill="1" applyBorder="1" applyAlignment="1">
      <alignment horizontal="left" vertical="center" wrapText="1"/>
    </xf>
    <xf numFmtId="0" fontId="13" fillId="5" borderId="13" xfId="2" applyFont="1" applyFill="1" applyBorder="1" applyAlignment="1">
      <alignment vertical="center"/>
    </xf>
    <xf numFmtId="0" fontId="4" fillId="0" borderId="0" xfId="1" applyAlignment="1" applyProtection="1">
      <alignment vertical="center" wrapText="1"/>
      <protection locked="0"/>
    </xf>
    <xf numFmtId="0" fontId="13" fillId="5" borderId="1" xfId="2" applyFont="1" applyFill="1" applyBorder="1" applyAlignment="1" applyProtection="1">
      <alignment vertical="center"/>
      <protection locked="0"/>
    </xf>
    <xf numFmtId="0" fontId="0" fillId="0" borderId="1" xfId="0" applyBorder="1" applyAlignment="1" applyProtection="1">
      <alignment vertical="center"/>
      <protection locked="0"/>
    </xf>
    <xf numFmtId="0" fontId="13" fillId="5" borderId="43" xfId="2" applyFont="1" applyFill="1" applyBorder="1" applyAlignment="1" applyProtection="1">
      <alignment horizontal="left" vertical="center"/>
      <protection locked="0"/>
    </xf>
    <xf numFmtId="0" fontId="0" fillId="0" borderId="43" xfId="0" applyBorder="1" applyAlignment="1" applyProtection="1">
      <alignment horizontal="left" vertical="center"/>
      <protection locked="0"/>
    </xf>
    <xf numFmtId="164" fontId="17" fillId="0" borderId="1" xfId="2" applyNumberFormat="1" applyFont="1" applyBorder="1" applyAlignment="1">
      <alignment horizontal="center" vertical="center"/>
    </xf>
    <xf numFmtId="0" fontId="0" fillId="0" borderId="1" xfId="0" applyBorder="1" applyAlignment="1">
      <alignment horizontal="center" vertical="center"/>
    </xf>
    <xf numFmtId="0" fontId="13" fillId="5" borderId="15" xfId="2" applyFont="1" applyFill="1" applyBorder="1" applyAlignment="1" applyProtection="1">
      <alignment vertical="center"/>
      <protection locked="0"/>
    </xf>
    <xf numFmtId="0" fontId="0" fillId="0" borderId="15" xfId="0" applyBorder="1" applyAlignment="1" applyProtection="1">
      <alignment vertical="center"/>
      <protection locked="0"/>
    </xf>
    <xf numFmtId="0" fontId="13" fillId="5" borderId="30" xfId="2" applyFont="1" applyFill="1" applyBorder="1" applyAlignment="1" applyProtection="1">
      <alignment vertical="center"/>
      <protection locked="0"/>
    </xf>
    <xf numFmtId="0" fontId="0" fillId="0" borderId="30" xfId="0" applyBorder="1" applyAlignment="1" applyProtection="1">
      <alignment vertical="center"/>
      <protection locked="0"/>
    </xf>
    <xf numFmtId="164" fontId="17" fillId="5" borderId="32" xfId="2" applyNumberFormat="1" applyFont="1" applyFill="1" applyBorder="1" applyAlignment="1">
      <alignment horizontal="center" vertical="center"/>
    </xf>
    <xf numFmtId="164" fontId="0" fillId="0" borderId="32" xfId="0" applyNumberFormat="1" applyBorder="1" applyAlignment="1">
      <alignment horizontal="center" vertical="center"/>
    </xf>
    <xf numFmtId="0" fontId="13" fillId="5" borderId="31" xfId="2" applyFont="1" applyFill="1" applyBorder="1" applyAlignment="1" applyProtection="1">
      <alignment vertical="center"/>
      <protection locked="0"/>
    </xf>
    <xf numFmtId="0" fontId="0" fillId="0" borderId="31" xfId="0" applyBorder="1" applyAlignment="1" applyProtection="1">
      <alignment vertical="center"/>
      <protection locked="0"/>
    </xf>
    <xf numFmtId="0" fontId="13" fillId="5" borderId="50" xfId="2" applyFont="1" applyFill="1" applyBorder="1" applyAlignment="1" applyProtection="1">
      <alignment horizontal="left" vertical="center" wrapText="1"/>
      <protection locked="0"/>
    </xf>
    <xf numFmtId="0" fontId="0" fillId="0" borderId="50" xfId="0" applyBorder="1" applyAlignment="1" applyProtection="1">
      <alignment horizontal="left" vertical="center"/>
      <protection locked="0"/>
    </xf>
    <xf numFmtId="0" fontId="19" fillId="2" borderId="7" xfId="2" applyFont="1" applyFill="1" applyBorder="1" applyAlignment="1" applyProtection="1">
      <alignment horizontal="center" vertical="center"/>
      <protection locked="0"/>
    </xf>
    <xf numFmtId="0" fontId="19" fillId="2" borderId="8" xfId="2" applyFont="1" applyFill="1" applyBorder="1" applyAlignment="1" applyProtection="1">
      <alignment horizontal="center" vertical="center"/>
      <protection locked="0"/>
    </xf>
    <xf numFmtId="0" fontId="19" fillId="2" borderId="9" xfId="2" applyFont="1" applyFill="1" applyBorder="1" applyAlignment="1" applyProtection="1">
      <alignment horizontal="center" vertical="center"/>
      <protection locked="0"/>
    </xf>
    <xf numFmtId="0" fontId="19" fillId="2" borderId="11" xfId="2" applyFont="1" applyFill="1" applyBorder="1" applyAlignment="1" applyProtection="1">
      <alignment horizontal="center" vertical="center"/>
      <protection locked="0"/>
    </xf>
    <xf numFmtId="0" fontId="19" fillId="2" borderId="12" xfId="2"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0" fontId="27" fillId="6" borderId="45" xfId="2" applyFont="1" applyFill="1" applyBorder="1" applyAlignment="1" applyProtection="1">
      <alignment horizontal="left" vertical="center"/>
      <protection locked="0"/>
    </xf>
    <xf numFmtId="0" fontId="27" fillId="6" borderId="46" xfId="2" applyFont="1" applyFill="1" applyBorder="1" applyAlignment="1" applyProtection="1">
      <alignment horizontal="left" vertical="center"/>
      <protection locked="0"/>
    </xf>
    <xf numFmtId="0" fontId="27" fillId="6" borderId="39" xfId="2" applyFont="1" applyFill="1" applyBorder="1" applyAlignment="1" applyProtection="1">
      <alignment horizontal="left" vertical="center"/>
      <protection locked="0"/>
    </xf>
    <xf numFmtId="0" fontId="27" fillId="6" borderId="9" xfId="2" applyFont="1" applyFill="1" applyBorder="1" applyAlignment="1" applyProtection="1">
      <alignment horizontal="left" vertical="center"/>
      <protection locked="0"/>
    </xf>
    <xf numFmtId="0" fontId="27" fillId="6" borderId="37" xfId="2" applyFont="1" applyFill="1" applyBorder="1" applyAlignment="1" applyProtection="1">
      <alignment horizontal="left" vertical="center"/>
      <protection locked="0"/>
    </xf>
    <xf numFmtId="0" fontId="27" fillId="6" borderId="41" xfId="2" applyFont="1" applyFill="1" applyBorder="1" applyAlignment="1" applyProtection="1">
      <alignment horizontal="left" vertical="center"/>
      <protection locked="0"/>
    </xf>
    <xf numFmtId="0" fontId="27" fillId="6" borderId="42" xfId="2" applyFont="1" applyFill="1" applyBorder="1" applyAlignment="1" applyProtection="1">
      <alignment horizontal="left" vertical="center"/>
      <protection locked="0"/>
    </xf>
    <xf numFmtId="0" fontId="13" fillId="5" borderId="42" xfId="2" applyFont="1" applyFill="1" applyBorder="1" applyAlignment="1" applyProtection="1">
      <alignment horizontal="left" vertical="center"/>
      <protection locked="0"/>
    </xf>
    <xf numFmtId="0" fontId="13" fillId="5" borderId="44" xfId="2" applyFont="1" applyFill="1" applyBorder="1" applyAlignment="1" applyProtection="1">
      <alignment horizontal="left" vertical="center"/>
      <protection locked="0"/>
    </xf>
    <xf numFmtId="0" fontId="11" fillId="5" borderId="11" xfId="2" applyFont="1" applyFill="1" applyBorder="1" applyAlignment="1" applyProtection="1">
      <alignment horizontal="center" vertical="center"/>
      <protection locked="0"/>
    </xf>
    <xf numFmtId="0" fontId="11" fillId="5" borderId="12"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5" fillId="4" borderId="0" xfId="2" applyFont="1" applyFill="1" applyAlignment="1" applyProtection="1">
      <alignment horizontal="center" vertical="center" wrapText="1"/>
      <protection locked="0"/>
    </xf>
    <xf numFmtId="0" fontId="6" fillId="5" borderId="7" xfId="2" applyFont="1" applyFill="1" applyBorder="1" applyAlignment="1" applyProtection="1">
      <alignment horizontal="left" vertical="center"/>
      <protection locked="0"/>
    </xf>
    <xf numFmtId="0" fontId="6" fillId="5" borderId="8" xfId="2" applyFont="1" applyFill="1" applyBorder="1" applyAlignment="1" applyProtection="1">
      <alignment horizontal="left" vertical="center"/>
      <protection locked="0"/>
    </xf>
    <xf numFmtId="0" fontId="6" fillId="5" borderId="9" xfId="2" applyFont="1" applyFill="1" applyBorder="1" applyAlignment="1" applyProtection="1">
      <alignment horizontal="left" vertical="center"/>
      <protection locked="0"/>
    </xf>
    <xf numFmtId="0" fontId="7" fillId="5" borderId="10" xfId="2" applyFont="1" applyFill="1" applyBorder="1" applyAlignment="1" applyProtection="1">
      <alignment horizontal="center" vertical="center" wrapText="1"/>
      <protection locked="0"/>
    </xf>
    <xf numFmtId="0" fontId="7" fillId="5" borderId="0" xfId="2" applyFont="1" applyFill="1" applyAlignment="1" applyProtection="1">
      <alignment horizontal="center" vertical="center" wrapText="1"/>
      <protection locked="0"/>
    </xf>
    <xf numFmtId="0" fontId="7" fillId="5" borderId="5" xfId="2" applyFont="1" applyFill="1" applyBorder="1" applyAlignment="1" applyProtection="1">
      <alignment horizontal="center" vertical="center" wrapText="1"/>
      <protection locked="0"/>
    </xf>
    <xf numFmtId="0" fontId="7" fillId="5" borderId="11" xfId="2" applyFont="1" applyFill="1" applyBorder="1" applyAlignment="1" applyProtection="1">
      <alignment horizontal="center" vertical="center" wrapText="1"/>
      <protection locked="0"/>
    </xf>
    <xf numFmtId="0" fontId="7" fillId="5" borderId="12" xfId="2" applyFont="1" applyFill="1" applyBorder="1" applyAlignment="1" applyProtection="1">
      <alignment horizontal="center" vertical="center" wrapText="1"/>
      <protection locked="0"/>
    </xf>
    <xf numFmtId="0" fontId="7" fillId="5" borderId="4" xfId="2" applyFont="1" applyFill="1" applyBorder="1" applyAlignment="1" applyProtection="1">
      <alignment horizontal="center" vertical="center" wrapText="1"/>
      <protection locked="0"/>
    </xf>
    <xf numFmtId="0" fontId="9" fillId="5" borderId="7" xfId="2" applyFont="1" applyFill="1" applyBorder="1" applyAlignment="1" applyProtection="1">
      <alignment horizontal="center" vertical="center" wrapText="1"/>
      <protection locked="0"/>
    </xf>
    <xf numFmtId="0" fontId="9" fillId="5" borderId="8" xfId="2" applyFont="1" applyFill="1" applyBorder="1" applyAlignment="1" applyProtection="1">
      <alignment horizontal="center" vertical="center" wrapText="1"/>
      <protection locked="0"/>
    </xf>
    <xf numFmtId="0" fontId="9" fillId="5" borderId="9" xfId="2" applyFont="1" applyFill="1" applyBorder="1" applyAlignment="1" applyProtection="1">
      <alignment horizontal="center" vertical="center" wrapText="1"/>
      <protection locked="0"/>
    </xf>
    <xf numFmtId="0" fontId="25" fillId="5" borderId="10" xfId="2" applyFont="1" applyFill="1" applyBorder="1" applyAlignment="1" applyProtection="1">
      <alignment horizontal="center" vertical="center"/>
      <protection locked="0"/>
    </xf>
    <xf numFmtId="0" fontId="10" fillId="5" borderId="0" xfId="2" applyFont="1" applyFill="1" applyAlignment="1" applyProtection="1">
      <alignment horizontal="center" vertical="center"/>
      <protection locked="0"/>
    </xf>
    <xf numFmtId="0" fontId="10" fillId="5" borderId="5" xfId="2" applyFont="1" applyFill="1" applyBorder="1" applyAlignment="1" applyProtection="1">
      <alignment horizontal="center" vertical="center"/>
      <protection locked="0"/>
    </xf>
    <xf numFmtId="0" fontId="13" fillId="5" borderId="2" xfId="2" applyFont="1" applyFill="1" applyBorder="1" applyAlignment="1" applyProtection="1">
      <alignment horizontal="center" vertical="center" wrapText="1"/>
      <protection locked="0"/>
    </xf>
    <xf numFmtId="0" fontId="13" fillId="5" borderId="6" xfId="2" applyFont="1" applyFill="1" applyBorder="1" applyAlignment="1" applyProtection="1">
      <alignment horizontal="center" vertical="center" wrapText="1"/>
      <protection locked="0"/>
    </xf>
    <xf numFmtId="0" fontId="13" fillId="5" borderId="3" xfId="2" applyFont="1" applyFill="1" applyBorder="1" applyAlignment="1" applyProtection="1">
      <alignment horizontal="center" vertical="center" wrapText="1"/>
      <protection locked="0"/>
    </xf>
    <xf numFmtId="0" fontId="24" fillId="2" borderId="7" xfId="2" applyFont="1" applyFill="1" applyBorder="1" applyAlignment="1" applyProtection="1">
      <alignment horizontal="center" vertical="center"/>
      <protection locked="0"/>
    </xf>
    <xf numFmtId="0" fontId="24" fillId="2" borderId="8" xfId="2" applyFont="1" applyFill="1" applyBorder="1" applyAlignment="1" applyProtection="1">
      <alignment horizontal="center" vertical="center"/>
      <protection locked="0"/>
    </xf>
    <xf numFmtId="0" fontId="24" fillId="2" borderId="9" xfId="2" applyFont="1" applyFill="1" applyBorder="1" applyAlignment="1" applyProtection="1">
      <alignment horizontal="center" vertical="center"/>
      <protection locked="0"/>
    </xf>
    <xf numFmtId="0" fontId="24" fillId="2" borderId="11" xfId="2" applyFont="1" applyFill="1" applyBorder="1" applyAlignment="1" applyProtection="1">
      <alignment horizontal="center" vertical="center"/>
      <protection locked="0"/>
    </xf>
    <xf numFmtId="0" fontId="24" fillId="2" borderId="12" xfId="2" applyFont="1" applyFill="1" applyBorder="1" applyAlignment="1" applyProtection="1">
      <alignment horizontal="center" vertical="center"/>
      <protection locked="0"/>
    </xf>
    <xf numFmtId="0" fontId="24" fillId="2" borderId="4" xfId="2" applyFont="1" applyFill="1" applyBorder="1" applyAlignment="1" applyProtection="1">
      <alignment horizontal="center" vertical="center"/>
      <protection locked="0"/>
    </xf>
    <xf numFmtId="0" fontId="13" fillId="5" borderId="16" xfId="2" applyFont="1" applyFill="1" applyBorder="1" applyAlignment="1" applyProtection="1">
      <alignment vertical="center"/>
      <protection locked="0"/>
    </xf>
    <xf numFmtId="0" fontId="0" fillId="0" borderId="33" xfId="0" applyBorder="1" applyAlignment="1" applyProtection="1">
      <alignment vertical="center"/>
      <protection locked="0"/>
    </xf>
    <xf numFmtId="164" fontId="17" fillId="5" borderId="17" xfId="2" applyNumberFormat="1" applyFont="1" applyFill="1" applyBorder="1" applyAlignment="1">
      <alignment horizontal="center" vertical="center"/>
    </xf>
    <xf numFmtId="164" fontId="0" fillId="0" borderId="34" xfId="0" applyNumberFormat="1" applyBorder="1" applyAlignment="1">
      <alignment horizontal="center" vertical="center"/>
    </xf>
    <xf numFmtId="0" fontId="13" fillId="5" borderId="18" xfId="2" applyFont="1" applyFill="1" applyBorder="1" applyAlignment="1" applyProtection="1">
      <alignment vertical="center"/>
      <protection locked="0"/>
    </xf>
    <xf numFmtId="0" fontId="0" fillId="0" borderId="35" xfId="0" applyBorder="1" applyAlignment="1" applyProtection="1">
      <alignment vertical="center"/>
      <protection locked="0"/>
    </xf>
    <xf numFmtId="0" fontId="13" fillId="5" borderId="48" xfId="2" applyFont="1" applyFill="1" applyBorder="1" applyAlignment="1" applyProtection="1">
      <alignment horizontal="left" vertical="center" wrapText="1"/>
      <protection locked="0"/>
    </xf>
    <xf numFmtId="0" fontId="0" fillId="0" borderId="49" xfId="0" applyBorder="1" applyAlignment="1" applyProtection="1">
      <alignment horizontal="left" vertical="center"/>
      <protection locked="0"/>
    </xf>
    <xf numFmtId="0" fontId="19" fillId="2" borderId="10" xfId="2" applyFont="1" applyFill="1" applyBorder="1" applyAlignment="1" applyProtection="1">
      <alignment horizontal="center" vertical="center"/>
      <protection locked="0"/>
    </xf>
    <xf numFmtId="0" fontId="19" fillId="2" borderId="0" xfId="2" applyFont="1" applyFill="1" applyAlignment="1" applyProtection="1">
      <alignment horizontal="center" vertical="center"/>
      <protection locked="0"/>
    </xf>
    <xf numFmtId="0" fontId="19" fillId="2" borderId="5" xfId="2" applyFont="1" applyFill="1" applyBorder="1" applyAlignment="1" applyProtection="1">
      <alignment horizontal="center" vertical="center"/>
      <protection locked="0"/>
    </xf>
    <xf numFmtId="0" fontId="25" fillId="5" borderId="0" xfId="2" applyFont="1" applyFill="1" applyAlignment="1" applyProtection="1">
      <alignment horizontal="center" vertical="center"/>
      <protection locked="0"/>
    </xf>
    <xf numFmtId="0" fontId="25" fillId="5" borderId="5" xfId="2" applyFont="1" applyFill="1" applyBorder="1" applyAlignment="1" applyProtection="1">
      <alignment horizontal="center" vertical="center"/>
      <protection locked="0"/>
    </xf>
    <xf numFmtId="0" fontId="13" fillId="5" borderId="9" xfId="2" applyFont="1" applyFill="1" applyBorder="1" applyAlignment="1" applyProtection="1">
      <alignment horizontal="left" vertical="center"/>
      <protection locked="0"/>
    </xf>
    <xf numFmtId="0" fontId="13" fillId="5" borderId="5" xfId="2" applyFont="1" applyFill="1" applyBorder="1" applyAlignment="1" applyProtection="1">
      <alignment horizontal="left" vertical="center"/>
      <protection locked="0"/>
    </xf>
    <xf numFmtId="0" fontId="13" fillId="5" borderId="36" xfId="2" applyFont="1" applyFill="1" applyBorder="1" applyAlignment="1" applyProtection="1">
      <alignment horizontal="left" vertical="center"/>
      <protection locked="0"/>
    </xf>
  </cellXfs>
  <cellStyles count="4">
    <cellStyle name="Normal" xfId="0" builtinId="0"/>
    <cellStyle name="Normal 2" xfId="1" xr:uid="{00000000-0005-0000-0000-000001000000}"/>
    <cellStyle name="Normal 2 2" xfId="2" xr:uid="{00000000-0005-0000-0000-000002000000}"/>
    <cellStyle name="Normal 5" xfId="3" xr:uid="{00000000-0005-0000-0000-00000300000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0000"/>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8.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71437</xdr:colOff>
      <xdr:row>35</xdr:row>
      <xdr:rowOff>190499</xdr:rowOff>
    </xdr:from>
    <xdr:to>
      <xdr:col>13</xdr:col>
      <xdr:colOff>383586</xdr:colOff>
      <xdr:row>92</xdr:row>
      <xdr:rowOff>127340</xdr:rowOff>
    </xdr:to>
    <xdr:grpSp>
      <xdr:nvGrpSpPr>
        <xdr:cNvPr id="19" name="Group 18">
          <a:extLst>
            <a:ext uri="{FF2B5EF4-FFF2-40B4-BE49-F238E27FC236}">
              <a16:creationId xmlns:a16="http://schemas.microsoft.com/office/drawing/2014/main" id="{79E23B4B-8D49-4E44-8D1D-CC9F93C97F54}"/>
            </a:ext>
          </a:extLst>
        </xdr:cNvPr>
        <xdr:cNvGrpSpPr/>
      </xdr:nvGrpSpPr>
      <xdr:grpSpPr>
        <a:xfrm>
          <a:off x="15398523" y="9367156"/>
          <a:ext cx="6810920" cy="15949727"/>
          <a:chOff x="15947570" y="11375571"/>
          <a:chExt cx="7081703" cy="15683707"/>
        </a:xfrm>
      </xdr:grpSpPr>
      <xdr:sp macro="" textlink="">
        <xdr:nvSpPr>
          <xdr:cNvPr id="14" name="TextBox 13">
            <a:extLst>
              <a:ext uri="{FF2B5EF4-FFF2-40B4-BE49-F238E27FC236}">
                <a16:creationId xmlns:a16="http://schemas.microsoft.com/office/drawing/2014/main" id="{6D8B71DC-4C9E-4942-BE22-D5AFF63E8D51}"/>
              </a:ext>
            </a:extLst>
          </xdr:cNvPr>
          <xdr:cNvSpPr txBox="1"/>
        </xdr:nvSpPr>
        <xdr:spPr>
          <a:xfrm>
            <a:off x="17341169" y="15345675"/>
            <a:ext cx="4066508" cy="357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18V, COM-VEE = 5V</a:t>
            </a:r>
            <a:endParaRPr lang="en-US" sz="1600" b="1"/>
          </a:p>
        </xdr:txBody>
      </xdr:sp>
      <xdr:sp macro="" textlink="">
        <xdr:nvSpPr>
          <xdr:cNvPr id="17" name="TextBox 16">
            <a:extLst>
              <a:ext uri="{FF2B5EF4-FFF2-40B4-BE49-F238E27FC236}">
                <a16:creationId xmlns:a16="http://schemas.microsoft.com/office/drawing/2014/main" id="{7BEB966B-B3BE-431F-91BC-7C46EECC1057}"/>
              </a:ext>
            </a:extLst>
          </xdr:cNvPr>
          <xdr:cNvSpPr txBox="1"/>
        </xdr:nvSpPr>
        <xdr:spPr>
          <a:xfrm>
            <a:off x="17368402" y="11375571"/>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15V, COM-VEE = 5V</a:t>
            </a:r>
            <a:endParaRPr lang="en-US" sz="1600" b="1"/>
          </a:p>
        </xdr:txBody>
      </xdr:sp>
      <xdr:pic>
        <xdr:nvPicPr>
          <xdr:cNvPr id="2" name="Picture 1">
            <a:extLst>
              <a:ext uri="{FF2B5EF4-FFF2-40B4-BE49-F238E27FC236}">
                <a16:creationId xmlns:a16="http://schemas.microsoft.com/office/drawing/2014/main" id="{282A7F27-D365-450F-94F9-AC4404B5224C}"/>
              </a:ext>
            </a:extLst>
          </xdr:cNvPr>
          <xdr:cNvPicPr>
            <a:picLocks noChangeAspect="1"/>
          </xdr:cNvPicPr>
        </xdr:nvPicPr>
        <xdr:blipFill>
          <a:blip xmlns:r="http://schemas.openxmlformats.org/officeDocument/2006/relationships" r:embed="rId1"/>
          <a:stretch>
            <a:fillRect/>
          </a:stretch>
        </xdr:blipFill>
        <xdr:spPr>
          <a:xfrm>
            <a:off x="15965940" y="15721012"/>
            <a:ext cx="7045642" cy="3568914"/>
          </a:xfrm>
          <a:prstGeom prst="rect">
            <a:avLst/>
          </a:prstGeom>
        </xdr:spPr>
      </xdr:pic>
      <xdr:pic>
        <xdr:nvPicPr>
          <xdr:cNvPr id="3" name="Picture 2">
            <a:extLst>
              <a:ext uri="{FF2B5EF4-FFF2-40B4-BE49-F238E27FC236}">
                <a16:creationId xmlns:a16="http://schemas.microsoft.com/office/drawing/2014/main" id="{0A0CF97A-2562-4488-9237-126940B4CF0D}"/>
              </a:ext>
            </a:extLst>
          </xdr:cNvPr>
          <xdr:cNvPicPr>
            <a:picLocks noChangeAspect="1"/>
          </xdr:cNvPicPr>
        </xdr:nvPicPr>
        <xdr:blipFill>
          <a:blip xmlns:r="http://schemas.openxmlformats.org/officeDocument/2006/relationships" r:embed="rId2"/>
          <a:stretch>
            <a:fillRect/>
          </a:stretch>
        </xdr:blipFill>
        <xdr:spPr>
          <a:xfrm>
            <a:off x="15947570" y="11774941"/>
            <a:ext cx="7045642" cy="3559524"/>
          </a:xfrm>
          <a:prstGeom prst="rect">
            <a:avLst/>
          </a:prstGeom>
        </xdr:spPr>
      </xdr:pic>
      <xdr:pic>
        <xdr:nvPicPr>
          <xdr:cNvPr id="4" name="Picture 3">
            <a:extLst>
              <a:ext uri="{FF2B5EF4-FFF2-40B4-BE49-F238E27FC236}">
                <a16:creationId xmlns:a16="http://schemas.microsoft.com/office/drawing/2014/main" id="{70DC23AF-02A9-4126-A423-756EC21A5649}"/>
              </a:ext>
            </a:extLst>
          </xdr:cNvPr>
          <xdr:cNvPicPr>
            <a:picLocks noChangeAspect="1"/>
          </xdr:cNvPicPr>
        </xdr:nvPicPr>
        <xdr:blipFill>
          <a:blip xmlns:r="http://schemas.openxmlformats.org/officeDocument/2006/relationships" r:embed="rId3"/>
          <a:stretch>
            <a:fillRect/>
          </a:stretch>
        </xdr:blipFill>
        <xdr:spPr>
          <a:xfrm>
            <a:off x="15988393" y="19503797"/>
            <a:ext cx="7040880" cy="3528428"/>
          </a:xfrm>
          <a:prstGeom prst="rect">
            <a:avLst/>
          </a:prstGeom>
        </xdr:spPr>
      </xdr:pic>
      <xdr:sp macro="" textlink="">
        <xdr:nvSpPr>
          <xdr:cNvPr id="15" name="TextBox 14">
            <a:extLst>
              <a:ext uri="{FF2B5EF4-FFF2-40B4-BE49-F238E27FC236}">
                <a16:creationId xmlns:a16="http://schemas.microsoft.com/office/drawing/2014/main" id="{99491435-FE14-4E98-B2F1-811D0B4E664D}"/>
              </a:ext>
            </a:extLst>
          </xdr:cNvPr>
          <xdr:cNvSpPr txBox="1"/>
        </xdr:nvSpPr>
        <xdr:spPr>
          <a:xfrm>
            <a:off x="17368402" y="19282654"/>
            <a:ext cx="4066508" cy="357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22V, COM-VEE = 4V</a:t>
            </a:r>
            <a:endParaRPr lang="en-US" sz="1600" b="1"/>
          </a:p>
        </xdr:txBody>
      </xdr:sp>
      <xdr:pic>
        <xdr:nvPicPr>
          <xdr:cNvPr id="18" name="Picture 17">
            <a:extLst>
              <a:ext uri="{FF2B5EF4-FFF2-40B4-BE49-F238E27FC236}">
                <a16:creationId xmlns:a16="http://schemas.microsoft.com/office/drawing/2014/main" id="{F850EF90-013D-4411-8DB0-1DDB96691BDC}"/>
              </a:ext>
            </a:extLst>
          </xdr:cNvPr>
          <xdr:cNvPicPr>
            <a:picLocks noChangeAspect="1"/>
          </xdr:cNvPicPr>
        </xdr:nvPicPr>
        <xdr:blipFill>
          <a:blip xmlns:r="http://schemas.openxmlformats.org/officeDocument/2006/relationships" r:embed="rId4"/>
          <a:stretch>
            <a:fillRect/>
          </a:stretch>
        </xdr:blipFill>
        <xdr:spPr>
          <a:xfrm>
            <a:off x="15988393" y="23482526"/>
            <a:ext cx="7040880" cy="3576752"/>
          </a:xfrm>
          <a:prstGeom prst="rect">
            <a:avLst/>
          </a:prstGeom>
        </xdr:spPr>
      </xdr:pic>
      <xdr:sp macro="" textlink="">
        <xdr:nvSpPr>
          <xdr:cNvPr id="16" name="TextBox 15">
            <a:extLst>
              <a:ext uri="{FF2B5EF4-FFF2-40B4-BE49-F238E27FC236}">
                <a16:creationId xmlns:a16="http://schemas.microsoft.com/office/drawing/2014/main" id="{90E2A273-BAD2-4432-A283-16F96CAFD828}"/>
              </a:ext>
            </a:extLst>
          </xdr:cNvPr>
          <xdr:cNvSpPr txBox="1"/>
        </xdr:nvSpPr>
        <xdr:spPr>
          <a:xfrm>
            <a:off x="17341169" y="23179225"/>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25V, COM-VEE = 5V</a:t>
            </a:r>
            <a:endParaRPr lang="en-US" sz="1600" b="1"/>
          </a:p>
        </xdr:txBody>
      </xdr:sp>
    </xdr:grpSp>
    <xdr:clientData/>
  </xdr:twoCellAnchor>
  <xdr:twoCellAnchor>
    <xdr:from>
      <xdr:col>5</xdr:col>
      <xdr:colOff>855662</xdr:colOff>
      <xdr:row>10</xdr:row>
      <xdr:rowOff>53974</xdr:rowOff>
    </xdr:from>
    <xdr:to>
      <xdr:col>47</xdr:col>
      <xdr:colOff>334960</xdr:colOff>
      <xdr:row>34</xdr:row>
      <xdr:rowOff>103187</xdr:rowOff>
    </xdr:to>
    <xdr:grpSp>
      <xdr:nvGrpSpPr>
        <xdr:cNvPr id="23" name="Group 22">
          <a:extLst>
            <a:ext uri="{FF2B5EF4-FFF2-40B4-BE49-F238E27FC236}">
              <a16:creationId xmlns:a16="http://schemas.microsoft.com/office/drawing/2014/main" id="{9889989A-8E35-4FFC-AED0-8C96434DE986}"/>
            </a:ext>
          </a:extLst>
        </xdr:cNvPr>
        <xdr:cNvGrpSpPr/>
      </xdr:nvGrpSpPr>
      <xdr:grpSpPr>
        <a:xfrm>
          <a:off x="14952662" y="2862488"/>
          <a:ext cx="28304669" cy="6166985"/>
          <a:chOff x="23187025" y="12122149"/>
          <a:chExt cx="29340173" cy="6383338"/>
        </a:xfrm>
      </xdr:grpSpPr>
      <xdr:pic>
        <xdr:nvPicPr>
          <xdr:cNvPr id="27" name="Picture 26">
            <a:extLst>
              <a:ext uri="{FF2B5EF4-FFF2-40B4-BE49-F238E27FC236}">
                <a16:creationId xmlns:a16="http://schemas.microsoft.com/office/drawing/2014/main" id="{90D0524B-CCE2-45F8-8C10-4FA72520ED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691512" y="12668250"/>
            <a:ext cx="8402638" cy="5800725"/>
          </a:xfrm>
          <a:prstGeom prst="rect">
            <a:avLst/>
          </a:prstGeom>
          <a:solidFill>
            <a:srgbClr val="FFFFFF"/>
          </a:solidFill>
          <a:ln>
            <a:solidFill>
              <a:schemeClr val="tx1"/>
            </a:solidFill>
          </a:ln>
        </xdr:spPr>
      </xdr:pic>
      <xdr:pic>
        <xdr:nvPicPr>
          <xdr:cNvPr id="28" name="Picture 27">
            <a:extLst>
              <a:ext uri="{FF2B5EF4-FFF2-40B4-BE49-F238E27FC236}">
                <a16:creationId xmlns:a16="http://schemas.microsoft.com/office/drawing/2014/main" id="{5E68899F-4A7E-4A33-939F-C594614138C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3753762" y="12668250"/>
            <a:ext cx="8397876" cy="5800725"/>
          </a:xfrm>
          <a:prstGeom prst="rect">
            <a:avLst/>
          </a:prstGeom>
          <a:solidFill>
            <a:srgbClr val="FFFFFF"/>
          </a:solidFill>
          <a:ln>
            <a:solidFill>
              <a:schemeClr val="tx1"/>
            </a:solidFill>
          </a:ln>
        </xdr:spPr>
      </xdr:pic>
      <xdr:pic>
        <xdr:nvPicPr>
          <xdr:cNvPr id="29" name="Picture 28">
            <a:extLst>
              <a:ext uri="{FF2B5EF4-FFF2-40B4-BE49-F238E27FC236}">
                <a16:creationId xmlns:a16="http://schemas.microsoft.com/office/drawing/2014/main" id="{B3EB68DF-2CA6-4B8E-90A0-138064B7E6E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494325" y="12704762"/>
            <a:ext cx="8407399" cy="5800725"/>
          </a:xfrm>
          <a:prstGeom prst="rect">
            <a:avLst/>
          </a:prstGeom>
          <a:solidFill>
            <a:srgbClr val="FFFFFF"/>
          </a:solidFill>
          <a:ln>
            <a:solidFill>
              <a:schemeClr val="tx1"/>
            </a:solidFill>
          </a:ln>
        </xdr:spPr>
      </xdr:pic>
      <xdr:sp macro="" textlink="">
        <xdr:nvSpPr>
          <xdr:cNvPr id="30" name="TextBox 29">
            <a:extLst>
              <a:ext uri="{FF2B5EF4-FFF2-40B4-BE49-F238E27FC236}">
                <a16:creationId xmlns:a16="http://schemas.microsoft.com/office/drawing/2014/main" id="{6867D710-CD56-43AF-93C0-5488998075A7}"/>
              </a:ext>
            </a:extLst>
          </xdr:cNvPr>
          <xdr:cNvSpPr txBox="1"/>
        </xdr:nvSpPr>
        <xdr:spPr>
          <a:xfrm>
            <a:off x="43006962" y="12122149"/>
            <a:ext cx="9520236" cy="4397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Functional Schematic configured for (COM-VEE) regulation &lt; 2.5V</a:t>
            </a:r>
          </a:p>
        </xdr:txBody>
      </xdr:sp>
      <xdr:sp macro="" textlink="">
        <xdr:nvSpPr>
          <xdr:cNvPr id="31" name="TextBox 30">
            <a:extLst>
              <a:ext uri="{FF2B5EF4-FFF2-40B4-BE49-F238E27FC236}">
                <a16:creationId xmlns:a16="http://schemas.microsoft.com/office/drawing/2014/main" id="{0246D493-2B4A-42F8-A0A2-88FE633BEFD5}"/>
              </a:ext>
            </a:extLst>
          </xdr:cNvPr>
          <xdr:cNvSpPr txBox="1"/>
        </xdr:nvSpPr>
        <xdr:spPr>
          <a:xfrm>
            <a:off x="32754887" y="12168186"/>
            <a:ext cx="9918700" cy="37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Schematic configured for (COM-VEE) regulation = 2.5V</a:t>
            </a:r>
          </a:p>
        </xdr:txBody>
      </xdr:sp>
      <xdr:sp macro="" textlink="">
        <xdr:nvSpPr>
          <xdr:cNvPr id="32" name="TextBox 31">
            <a:extLst>
              <a:ext uri="{FF2B5EF4-FFF2-40B4-BE49-F238E27FC236}">
                <a16:creationId xmlns:a16="http://schemas.microsoft.com/office/drawing/2014/main" id="{83C0E6EF-467E-4E15-91F4-103E2FF90E62}"/>
              </a:ext>
            </a:extLst>
          </xdr:cNvPr>
          <xdr:cNvSpPr txBox="1"/>
        </xdr:nvSpPr>
        <xdr:spPr>
          <a:xfrm>
            <a:off x="23187025" y="12158661"/>
            <a:ext cx="9178924" cy="39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Schematic configured for (COM-VEE) regulation &gt; 2.5V</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623888</xdr:colOff>
      <xdr:row>24</xdr:row>
      <xdr:rowOff>123825</xdr:rowOff>
    </xdr:from>
    <xdr:to>
      <xdr:col>17</xdr:col>
      <xdr:colOff>269287</xdr:colOff>
      <xdr:row>108</xdr:row>
      <xdr:rowOff>111693</xdr:rowOff>
    </xdr:to>
    <xdr:grpSp>
      <xdr:nvGrpSpPr>
        <xdr:cNvPr id="6" name="Group 5">
          <a:extLst>
            <a:ext uri="{FF2B5EF4-FFF2-40B4-BE49-F238E27FC236}">
              <a16:creationId xmlns:a16="http://schemas.microsoft.com/office/drawing/2014/main" id="{E198E421-6DD3-4F4E-96B1-0A9185DD0685}"/>
            </a:ext>
          </a:extLst>
        </xdr:cNvPr>
        <xdr:cNvGrpSpPr/>
      </xdr:nvGrpSpPr>
      <xdr:grpSpPr>
        <a:xfrm>
          <a:off x="13033602" y="6742339"/>
          <a:ext cx="6710228" cy="16751868"/>
          <a:chOff x="15947570" y="11375571"/>
          <a:chExt cx="7081703" cy="15683707"/>
        </a:xfrm>
      </xdr:grpSpPr>
      <xdr:sp macro="" textlink="">
        <xdr:nvSpPr>
          <xdr:cNvPr id="7" name="TextBox 6">
            <a:extLst>
              <a:ext uri="{FF2B5EF4-FFF2-40B4-BE49-F238E27FC236}">
                <a16:creationId xmlns:a16="http://schemas.microsoft.com/office/drawing/2014/main" id="{68E2A39F-FB6D-43BC-9020-DDF545494EB7}"/>
              </a:ext>
            </a:extLst>
          </xdr:cNvPr>
          <xdr:cNvSpPr txBox="1"/>
        </xdr:nvSpPr>
        <xdr:spPr>
          <a:xfrm>
            <a:off x="17341169" y="15345675"/>
            <a:ext cx="4066508" cy="357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18V, COM-VEE = 5V</a:t>
            </a:r>
            <a:endParaRPr lang="en-US" sz="1600" b="1"/>
          </a:p>
        </xdr:txBody>
      </xdr:sp>
      <xdr:sp macro="" textlink="">
        <xdr:nvSpPr>
          <xdr:cNvPr id="11" name="TextBox 10">
            <a:extLst>
              <a:ext uri="{FF2B5EF4-FFF2-40B4-BE49-F238E27FC236}">
                <a16:creationId xmlns:a16="http://schemas.microsoft.com/office/drawing/2014/main" id="{2501A44E-DFD7-469A-939A-118A2EC1DAB9}"/>
              </a:ext>
            </a:extLst>
          </xdr:cNvPr>
          <xdr:cNvSpPr txBox="1"/>
        </xdr:nvSpPr>
        <xdr:spPr>
          <a:xfrm>
            <a:off x="17368402" y="11375571"/>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15V, COM-VEE = 5V</a:t>
            </a:r>
            <a:endParaRPr lang="en-US" sz="1600" b="1"/>
          </a:p>
        </xdr:txBody>
      </xdr:sp>
      <xdr:pic>
        <xdr:nvPicPr>
          <xdr:cNvPr id="12" name="Picture 11">
            <a:extLst>
              <a:ext uri="{FF2B5EF4-FFF2-40B4-BE49-F238E27FC236}">
                <a16:creationId xmlns:a16="http://schemas.microsoft.com/office/drawing/2014/main" id="{DF3D0B18-28DA-4A47-8221-DCBA50A2A132}"/>
              </a:ext>
            </a:extLst>
          </xdr:cNvPr>
          <xdr:cNvPicPr>
            <a:picLocks noChangeAspect="1"/>
          </xdr:cNvPicPr>
        </xdr:nvPicPr>
        <xdr:blipFill>
          <a:blip xmlns:r="http://schemas.openxmlformats.org/officeDocument/2006/relationships" r:embed="rId1"/>
          <a:stretch>
            <a:fillRect/>
          </a:stretch>
        </xdr:blipFill>
        <xdr:spPr>
          <a:xfrm>
            <a:off x="15965940" y="15721012"/>
            <a:ext cx="7045642" cy="3568914"/>
          </a:xfrm>
          <a:prstGeom prst="rect">
            <a:avLst/>
          </a:prstGeom>
        </xdr:spPr>
      </xdr:pic>
      <xdr:pic>
        <xdr:nvPicPr>
          <xdr:cNvPr id="13" name="Picture 12">
            <a:extLst>
              <a:ext uri="{FF2B5EF4-FFF2-40B4-BE49-F238E27FC236}">
                <a16:creationId xmlns:a16="http://schemas.microsoft.com/office/drawing/2014/main" id="{DF60D888-2EEF-494E-863C-7299A46C0DA7}"/>
              </a:ext>
            </a:extLst>
          </xdr:cNvPr>
          <xdr:cNvPicPr>
            <a:picLocks noChangeAspect="1"/>
          </xdr:cNvPicPr>
        </xdr:nvPicPr>
        <xdr:blipFill>
          <a:blip xmlns:r="http://schemas.openxmlformats.org/officeDocument/2006/relationships" r:embed="rId2"/>
          <a:stretch>
            <a:fillRect/>
          </a:stretch>
        </xdr:blipFill>
        <xdr:spPr>
          <a:xfrm>
            <a:off x="15947570" y="11774941"/>
            <a:ext cx="7045642" cy="3559524"/>
          </a:xfrm>
          <a:prstGeom prst="rect">
            <a:avLst/>
          </a:prstGeom>
        </xdr:spPr>
      </xdr:pic>
      <xdr:pic>
        <xdr:nvPicPr>
          <xdr:cNvPr id="14" name="Picture 13">
            <a:extLst>
              <a:ext uri="{FF2B5EF4-FFF2-40B4-BE49-F238E27FC236}">
                <a16:creationId xmlns:a16="http://schemas.microsoft.com/office/drawing/2014/main" id="{73BFBAF6-7B53-4BB5-82FF-C061930F93E1}"/>
              </a:ext>
            </a:extLst>
          </xdr:cNvPr>
          <xdr:cNvPicPr>
            <a:picLocks noChangeAspect="1"/>
          </xdr:cNvPicPr>
        </xdr:nvPicPr>
        <xdr:blipFill>
          <a:blip xmlns:r="http://schemas.openxmlformats.org/officeDocument/2006/relationships" r:embed="rId3"/>
          <a:stretch>
            <a:fillRect/>
          </a:stretch>
        </xdr:blipFill>
        <xdr:spPr>
          <a:xfrm>
            <a:off x="15988393" y="19503797"/>
            <a:ext cx="7040880" cy="3528428"/>
          </a:xfrm>
          <a:prstGeom prst="rect">
            <a:avLst/>
          </a:prstGeom>
        </xdr:spPr>
      </xdr:pic>
      <xdr:sp macro="" textlink="">
        <xdr:nvSpPr>
          <xdr:cNvPr id="15" name="TextBox 14">
            <a:extLst>
              <a:ext uri="{FF2B5EF4-FFF2-40B4-BE49-F238E27FC236}">
                <a16:creationId xmlns:a16="http://schemas.microsoft.com/office/drawing/2014/main" id="{272BD381-BDDF-4B3A-92D5-2E1C7257BB6E}"/>
              </a:ext>
            </a:extLst>
          </xdr:cNvPr>
          <xdr:cNvSpPr txBox="1"/>
        </xdr:nvSpPr>
        <xdr:spPr>
          <a:xfrm>
            <a:off x="17368402" y="19282654"/>
            <a:ext cx="4066508" cy="357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22V, COM-VEE = 4V</a:t>
            </a:r>
            <a:endParaRPr lang="en-US" sz="1600" b="1"/>
          </a:p>
        </xdr:txBody>
      </xdr:sp>
      <xdr:pic>
        <xdr:nvPicPr>
          <xdr:cNvPr id="16" name="Picture 15">
            <a:extLst>
              <a:ext uri="{FF2B5EF4-FFF2-40B4-BE49-F238E27FC236}">
                <a16:creationId xmlns:a16="http://schemas.microsoft.com/office/drawing/2014/main" id="{05CFA053-0A53-4D6E-8285-26D8CFB19EF6}"/>
              </a:ext>
            </a:extLst>
          </xdr:cNvPr>
          <xdr:cNvPicPr>
            <a:picLocks noChangeAspect="1"/>
          </xdr:cNvPicPr>
        </xdr:nvPicPr>
        <xdr:blipFill>
          <a:blip xmlns:r="http://schemas.openxmlformats.org/officeDocument/2006/relationships" r:embed="rId4"/>
          <a:stretch>
            <a:fillRect/>
          </a:stretch>
        </xdr:blipFill>
        <xdr:spPr>
          <a:xfrm>
            <a:off x="15988393" y="23482526"/>
            <a:ext cx="7040880" cy="3576752"/>
          </a:xfrm>
          <a:prstGeom prst="rect">
            <a:avLst/>
          </a:prstGeom>
        </xdr:spPr>
      </xdr:pic>
      <xdr:sp macro="" textlink="">
        <xdr:nvSpPr>
          <xdr:cNvPr id="17" name="TextBox 16">
            <a:extLst>
              <a:ext uri="{FF2B5EF4-FFF2-40B4-BE49-F238E27FC236}">
                <a16:creationId xmlns:a16="http://schemas.microsoft.com/office/drawing/2014/main" id="{E9FC1842-E5B9-470D-A31D-E5D8C21A231E}"/>
              </a:ext>
            </a:extLst>
          </xdr:cNvPr>
          <xdr:cNvSpPr txBox="1"/>
        </xdr:nvSpPr>
        <xdr:spPr>
          <a:xfrm>
            <a:off x="17341169" y="23179225"/>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25V, COM-VEE = 5V</a:t>
            </a:r>
            <a:endParaRPr lang="en-US" sz="1600" b="1"/>
          </a:p>
        </xdr:txBody>
      </xdr:sp>
    </xdr:grpSp>
    <xdr:clientData/>
  </xdr:twoCellAnchor>
  <xdr:twoCellAnchor>
    <xdr:from>
      <xdr:col>6</xdr:col>
      <xdr:colOff>628648</xdr:colOff>
      <xdr:row>1</xdr:row>
      <xdr:rowOff>1</xdr:rowOff>
    </xdr:from>
    <xdr:to>
      <xdr:col>17</xdr:col>
      <xdr:colOff>628648</xdr:colOff>
      <xdr:row>23</xdr:row>
      <xdr:rowOff>9525</xdr:rowOff>
    </xdr:to>
    <xdr:grpSp>
      <xdr:nvGrpSpPr>
        <xdr:cNvPr id="2" name="Group 1">
          <a:extLst>
            <a:ext uri="{FF2B5EF4-FFF2-40B4-BE49-F238E27FC236}">
              <a16:creationId xmlns:a16="http://schemas.microsoft.com/office/drawing/2014/main" id="{B3B7902F-ED42-4E80-BD82-D01A63B4D446}"/>
            </a:ext>
          </a:extLst>
        </xdr:cNvPr>
        <xdr:cNvGrpSpPr/>
      </xdr:nvGrpSpPr>
      <xdr:grpSpPr>
        <a:xfrm>
          <a:off x="13038362" y="391887"/>
          <a:ext cx="7057209" cy="6040209"/>
          <a:chOff x="13558836" y="381001"/>
          <a:chExt cx="7334250" cy="6200774"/>
        </a:xfrm>
      </xdr:grpSpPr>
      <xdr:pic>
        <xdr:nvPicPr>
          <xdr:cNvPr id="21" name="Picture 20">
            <a:extLst>
              <a:ext uri="{FF2B5EF4-FFF2-40B4-BE49-F238E27FC236}">
                <a16:creationId xmlns:a16="http://schemas.microsoft.com/office/drawing/2014/main" id="{70518EA3-D571-4AB0-B7FD-BC8F0223F5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558836" y="819150"/>
            <a:ext cx="7334250" cy="5762625"/>
          </a:xfrm>
          <a:prstGeom prst="rect">
            <a:avLst/>
          </a:prstGeom>
          <a:solidFill>
            <a:schemeClr val="bg1"/>
          </a:solidFill>
        </xdr:spPr>
      </xdr:pic>
      <xdr:sp macro="" textlink="">
        <xdr:nvSpPr>
          <xdr:cNvPr id="22" name="TextBox 21">
            <a:extLst>
              <a:ext uri="{FF2B5EF4-FFF2-40B4-BE49-F238E27FC236}">
                <a16:creationId xmlns:a16="http://schemas.microsoft.com/office/drawing/2014/main" id="{8E8D7607-3928-4E81-951F-EFB43BEE6CDD}"/>
              </a:ext>
            </a:extLst>
          </xdr:cNvPr>
          <xdr:cNvSpPr txBox="1"/>
        </xdr:nvSpPr>
        <xdr:spPr>
          <a:xfrm>
            <a:off x="14525626" y="381001"/>
            <a:ext cx="4576761" cy="390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Single Output Application Schematic</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226006\AppData\Local\Microsoft\Windows\INetCache\Content.Outlook\2ZJX7BWR\project-acdc\Project-%20UCC28782\EVM\65W%20Si\sluc664b_ucc28782_65W_for_782_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Here"/>
      <sheetName val="Main Calculation"/>
      <sheetName val="Schematic &amp; BoM"/>
      <sheetName val="Secondary Resonance"/>
      <sheetName val="Boost"/>
      <sheetName val="BUR"/>
      <sheetName val="FLT"/>
      <sheetName val="IPC"/>
      <sheetName val="S13"/>
      <sheetName val="XCD"/>
      <sheetName val="OPP"/>
      <sheetName val="2nd Resonance org"/>
      <sheetName val="Burst Mode for USB-PD"/>
      <sheetName val="Hide Calculate"/>
      <sheetName val="RTZ RDM RCS"/>
    </sheetNames>
    <sheetDataSet>
      <sheetData sheetId="0"/>
      <sheetData sheetId="1">
        <row r="3">
          <cell r="D3">
            <v>11</v>
          </cell>
        </row>
        <row r="4">
          <cell r="D4">
            <v>17.5</v>
          </cell>
        </row>
        <row r="5">
          <cell r="D5">
            <v>34</v>
          </cell>
        </row>
        <row r="6">
          <cell r="D6">
            <v>2.2000000000000002</v>
          </cell>
        </row>
        <row r="7">
          <cell r="D7">
            <v>365</v>
          </cell>
        </row>
        <row r="8">
          <cell r="D8">
            <v>4.5</v>
          </cell>
        </row>
        <row r="9">
          <cell r="D9">
            <v>25</v>
          </cell>
        </row>
        <row r="10">
          <cell r="D10">
            <v>0.8</v>
          </cell>
        </row>
        <row r="11">
          <cell r="D11">
            <v>0.6</v>
          </cell>
        </row>
        <row r="12">
          <cell r="D12">
            <v>0.42499999999999999</v>
          </cell>
        </row>
        <row r="13">
          <cell r="D13">
            <v>5</v>
          </cell>
        </row>
        <row r="14">
          <cell r="D14">
            <v>0.25</v>
          </cell>
        </row>
        <row r="15">
          <cell r="D15">
            <v>25</v>
          </cell>
        </row>
        <row r="16">
          <cell r="D16">
            <v>5000000000</v>
          </cell>
        </row>
        <row r="17">
          <cell r="D17">
            <v>4</v>
          </cell>
        </row>
        <row r="18">
          <cell r="D18">
            <v>13</v>
          </cell>
        </row>
        <row r="19">
          <cell r="D19">
            <v>2.4</v>
          </cell>
        </row>
        <row r="20">
          <cell r="D20">
            <v>0.65</v>
          </cell>
        </row>
        <row r="21">
          <cell r="D21">
            <v>2.2000000000000002</v>
          </cell>
        </row>
        <row r="22">
          <cell r="D22">
            <v>1900000</v>
          </cell>
        </row>
        <row r="23">
          <cell r="D23">
            <v>1</v>
          </cell>
        </row>
        <row r="24">
          <cell r="D24">
            <v>4.3</v>
          </cell>
        </row>
        <row r="25">
          <cell r="D25">
            <v>8000</v>
          </cell>
        </row>
        <row r="26">
          <cell r="D26">
            <v>70</v>
          </cell>
        </row>
        <row r="27">
          <cell r="D27">
            <v>100</v>
          </cell>
        </row>
        <row r="28">
          <cell r="D28">
            <v>25</v>
          </cell>
        </row>
        <row r="29">
          <cell r="D29">
            <v>40</v>
          </cell>
        </row>
        <row r="30">
          <cell r="D30">
            <v>1.5</v>
          </cell>
        </row>
        <row r="31">
          <cell r="D31">
            <v>93</v>
          </cell>
        </row>
        <row r="32">
          <cell r="D32">
            <v>5</v>
          </cell>
        </row>
        <row r="33">
          <cell r="D33">
            <v>3</v>
          </cell>
        </row>
        <row r="34">
          <cell r="D34">
            <v>30</v>
          </cell>
        </row>
        <row r="35">
          <cell r="D35">
            <v>20</v>
          </cell>
        </row>
        <row r="40">
          <cell r="D40">
            <v>5</v>
          </cell>
        </row>
        <row r="41">
          <cell r="D41">
            <v>20</v>
          </cell>
        </row>
        <row r="42">
          <cell r="D42">
            <v>4</v>
          </cell>
        </row>
        <row r="43">
          <cell r="D43">
            <v>4</v>
          </cell>
        </row>
        <row r="46">
          <cell r="D46">
            <v>4</v>
          </cell>
        </row>
        <row r="47">
          <cell r="D47">
            <v>100</v>
          </cell>
        </row>
        <row r="48">
          <cell r="D48">
            <v>0.58101026064120298</v>
          </cell>
        </row>
        <row r="49">
          <cell r="D49">
            <v>85.220080709508906</v>
          </cell>
        </row>
        <row r="50">
          <cell r="D50">
            <v>100</v>
          </cell>
        </row>
        <row r="51">
          <cell r="D51">
            <v>100</v>
          </cell>
        </row>
        <row r="52">
          <cell r="D52">
            <v>1.95</v>
          </cell>
        </row>
        <row r="53">
          <cell r="D53">
            <v>0.96</v>
          </cell>
        </row>
        <row r="54">
          <cell r="D54">
            <v>3</v>
          </cell>
        </row>
        <row r="55">
          <cell r="D55">
            <v>0.1</v>
          </cell>
        </row>
        <row r="64">
          <cell r="D64">
            <v>109.86759086580999</v>
          </cell>
        </row>
        <row r="67">
          <cell r="D67">
            <v>40</v>
          </cell>
        </row>
        <row r="68">
          <cell r="D68">
            <v>0.78214901286410521</v>
          </cell>
        </row>
        <row r="69">
          <cell r="D69">
            <v>0.99</v>
          </cell>
        </row>
        <row r="70">
          <cell r="D70">
            <v>0.99</v>
          </cell>
        </row>
        <row r="71">
          <cell r="D71">
            <v>1.5724318312796621</v>
          </cell>
        </row>
        <row r="72">
          <cell r="D72">
            <v>2.2000000000000002</v>
          </cell>
        </row>
        <row r="73">
          <cell r="D73">
            <v>2.2000000000000002</v>
          </cell>
        </row>
        <row r="76">
          <cell r="D76">
            <v>65.857534246575341</v>
          </cell>
        </row>
        <row r="77">
          <cell r="D77">
            <v>65</v>
          </cell>
        </row>
        <row r="78">
          <cell r="D78">
            <v>65</v>
          </cell>
        </row>
        <row r="79">
          <cell r="D79">
            <v>15.810810810810811</v>
          </cell>
        </row>
        <row r="80">
          <cell r="D80">
            <v>15</v>
          </cell>
        </row>
        <row r="81">
          <cell r="D81">
            <v>15</v>
          </cell>
        </row>
        <row r="84">
          <cell r="D84">
            <v>100</v>
          </cell>
        </row>
        <row r="85">
          <cell r="D85">
            <v>0.16876789501445846</v>
          </cell>
        </row>
        <row r="86">
          <cell r="D86">
            <v>0.15</v>
          </cell>
        </row>
        <row r="87">
          <cell r="D87">
            <v>0.15</v>
          </cell>
        </row>
        <row r="88">
          <cell r="D88">
            <v>1.5785312610423434</v>
          </cell>
        </row>
        <row r="89">
          <cell r="D89">
            <v>0.37376414131318964</v>
          </cell>
        </row>
        <row r="94">
          <cell r="D94">
            <v>1870</v>
          </cell>
        </row>
        <row r="95">
          <cell r="D95">
            <v>53.475935828877006</v>
          </cell>
        </row>
        <row r="96">
          <cell r="D96">
            <v>33</v>
          </cell>
        </row>
        <row r="97">
          <cell r="D97">
            <v>33</v>
          </cell>
        </row>
        <row r="101">
          <cell r="D101">
            <v>137.5</v>
          </cell>
        </row>
        <row r="102">
          <cell r="D102">
            <v>137</v>
          </cell>
        </row>
        <row r="103">
          <cell r="D103">
            <v>137</v>
          </cell>
        </row>
        <row r="106">
          <cell r="D106">
            <v>184.37021587612185</v>
          </cell>
        </row>
        <row r="107">
          <cell r="D107">
            <v>262.49464178125646</v>
          </cell>
        </row>
        <row r="108">
          <cell r="D108">
            <v>205</v>
          </cell>
        </row>
        <row r="109">
          <cell r="D109">
            <v>205</v>
          </cell>
        </row>
        <row r="112">
          <cell r="D112">
            <v>0.20010756899712234</v>
          </cell>
        </row>
        <row r="113">
          <cell r="D113">
            <v>52.386319184588217</v>
          </cell>
        </row>
        <row r="114">
          <cell r="D114">
            <v>51</v>
          </cell>
        </row>
        <row r="115">
          <cell r="D115">
            <v>51</v>
          </cell>
        </row>
        <row r="116">
          <cell r="D116">
            <v>172.00505784787049</v>
          </cell>
        </row>
        <row r="117">
          <cell r="D117">
            <v>210</v>
          </cell>
        </row>
        <row r="118">
          <cell r="D118">
            <v>210</v>
          </cell>
        </row>
        <row r="122">
          <cell r="D122">
            <v>324.9299719887955</v>
          </cell>
        </row>
        <row r="123">
          <cell r="D123">
            <v>330</v>
          </cell>
        </row>
        <row r="124">
          <cell r="D124">
            <v>330</v>
          </cell>
        </row>
        <row r="127">
          <cell r="D127">
            <v>21.031935483870967</v>
          </cell>
        </row>
        <row r="128">
          <cell r="D128">
            <v>24</v>
          </cell>
        </row>
        <row r="129">
          <cell r="D129">
            <v>24</v>
          </cell>
        </row>
        <row r="130">
          <cell r="D130">
            <v>469.77617561176282</v>
          </cell>
        </row>
        <row r="131">
          <cell r="D131">
            <v>499</v>
          </cell>
        </row>
        <row r="132">
          <cell r="D132">
            <v>499</v>
          </cell>
        </row>
        <row r="135">
          <cell r="D135">
            <v>1000.0000000000001</v>
          </cell>
        </row>
        <row r="136">
          <cell r="D136">
            <v>1</v>
          </cell>
        </row>
        <row r="137">
          <cell r="D137">
            <v>1</v>
          </cell>
        </row>
        <row r="138">
          <cell r="D138">
            <v>0.91720080077458022</v>
          </cell>
        </row>
        <row r="139">
          <cell r="D139">
            <v>2.2000000000000002</v>
          </cell>
        </row>
        <row r="140">
          <cell r="D140">
            <v>2.2000000000000002</v>
          </cell>
        </row>
        <row r="141">
          <cell r="D141">
            <v>0.23099999999999996</v>
          </cell>
        </row>
        <row r="142">
          <cell r="D142">
            <v>0.22</v>
          </cell>
        </row>
        <row r="143">
          <cell r="D143">
            <v>0.22</v>
          </cell>
        </row>
        <row r="148">
          <cell r="D148">
            <v>47</v>
          </cell>
        </row>
        <row r="150">
          <cell r="D150">
            <v>1</v>
          </cell>
        </row>
        <row r="152">
          <cell r="D152">
            <v>10</v>
          </cell>
        </row>
        <row r="155">
          <cell r="D155">
            <v>18.75</v>
          </cell>
        </row>
        <row r="156">
          <cell r="D156">
            <v>6.2</v>
          </cell>
        </row>
        <row r="157">
          <cell r="D157">
            <v>2.4900000000000002</v>
          </cell>
        </row>
        <row r="158">
          <cell r="D158">
            <v>2.4900000000000002</v>
          </cell>
        </row>
        <row r="159">
          <cell r="D159">
            <v>5.2105674518483047E-6</v>
          </cell>
        </row>
        <row r="160">
          <cell r="D160">
            <v>6.8205975638413081</v>
          </cell>
        </row>
        <row r="161">
          <cell r="D161">
            <v>70</v>
          </cell>
        </row>
        <row r="162">
          <cell r="D162">
            <v>18.678255571709556</v>
          </cell>
        </row>
        <row r="163">
          <cell r="D163">
            <v>22</v>
          </cell>
        </row>
        <row r="164">
          <cell r="D164">
            <v>22</v>
          </cell>
        </row>
        <row r="167">
          <cell r="D167">
            <v>22.071428571428573</v>
          </cell>
        </row>
        <row r="168">
          <cell r="D168">
            <v>22.1</v>
          </cell>
        </row>
        <row r="169">
          <cell r="D169">
            <v>22.1</v>
          </cell>
        </row>
        <row r="170">
          <cell r="D170">
            <v>100</v>
          </cell>
        </row>
        <row r="171">
          <cell r="D171">
            <v>1</v>
          </cell>
        </row>
        <row r="172">
          <cell r="D172">
            <v>14.285714285714286</v>
          </cell>
        </row>
        <row r="173">
          <cell r="D173">
            <v>34</v>
          </cell>
        </row>
        <row r="174">
          <cell r="D174">
            <v>34</v>
          </cell>
        </row>
        <row r="175">
          <cell r="D175">
            <v>152.20385674931131</v>
          </cell>
        </row>
        <row r="176">
          <cell r="D176">
            <v>30</v>
          </cell>
        </row>
        <row r="179">
          <cell r="D179">
            <v>11</v>
          </cell>
        </row>
        <row r="183">
          <cell r="D183">
            <v>33.333333333333329</v>
          </cell>
        </row>
        <row r="184">
          <cell r="D184">
            <v>21.5</v>
          </cell>
        </row>
        <row r="185">
          <cell r="D185">
            <v>21.5</v>
          </cell>
        </row>
        <row r="186">
          <cell r="D186">
            <v>150.46118101529805</v>
          </cell>
        </row>
        <row r="187">
          <cell r="D187">
            <v>150</v>
          </cell>
        </row>
        <row r="188">
          <cell r="D188">
            <v>150</v>
          </cell>
        </row>
        <row r="193">
          <cell r="D193">
            <v>4.6428950440411754</v>
          </cell>
        </row>
        <row r="194">
          <cell r="D194">
            <v>4.7</v>
          </cell>
        </row>
        <row r="195">
          <cell r="D195">
            <v>4.7</v>
          </cell>
        </row>
        <row r="196">
          <cell r="D196">
            <v>423.36428973019838</v>
          </cell>
        </row>
        <row r="197">
          <cell r="D197">
            <v>1</v>
          </cell>
        </row>
        <row r="198">
          <cell r="D198">
            <v>1</v>
          </cell>
        </row>
        <row r="200">
          <cell r="D200">
            <v>5.3061657646184868</v>
          </cell>
        </row>
        <row r="201">
          <cell r="D201">
            <v>10</v>
          </cell>
        </row>
        <row r="202">
          <cell r="D202">
            <v>10</v>
          </cell>
        </row>
      </sheetData>
      <sheetData sheetId="2"/>
      <sheetData sheetId="3">
        <row r="23">
          <cell r="E23">
            <v>75</v>
          </cell>
        </row>
        <row r="25">
          <cell r="E25">
            <v>110</v>
          </cell>
        </row>
        <row r="28">
          <cell r="E28">
            <v>1</v>
          </cell>
        </row>
      </sheetData>
      <sheetData sheetId="4"/>
      <sheetData sheetId="5"/>
      <sheetData sheetId="6"/>
      <sheetData sheetId="7"/>
      <sheetData sheetId="8"/>
      <sheetData sheetId="9"/>
      <sheetData sheetId="10"/>
      <sheetData sheetId="11"/>
      <sheetData sheetId="12">
        <row r="5">
          <cell r="B5">
            <v>4</v>
          </cell>
        </row>
        <row r="6">
          <cell r="B6">
            <v>13</v>
          </cell>
        </row>
        <row r="7">
          <cell r="B7">
            <v>4</v>
          </cell>
        </row>
        <row r="9">
          <cell r="B9">
            <v>20</v>
          </cell>
          <cell r="E9">
            <v>0.97499999999999998</v>
          </cell>
        </row>
        <row r="10">
          <cell r="B10">
            <v>5</v>
          </cell>
          <cell r="E10">
            <v>0.84199999999999997</v>
          </cell>
        </row>
      </sheetData>
      <sheetData sheetId="13">
        <row r="3">
          <cell r="D3">
            <v>113.49476559816237</v>
          </cell>
        </row>
        <row r="4">
          <cell r="D4">
            <v>26.090750712221233</v>
          </cell>
        </row>
        <row r="5">
          <cell r="D5">
            <v>26.090750712221233</v>
          </cell>
        </row>
        <row r="9">
          <cell r="D9">
            <v>178.80357756711075</v>
          </cell>
        </row>
        <row r="10">
          <cell r="D10">
            <v>0.61967856449510506</v>
          </cell>
        </row>
        <row r="11">
          <cell r="D11">
            <v>-0.12598044438845163</v>
          </cell>
        </row>
        <row r="12">
          <cell r="D12">
            <v>0.45415323130024071</v>
          </cell>
        </row>
        <row r="15">
          <cell r="D15">
            <v>3.6518184519957577</v>
          </cell>
        </row>
        <row r="16">
          <cell r="D16">
            <v>-7.5588266633070972E-2</v>
          </cell>
        </row>
        <row r="17">
          <cell r="D17">
            <v>111.74614663276972</v>
          </cell>
        </row>
        <row r="18">
          <cell r="D18">
            <v>1.0327976074918419</v>
          </cell>
        </row>
        <row r="19">
          <cell r="D19">
            <v>0.58101026064120298</v>
          </cell>
        </row>
        <row r="22">
          <cell r="D22">
            <v>175</v>
          </cell>
        </row>
        <row r="25">
          <cell r="D25">
            <v>2.3273407865972482</v>
          </cell>
        </row>
        <row r="26">
          <cell r="D26">
            <v>-0.29652131791856806</v>
          </cell>
        </row>
        <row r="27">
          <cell r="D27">
            <v>279.54548292335858</v>
          </cell>
        </row>
        <row r="28">
          <cell r="D28">
            <v>0.2106593638087213</v>
          </cell>
        </row>
        <row r="29">
          <cell r="D29">
            <v>0.19877012721288143</v>
          </cell>
        </row>
        <row r="30">
          <cell r="D30">
            <v>0.17925763201041278</v>
          </cell>
        </row>
        <row r="31">
          <cell r="D31">
            <v>1.1067465903152802</v>
          </cell>
        </row>
        <row r="32">
          <cell r="D32">
            <v>1.0340414808673017</v>
          </cell>
        </row>
        <row r="33">
          <cell r="D33">
            <v>7.3066499999999994</v>
          </cell>
        </row>
        <row r="36">
          <cell r="D36">
            <v>1.4272035961743652</v>
          </cell>
        </row>
        <row r="37">
          <cell r="D37">
            <v>-0.2573491662319678</v>
          </cell>
        </row>
        <row r="38">
          <cell r="D38">
            <v>412.29391722032454</v>
          </cell>
        </row>
        <row r="39">
          <cell r="D39">
            <v>0.23518344308560679</v>
          </cell>
        </row>
        <row r="40">
          <cell r="D40">
            <v>0.12492312423124233</v>
          </cell>
        </row>
        <row r="41">
          <cell r="D41">
            <v>0.95443889800758774</v>
          </cell>
        </row>
        <row r="44">
          <cell r="D44">
            <v>25.58002366772325</v>
          </cell>
        </row>
        <row r="47">
          <cell r="D47">
            <v>3.3692307692307693</v>
          </cell>
        </row>
        <row r="48">
          <cell r="D48">
            <v>2.0414575532872319</v>
          </cell>
        </row>
        <row r="49">
          <cell r="D49">
            <v>-5.706788983287861E-2</v>
          </cell>
        </row>
        <row r="50">
          <cell r="D50">
            <v>198.10693409856293</v>
          </cell>
        </row>
        <row r="51">
          <cell r="D51">
            <v>0.58101026064120298</v>
          </cell>
        </row>
        <row r="52">
          <cell r="D52">
            <v>0.56334414954100465</v>
          </cell>
        </row>
        <row r="56">
          <cell r="D56">
            <v>-0.10703358930262374</v>
          </cell>
        </row>
        <row r="57">
          <cell r="D57">
            <v>103.81990665412921</v>
          </cell>
        </row>
        <row r="58">
          <cell r="D58">
            <v>0.48612692268771507</v>
          </cell>
        </row>
        <row r="59">
          <cell r="D59">
            <v>0.32870084278896095</v>
          </cell>
        </row>
        <row r="60">
          <cell r="D60">
            <v>1.5157706371502866</v>
          </cell>
        </row>
        <row r="63">
          <cell r="D63">
            <v>3.3285708906195755</v>
          </cell>
        </row>
        <row r="64">
          <cell r="D64">
            <v>-7.5588266633070972E-2</v>
          </cell>
        </row>
        <row r="65">
          <cell r="D65">
            <v>122287.06425087432</v>
          </cell>
        </row>
        <row r="66">
          <cell r="D66">
            <v>0.93890691590167441</v>
          </cell>
        </row>
        <row r="67">
          <cell r="D67">
            <v>0.58101026064120298</v>
          </cell>
        </row>
        <row r="68">
          <cell r="D68">
            <v>12019.527817342851</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81"/>
  <sheetViews>
    <sheetView tabSelected="1" zoomScale="70" zoomScaleNormal="70" workbookViewId="0">
      <selection activeCell="E59" sqref="E59"/>
    </sheetView>
  </sheetViews>
  <sheetFormatPr defaultColWidth="9" defaultRowHeight="14.4"/>
  <cols>
    <col min="1" max="1" width="5" style="1" customWidth="1"/>
    <col min="2" max="2" width="89.21875" style="1" customWidth="1"/>
    <col min="3" max="3" width="49.21875" style="1" customWidth="1"/>
    <col min="4" max="4" width="17.21875" style="1" customWidth="1"/>
    <col min="5" max="5" width="44.77734375" style="1" customWidth="1"/>
    <col min="6" max="6" width="17.88671875" style="1" customWidth="1"/>
    <col min="7" max="7" width="23.77734375" style="13" customWidth="1"/>
    <col min="8" max="9" width="7.77734375" style="1" customWidth="1"/>
    <col min="10" max="10" width="32" style="1" customWidth="1"/>
    <col min="11" max="13" width="7.77734375" style="1" customWidth="1"/>
    <col min="14" max="16384" width="9" style="1"/>
  </cols>
  <sheetData>
    <row r="1" spans="1:23" ht="30.6" thickBot="1">
      <c r="A1" s="16"/>
      <c r="B1" s="128" t="s">
        <v>119</v>
      </c>
      <c r="C1" s="128"/>
      <c r="D1" s="128"/>
      <c r="E1" s="128"/>
      <c r="F1" s="16"/>
      <c r="G1" s="37"/>
      <c r="H1" s="16"/>
      <c r="I1" s="16"/>
      <c r="J1" s="16"/>
      <c r="K1" s="16"/>
      <c r="L1" s="16"/>
      <c r="M1" s="16"/>
      <c r="N1" s="16"/>
      <c r="O1" s="16"/>
      <c r="P1" s="16"/>
      <c r="Q1" s="16"/>
    </row>
    <row r="2" spans="1:23" ht="15.6">
      <c r="A2" s="16"/>
      <c r="B2" s="129" t="s">
        <v>52</v>
      </c>
      <c r="C2" s="130"/>
      <c r="D2" s="130"/>
      <c r="E2" s="131"/>
      <c r="F2" s="16"/>
      <c r="G2" s="37"/>
      <c r="H2" s="16"/>
      <c r="I2" s="16"/>
      <c r="J2" s="16"/>
      <c r="K2" s="16"/>
      <c r="L2" s="16"/>
      <c r="M2" s="16"/>
      <c r="N2" s="16"/>
      <c r="O2" s="16"/>
      <c r="P2" s="16"/>
      <c r="Q2" s="16"/>
    </row>
    <row r="3" spans="1:23">
      <c r="A3" s="16"/>
      <c r="B3" s="132" t="s">
        <v>2</v>
      </c>
      <c r="C3" s="133"/>
      <c r="D3" s="133"/>
      <c r="E3" s="134"/>
      <c r="F3" s="16"/>
      <c r="G3" s="37"/>
      <c r="H3" s="16"/>
      <c r="I3" s="16"/>
      <c r="J3" s="16"/>
      <c r="K3" s="16"/>
      <c r="L3" s="16"/>
      <c r="M3" s="16"/>
      <c r="N3" s="16"/>
      <c r="O3" s="16"/>
      <c r="P3" s="16"/>
      <c r="Q3" s="16"/>
    </row>
    <row r="4" spans="1:23">
      <c r="A4" s="17"/>
      <c r="B4" s="132"/>
      <c r="C4" s="133"/>
      <c r="D4" s="133"/>
      <c r="E4" s="134"/>
      <c r="F4" s="16"/>
      <c r="G4" s="37"/>
      <c r="H4" s="16"/>
      <c r="I4" s="16"/>
      <c r="J4" s="16"/>
      <c r="K4" s="16"/>
      <c r="L4" s="16"/>
      <c r="M4" s="16"/>
      <c r="N4" s="16"/>
      <c r="O4" s="16"/>
      <c r="P4" s="16"/>
      <c r="Q4" s="16"/>
    </row>
    <row r="5" spans="1:23">
      <c r="A5" s="17"/>
      <c r="B5" s="132"/>
      <c r="C5" s="133"/>
      <c r="D5" s="133"/>
      <c r="E5" s="134"/>
      <c r="F5" s="18"/>
      <c r="G5" s="37"/>
      <c r="H5" s="16"/>
      <c r="I5" s="16"/>
      <c r="J5" s="16"/>
      <c r="K5" s="16"/>
      <c r="L5" s="16"/>
      <c r="M5" s="16"/>
      <c r="N5" s="16"/>
      <c r="O5" s="16"/>
      <c r="P5" s="16"/>
      <c r="Q5" s="16"/>
    </row>
    <row r="6" spans="1:23" ht="15" thickBot="1">
      <c r="A6" s="17"/>
      <c r="B6" s="135"/>
      <c r="C6" s="136"/>
      <c r="D6" s="136"/>
      <c r="E6" s="137"/>
      <c r="F6" s="18"/>
      <c r="G6" s="37"/>
      <c r="H6" s="16"/>
      <c r="I6" s="16"/>
      <c r="J6" s="16"/>
      <c r="K6" s="16"/>
      <c r="L6" s="16"/>
      <c r="M6" s="16"/>
      <c r="N6" s="16"/>
      <c r="O6" s="16"/>
      <c r="P6" s="16"/>
      <c r="Q6" s="16"/>
    </row>
    <row r="7" spans="1:23" ht="25.35" customHeight="1">
      <c r="A7" s="17"/>
      <c r="B7" s="138" t="s">
        <v>120</v>
      </c>
      <c r="C7" s="139"/>
      <c r="D7" s="139"/>
      <c r="E7" s="140"/>
      <c r="F7" s="18"/>
      <c r="G7" s="37"/>
      <c r="H7" s="16"/>
      <c r="I7" s="16"/>
      <c r="J7" s="16"/>
      <c r="K7" s="16"/>
      <c r="L7" s="16"/>
      <c r="M7" s="16"/>
      <c r="N7" s="16"/>
      <c r="O7" s="16"/>
      <c r="P7" s="16"/>
      <c r="Q7" s="16"/>
    </row>
    <row r="8" spans="1:23" ht="17.399999999999999">
      <c r="A8" s="17"/>
      <c r="B8" s="141" t="s">
        <v>3</v>
      </c>
      <c r="C8" s="142"/>
      <c r="D8" s="142"/>
      <c r="E8" s="143"/>
      <c r="F8" s="18"/>
      <c r="G8" s="37"/>
      <c r="H8" s="16"/>
      <c r="I8" s="16"/>
      <c r="J8" s="16"/>
      <c r="K8" s="16"/>
      <c r="L8" s="16"/>
      <c r="M8" s="16"/>
      <c r="N8" s="16"/>
      <c r="O8" s="16"/>
      <c r="P8" s="16"/>
      <c r="Q8" s="16"/>
    </row>
    <row r="9" spans="1:23" ht="18" thickBot="1">
      <c r="A9" s="17"/>
      <c r="B9" s="125" t="s">
        <v>67</v>
      </c>
      <c r="C9" s="126"/>
      <c r="D9" s="126"/>
      <c r="E9" s="127"/>
      <c r="F9" s="18"/>
      <c r="G9" s="37"/>
      <c r="H9" s="16"/>
      <c r="I9" s="16"/>
      <c r="J9" s="16"/>
      <c r="K9" s="16"/>
      <c r="L9" s="16"/>
      <c r="M9" s="16"/>
      <c r="N9" s="16"/>
      <c r="O9" s="16"/>
      <c r="P9" s="16"/>
      <c r="Q9" s="16"/>
    </row>
    <row r="10" spans="1:23" ht="56.25" customHeight="1" thickBot="1">
      <c r="A10" s="17"/>
      <c r="B10" s="144" t="s">
        <v>4</v>
      </c>
      <c r="C10" s="145"/>
      <c r="D10" s="145"/>
      <c r="E10" s="146"/>
      <c r="F10" s="16"/>
      <c r="G10" s="37"/>
      <c r="H10" s="16"/>
      <c r="I10" s="16"/>
      <c r="J10" s="16"/>
      <c r="K10" s="16"/>
      <c r="L10" s="16"/>
      <c r="M10" s="16"/>
      <c r="N10" s="16"/>
      <c r="O10" s="16"/>
      <c r="P10" s="16"/>
      <c r="Q10" s="16"/>
    </row>
    <row r="11" spans="1:23">
      <c r="A11" s="17"/>
      <c r="B11" s="147" t="s">
        <v>5</v>
      </c>
      <c r="C11" s="148"/>
      <c r="D11" s="148"/>
      <c r="E11" s="149"/>
      <c r="F11" s="16"/>
      <c r="G11" s="37"/>
      <c r="H11" s="16"/>
      <c r="I11" s="16"/>
      <c r="J11" s="16"/>
      <c r="K11" s="16"/>
      <c r="L11" s="16"/>
      <c r="M11" s="16"/>
      <c r="N11" s="16"/>
      <c r="O11" s="16"/>
      <c r="P11" s="16"/>
      <c r="Q11" s="16"/>
    </row>
    <row r="12" spans="1:23" ht="15" thickBot="1">
      <c r="A12" s="17"/>
      <c r="B12" s="150"/>
      <c r="C12" s="151"/>
      <c r="D12" s="151"/>
      <c r="E12" s="152"/>
      <c r="F12" s="16"/>
      <c r="G12" s="37"/>
      <c r="H12" s="16"/>
      <c r="I12" s="16"/>
      <c r="J12" s="16"/>
      <c r="K12" s="16"/>
      <c r="L12" s="16"/>
      <c r="M12" s="16"/>
      <c r="N12" s="16"/>
      <c r="O12" s="16"/>
      <c r="P12" s="16"/>
      <c r="Q12" s="16"/>
    </row>
    <row r="13" spans="1:23" ht="20.25" customHeight="1">
      <c r="A13" s="17"/>
      <c r="B13" s="19" t="s">
        <v>10</v>
      </c>
      <c r="C13" s="2">
        <v>20</v>
      </c>
      <c r="D13" s="20" t="s">
        <v>6</v>
      </c>
      <c r="E13" s="73"/>
      <c r="F13" s="16"/>
      <c r="G13" s="37">
        <f>IF(COM_VEE&lt;2.5,1,0)</f>
        <v>0</v>
      </c>
      <c r="H13" s="16"/>
      <c r="I13" s="16"/>
      <c r="J13" s="16"/>
      <c r="K13" s="16"/>
      <c r="L13" s="16"/>
      <c r="M13" s="16"/>
      <c r="N13" s="16"/>
      <c r="O13" s="16"/>
      <c r="P13" s="16"/>
      <c r="Q13" s="16"/>
      <c r="W13" s="8"/>
    </row>
    <row r="14" spans="1:23" ht="27.6">
      <c r="A14" s="17"/>
      <c r="B14" s="90" t="s">
        <v>18</v>
      </c>
      <c r="C14" s="2">
        <v>5</v>
      </c>
      <c r="D14" s="92" t="s">
        <v>6</v>
      </c>
      <c r="E14" s="91" t="str">
        <f>IF(COM_VEE&lt;2.5,"If COM-VEE &lt; 2.5V, then use FBVEE feedback resistor divider between VDD and COM",(IF(COM_VEE&gt;2.5,"If COM-VEE &gt; 2.5V, then use FBVEE feedback resistor divider between VEE and COM","If COM-VEE = 2.5V then connect FBVEE feedback directly to COM")))</f>
        <v>If COM-VEE &gt; 2.5V, then use FBVEE feedback resistor divider between VEE and COM</v>
      </c>
      <c r="F14" s="16"/>
      <c r="G14" s="37">
        <f>VDD_VEE-COM_VEE</f>
        <v>15</v>
      </c>
      <c r="H14" s="16" t="s">
        <v>84</v>
      </c>
      <c r="I14" s="16"/>
      <c r="J14" s="16"/>
      <c r="K14" s="16"/>
      <c r="L14" s="16"/>
      <c r="M14" s="16"/>
      <c r="N14" s="16"/>
      <c r="O14" s="16"/>
      <c r="P14" s="16"/>
      <c r="Q14" s="16"/>
    </row>
    <row r="15" spans="1:23" ht="20.25" customHeight="1">
      <c r="A15" s="17"/>
      <c r="B15" s="19" t="s">
        <v>69</v>
      </c>
      <c r="C15" s="3">
        <v>0.13700000000000001</v>
      </c>
      <c r="D15" s="20" t="s">
        <v>11</v>
      </c>
      <c r="E15" s="59"/>
      <c r="F15" s="16"/>
      <c r="G15" s="37">
        <f>G14*PERCENT_VPP_MAX/100</f>
        <v>7.4999999999999997E-2</v>
      </c>
      <c r="H15" s="16" t="s">
        <v>87</v>
      </c>
      <c r="I15" s="16"/>
      <c r="J15" s="16"/>
      <c r="K15" s="16"/>
      <c r="L15" s="16"/>
      <c r="M15" s="16"/>
      <c r="N15" s="16"/>
      <c r="O15" s="16"/>
      <c r="P15" s="16"/>
      <c r="Q15" s="16"/>
    </row>
    <row r="16" spans="1:23" ht="20.25" customHeight="1">
      <c r="A16" s="17"/>
      <c r="B16" s="23" t="s">
        <v>12</v>
      </c>
      <c r="C16" s="4">
        <v>100</v>
      </c>
      <c r="D16" s="24" t="s">
        <v>7</v>
      </c>
      <c r="E16" s="74"/>
      <c r="F16" s="16"/>
      <c r="G16" s="37"/>
      <c r="H16" s="16"/>
      <c r="I16" s="16"/>
      <c r="J16" s="16"/>
      <c r="K16" s="16"/>
      <c r="L16" s="16"/>
      <c r="M16" s="16"/>
      <c r="N16" s="16"/>
      <c r="O16" s="16"/>
      <c r="P16" s="16"/>
      <c r="Q16" s="16"/>
    </row>
    <row r="17" spans="1:17" ht="30" customHeight="1">
      <c r="A17" s="17"/>
      <c r="B17" s="23" t="s">
        <v>30</v>
      </c>
      <c r="C17" s="5">
        <v>6</v>
      </c>
      <c r="D17" s="24" t="s">
        <v>0</v>
      </c>
      <c r="E17" s="75" t="s">
        <v>20</v>
      </c>
      <c r="F17" s="16"/>
      <c r="G17" s="37"/>
      <c r="H17" s="16"/>
      <c r="I17" s="16"/>
      <c r="J17" s="16"/>
      <c r="K17" s="16"/>
      <c r="L17" s="16"/>
      <c r="M17" s="16"/>
      <c r="N17" s="16"/>
      <c r="O17" s="16"/>
      <c r="P17" s="16"/>
      <c r="Q17" s="16"/>
    </row>
    <row r="18" spans="1:17" ht="20.25" customHeight="1">
      <c r="A18" s="17"/>
      <c r="B18" s="25" t="s">
        <v>31</v>
      </c>
      <c r="C18" s="6">
        <v>6</v>
      </c>
      <c r="D18" s="24" t="s">
        <v>0</v>
      </c>
      <c r="E18" s="74"/>
      <c r="F18" s="16"/>
      <c r="G18" s="37"/>
      <c r="H18" s="16"/>
      <c r="I18" s="16"/>
      <c r="J18" s="16"/>
      <c r="K18" s="16"/>
      <c r="L18" s="16"/>
      <c r="M18" s="16"/>
      <c r="N18" s="16"/>
      <c r="O18" s="16"/>
      <c r="P18" s="16"/>
      <c r="Q18" s="16"/>
    </row>
    <row r="19" spans="1:17" ht="20.25" customHeight="1">
      <c r="A19" s="17"/>
      <c r="B19" s="25" t="s">
        <v>61</v>
      </c>
      <c r="C19" s="5">
        <v>0</v>
      </c>
      <c r="D19" s="24" t="s">
        <v>0</v>
      </c>
      <c r="E19" s="74"/>
      <c r="F19" s="16"/>
      <c r="G19" s="37"/>
      <c r="H19" s="16"/>
      <c r="I19" s="16"/>
      <c r="J19" s="16"/>
      <c r="K19" s="16"/>
      <c r="L19" s="16"/>
      <c r="M19" s="16"/>
      <c r="N19" s="16"/>
      <c r="O19" s="16"/>
      <c r="P19" s="16"/>
      <c r="Q19" s="16"/>
    </row>
    <row r="20" spans="1:17" ht="20.25" customHeight="1">
      <c r="A20" s="17"/>
      <c r="B20" s="25" t="s">
        <v>60</v>
      </c>
      <c r="C20" s="5">
        <v>0</v>
      </c>
      <c r="D20" s="24" t="s">
        <v>0</v>
      </c>
      <c r="E20" s="74"/>
      <c r="F20" s="16"/>
      <c r="G20" s="37"/>
      <c r="H20" s="16"/>
      <c r="I20" s="16"/>
      <c r="J20" s="16"/>
      <c r="K20" s="16"/>
      <c r="L20" s="16"/>
      <c r="M20" s="16"/>
      <c r="N20" s="16"/>
      <c r="O20" s="16"/>
      <c r="P20" s="16"/>
      <c r="Q20" s="16"/>
    </row>
    <row r="21" spans="1:17" ht="20.25" customHeight="1">
      <c r="A21" s="17"/>
      <c r="B21" s="25" t="s">
        <v>72</v>
      </c>
      <c r="C21" s="42">
        <f>IQ_DRIVER_VDD+IQ_OTHER_VDD</f>
        <v>6</v>
      </c>
      <c r="D21" s="24" t="s">
        <v>0</v>
      </c>
      <c r="E21" s="74"/>
      <c r="F21" s="16"/>
      <c r="G21" s="37"/>
      <c r="H21" s="16"/>
      <c r="I21" s="16"/>
      <c r="J21" s="16"/>
      <c r="K21" s="16"/>
      <c r="L21" s="16"/>
      <c r="M21" s="16"/>
      <c r="N21" s="16"/>
      <c r="O21" s="16"/>
      <c r="P21" s="16"/>
      <c r="Q21" s="16"/>
    </row>
    <row r="22" spans="1:17" ht="20.25" customHeight="1">
      <c r="A22" s="17"/>
      <c r="B22" s="25" t="s">
        <v>71</v>
      </c>
      <c r="C22" s="42">
        <f>IQ_DRIVER_VEE+IQ_OTHER_VEE</f>
        <v>6</v>
      </c>
      <c r="D22" s="24" t="s">
        <v>0</v>
      </c>
      <c r="E22" s="74"/>
      <c r="F22" s="16"/>
      <c r="G22" s="85"/>
      <c r="H22" s="16"/>
      <c r="I22" s="16"/>
      <c r="J22" s="16"/>
      <c r="K22" s="16"/>
      <c r="L22" s="16"/>
      <c r="M22" s="16"/>
      <c r="N22" s="16"/>
      <c r="O22" s="16"/>
      <c r="P22" s="16"/>
      <c r="Q22" s="16"/>
    </row>
    <row r="23" spans="1:17" ht="20.25" customHeight="1">
      <c r="A23" s="17"/>
      <c r="B23" s="23" t="s">
        <v>118</v>
      </c>
      <c r="C23" s="5">
        <v>10</v>
      </c>
      <c r="D23" s="24" t="s">
        <v>13</v>
      </c>
      <c r="E23" s="74"/>
      <c r="F23" s="16"/>
      <c r="G23" s="85"/>
      <c r="H23" s="16"/>
      <c r="I23" s="16"/>
      <c r="J23" s="16"/>
      <c r="K23" s="16"/>
      <c r="L23" s="16"/>
      <c r="M23" s="16"/>
      <c r="N23" s="16"/>
      <c r="O23" s="16"/>
      <c r="P23" s="16"/>
      <c r="Q23" s="16"/>
    </row>
    <row r="24" spans="1:17" ht="20.100000000000001" customHeight="1">
      <c r="A24" s="17"/>
      <c r="B24" s="87" t="str">
        <f>IF(COM_VEE&lt;2.5,"COM_VEE &lt; 2.5V: Top feedback resistor between FBVEE and VDD, RFBVEE_VDD",(IF(COM_VEE&gt;2.5,"COM_VEE &gt; 2.5V: Bottom feedback resistor between FBVEE and VEE, RFBVEE_VEE","COM_VEE = 2.5V: Single feedback resistor between FBVEE and COM, RFBVEE_COM")))</f>
        <v>COM_VEE &gt; 2.5V: Bottom feedback resistor between FBVEE and VEE, RFBVEE_VEE</v>
      </c>
      <c r="C24" s="5">
        <v>10</v>
      </c>
      <c r="D24" s="88" t="s">
        <v>13</v>
      </c>
      <c r="E24" s="89"/>
      <c r="F24" s="16"/>
      <c r="G24" s="85"/>
      <c r="H24" s="16"/>
      <c r="I24" s="16"/>
      <c r="J24" s="16"/>
      <c r="K24" s="16"/>
      <c r="L24" s="16"/>
      <c r="M24" s="16"/>
      <c r="N24" s="16"/>
      <c r="O24" s="16"/>
      <c r="P24" s="16"/>
      <c r="Q24" s="16"/>
    </row>
    <row r="25" spans="1:17" ht="20.100000000000001" customHeight="1">
      <c r="A25" s="17"/>
      <c r="B25" s="38" t="s">
        <v>54</v>
      </c>
      <c r="C25" s="5">
        <v>0.5</v>
      </c>
      <c r="D25" s="39" t="s">
        <v>29</v>
      </c>
      <c r="E25" s="74" t="s">
        <v>55</v>
      </c>
      <c r="F25" s="16"/>
      <c r="G25" s="37"/>
      <c r="H25" s="16"/>
      <c r="I25" s="16"/>
      <c r="J25" s="16"/>
      <c r="K25" s="16"/>
      <c r="L25" s="16"/>
      <c r="M25" s="16"/>
      <c r="N25" s="16"/>
      <c r="O25" s="16"/>
      <c r="P25" s="16"/>
      <c r="Q25" s="16"/>
    </row>
    <row r="26" spans="1:17" ht="20.100000000000001" customHeight="1">
      <c r="A26" s="17"/>
      <c r="B26" s="19" t="s">
        <v>42</v>
      </c>
      <c r="C26" s="6">
        <v>10</v>
      </c>
      <c r="D26" s="20" t="s">
        <v>29</v>
      </c>
      <c r="E26" s="59"/>
      <c r="F26" s="16"/>
      <c r="G26" s="37"/>
      <c r="H26" s="16"/>
      <c r="I26" s="16"/>
      <c r="J26" s="16"/>
      <c r="K26" s="16"/>
      <c r="L26" s="16"/>
      <c r="M26" s="16"/>
      <c r="N26" s="16"/>
      <c r="O26" s="16"/>
      <c r="P26" s="16"/>
      <c r="Q26" s="16"/>
    </row>
    <row r="27" spans="1:17" ht="20.100000000000001" customHeight="1">
      <c r="A27" s="17"/>
      <c r="B27" s="19" t="s">
        <v>41</v>
      </c>
      <c r="C27" s="6">
        <v>-10</v>
      </c>
      <c r="D27" s="20" t="s">
        <v>29</v>
      </c>
      <c r="E27" s="59"/>
      <c r="F27" s="16"/>
      <c r="G27" s="37"/>
      <c r="H27" s="16"/>
      <c r="I27" s="16"/>
      <c r="J27" s="16"/>
      <c r="K27" s="16"/>
      <c r="L27" s="16"/>
      <c r="M27" s="16"/>
      <c r="N27" s="16"/>
      <c r="O27" s="16"/>
      <c r="P27" s="16"/>
      <c r="Q27" s="16"/>
    </row>
    <row r="28" spans="1:17" ht="20.100000000000001" customHeight="1">
      <c r="A28" s="17"/>
      <c r="B28" s="19" t="s">
        <v>43</v>
      </c>
      <c r="C28" s="6">
        <v>10</v>
      </c>
      <c r="D28" s="20" t="s">
        <v>29</v>
      </c>
      <c r="E28" s="59"/>
      <c r="F28" s="16"/>
      <c r="G28" s="37"/>
      <c r="H28" s="16"/>
      <c r="I28" s="16"/>
      <c r="J28" s="16"/>
      <c r="K28" s="16"/>
      <c r="L28" s="16"/>
      <c r="M28" s="16"/>
      <c r="N28" s="16"/>
      <c r="O28" s="16"/>
      <c r="P28" s="16"/>
      <c r="Q28" s="16"/>
    </row>
    <row r="29" spans="1:17" ht="20.100000000000001" customHeight="1">
      <c r="A29" s="17"/>
      <c r="B29" s="23" t="s">
        <v>44</v>
      </c>
      <c r="C29" s="5">
        <v>-10</v>
      </c>
      <c r="D29" s="24" t="s">
        <v>29</v>
      </c>
      <c r="E29" s="74"/>
      <c r="F29" s="16"/>
      <c r="G29" s="37"/>
      <c r="H29" s="16"/>
      <c r="I29" s="16"/>
      <c r="J29" s="16"/>
      <c r="K29" s="16"/>
      <c r="L29" s="16"/>
      <c r="M29" s="16"/>
      <c r="N29" s="16"/>
      <c r="O29" s="16"/>
      <c r="P29" s="16"/>
      <c r="Q29" s="16"/>
    </row>
    <row r="30" spans="1:17" ht="20.100000000000001" customHeight="1">
      <c r="A30" s="17"/>
      <c r="B30" s="153" t="s">
        <v>46</v>
      </c>
      <c r="C30" s="155">
        <f>IF(ABS(G30)&gt;ABS(G31), G30,G31)</f>
        <v>-0.5166561910747961</v>
      </c>
      <c r="D30" s="157" t="s">
        <v>0</v>
      </c>
      <c r="E30" s="159" t="s">
        <v>38</v>
      </c>
      <c r="F30" s="16"/>
      <c r="G30" s="37">
        <f>10^3*(Qgtot*fsw*10^-3*(((COUT3*(1+dCOUT3_POS*0.01)/(COUT2*(1+dCOUT2_NEG*0.01)+COUT3*(1+dCOUT3_POS*0.01))))-(COUT3/(COUT2+COUT3))))</f>
        <v>0.46419220699214481</v>
      </c>
      <c r="H30" s="16" t="s">
        <v>0</v>
      </c>
      <c r="I30" s="16" t="s">
        <v>50</v>
      </c>
      <c r="J30" s="16"/>
      <c r="K30" s="16"/>
      <c r="L30" s="16"/>
      <c r="M30" s="16"/>
      <c r="N30" s="16"/>
      <c r="O30" s="16"/>
      <c r="P30" s="16"/>
      <c r="Q30" s="16"/>
    </row>
    <row r="31" spans="1:17" ht="20.100000000000001" customHeight="1">
      <c r="A31" s="17"/>
      <c r="B31" s="154"/>
      <c r="C31" s="156"/>
      <c r="D31" s="158"/>
      <c r="E31" s="160"/>
      <c r="F31" s="16"/>
      <c r="G31" s="37">
        <f>-10^3*(Qgtot*fsw*10^-3*(((COUT2*(1+dCOUT2_POS*0.01)/(COUT2*(1+dCOUT2_POS*0.01)+COUT3*(1+dCOUT3_NEG*0.01))))-(COUT2/(COUT2+COUT3))))</f>
        <v>-0.5166561910747961</v>
      </c>
      <c r="H31" s="16" t="s">
        <v>0</v>
      </c>
      <c r="I31" s="16" t="s">
        <v>51</v>
      </c>
      <c r="J31" s="16"/>
      <c r="K31" s="16"/>
      <c r="L31" s="16"/>
      <c r="M31" s="16"/>
      <c r="N31" s="16"/>
      <c r="O31" s="16"/>
      <c r="P31" s="16"/>
      <c r="Q31" s="16"/>
    </row>
    <row r="32" spans="1:17" ht="20.100000000000001" customHeight="1">
      <c r="A32" s="17"/>
      <c r="B32" s="102" t="s">
        <v>39</v>
      </c>
      <c r="C32" s="104">
        <f>IF(ABS(G32)&gt;ABS(G33), G32, G33)</f>
        <v>-0.5166561910747961</v>
      </c>
      <c r="D32" s="106" t="s">
        <v>0</v>
      </c>
      <c r="E32" s="108" t="s">
        <v>38</v>
      </c>
      <c r="F32" s="16"/>
      <c r="G32" s="37">
        <f>G30+IF(I_COM_VEE&gt;I_VDD_COM, I_COM_VEE-I_VDD_COM,0)</f>
        <v>0.46419220699214481</v>
      </c>
      <c r="H32" s="16" t="s">
        <v>0</v>
      </c>
      <c r="I32" s="16" t="s">
        <v>36</v>
      </c>
      <c r="J32" s="16"/>
      <c r="K32" s="16"/>
      <c r="L32" s="16"/>
      <c r="M32" s="16"/>
      <c r="N32" s="16"/>
      <c r="O32" s="16"/>
      <c r="P32" s="16"/>
      <c r="Q32" s="16"/>
    </row>
    <row r="33" spans="1:17" ht="20.100000000000001" customHeight="1">
      <c r="A33" s="17"/>
      <c r="B33" s="103"/>
      <c r="C33" s="105"/>
      <c r="D33" s="107"/>
      <c r="E33" s="109"/>
      <c r="F33" s="16"/>
      <c r="G33" s="82">
        <f>G31-IF(I_COM_VEE&lt;I_VDD_COM, I_VDD_COM-I_COM_VEE,0)</f>
        <v>-0.5166561910747961</v>
      </c>
      <c r="H33" s="16" t="s">
        <v>0</v>
      </c>
      <c r="I33" s="16" t="s">
        <v>37</v>
      </c>
      <c r="J33" s="16"/>
      <c r="K33" s="16"/>
      <c r="L33" s="16"/>
      <c r="M33" s="16"/>
      <c r="N33" s="16"/>
      <c r="O33" s="16"/>
      <c r="P33" s="16"/>
      <c r="Q33" s="16"/>
    </row>
    <row r="34" spans="1:17" ht="20.25" customHeight="1">
      <c r="A34" s="17"/>
      <c r="B34" s="19" t="s">
        <v>47</v>
      </c>
      <c r="C34" s="44">
        <f>(Qgtot*0.000001*VDD_VEE*fsw*1000)</f>
        <v>0.27399999999999997</v>
      </c>
      <c r="D34" s="20" t="s">
        <v>34</v>
      </c>
      <c r="E34" s="59"/>
      <c r="F34" s="16"/>
      <c r="G34" s="37"/>
      <c r="H34" s="16"/>
      <c r="I34" s="16"/>
      <c r="J34" s="16"/>
      <c r="K34" s="16"/>
      <c r="L34" s="16"/>
      <c r="M34" s="16"/>
      <c r="N34" s="16"/>
      <c r="O34" s="16"/>
      <c r="P34" s="16"/>
      <c r="Q34" s="16"/>
    </row>
    <row r="35" spans="1:17" ht="20.25" customHeight="1">
      <c r="A35" s="17"/>
      <c r="B35" s="23" t="s">
        <v>48</v>
      </c>
      <c r="C35" s="45">
        <f>IF(ABS(IQ_DRIVER_VDD)&gt;ABS(IQ_DRIVER_VEE), VDD_VEE*IQ_DRIVER_VDD*0.001,VDD_VEE*IQ_DRIVER_VEE*0.001)</f>
        <v>0.12</v>
      </c>
      <c r="D35" s="24" t="s">
        <v>34</v>
      </c>
      <c r="E35" s="74"/>
      <c r="F35" s="16"/>
      <c r="G35" s="37"/>
      <c r="H35" s="16"/>
      <c r="I35" s="16"/>
      <c r="J35" s="16"/>
      <c r="K35" s="16"/>
      <c r="L35" s="16"/>
      <c r="M35" s="16"/>
      <c r="N35" s="16"/>
      <c r="O35" s="16"/>
      <c r="P35" s="16"/>
      <c r="Q35" s="16"/>
    </row>
    <row r="36" spans="1:17" ht="20.25" customHeight="1">
      <c r="A36" s="17"/>
      <c r="B36" s="23" t="s">
        <v>49</v>
      </c>
      <c r="C36" s="46">
        <f>IF(IRLIM_CAP&gt;0, (VDD_VEE-COM_VEE)*IRLIM_CAP*0.001,0)</f>
        <v>0</v>
      </c>
      <c r="D36" s="24" t="s">
        <v>34</v>
      </c>
      <c r="E36" s="74"/>
      <c r="F36" s="16"/>
      <c r="G36" s="37"/>
      <c r="H36" s="16"/>
      <c r="I36" s="16"/>
      <c r="J36" s="16"/>
      <c r="K36" s="16"/>
      <c r="L36" s="16"/>
      <c r="M36" s="16"/>
      <c r="N36" s="16"/>
      <c r="O36" s="16"/>
      <c r="P36" s="16"/>
      <c r="Q36" s="16"/>
    </row>
    <row r="37" spans="1:17" ht="40.5" customHeight="1">
      <c r="A37" s="17"/>
      <c r="B37" s="19" t="s">
        <v>77</v>
      </c>
      <c r="C37" s="12">
        <v>2</v>
      </c>
      <c r="D37" s="20" t="s">
        <v>34</v>
      </c>
      <c r="E37" s="60" t="s">
        <v>80</v>
      </c>
      <c r="F37" s="16"/>
      <c r="G37" s="37"/>
      <c r="H37" s="16"/>
      <c r="I37" s="16"/>
      <c r="J37" s="16"/>
      <c r="K37" s="16"/>
      <c r="L37" s="16"/>
      <c r="M37" s="16"/>
      <c r="N37" s="16"/>
      <c r="O37" s="16"/>
      <c r="P37" s="16"/>
      <c r="Q37" s="16"/>
    </row>
    <row r="38" spans="1:17" ht="32.85" customHeight="1">
      <c r="A38" s="17"/>
      <c r="B38" s="23" t="s">
        <v>108</v>
      </c>
      <c r="C38" s="47">
        <f>C34+C35+C36</f>
        <v>0.39399999999999996</v>
      </c>
      <c r="D38" s="20" t="s">
        <v>34</v>
      </c>
      <c r="E38" s="60" t="s">
        <v>57</v>
      </c>
      <c r="F38" s="16"/>
      <c r="G38" s="37"/>
      <c r="H38" s="16"/>
      <c r="I38" s="16"/>
      <c r="J38" s="16"/>
      <c r="K38" s="16"/>
      <c r="L38" s="16"/>
      <c r="M38" s="16"/>
      <c r="N38" s="16"/>
      <c r="O38" s="16"/>
      <c r="P38" s="16"/>
      <c r="Q38" s="16"/>
    </row>
    <row r="39" spans="1:17" ht="46.5" customHeight="1">
      <c r="A39" s="17"/>
      <c r="B39" s="19" t="s">
        <v>56</v>
      </c>
      <c r="C39" s="12">
        <v>2</v>
      </c>
      <c r="D39" s="41" t="s">
        <v>34</v>
      </c>
      <c r="E39" s="76" t="s">
        <v>111</v>
      </c>
      <c r="F39" s="16"/>
      <c r="G39" s="37">
        <f>P_MAX/VDD_VEE</f>
        <v>0.1</v>
      </c>
      <c r="H39" s="1" t="s">
        <v>59</v>
      </c>
      <c r="I39" s="16" t="s">
        <v>85</v>
      </c>
      <c r="J39" s="16"/>
      <c r="K39" s="16"/>
      <c r="L39" s="16"/>
      <c r="M39" s="16"/>
      <c r="N39" s="16"/>
      <c r="O39" s="16"/>
      <c r="P39" s="16"/>
      <c r="Q39" s="16"/>
    </row>
    <row r="40" spans="1:17" ht="20.25" customHeight="1" thickBot="1">
      <c r="A40" s="17"/>
      <c r="B40" s="34" t="s">
        <v>58</v>
      </c>
      <c r="C40" s="48">
        <f>P_MAX/VDD_VEE</f>
        <v>0.1</v>
      </c>
      <c r="D40" s="28" t="s">
        <v>59</v>
      </c>
      <c r="E40" s="71"/>
      <c r="F40" s="16"/>
      <c r="G40" s="37"/>
      <c r="H40" s="16"/>
      <c r="I40" s="16"/>
      <c r="J40" s="16"/>
      <c r="K40" s="16"/>
      <c r="L40" s="16"/>
      <c r="M40" s="16"/>
      <c r="N40" s="16"/>
      <c r="O40" s="16"/>
      <c r="P40" s="16"/>
      <c r="Q40" s="16"/>
    </row>
    <row r="41" spans="1:17" ht="20.100000000000001" customHeight="1" thickBot="1">
      <c r="A41" s="17"/>
      <c r="B41" s="29"/>
      <c r="C41" s="29"/>
      <c r="D41" s="29"/>
      <c r="E41" s="30"/>
      <c r="F41" s="16"/>
      <c r="G41" s="37"/>
      <c r="H41" s="16"/>
      <c r="I41" s="16"/>
      <c r="J41" s="16"/>
      <c r="K41" s="16"/>
      <c r="L41" s="16"/>
      <c r="M41" s="16"/>
      <c r="N41" s="16"/>
      <c r="O41" s="16"/>
      <c r="P41" s="16"/>
      <c r="Q41" s="16"/>
    </row>
    <row r="42" spans="1:17">
      <c r="A42" s="17"/>
      <c r="B42" s="110" t="s">
        <v>25</v>
      </c>
      <c r="C42" s="111"/>
      <c r="D42" s="111"/>
      <c r="E42" s="112"/>
      <c r="F42" s="16"/>
      <c r="G42" s="37"/>
      <c r="H42" s="16"/>
      <c r="I42" s="16"/>
      <c r="J42" s="16"/>
      <c r="K42" s="16"/>
      <c r="L42" s="16"/>
      <c r="M42" s="16"/>
      <c r="N42" s="16"/>
      <c r="O42" s="16"/>
      <c r="P42" s="16"/>
      <c r="Q42" s="16"/>
    </row>
    <row r="43" spans="1:17" ht="15" thickBot="1">
      <c r="A43" s="17"/>
      <c r="B43" s="113"/>
      <c r="C43" s="114"/>
      <c r="D43" s="114"/>
      <c r="E43" s="115"/>
      <c r="F43" s="16"/>
      <c r="G43" s="37"/>
      <c r="H43" s="16"/>
      <c r="I43" s="16"/>
      <c r="J43" s="16"/>
      <c r="K43" s="16"/>
      <c r="L43" s="16"/>
      <c r="M43" s="16"/>
      <c r="N43" s="16"/>
      <c r="O43" s="16"/>
      <c r="P43" s="16"/>
      <c r="Q43" s="16"/>
    </row>
    <row r="44" spans="1:17" ht="24.75" customHeight="1">
      <c r="A44" s="17"/>
      <c r="B44" s="116" t="s">
        <v>91</v>
      </c>
      <c r="C44" s="117"/>
      <c r="D44" s="117"/>
      <c r="E44" s="119"/>
      <c r="F44" s="16"/>
      <c r="G44" s="37"/>
      <c r="H44" s="16"/>
      <c r="I44" s="16"/>
      <c r="J44" s="16"/>
      <c r="K44" s="16"/>
      <c r="L44" s="16"/>
      <c r="M44" s="16"/>
      <c r="N44" s="16"/>
      <c r="O44" s="16"/>
      <c r="P44" s="16"/>
      <c r="Q44" s="16"/>
    </row>
    <row r="45" spans="1:17" ht="20.25" customHeight="1">
      <c r="A45" s="17"/>
      <c r="B45" s="19" t="s">
        <v>124</v>
      </c>
      <c r="C45" s="49">
        <f>R_2*(VDD_VEE-2.5)/2.5</f>
        <v>70</v>
      </c>
      <c r="D45" s="24" t="s">
        <v>13</v>
      </c>
      <c r="E45" s="60"/>
      <c r="F45" s="16"/>
      <c r="G45" s="37"/>
      <c r="H45" s="16"/>
      <c r="I45" s="16"/>
      <c r="J45" s="16"/>
      <c r="K45" s="16"/>
      <c r="L45" s="16"/>
      <c r="M45" s="16"/>
      <c r="N45" s="16"/>
      <c r="O45" s="16"/>
      <c r="P45" s="16"/>
      <c r="Q45" s="16"/>
    </row>
    <row r="46" spans="1:17" ht="20.25" customHeight="1" thickBot="1">
      <c r="A46" s="17"/>
      <c r="B46" s="90" t="str">
        <f>IF(COM_VEE&lt;2.5,"COM_VEE &lt; 2.5V: Bot feedback resistor between FBVEE and COM, RFBVEE_COM =",(IF(COM_VEE&gt;2.5,"COM_VEE &gt; 2.5V: Top feedback resistor between FBVEE and COM, RFBVEE_COM =","COM_VEE = 2.5V: Single feedback resistor between FBVEE and COM, RFBVEE_COM =")))</f>
        <v>COM_VEE &gt; 2.5V: Top feedback resistor between FBVEE and COM, RFBVEE_COM =</v>
      </c>
      <c r="C46" s="86">
        <f>IF(COM_VEE&lt;2.5,R_4*(2.5-COM_VEE)/(VDD_VEE-2.5),(IF(COM_VEE&gt;2.5,R_4*(COM_VEE-2.5)/2.5,R_4)))</f>
        <v>10</v>
      </c>
      <c r="D46" s="88" t="s">
        <v>13</v>
      </c>
      <c r="E46" s="91"/>
      <c r="F46" s="16"/>
      <c r="G46" s="37"/>
      <c r="H46" s="16"/>
      <c r="I46" s="16"/>
      <c r="J46" s="16"/>
      <c r="K46" s="16"/>
      <c r="L46" s="16"/>
      <c r="M46" s="16"/>
      <c r="N46" s="16"/>
      <c r="O46" s="16"/>
      <c r="P46" s="16"/>
      <c r="Q46" s="16"/>
    </row>
    <row r="47" spans="1:17" ht="24.75" customHeight="1">
      <c r="A47" s="17"/>
      <c r="B47" s="116" t="s">
        <v>92</v>
      </c>
      <c r="C47" s="117"/>
      <c r="D47" s="117"/>
      <c r="E47" s="118"/>
      <c r="F47" s="16"/>
      <c r="G47" s="37"/>
      <c r="H47" s="16"/>
      <c r="I47" s="16"/>
      <c r="J47" s="16"/>
      <c r="K47" s="16"/>
      <c r="L47" s="16"/>
      <c r="M47" s="16"/>
      <c r="N47" s="16"/>
      <c r="O47" s="16"/>
      <c r="P47" s="16"/>
      <c r="Q47" s="16"/>
    </row>
    <row r="48" spans="1:17" ht="20.100000000000001" customHeight="1">
      <c r="A48" s="17"/>
      <c r="B48" s="38" t="s">
        <v>89</v>
      </c>
      <c r="C48" s="43">
        <f>10^6*(G50*(Qgtot/10^6)*(G50^3+SQRT(G51)+G50^2*SQRT(G51)-1))/(G15*(G50+1)^2*G51)</f>
        <v>1.634924086035705</v>
      </c>
      <c r="D48" s="39" t="s">
        <v>82</v>
      </c>
      <c r="E48" s="74"/>
      <c r="F48" s="16"/>
      <c r="G48" s="37"/>
      <c r="H48" s="16"/>
      <c r="I48" s="16"/>
      <c r="J48" s="16"/>
      <c r="K48" s="16"/>
      <c r="L48" s="16"/>
      <c r="M48" s="16"/>
      <c r="N48" s="16"/>
      <c r="O48" s="16"/>
      <c r="P48" s="16"/>
      <c r="Q48" s="16"/>
    </row>
    <row r="49" spans="1:17" ht="45.75" customHeight="1">
      <c r="A49" s="17"/>
      <c r="B49" s="23" t="s">
        <v>90</v>
      </c>
      <c r="C49" s="14">
        <v>10</v>
      </c>
      <c r="D49" s="24" t="s">
        <v>82</v>
      </c>
      <c r="E49" s="60" t="s">
        <v>107</v>
      </c>
      <c r="F49" s="16"/>
      <c r="G49" s="37"/>
      <c r="H49" s="16"/>
      <c r="I49" s="16"/>
      <c r="J49" s="16"/>
      <c r="K49" s="16"/>
      <c r="L49" s="16"/>
      <c r="M49" s="16"/>
      <c r="N49" s="16"/>
      <c r="O49" s="16"/>
      <c r="P49" s="16"/>
      <c r="Q49" s="16"/>
    </row>
    <row r="50" spans="1:17" ht="20.100000000000001" customHeight="1">
      <c r="A50" s="17"/>
      <c r="B50" s="40" t="s">
        <v>114</v>
      </c>
      <c r="C50" s="43">
        <f>(G50*Qgtot-(1+G50)*C49*G15+SQRT(C49^2*G15^2*(G50^2+2*G50+1)+2*C49*G50*Qgtot*G15*(1-G50)+G50^2*Qgtot^2))/(2*G50*G15)</f>
        <v>0.50683705838391846</v>
      </c>
      <c r="D50" s="24" t="s">
        <v>9</v>
      </c>
      <c r="E50" s="74"/>
      <c r="F50" s="16"/>
      <c r="G50" s="37">
        <f>(G14*(G39-I_COM_VEE/1000))/(COM_VEE*(G39-I_VDD_COM/1000))</f>
        <v>3</v>
      </c>
      <c r="I50" s="16" t="s">
        <v>83</v>
      </c>
      <c r="J50" s="16"/>
      <c r="K50" s="16"/>
      <c r="L50" s="16"/>
      <c r="M50" s="16"/>
      <c r="N50" s="16"/>
      <c r="O50" s="16"/>
      <c r="P50" s="16"/>
      <c r="Q50" s="16"/>
    </row>
    <row r="51" spans="1:17" ht="43.8">
      <c r="A51" s="17"/>
      <c r="B51" s="23" t="s">
        <v>113</v>
      </c>
      <c r="C51" s="14">
        <v>1</v>
      </c>
      <c r="D51" s="24" t="s">
        <v>9</v>
      </c>
      <c r="E51" s="60" t="s">
        <v>106</v>
      </c>
      <c r="F51" s="16"/>
      <c r="G51" s="37">
        <f>G50^2+G50+1</f>
        <v>13</v>
      </c>
      <c r="I51" s="16" t="s">
        <v>86</v>
      </c>
      <c r="J51" s="16"/>
      <c r="K51" s="16"/>
      <c r="L51" s="16"/>
      <c r="M51" s="16"/>
      <c r="N51" s="16"/>
      <c r="O51" s="16"/>
      <c r="P51" s="16"/>
      <c r="Q51" s="16"/>
    </row>
    <row r="52" spans="1:17" ht="20.25" customHeight="1">
      <c r="A52" s="17"/>
      <c r="B52" s="19" t="s">
        <v>40</v>
      </c>
      <c r="C52" s="50">
        <f>COUT2*G50</f>
        <v>3</v>
      </c>
      <c r="D52" s="20" t="s">
        <v>9</v>
      </c>
      <c r="E52" s="59"/>
      <c r="F52" s="16"/>
      <c r="G52" s="37"/>
      <c r="H52" s="16"/>
      <c r="I52" s="16"/>
      <c r="J52" s="16"/>
      <c r="K52" s="16"/>
      <c r="L52" s="16"/>
      <c r="M52" s="16"/>
      <c r="N52" s="16"/>
      <c r="O52" s="16"/>
      <c r="P52" s="16"/>
      <c r="Q52" s="16"/>
    </row>
    <row r="53" spans="1:17" ht="51.75" customHeight="1" thickBot="1">
      <c r="A53" s="17"/>
      <c r="B53" s="27" t="s">
        <v>62</v>
      </c>
      <c r="C53" s="54">
        <v>3.3</v>
      </c>
      <c r="D53" s="28" t="s">
        <v>9</v>
      </c>
      <c r="E53" s="72" t="s">
        <v>105</v>
      </c>
      <c r="F53" s="16"/>
      <c r="G53" s="37"/>
      <c r="H53" s="16"/>
      <c r="I53" s="16"/>
      <c r="J53" s="16"/>
      <c r="K53" s="16"/>
      <c r="L53" s="16"/>
      <c r="M53" s="16"/>
      <c r="N53" s="16"/>
      <c r="O53" s="16"/>
      <c r="P53" s="16"/>
      <c r="Q53" s="16"/>
    </row>
    <row r="54" spans="1:17" ht="24.75" customHeight="1">
      <c r="A54" s="17"/>
      <c r="B54" s="116" t="s">
        <v>93</v>
      </c>
      <c r="C54" s="117"/>
      <c r="D54" s="117"/>
      <c r="E54" s="118"/>
      <c r="F54" s="16"/>
      <c r="G54" s="37"/>
      <c r="H54" s="16"/>
      <c r="I54" s="16"/>
      <c r="J54" s="16"/>
      <c r="K54" s="16"/>
      <c r="L54" s="16"/>
      <c r="M54" s="16"/>
      <c r="N54" s="16"/>
      <c r="O54" s="16"/>
      <c r="P54" s="16"/>
      <c r="Q54" s="16"/>
    </row>
    <row r="55" spans="1:17" ht="15.75" customHeight="1">
      <c r="A55" s="17"/>
      <c r="B55" s="100" t="s">
        <v>95</v>
      </c>
      <c r="C55" s="98">
        <f>MIN(RLIM_UP,RLIM_DN, G57)</f>
        <v>8234.4628099173551</v>
      </c>
      <c r="D55" s="94" t="s">
        <v>17</v>
      </c>
      <c r="E55" s="96"/>
      <c r="F55" s="16"/>
      <c r="G55" s="37">
        <f>((VDD_VEE-COM_VEE)/((COUT3*0.000001*(1+dCOUT3_POS*0.01)*(0.1*(COM_VEE))/0.003)+ABS(ILIM_UP*10^-3)))-30</f>
        <v>13999.282950161085</v>
      </c>
      <c r="H55" s="16" t="s">
        <v>17</v>
      </c>
      <c r="I55" s="16" t="s">
        <v>32</v>
      </c>
      <c r="J55" s="16"/>
      <c r="K55" s="16"/>
      <c r="L55" s="16"/>
      <c r="M55" s="16"/>
      <c r="N55" s="16"/>
      <c r="O55" s="16"/>
      <c r="P55" s="16"/>
      <c r="Q55" s="16"/>
    </row>
    <row r="56" spans="1:17" ht="13.5" customHeight="1">
      <c r="A56" s="16"/>
      <c r="B56" s="101"/>
      <c r="C56" s="99"/>
      <c r="D56" s="95"/>
      <c r="E56" s="97"/>
      <c r="F56" s="16"/>
      <c r="G56" s="37">
        <f>(COM_VEE/ABS(ILIM_DN*10^-3))-30</f>
        <v>9647.6155717761503</v>
      </c>
      <c r="H56" s="16" t="s">
        <v>17</v>
      </c>
      <c r="I56" s="16" t="s">
        <v>33</v>
      </c>
      <c r="J56" s="16"/>
      <c r="K56" s="16"/>
      <c r="L56" s="16"/>
      <c r="M56" s="16"/>
      <c r="N56" s="16"/>
      <c r="O56" s="16"/>
      <c r="P56" s="16"/>
      <c r="Q56" s="16"/>
    </row>
    <row r="57" spans="1:17" ht="13.5" customHeight="1">
      <c r="A57" s="16"/>
      <c r="B57" s="101"/>
      <c r="C57" s="99"/>
      <c r="D57" s="95"/>
      <c r="E57" s="97"/>
      <c r="F57" s="16"/>
      <c r="G57" s="37">
        <f>(COM_VEE/((COUT3*0.000001*(1+dCOUT3_POS*0.01)*(0.1*COM_VEE)/0.003)+(I_VDD_COM-I_COM_VEE)*0.001))-30</f>
        <v>8234.4628099173551</v>
      </c>
      <c r="H57" s="16" t="s">
        <v>17</v>
      </c>
      <c r="I57" s="16" t="s">
        <v>63</v>
      </c>
      <c r="J57" s="16"/>
      <c r="K57" s="16"/>
      <c r="L57" s="16"/>
      <c r="M57" s="16"/>
      <c r="N57" s="16"/>
      <c r="O57" s="16"/>
      <c r="P57" s="16"/>
      <c r="Q57" s="16"/>
    </row>
    <row r="58" spans="1:17" ht="30">
      <c r="A58" s="16"/>
      <c r="B58" s="19" t="s">
        <v>96</v>
      </c>
      <c r="C58" s="3">
        <v>1000</v>
      </c>
      <c r="D58" s="55" t="s">
        <v>17</v>
      </c>
      <c r="E58" s="60" t="s">
        <v>104</v>
      </c>
      <c r="F58" s="16"/>
      <c r="G58" s="37"/>
      <c r="H58" s="16"/>
      <c r="I58" s="16"/>
      <c r="J58" s="16"/>
      <c r="K58" s="16"/>
      <c r="L58" s="16"/>
      <c r="M58" s="16"/>
      <c r="N58" s="16"/>
      <c r="O58" s="16"/>
      <c r="P58" s="16"/>
      <c r="Q58" s="16"/>
    </row>
    <row r="59" spans="1:17" ht="16.8" thickBot="1">
      <c r="A59" s="16"/>
      <c r="B59" s="61" t="s">
        <v>115</v>
      </c>
      <c r="C59" s="62">
        <f>G14^2/C58*0.33+(ILIM_MAX*10^-3)^2*C58</f>
        <v>7.4516933619775932E-2</v>
      </c>
      <c r="D59" s="63" t="s">
        <v>34</v>
      </c>
      <c r="E59" s="64" t="s">
        <v>45</v>
      </c>
      <c r="F59" s="16"/>
      <c r="G59" s="37"/>
      <c r="H59" s="16"/>
      <c r="I59" s="16"/>
      <c r="J59" s="16"/>
      <c r="K59" s="16"/>
      <c r="L59" s="16"/>
      <c r="M59" s="16"/>
      <c r="N59" s="16"/>
      <c r="O59" s="16"/>
      <c r="P59" s="16"/>
      <c r="Q59" s="16"/>
    </row>
    <row r="60" spans="1:17" ht="24.75" customHeight="1">
      <c r="A60" s="16"/>
      <c r="B60" s="120" t="s">
        <v>94</v>
      </c>
      <c r="C60" s="121"/>
      <c r="D60" s="121"/>
      <c r="E60" s="122"/>
      <c r="F60" s="16"/>
      <c r="G60" s="37"/>
      <c r="H60" s="16"/>
      <c r="I60" s="16"/>
      <c r="J60" s="16"/>
      <c r="K60" s="16"/>
      <c r="L60" s="16"/>
      <c r="M60" s="16"/>
      <c r="N60" s="16"/>
      <c r="O60" s="16"/>
      <c r="P60" s="16"/>
      <c r="Q60" s="16"/>
    </row>
    <row r="61" spans="1:17" ht="26.25" customHeight="1">
      <c r="A61" s="16"/>
      <c r="B61" s="77" t="s">
        <v>100</v>
      </c>
      <c r="C61" s="78">
        <f>RLIM_UP</f>
        <v>13999.282950161085</v>
      </c>
      <c r="D61" s="55" t="s">
        <v>17</v>
      </c>
      <c r="E61" s="66"/>
      <c r="F61" s="16"/>
      <c r="G61" s="79">
        <f>COM_VEE/RLIM</f>
        <v>2E-3</v>
      </c>
      <c r="H61" s="1" t="s">
        <v>59</v>
      </c>
      <c r="I61" s="16" t="s">
        <v>109</v>
      </c>
      <c r="J61" s="16"/>
      <c r="K61" s="16"/>
      <c r="L61" s="16"/>
      <c r="M61" s="16"/>
      <c r="N61" s="16"/>
      <c r="O61" s="16"/>
      <c r="P61" s="16"/>
      <c r="Q61" s="16"/>
    </row>
    <row r="62" spans="1:17" ht="32.85" customHeight="1">
      <c r="A62" s="17"/>
      <c r="B62" s="19" t="s">
        <v>97</v>
      </c>
      <c r="C62" s="3">
        <v>2500</v>
      </c>
      <c r="D62" s="55" t="s">
        <v>17</v>
      </c>
      <c r="E62" s="60" t="s">
        <v>126</v>
      </c>
      <c r="F62" s="16"/>
      <c r="G62" s="79">
        <f>(COM_VEE-0.5)/C65</f>
        <v>4.4999999999999997E-3</v>
      </c>
      <c r="H62" s="1" t="s">
        <v>59</v>
      </c>
      <c r="I62" s="16" t="s">
        <v>109</v>
      </c>
      <c r="J62" s="16"/>
      <c r="K62" s="16"/>
      <c r="L62" s="16"/>
      <c r="M62" s="16"/>
      <c r="N62" s="16"/>
      <c r="O62" s="16"/>
      <c r="P62" s="16"/>
      <c r="Q62" s="16"/>
    </row>
    <row r="63" spans="1:17" ht="32.85" customHeight="1">
      <c r="A63" s="17"/>
      <c r="B63" s="67" t="s">
        <v>98</v>
      </c>
      <c r="C63" s="57">
        <f>(G14^2/RLIM)*0.33+(ILIM_DN/1000*G63)^2*RLIM</f>
        <v>2.9763179554976548E-2</v>
      </c>
      <c r="D63" s="56" t="s">
        <v>34</v>
      </c>
      <c r="E63" s="68" t="s">
        <v>99</v>
      </c>
      <c r="F63" s="16"/>
      <c r="G63" s="80">
        <f>G61/(G61+G62)</f>
        <v>0.30769230769230771</v>
      </c>
      <c r="I63" s="16" t="s">
        <v>88</v>
      </c>
      <c r="J63" s="16"/>
      <c r="K63" s="16"/>
      <c r="L63" s="16"/>
      <c r="M63" s="16"/>
      <c r="N63" s="16"/>
      <c r="O63" s="16"/>
      <c r="P63" s="16"/>
      <c r="Q63" s="16"/>
    </row>
    <row r="64" spans="1:17" ht="32.85" customHeight="1">
      <c r="A64" s="17"/>
      <c r="B64" s="77" t="s">
        <v>101</v>
      </c>
      <c r="C64" s="78">
        <f>(COM_VEE-0.5)/(COM_VEE*(1/MIN(RLIM_DN, G57)-1/RLIM_UP))</f>
        <v>17996.904467580498</v>
      </c>
      <c r="D64" s="55" t="s">
        <v>17</v>
      </c>
      <c r="E64" s="60"/>
      <c r="F64" s="16"/>
      <c r="G64" s="81"/>
      <c r="H64" s="16"/>
      <c r="I64" s="16"/>
      <c r="J64" s="16"/>
      <c r="K64" s="16"/>
      <c r="L64" s="16"/>
      <c r="M64" s="16"/>
      <c r="N64" s="16"/>
      <c r="O64" s="16"/>
      <c r="P64" s="16"/>
      <c r="Q64" s="16"/>
    </row>
    <row r="65" spans="1:17" ht="32.85" customHeight="1">
      <c r="A65" s="17"/>
      <c r="B65" s="19" t="s">
        <v>102</v>
      </c>
      <c r="C65" s="3">
        <v>1000</v>
      </c>
      <c r="D65" s="55" t="s">
        <v>17</v>
      </c>
      <c r="E65" s="65" t="s">
        <v>112</v>
      </c>
      <c r="F65" s="16"/>
      <c r="G65" s="79"/>
      <c r="H65" s="16"/>
      <c r="I65" s="16"/>
      <c r="J65" s="16"/>
      <c r="K65" s="16"/>
      <c r="L65" s="16"/>
      <c r="M65" s="16"/>
      <c r="N65" s="16"/>
      <c r="O65" s="16"/>
      <c r="P65" s="16"/>
      <c r="Q65" s="16"/>
    </row>
    <row r="66" spans="1:17" ht="20.25" customHeight="1" thickBot="1">
      <c r="A66" s="17"/>
      <c r="B66" s="61" t="s">
        <v>116</v>
      </c>
      <c r="C66" s="62">
        <f>(ILIM_MAX*10^-3*G66)^2*C65</f>
        <v>1.2793859882751009E-4</v>
      </c>
      <c r="D66" s="63" t="s">
        <v>34</v>
      </c>
      <c r="E66" s="64" t="s">
        <v>103</v>
      </c>
      <c r="F66" s="16"/>
      <c r="G66" s="80">
        <f>G62/(G61+G62)</f>
        <v>0.69230769230769229</v>
      </c>
      <c r="I66" s="16" t="s">
        <v>88</v>
      </c>
      <c r="J66" s="16"/>
      <c r="K66" s="16"/>
      <c r="L66" s="16"/>
      <c r="M66" s="16"/>
      <c r="N66" s="16"/>
      <c r="O66" s="16"/>
      <c r="P66" s="16"/>
      <c r="Q66" s="16"/>
    </row>
    <row r="67" spans="1:17" ht="20.100000000000001" customHeight="1" thickBot="1">
      <c r="A67" s="16"/>
      <c r="B67" s="16"/>
      <c r="C67" s="16"/>
      <c r="D67" s="16"/>
      <c r="E67" s="16"/>
      <c r="F67" s="16"/>
      <c r="G67" s="37"/>
      <c r="H67" s="16"/>
      <c r="I67" s="16"/>
      <c r="J67" s="16"/>
      <c r="K67" s="16"/>
      <c r="L67" s="16"/>
      <c r="M67" s="16"/>
      <c r="N67" s="16"/>
      <c r="O67" s="16"/>
      <c r="P67" s="16"/>
      <c r="Q67" s="16"/>
    </row>
    <row r="68" spans="1:17">
      <c r="A68" s="17"/>
      <c r="B68" s="110" t="s">
        <v>27</v>
      </c>
      <c r="C68" s="111"/>
      <c r="D68" s="111"/>
      <c r="E68" s="112"/>
      <c r="F68" s="16"/>
      <c r="G68" s="37"/>
      <c r="H68" s="16"/>
      <c r="I68" s="16"/>
      <c r="J68" s="16"/>
      <c r="K68" s="16"/>
      <c r="L68" s="16"/>
      <c r="M68" s="16"/>
      <c r="N68" s="16"/>
      <c r="O68" s="16"/>
      <c r="P68" s="16"/>
      <c r="Q68" s="16"/>
    </row>
    <row r="69" spans="1:17" ht="15" thickBot="1">
      <c r="A69" s="17"/>
      <c r="B69" s="161"/>
      <c r="C69" s="162"/>
      <c r="D69" s="162"/>
      <c r="E69" s="163"/>
      <c r="F69" s="16"/>
      <c r="G69" s="37"/>
      <c r="H69" s="16"/>
      <c r="I69" s="16"/>
      <c r="J69" s="16"/>
      <c r="K69" s="16"/>
      <c r="L69" s="16"/>
      <c r="M69" s="16"/>
      <c r="N69" s="16"/>
      <c r="O69" s="16"/>
      <c r="P69" s="16"/>
      <c r="Q69" s="16"/>
    </row>
    <row r="70" spans="1:17" ht="20.25" customHeight="1">
      <c r="A70" s="17"/>
      <c r="B70" s="58" t="s">
        <v>14</v>
      </c>
      <c r="C70" s="69">
        <v>330</v>
      </c>
      <c r="D70" s="70" t="s">
        <v>8</v>
      </c>
      <c r="E70" s="123" t="s">
        <v>121</v>
      </c>
      <c r="F70" s="16"/>
      <c r="G70" s="37"/>
      <c r="H70" s="16"/>
      <c r="I70" s="16"/>
      <c r="J70" s="16"/>
      <c r="K70" s="16"/>
      <c r="L70" s="16"/>
      <c r="M70" s="16"/>
      <c r="N70" s="16"/>
      <c r="O70" s="16"/>
      <c r="P70" s="16"/>
      <c r="Q70" s="16"/>
    </row>
    <row r="71" spans="1:17" ht="20.25" customHeight="1">
      <c r="A71" s="17"/>
      <c r="B71" s="19" t="s">
        <v>15</v>
      </c>
      <c r="C71" s="49">
        <v>330</v>
      </c>
      <c r="D71" s="20" t="s">
        <v>8</v>
      </c>
      <c r="E71" s="96"/>
      <c r="F71" s="16"/>
      <c r="G71" s="37"/>
      <c r="H71" s="16"/>
      <c r="I71" s="16"/>
      <c r="J71" s="16"/>
      <c r="K71" s="16"/>
      <c r="L71" s="16"/>
      <c r="M71" s="16"/>
      <c r="N71" s="16"/>
      <c r="O71" s="16"/>
      <c r="P71" s="16"/>
      <c r="Q71" s="16"/>
    </row>
    <row r="72" spans="1:17" ht="20.25" customHeight="1">
      <c r="A72" s="17"/>
      <c r="B72" s="19" t="s">
        <v>16</v>
      </c>
      <c r="C72" s="49" t="s">
        <v>117</v>
      </c>
      <c r="D72" s="20" t="s">
        <v>9</v>
      </c>
      <c r="E72" s="96"/>
      <c r="F72" s="16"/>
      <c r="G72" s="37"/>
      <c r="H72" s="16"/>
      <c r="I72" s="16"/>
      <c r="J72" s="16"/>
      <c r="K72" s="16"/>
      <c r="L72" s="16"/>
      <c r="M72" s="16"/>
      <c r="N72" s="16"/>
      <c r="O72" s="16"/>
      <c r="P72" s="16"/>
      <c r="Q72" s="16"/>
    </row>
    <row r="73" spans="1:17" ht="20.25" customHeight="1" thickBot="1">
      <c r="A73" s="17"/>
      <c r="B73" s="34" t="s">
        <v>21</v>
      </c>
      <c r="C73" s="51" t="s">
        <v>53</v>
      </c>
      <c r="D73" s="35" t="s">
        <v>9</v>
      </c>
      <c r="E73" s="124"/>
      <c r="F73" s="16"/>
      <c r="G73" s="37"/>
      <c r="H73" s="16"/>
      <c r="I73" s="16"/>
      <c r="J73" s="16"/>
      <c r="K73" s="16"/>
      <c r="L73" s="16"/>
      <c r="M73" s="16"/>
      <c r="N73" s="16"/>
      <c r="O73" s="16"/>
      <c r="P73" s="16"/>
      <c r="Q73" s="16"/>
    </row>
    <row r="74" spans="1:17">
      <c r="A74" s="16"/>
      <c r="B74" s="16"/>
      <c r="C74" s="16"/>
      <c r="D74" s="16"/>
      <c r="E74" s="16"/>
      <c r="F74" s="16"/>
      <c r="G74" s="37"/>
      <c r="H74" s="16"/>
      <c r="I74" s="16"/>
      <c r="J74" s="16"/>
      <c r="K74" s="16"/>
      <c r="L74" s="16"/>
      <c r="M74" s="16"/>
      <c r="N74" s="16"/>
      <c r="O74" s="16"/>
      <c r="P74" s="16"/>
      <c r="Q74" s="16"/>
    </row>
    <row r="75" spans="1:17">
      <c r="A75" s="16"/>
      <c r="B75" s="16" t="s">
        <v>23</v>
      </c>
      <c r="C75" s="16"/>
      <c r="D75" s="16"/>
      <c r="E75" s="16"/>
      <c r="F75" s="16"/>
      <c r="G75" s="37"/>
      <c r="H75" s="16"/>
      <c r="I75" s="16"/>
      <c r="J75" s="16"/>
      <c r="K75" s="16"/>
      <c r="L75" s="16"/>
      <c r="M75" s="16"/>
      <c r="N75" s="16"/>
      <c r="O75" s="16"/>
      <c r="P75" s="16"/>
      <c r="Q75" s="16"/>
    </row>
    <row r="76" spans="1:17" ht="57.6">
      <c r="A76" s="16"/>
      <c r="B76" s="93" t="s">
        <v>127</v>
      </c>
      <c r="C76" s="16"/>
      <c r="D76" s="16"/>
      <c r="E76" s="16"/>
      <c r="F76" s="16"/>
      <c r="G76" s="37"/>
      <c r="H76" s="16"/>
      <c r="I76" s="16"/>
      <c r="J76" s="16"/>
      <c r="K76" s="16"/>
      <c r="L76" s="16"/>
      <c r="M76" s="16"/>
      <c r="N76" s="16"/>
      <c r="O76" s="16"/>
      <c r="P76" s="16"/>
      <c r="Q76" s="16"/>
    </row>
    <row r="77" spans="1:17" ht="15.6">
      <c r="A77" s="16"/>
      <c r="B77" s="16" t="s">
        <v>81</v>
      </c>
      <c r="C77" s="16"/>
      <c r="D77" s="16"/>
      <c r="E77" s="16"/>
      <c r="F77" s="16"/>
      <c r="G77" s="37"/>
      <c r="H77" s="16"/>
      <c r="I77" s="16"/>
      <c r="J77" s="16"/>
      <c r="K77" s="16"/>
      <c r="L77" s="16"/>
      <c r="M77" s="16"/>
      <c r="N77" s="16"/>
      <c r="O77" s="16"/>
      <c r="P77" s="16"/>
      <c r="Q77" s="16"/>
    </row>
    <row r="78" spans="1:17" ht="15.6">
      <c r="A78" s="16"/>
      <c r="B78" s="16" t="s">
        <v>125</v>
      </c>
      <c r="C78" s="16"/>
      <c r="D78" s="16"/>
      <c r="E78" s="16"/>
      <c r="F78" s="16"/>
      <c r="G78" s="37"/>
      <c r="H78" s="16"/>
      <c r="I78" s="16"/>
      <c r="J78" s="16"/>
      <c r="K78" s="16"/>
      <c r="L78" s="16"/>
      <c r="M78" s="16"/>
      <c r="N78" s="16"/>
      <c r="O78" s="16"/>
      <c r="P78" s="16"/>
      <c r="Q78" s="16"/>
    </row>
    <row r="79" spans="1:17">
      <c r="A79" s="16"/>
      <c r="B79" s="16"/>
      <c r="C79" s="16"/>
      <c r="D79" s="16"/>
      <c r="E79" s="16"/>
      <c r="F79" s="16"/>
      <c r="G79" s="37"/>
      <c r="H79" s="16"/>
      <c r="I79" s="16"/>
      <c r="J79" s="16"/>
      <c r="K79" s="16"/>
      <c r="L79" s="16"/>
      <c r="M79" s="16"/>
      <c r="N79" s="16"/>
      <c r="O79" s="16"/>
      <c r="P79" s="16"/>
      <c r="Q79" s="16"/>
    </row>
    <row r="80" spans="1:17">
      <c r="A80" s="16"/>
      <c r="B80" s="16"/>
      <c r="C80" s="16"/>
      <c r="D80" s="16"/>
      <c r="E80" s="16"/>
      <c r="F80" s="16"/>
      <c r="G80" s="37"/>
      <c r="H80" s="16"/>
      <c r="I80" s="16"/>
      <c r="J80" s="16"/>
      <c r="K80" s="16"/>
      <c r="L80" s="16"/>
      <c r="M80" s="16"/>
      <c r="N80" s="16"/>
      <c r="O80" s="16"/>
      <c r="P80" s="16"/>
      <c r="Q80" s="16"/>
    </row>
    <row r="81" spans="1:17">
      <c r="A81" s="16"/>
      <c r="B81" s="16"/>
      <c r="C81" s="16"/>
      <c r="D81" s="16"/>
      <c r="E81" s="16"/>
      <c r="F81" s="16"/>
      <c r="G81" s="37"/>
      <c r="H81" s="16"/>
      <c r="I81" s="16"/>
      <c r="J81" s="16"/>
      <c r="K81" s="16"/>
      <c r="L81" s="16"/>
      <c r="M81" s="16"/>
      <c r="N81" s="16"/>
      <c r="O81" s="16"/>
      <c r="P81" s="16"/>
      <c r="Q81" s="16"/>
    </row>
  </sheetData>
  <sheetProtection algorithmName="SHA-512" hashValue="Va3jEj82vDSI0RIn4l24guiZ58mS6gjCWiOqAxPYidVUCKqftc+17Huh/yqS+R7nHUe1+LP9Y8RJt2dfuTB77w==" saltValue="aQ6PxnToVlJW6VSphtHp0g==" spinCount="100000" sheet="1" selectLockedCells="1"/>
  <mergeCells count="27">
    <mergeCell ref="B60:E60"/>
    <mergeCell ref="E70:E73"/>
    <mergeCell ref="B9:E9"/>
    <mergeCell ref="B1:E1"/>
    <mergeCell ref="B2:E2"/>
    <mergeCell ref="B3:E6"/>
    <mergeCell ref="B7:E7"/>
    <mergeCell ref="B8:E8"/>
    <mergeCell ref="B10:E10"/>
    <mergeCell ref="B11:E12"/>
    <mergeCell ref="B30:B31"/>
    <mergeCell ref="C30:C31"/>
    <mergeCell ref="D30:D31"/>
    <mergeCell ref="E30:E31"/>
    <mergeCell ref="B68:E69"/>
    <mergeCell ref="B47:E47"/>
    <mergeCell ref="D55:D57"/>
    <mergeCell ref="E55:E57"/>
    <mergeCell ref="C55:C57"/>
    <mergeCell ref="B55:B57"/>
    <mergeCell ref="B32:B33"/>
    <mergeCell ref="C32:C33"/>
    <mergeCell ref="D32:D33"/>
    <mergeCell ref="E32:E33"/>
    <mergeCell ref="B42:E43"/>
    <mergeCell ref="B54:E54"/>
    <mergeCell ref="B44:E44"/>
  </mergeCells>
  <conditionalFormatting sqref="B13:B20 D13:E20">
    <cfRule type="expression" dxfId="18" priority="21">
      <formula>$C$38&gt;$C$37</formula>
    </cfRule>
  </conditionalFormatting>
  <conditionalFormatting sqref="B14 D14:E14">
    <cfRule type="expression" dxfId="17" priority="6">
      <formula>$C$14=2.5</formula>
    </cfRule>
    <cfRule type="expression" dxfId="16" priority="7">
      <formula>$C$14&lt;2.5</formula>
    </cfRule>
  </conditionalFormatting>
  <conditionalFormatting sqref="B24 D24:E24">
    <cfRule type="expression" dxfId="15" priority="4">
      <formula>$C$14=2.5</formula>
    </cfRule>
    <cfRule type="expression" dxfId="14" priority="5">
      <formula>$C$14&lt;2.5</formula>
    </cfRule>
  </conditionalFormatting>
  <conditionalFormatting sqref="B46 D46:E46">
    <cfRule type="expression" dxfId="13" priority="2">
      <formula>$C$14=2.5</formula>
    </cfRule>
    <cfRule type="expression" dxfId="12" priority="3">
      <formula>$C$14&lt;2.5</formula>
    </cfRule>
  </conditionalFormatting>
  <conditionalFormatting sqref="B49">
    <cfRule type="expression" dxfId="11" priority="8">
      <formula>$C$49&lt;$C$48</formula>
    </cfRule>
  </conditionalFormatting>
  <conditionalFormatting sqref="B51">
    <cfRule type="expression" dxfId="10" priority="24">
      <formula>$C$51&lt;$C$50</formula>
    </cfRule>
  </conditionalFormatting>
  <conditionalFormatting sqref="B53 D53:E53">
    <cfRule type="expression" dxfId="9" priority="23">
      <formula>$C$53&lt;$C$52</formula>
    </cfRule>
  </conditionalFormatting>
  <conditionalFormatting sqref="B58 D58:E58">
    <cfRule type="expression" dxfId="8" priority="14">
      <formula>$C$58&gt;$C$55</formula>
    </cfRule>
  </conditionalFormatting>
  <conditionalFormatting sqref="B62">
    <cfRule type="expression" dxfId="7" priority="22">
      <formula>$C$62&gt;$C$61</formula>
    </cfRule>
  </conditionalFormatting>
  <conditionalFormatting sqref="B65">
    <cfRule type="expression" dxfId="6" priority="16">
      <formula>$C$65&gt;$C$64</formula>
    </cfRule>
  </conditionalFormatting>
  <conditionalFormatting sqref="D49:E49">
    <cfRule type="expression" dxfId="5" priority="9">
      <formula>$C$49&lt;$C$48</formula>
    </cfRule>
  </conditionalFormatting>
  <conditionalFormatting sqref="D51:E51">
    <cfRule type="expression" dxfId="4" priority="18">
      <formula>$C$51&lt;$C$50</formula>
    </cfRule>
  </conditionalFormatting>
  <conditionalFormatting sqref="D62:E62">
    <cfRule type="expression" dxfId="3" priority="1">
      <formula>$C$62&gt;$C$61</formula>
    </cfRule>
  </conditionalFormatting>
  <conditionalFormatting sqref="D65:E65">
    <cfRule type="expression" dxfId="2" priority="12">
      <formula>$C$65&gt;$C$64</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56"/>
  <sheetViews>
    <sheetView topLeftCell="A7" zoomScale="70" zoomScaleNormal="70" workbookViewId="0">
      <selection activeCell="B19" sqref="B19"/>
    </sheetView>
  </sheetViews>
  <sheetFormatPr defaultColWidth="9" defaultRowHeight="14.4"/>
  <cols>
    <col min="1" max="1" width="5" style="1" customWidth="1"/>
    <col min="2" max="2" width="76.44140625" style="1" customWidth="1"/>
    <col min="3" max="3" width="49.21875" style="1" customWidth="1"/>
    <col min="4" max="4" width="5.77734375" style="1" customWidth="1"/>
    <col min="5" max="5" width="40.21875" style="1" customWidth="1"/>
    <col min="6" max="6" width="4.21875" style="1" customWidth="1"/>
    <col min="7" max="7" width="12.5546875" style="1" customWidth="1"/>
    <col min="8" max="16384" width="9" style="1"/>
  </cols>
  <sheetData>
    <row r="1" spans="1:23" ht="30.6" thickBot="1">
      <c r="A1" s="16"/>
      <c r="B1" s="128" t="s">
        <v>123</v>
      </c>
      <c r="C1" s="128"/>
      <c r="D1" s="128"/>
      <c r="E1" s="128"/>
      <c r="F1" s="16"/>
      <c r="G1" s="16"/>
      <c r="H1" s="16"/>
      <c r="I1" s="16"/>
      <c r="J1" s="16"/>
      <c r="K1" s="16"/>
      <c r="L1" s="16"/>
      <c r="M1" s="16"/>
      <c r="N1" s="16"/>
      <c r="O1" s="16"/>
      <c r="P1" s="16"/>
      <c r="Q1" s="16"/>
      <c r="R1" s="16"/>
      <c r="S1" s="16"/>
      <c r="T1" s="16"/>
      <c r="U1" s="16"/>
      <c r="V1" s="16"/>
    </row>
    <row r="2" spans="1:23" ht="15.6">
      <c r="A2" s="16"/>
      <c r="B2" s="129" t="s">
        <v>1</v>
      </c>
      <c r="C2" s="130"/>
      <c r="D2" s="130"/>
      <c r="E2" s="131"/>
      <c r="F2" s="16"/>
      <c r="G2" s="16"/>
      <c r="H2" s="16"/>
      <c r="I2" s="16"/>
      <c r="J2" s="16"/>
      <c r="K2" s="16"/>
      <c r="L2" s="16"/>
      <c r="M2" s="16"/>
      <c r="N2" s="16"/>
      <c r="O2" s="16"/>
      <c r="P2" s="16"/>
      <c r="Q2" s="16"/>
      <c r="R2" s="16"/>
      <c r="S2" s="16"/>
      <c r="T2" s="16"/>
      <c r="U2" s="16"/>
      <c r="V2" s="16"/>
    </row>
    <row r="3" spans="1:23">
      <c r="A3" s="16"/>
      <c r="B3" s="132" t="s">
        <v>2</v>
      </c>
      <c r="C3" s="133"/>
      <c r="D3" s="133"/>
      <c r="E3" s="134"/>
      <c r="F3" s="16"/>
      <c r="G3" s="16"/>
      <c r="H3" s="16"/>
      <c r="I3" s="16"/>
      <c r="J3" s="16"/>
      <c r="K3" s="16"/>
      <c r="L3" s="16"/>
      <c r="M3" s="16"/>
      <c r="N3" s="16"/>
      <c r="O3" s="16"/>
      <c r="P3" s="16"/>
      <c r="Q3" s="16"/>
      <c r="R3" s="16"/>
      <c r="S3" s="16"/>
      <c r="T3" s="16"/>
      <c r="U3" s="16"/>
      <c r="V3" s="16"/>
    </row>
    <row r="4" spans="1:23">
      <c r="A4" s="17"/>
      <c r="B4" s="132"/>
      <c r="C4" s="133"/>
      <c r="D4" s="133"/>
      <c r="E4" s="134"/>
      <c r="F4" s="16"/>
      <c r="G4" s="16"/>
      <c r="H4" s="16"/>
      <c r="I4" s="16"/>
      <c r="J4" s="16"/>
      <c r="K4" s="16"/>
      <c r="L4" s="16"/>
      <c r="M4" s="16"/>
      <c r="N4" s="16"/>
      <c r="O4" s="16"/>
      <c r="P4" s="16"/>
      <c r="Q4" s="16"/>
      <c r="R4" s="16"/>
      <c r="S4" s="16"/>
      <c r="T4" s="16"/>
      <c r="U4" s="16"/>
      <c r="V4" s="16"/>
    </row>
    <row r="5" spans="1:23">
      <c r="A5" s="17"/>
      <c r="B5" s="132"/>
      <c r="C5" s="133"/>
      <c r="D5" s="133"/>
      <c r="E5" s="134"/>
      <c r="F5" s="18"/>
      <c r="G5" s="16"/>
      <c r="H5" s="16"/>
      <c r="I5" s="16"/>
      <c r="J5" s="16"/>
      <c r="K5" s="16"/>
      <c r="L5" s="16"/>
      <c r="M5" s="16"/>
      <c r="N5" s="16"/>
      <c r="O5" s="16"/>
      <c r="P5" s="16"/>
      <c r="Q5" s="16"/>
      <c r="R5" s="16"/>
      <c r="S5" s="16"/>
      <c r="T5" s="16"/>
      <c r="U5" s="16"/>
      <c r="V5" s="16"/>
    </row>
    <row r="6" spans="1:23" ht="15" thickBot="1">
      <c r="A6" s="17"/>
      <c r="B6" s="135"/>
      <c r="C6" s="136"/>
      <c r="D6" s="136"/>
      <c r="E6" s="137"/>
      <c r="F6" s="18"/>
      <c r="G6" s="16"/>
      <c r="H6" s="16"/>
      <c r="I6" s="16"/>
      <c r="J6" s="16"/>
      <c r="K6" s="16"/>
      <c r="L6" s="16"/>
      <c r="M6" s="16"/>
      <c r="N6" s="16"/>
      <c r="O6" s="16"/>
      <c r="P6" s="16"/>
      <c r="Q6" s="16"/>
      <c r="R6" s="16"/>
      <c r="S6" s="16"/>
      <c r="T6" s="16"/>
      <c r="U6" s="16"/>
      <c r="V6" s="16"/>
    </row>
    <row r="7" spans="1:23" ht="25.35" customHeight="1">
      <c r="A7" s="17"/>
      <c r="B7" s="138" t="s">
        <v>122</v>
      </c>
      <c r="C7" s="139"/>
      <c r="D7" s="139"/>
      <c r="E7" s="140"/>
      <c r="F7" s="18"/>
      <c r="G7" s="16"/>
      <c r="H7" s="16"/>
      <c r="I7" s="16"/>
      <c r="J7" s="16"/>
      <c r="K7" s="16"/>
      <c r="L7" s="16"/>
      <c r="M7" s="16"/>
      <c r="N7" s="16"/>
      <c r="O7" s="16"/>
      <c r="P7" s="16"/>
      <c r="Q7" s="16"/>
      <c r="R7" s="16"/>
      <c r="S7" s="16"/>
      <c r="T7" s="16"/>
      <c r="U7" s="16"/>
      <c r="V7" s="16"/>
    </row>
    <row r="8" spans="1:23" ht="17.399999999999999">
      <c r="A8" s="17"/>
      <c r="B8" s="141" t="s">
        <v>3</v>
      </c>
      <c r="C8" s="164"/>
      <c r="D8" s="164"/>
      <c r="E8" s="165"/>
      <c r="F8" s="18"/>
      <c r="G8" s="16"/>
      <c r="H8" s="16"/>
      <c r="I8" s="16"/>
      <c r="J8" s="16"/>
      <c r="K8" s="16"/>
      <c r="L8" s="16"/>
      <c r="M8" s="16"/>
      <c r="N8" s="16"/>
      <c r="O8" s="16"/>
      <c r="P8" s="16"/>
      <c r="Q8" s="16"/>
      <c r="R8" s="16"/>
      <c r="S8" s="16"/>
      <c r="T8" s="16"/>
      <c r="U8" s="16"/>
      <c r="V8" s="16"/>
    </row>
    <row r="9" spans="1:23" ht="18" thickBot="1">
      <c r="A9" s="17"/>
      <c r="B9" s="125" t="s">
        <v>67</v>
      </c>
      <c r="C9" s="126"/>
      <c r="D9" s="126"/>
      <c r="E9" s="127"/>
      <c r="F9" s="18"/>
      <c r="G9" s="16"/>
      <c r="H9" s="16"/>
      <c r="I9" s="16"/>
      <c r="J9" s="16"/>
      <c r="K9" s="16"/>
      <c r="L9" s="16"/>
      <c r="M9" s="16"/>
      <c r="N9" s="16"/>
      <c r="O9" s="16"/>
      <c r="P9" s="16"/>
      <c r="Q9" s="16"/>
      <c r="R9" s="16"/>
      <c r="S9" s="16"/>
      <c r="T9" s="16"/>
      <c r="U9" s="16"/>
      <c r="V9" s="16"/>
    </row>
    <row r="10" spans="1:23" ht="56.25" customHeight="1" thickBot="1">
      <c r="A10" s="17"/>
      <c r="B10" s="144" t="s">
        <v>4</v>
      </c>
      <c r="C10" s="145"/>
      <c r="D10" s="145"/>
      <c r="E10" s="146"/>
      <c r="F10" s="16"/>
      <c r="G10" s="16"/>
      <c r="H10" s="16"/>
      <c r="I10" s="16"/>
      <c r="J10" s="16"/>
      <c r="K10" s="16"/>
      <c r="L10" s="16"/>
      <c r="M10" s="16"/>
      <c r="N10" s="16"/>
      <c r="O10" s="16"/>
      <c r="P10" s="16"/>
      <c r="Q10" s="16"/>
      <c r="R10" s="16"/>
      <c r="S10" s="16"/>
      <c r="T10" s="16"/>
      <c r="U10" s="16"/>
      <c r="V10" s="16"/>
    </row>
    <row r="11" spans="1:23">
      <c r="A11" s="17"/>
      <c r="B11" s="147" t="s">
        <v>5</v>
      </c>
      <c r="C11" s="148"/>
      <c r="D11" s="148"/>
      <c r="E11" s="149"/>
      <c r="F11" s="16"/>
      <c r="G11" s="16"/>
      <c r="H11" s="16"/>
      <c r="I11" s="16"/>
      <c r="J11" s="16"/>
      <c r="K11" s="16"/>
      <c r="L11" s="16"/>
      <c r="M11" s="16"/>
      <c r="N11" s="16"/>
      <c r="O11" s="16"/>
      <c r="P11" s="16"/>
      <c r="Q11" s="16"/>
      <c r="R11" s="16"/>
      <c r="S11" s="16"/>
      <c r="T11" s="16"/>
      <c r="U11" s="16"/>
      <c r="V11" s="16"/>
    </row>
    <row r="12" spans="1:23" ht="15" thickBot="1">
      <c r="A12" s="17"/>
      <c r="B12" s="150"/>
      <c r="C12" s="151"/>
      <c r="D12" s="151"/>
      <c r="E12" s="152"/>
      <c r="F12" s="16"/>
      <c r="G12" s="16"/>
      <c r="H12" s="16"/>
      <c r="I12" s="16"/>
      <c r="J12" s="16"/>
      <c r="K12" s="16"/>
      <c r="L12" s="16"/>
      <c r="M12" s="16"/>
      <c r="N12" s="16"/>
      <c r="O12" s="16"/>
      <c r="P12" s="16"/>
      <c r="Q12" s="16"/>
      <c r="R12" s="16"/>
      <c r="S12" s="16"/>
      <c r="T12" s="16"/>
      <c r="U12" s="16"/>
      <c r="V12" s="16"/>
    </row>
    <row r="13" spans="1:23" ht="20.25" customHeight="1">
      <c r="A13" s="17"/>
      <c r="B13" s="19" t="s">
        <v>10</v>
      </c>
      <c r="C13" s="2">
        <v>20</v>
      </c>
      <c r="D13" s="20" t="s">
        <v>6</v>
      </c>
      <c r="E13" s="21"/>
      <c r="F13" s="16"/>
      <c r="G13" s="16"/>
      <c r="H13" s="16"/>
      <c r="I13" s="16"/>
      <c r="J13" s="16"/>
      <c r="K13" s="16"/>
      <c r="L13" s="16"/>
      <c r="M13" s="16"/>
      <c r="N13" s="16"/>
      <c r="O13" s="16"/>
      <c r="P13" s="16"/>
      <c r="Q13" s="16"/>
      <c r="R13" s="16"/>
      <c r="S13" s="16"/>
      <c r="T13" s="16"/>
      <c r="U13" s="16"/>
      <c r="V13" s="16"/>
      <c r="W13" s="8"/>
    </row>
    <row r="14" spans="1:23" ht="20.25" customHeight="1">
      <c r="A14" s="17"/>
      <c r="B14" s="19" t="s">
        <v>69</v>
      </c>
      <c r="C14" s="3">
        <v>1.8</v>
      </c>
      <c r="D14" s="20" t="s">
        <v>11</v>
      </c>
      <c r="E14" s="22" t="s">
        <v>64</v>
      </c>
      <c r="F14" s="16"/>
      <c r="G14" s="16"/>
      <c r="H14" s="16"/>
      <c r="I14" s="16"/>
      <c r="J14" s="16"/>
      <c r="K14" s="16"/>
      <c r="L14" s="16"/>
      <c r="M14" s="16"/>
      <c r="N14" s="16"/>
      <c r="O14" s="16"/>
      <c r="P14" s="16"/>
      <c r="Q14" s="16"/>
      <c r="R14" s="16"/>
      <c r="S14" s="16"/>
      <c r="T14" s="16"/>
      <c r="U14" s="16"/>
      <c r="V14" s="16"/>
    </row>
    <row r="15" spans="1:23" ht="20.25" customHeight="1">
      <c r="A15" s="17"/>
      <c r="B15" s="23" t="s">
        <v>12</v>
      </c>
      <c r="C15" s="4">
        <v>15</v>
      </c>
      <c r="D15" s="24" t="s">
        <v>7</v>
      </c>
      <c r="E15" s="22" t="s">
        <v>65</v>
      </c>
      <c r="F15" s="16"/>
      <c r="G15" s="16"/>
      <c r="H15" s="16"/>
      <c r="I15" s="16"/>
      <c r="J15" s="16"/>
      <c r="K15" s="16"/>
      <c r="L15" s="16"/>
      <c r="M15" s="16"/>
      <c r="N15" s="16"/>
      <c r="O15" s="16"/>
      <c r="P15" s="16"/>
      <c r="Q15" s="16"/>
      <c r="R15" s="16"/>
      <c r="S15" s="16"/>
      <c r="T15" s="16"/>
      <c r="U15" s="16"/>
      <c r="V15" s="16"/>
    </row>
    <row r="16" spans="1:23" ht="20.25" customHeight="1">
      <c r="A16" s="17"/>
      <c r="B16" s="23" t="s">
        <v>74</v>
      </c>
      <c r="C16" s="5">
        <v>5</v>
      </c>
      <c r="D16" s="24" t="s">
        <v>0</v>
      </c>
      <c r="E16" s="22" t="s">
        <v>75</v>
      </c>
      <c r="F16" s="16"/>
      <c r="G16" s="16"/>
      <c r="H16" s="16"/>
      <c r="I16" s="16"/>
      <c r="J16" s="16"/>
      <c r="K16" s="16"/>
      <c r="L16" s="16"/>
      <c r="M16" s="16"/>
      <c r="N16" s="16"/>
      <c r="O16" s="16"/>
      <c r="P16" s="16"/>
      <c r="Q16" s="16"/>
      <c r="R16" s="16"/>
      <c r="S16" s="16"/>
      <c r="T16" s="16"/>
      <c r="U16" s="16"/>
      <c r="V16" s="16"/>
    </row>
    <row r="17" spans="1:22" ht="20.25" customHeight="1">
      <c r="A17" s="17"/>
      <c r="B17" s="25" t="s">
        <v>76</v>
      </c>
      <c r="C17" s="5">
        <v>5</v>
      </c>
      <c r="D17" s="24" t="s">
        <v>0</v>
      </c>
      <c r="E17" s="22"/>
      <c r="F17" s="16"/>
      <c r="G17" s="16"/>
      <c r="H17" s="16"/>
      <c r="I17" s="16"/>
      <c r="J17" s="16"/>
      <c r="K17" s="16"/>
      <c r="L17" s="16"/>
      <c r="M17" s="16"/>
      <c r="N17" s="16"/>
      <c r="O17" s="16"/>
      <c r="P17" s="16"/>
      <c r="Q17" s="16"/>
      <c r="R17" s="16"/>
      <c r="S17" s="16"/>
      <c r="T17" s="16"/>
      <c r="U17" s="16"/>
      <c r="V17" s="16"/>
    </row>
    <row r="18" spans="1:22" ht="20.25" customHeight="1">
      <c r="A18" s="17"/>
      <c r="B18" s="25" t="s">
        <v>73</v>
      </c>
      <c r="C18" s="42">
        <f>IQ_DRIVER_VDDS+IQ</f>
        <v>10</v>
      </c>
      <c r="D18" s="24" t="s">
        <v>0</v>
      </c>
      <c r="E18" s="26"/>
      <c r="F18" s="16"/>
      <c r="G18" s="16"/>
      <c r="H18" s="16"/>
      <c r="I18" s="16"/>
      <c r="J18" s="16"/>
      <c r="K18" s="16"/>
      <c r="L18" s="16"/>
      <c r="M18" s="16"/>
      <c r="N18" s="16"/>
      <c r="O18" s="16"/>
      <c r="P18" s="16"/>
      <c r="Q18" s="16"/>
      <c r="R18" s="16"/>
      <c r="S18" s="16"/>
      <c r="T18" s="16"/>
      <c r="U18" s="16"/>
      <c r="V18" s="16"/>
    </row>
    <row r="19" spans="1:22" ht="20.25" customHeight="1">
      <c r="A19" s="17"/>
      <c r="B19" s="23" t="s">
        <v>68</v>
      </c>
      <c r="C19" s="5">
        <v>5</v>
      </c>
      <c r="D19" s="24" t="s">
        <v>0</v>
      </c>
      <c r="E19" s="26" t="s">
        <v>66</v>
      </c>
      <c r="F19" s="16"/>
      <c r="G19" s="16"/>
      <c r="H19" s="16"/>
      <c r="I19" s="16"/>
      <c r="J19" s="16"/>
      <c r="K19" s="16"/>
      <c r="L19" s="16"/>
      <c r="M19" s="16"/>
      <c r="N19" s="16"/>
      <c r="O19" s="16"/>
      <c r="P19" s="16"/>
      <c r="Q19" s="16"/>
      <c r="R19" s="16"/>
      <c r="S19" s="16"/>
      <c r="T19" s="16"/>
      <c r="U19" s="16"/>
      <c r="V19" s="16"/>
    </row>
    <row r="20" spans="1:22" ht="39.75" customHeight="1">
      <c r="A20" s="17"/>
      <c r="B20" s="19" t="s">
        <v>77</v>
      </c>
      <c r="C20" s="12">
        <v>2</v>
      </c>
      <c r="D20" s="20" t="s">
        <v>34</v>
      </c>
      <c r="E20" s="21" t="s">
        <v>79</v>
      </c>
      <c r="F20" s="16"/>
      <c r="G20" s="16"/>
      <c r="H20" s="16"/>
      <c r="I20" s="16"/>
      <c r="J20" s="16"/>
      <c r="K20" s="16"/>
      <c r="L20" s="16"/>
      <c r="M20" s="16"/>
      <c r="N20" s="16"/>
      <c r="O20" s="16"/>
      <c r="P20" s="16"/>
      <c r="Q20" s="16"/>
      <c r="R20" s="16"/>
      <c r="S20" s="16"/>
      <c r="T20" s="16"/>
      <c r="U20" s="16"/>
      <c r="V20" s="16"/>
    </row>
    <row r="21" spans="1:22" ht="37.950000000000003" customHeight="1">
      <c r="A21" s="17"/>
      <c r="B21" s="23" t="s">
        <v>35</v>
      </c>
      <c r="C21" s="45">
        <f>(Qgtot*0.000001*VDD_VEE*fsw*1000)+(VDD_VEE*I_TOTAL_VDDS*0.001)+(VDD_VEE*I_STEP*0.001)</f>
        <v>0.84</v>
      </c>
      <c r="D21" s="24" t="s">
        <v>34</v>
      </c>
      <c r="E21" s="21" t="s">
        <v>57</v>
      </c>
      <c r="F21" s="16"/>
      <c r="G21" s="16"/>
      <c r="H21" s="16"/>
      <c r="I21" s="16"/>
      <c r="J21" s="16"/>
      <c r="K21" s="16"/>
      <c r="L21" s="16"/>
      <c r="M21" s="16"/>
      <c r="N21" s="16"/>
      <c r="O21" s="16"/>
      <c r="P21" s="16"/>
      <c r="Q21" s="16"/>
      <c r="R21" s="16"/>
      <c r="S21" s="16"/>
      <c r="T21" s="16"/>
      <c r="U21" s="16"/>
      <c r="V21" s="16"/>
    </row>
    <row r="22" spans="1:22" ht="20.100000000000001" customHeight="1">
      <c r="A22" s="17"/>
      <c r="B22" s="23" t="s">
        <v>118</v>
      </c>
      <c r="C22" s="5">
        <v>10</v>
      </c>
      <c r="D22" s="24" t="s">
        <v>13</v>
      </c>
      <c r="E22" s="26"/>
      <c r="F22" s="16"/>
      <c r="G22" s="16"/>
      <c r="H22" s="16"/>
      <c r="I22" s="16"/>
      <c r="J22" s="16"/>
      <c r="K22" s="16"/>
      <c r="L22" s="16"/>
      <c r="M22" s="16"/>
      <c r="N22" s="16"/>
      <c r="O22" s="16"/>
      <c r="P22" s="16"/>
      <c r="Q22" s="16"/>
      <c r="R22" s="16"/>
      <c r="S22" s="16"/>
      <c r="T22" s="16"/>
      <c r="U22" s="16"/>
      <c r="V22" s="16"/>
    </row>
    <row r="23" spans="1:22" ht="20.100000000000001" customHeight="1" thickBot="1">
      <c r="A23" s="17"/>
      <c r="B23" s="27" t="s">
        <v>70</v>
      </c>
      <c r="C23" s="83">
        <v>1.5</v>
      </c>
      <c r="D23" s="28" t="s">
        <v>29</v>
      </c>
      <c r="E23" s="84" t="s">
        <v>19</v>
      </c>
      <c r="F23" s="16"/>
      <c r="G23" s="16"/>
      <c r="H23" s="16"/>
      <c r="I23" s="16"/>
      <c r="J23" s="16"/>
      <c r="K23" s="16"/>
      <c r="L23" s="16"/>
      <c r="M23" s="16"/>
      <c r="N23" s="16"/>
      <c r="O23" s="16"/>
      <c r="P23" s="16"/>
      <c r="Q23" s="16"/>
      <c r="R23" s="16"/>
      <c r="S23" s="16"/>
      <c r="T23" s="16"/>
      <c r="U23" s="16"/>
      <c r="V23" s="16"/>
    </row>
    <row r="24" spans="1:22" ht="15" thickBot="1">
      <c r="A24" s="17"/>
      <c r="B24" s="29"/>
      <c r="C24" s="29"/>
      <c r="D24" s="29"/>
      <c r="E24" s="30"/>
      <c r="F24" s="16"/>
      <c r="G24" s="16"/>
      <c r="H24" s="16"/>
      <c r="I24" s="16"/>
      <c r="J24" s="16"/>
      <c r="K24" s="16"/>
      <c r="L24" s="16"/>
      <c r="M24" s="16"/>
      <c r="N24" s="16"/>
      <c r="O24" s="16"/>
      <c r="P24" s="16"/>
      <c r="Q24" s="16"/>
      <c r="R24" s="16"/>
      <c r="S24" s="16"/>
      <c r="T24" s="16"/>
      <c r="U24" s="16"/>
      <c r="V24" s="16"/>
    </row>
    <row r="25" spans="1:22">
      <c r="A25" s="17"/>
      <c r="B25" s="110" t="s">
        <v>25</v>
      </c>
      <c r="C25" s="111"/>
      <c r="D25" s="111"/>
      <c r="E25" s="112"/>
      <c r="F25" s="16"/>
      <c r="G25" s="16"/>
      <c r="H25" s="16"/>
      <c r="I25" s="16"/>
      <c r="J25" s="16"/>
      <c r="K25" s="16"/>
      <c r="L25" s="16"/>
      <c r="M25" s="16"/>
      <c r="N25" s="16"/>
      <c r="O25" s="16"/>
      <c r="P25" s="16"/>
      <c r="Q25" s="16"/>
      <c r="R25" s="16"/>
      <c r="S25" s="16"/>
      <c r="T25" s="16"/>
      <c r="U25" s="16"/>
      <c r="V25" s="16"/>
    </row>
    <row r="26" spans="1:22" ht="15" thickBot="1">
      <c r="A26" s="17"/>
      <c r="B26" s="113"/>
      <c r="C26" s="114"/>
      <c r="D26" s="114"/>
      <c r="E26" s="115"/>
      <c r="F26" s="16"/>
      <c r="G26" s="16"/>
      <c r="H26" s="16"/>
      <c r="I26" s="16"/>
      <c r="J26" s="16"/>
      <c r="K26" s="16"/>
      <c r="L26" s="16"/>
      <c r="M26" s="16"/>
      <c r="N26" s="16"/>
      <c r="O26" s="16"/>
      <c r="P26" s="16"/>
      <c r="Q26" s="16"/>
      <c r="R26" s="16"/>
      <c r="S26" s="16"/>
      <c r="T26" s="16"/>
      <c r="U26" s="16"/>
      <c r="V26" s="16"/>
    </row>
    <row r="27" spans="1:22" ht="20.25" customHeight="1" thickBot="1">
      <c r="A27" s="17"/>
      <c r="B27" s="31" t="s">
        <v>124</v>
      </c>
      <c r="C27" s="52">
        <f>R_2*(VDD_VEE-2.5)/2.5</f>
        <v>70</v>
      </c>
      <c r="D27" s="32" t="s">
        <v>13</v>
      </c>
      <c r="E27" s="33"/>
      <c r="F27" s="16"/>
      <c r="G27" s="16"/>
      <c r="H27" s="16"/>
      <c r="I27" s="16"/>
      <c r="J27" s="16"/>
      <c r="K27" s="16"/>
      <c r="L27" s="16"/>
      <c r="M27" s="16"/>
      <c r="N27" s="16"/>
      <c r="O27" s="16"/>
      <c r="P27" s="16"/>
      <c r="Q27" s="16"/>
      <c r="R27" s="16"/>
      <c r="S27" s="16"/>
      <c r="T27" s="16"/>
      <c r="U27" s="16"/>
      <c r="V27" s="16"/>
    </row>
    <row r="28" spans="1:22" ht="20.100000000000001" customHeight="1">
      <c r="A28" s="17"/>
      <c r="B28" s="23" t="s">
        <v>24</v>
      </c>
      <c r="C28" s="43">
        <f>(Qgtot/(VDD_VEE*PERCENT_VPP_MAX/100))+(I_STEP*0.001/(VDD_VEE*PERCENT_VPP_MAX/100))</f>
        <v>6.0166666666666666</v>
      </c>
      <c r="D28" s="24" t="s">
        <v>9</v>
      </c>
      <c r="E28" s="26" t="s">
        <v>22</v>
      </c>
      <c r="F28" s="16"/>
      <c r="G28" s="16"/>
      <c r="H28" s="16"/>
      <c r="I28" s="16"/>
      <c r="J28" s="16"/>
      <c r="K28" s="16"/>
      <c r="L28" s="16"/>
      <c r="M28" s="16"/>
      <c r="N28" s="16"/>
      <c r="O28" s="16"/>
      <c r="P28" s="16"/>
      <c r="Q28" s="16"/>
      <c r="R28" s="16"/>
      <c r="S28" s="16"/>
      <c r="T28" s="16"/>
      <c r="U28" s="16"/>
      <c r="V28" s="16"/>
    </row>
    <row r="29" spans="1:22" ht="30.6" thickBot="1">
      <c r="A29" s="17"/>
      <c r="B29" s="27" t="s">
        <v>26</v>
      </c>
      <c r="C29" s="15">
        <v>10</v>
      </c>
      <c r="D29" s="28" t="s">
        <v>9</v>
      </c>
      <c r="E29" s="53" t="s">
        <v>78</v>
      </c>
      <c r="F29" s="16"/>
      <c r="G29" s="16"/>
      <c r="H29" s="16"/>
      <c r="I29" s="16"/>
      <c r="J29" s="16"/>
      <c r="K29" s="16"/>
      <c r="L29" s="16"/>
      <c r="M29" s="16"/>
      <c r="N29" s="16"/>
      <c r="O29" s="16"/>
      <c r="P29" s="16"/>
      <c r="Q29" s="16"/>
      <c r="R29" s="16"/>
      <c r="S29" s="16"/>
      <c r="T29" s="16"/>
      <c r="U29" s="16"/>
      <c r="V29" s="16"/>
    </row>
    <row r="30" spans="1:22">
      <c r="A30" s="16"/>
      <c r="B30" s="16"/>
      <c r="C30" s="16"/>
      <c r="D30" s="16"/>
      <c r="E30" s="16"/>
      <c r="F30" s="16"/>
      <c r="G30" s="16"/>
      <c r="H30" s="16"/>
      <c r="I30" s="16"/>
      <c r="J30" s="16"/>
      <c r="K30" s="16"/>
      <c r="L30" s="16"/>
      <c r="M30" s="16"/>
      <c r="N30" s="16"/>
      <c r="O30" s="16"/>
      <c r="P30" s="16"/>
      <c r="Q30" s="16"/>
      <c r="R30" s="16"/>
      <c r="S30" s="16"/>
      <c r="T30" s="16"/>
      <c r="U30" s="16"/>
      <c r="V30" s="16"/>
    </row>
    <row r="31" spans="1:22" ht="15" thickBot="1">
      <c r="A31" s="16"/>
      <c r="B31" s="16"/>
      <c r="C31" s="16"/>
      <c r="D31" s="16"/>
      <c r="E31" s="16"/>
      <c r="F31" s="16"/>
      <c r="G31" s="16"/>
      <c r="H31" s="16"/>
      <c r="I31" s="16"/>
      <c r="J31" s="16"/>
      <c r="K31" s="16"/>
      <c r="L31" s="16"/>
      <c r="M31" s="16"/>
      <c r="N31" s="16"/>
      <c r="O31" s="16"/>
      <c r="P31" s="16"/>
      <c r="Q31" s="16"/>
      <c r="R31" s="16"/>
      <c r="S31" s="16"/>
      <c r="T31" s="16"/>
      <c r="U31" s="16"/>
      <c r="V31" s="16"/>
    </row>
    <row r="32" spans="1:22">
      <c r="A32" s="17"/>
      <c r="B32" s="110" t="s">
        <v>27</v>
      </c>
      <c r="C32" s="111"/>
      <c r="D32" s="111"/>
      <c r="E32" s="112"/>
      <c r="F32" s="16"/>
      <c r="G32" s="16"/>
      <c r="H32" s="16"/>
      <c r="I32" s="16"/>
      <c r="J32" s="16"/>
      <c r="K32" s="16"/>
      <c r="L32" s="16"/>
      <c r="M32" s="16"/>
      <c r="N32" s="16"/>
      <c r="O32" s="16"/>
      <c r="P32" s="16"/>
      <c r="Q32" s="16"/>
      <c r="R32" s="16"/>
      <c r="S32" s="16"/>
      <c r="T32" s="16"/>
      <c r="U32" s="16"/>
      <c r="V32" s="16"/>
    </row>
    <row r="33" spans="1:22" ht="15" thickBot="1">
      <c r="A33" s="17"/>
      <c r="B33" s="113"/>
      <c r="C33" s="114"/>
      <c r="D33" s="114"/>
      <c r="E33" s="115"/>
      <c r="F33" s="16"/>
      <c r="G33" s="16"/>
      <c r="H33" s="16"/>
      <c r="I33" s="16"/>
      <c r="J33" s="16"/>
      <c r="K33" s="16"/>
      <c r="L33" s="16"/>
      <c r="M33" s="16"/>
      <c r="N33" s="16"/>
      <c r="O33" s="16"/>
      <c r="P33" s="16"/>
      <c r="Q33" s="16"/>
      <c r="R33" s="16"/>
      <c r="S33" s="16"/>
      <c r="T33" s="16"/>
      <c r="U33" s="16"/>
      <c r="V33" s="16"/>
    </row>
    <row r="34" spans="1:22" ht="20.25" customHeight="1">
      <c r="A34" s="17"/>
      <c r="B34" s="19" t="s">
        <v>14</v>
      </c>
      <c r="C34" s="49">
        <v>330</v>
      </c>
      <c r="D34" s="20" t="s">
        <v>8</v>
      </c>
      <c r="E34" s="166" t="s">
        <v>121</v>
      </c>
      <c r="F34" s="16"/>
      <c r="G34" s="16"/>
      <c r="H34" s="16"/>
      <c r="I34" s="16"/>
      <c r="J34" s="16"/>
      <c r="K34" s="16"/>
      <c r="L34" s="16"/>
      <c r="M34" s="16"/>
      <c r="N34" s="16"/>
      <c r="O34" s="16"/>
      <c r="P34" s="16"/>
      <c r="Q34" s="16"/>
      <c r="R34" s="16"/>
      <c r="S34" s="16"/>
      <c r="T34" s="16"/>
      <c r="U34" s="16"/>
      <c r="V34" s="16"/>
    </row>
    <row r="35" spans="1:22" ht="20.25" customHeight="1">
      <c r="A35" s="17"/>
      <c r="B35" s="19" t="s">
        <v>16</v>
      </c>
      <c r="C35" s="49" t="s">
        <v>117</v>
      </c>
      <c r="D35" s="20" t="s">
        <v>9</v>
      </c>
      <c r="E35" s="167"/>
      <c r="F35" s="16"/>
      <c r="G35" s="16"/>
      <c r="H35" s="16"/>
      <c r="I35" s="16"/>
      <c r="J35" s="16"/>
      <c r="K35" s="16"/>
      <c r="L35" s="16"/>
      <c r="M35" s="16"/>
      <c r="N35" s="16"/>
      <c r="O35" s="16"/>
      <c r="P35" s="16"/>
      <c r="Q35" s="16"/>
      <c r="R35" s="16"/>
      <c r="S35" s="16"/>
      <c r="T35" s="16"/>
      <c r="U35" s="16"/>
      <c r="V35" s="16"/>
    </row>
    <row r="36" spans="1:22" ht="20.25" customHeight="1">
      <c r="A36" s="17"/>
      <c r="B36" s="19" t="s">
        <v>21</v>
      </c>
      <c r="C36" s="49" t="s">
        <v>53</v>
      </c>
      <c r="D36" s="20" t="s">
        <v>9</v>
      </c>
      <c r="E36" s="168"/>
      <c r="F36" s="16"/>
      <c r="G36" s="16"/>
      <c r="H36" s="16"/>
      <c r="I36" s="16"/>
      <c r="J36" s="16"/>
      <c r="K36" s="16"/>
      <c r="L36" s="16"/>
      <c r="M36" s="16"/>
      <c r="N36" s="16"/>
      <c r="O36" s="16"/>
      <c r="P36" s="16"/>
      <c r="Q36" s="16"/>
      <c r="R36" s="16"/>
      <c r="S36" s="16"/>
      <c r="T36" s="16"/>
      <c r="U36" s="16"/>
      <c r="V36" s="16"/>
    </row>
    <row r="37" spans="1:22" ht="20.100000000000001" customHeight="1" thickBot="1">
      <c r="A37" s="17"/>
      <c r="B37" s="34" t="s">
        <v>28</v>
      </c>
      <c r="C37" s="51">
        <v>1000</v>
      </c>
      <c r="D37" s="35" t="s">
        <v>17</v>
      </c>
      <c r="E37" s="36" t="s">
        <v>110</v>
      </c>
      <c r="F37" s="16"/>
      <c r="G37" s="16"/>
      <c r="H37" s="16"/>
      <c r="I37" s="16"/>
      <c r="J37" s="16"/>
      <c r="K37" s="16"/>
      <c r="L37" s="16"/>
      <c r="M37" s="16"/>
      <c r="N37" s="16"/>
      <c r="O37" s="16"/>
      <c r="P37" s="16"/>
      <c r="Q37" s="16"/>
      <c r="R37" s="16"/>
      <c r="S37" s="16"/>
      <c r="T37" s="16"/>
      <c r="U37" s="16"/>
      <c r="V37" s="16"/>
    </row>
    <row r="38" spans="1:22">
      <c r="A38" s="16"/>
      <c r="B38" s="16"/>
      <c r="C38" s="16"/>
      <c r="D38" s="16"/>
      <c r="E38" s="16"/>
      <c r="F38" s="16"/>
      <c r="G38" s="16"/>
      <c r="H38" s="16"/>
      <c r="I38" s="16"/>
      <c r="J38" s="16"/>
      <c r="K38" s="16"/>
      <c r="L38" s="16"/>
      <c r="M38" s="16"/>
      <c r="N38" s="16"/>
      <c r="O38" s="16"/>
      <c r="P38" s="16"/>
      <c r="Q38" s="16"/>
      <c r="R38" s="16"/>
      <c r="S38" s="16"/>
      <c r="T38" s="16"/>
      <c r="U38" s="16"/>
      <c r="V38" s="16"/>
    </row>
    <row r="39" spans="1:22">
      <c r="A39" s="16"/>
      <c r="B39" s="16" t="s">
        <v>23</v>
      </c>
      <c r="C39" s="16"/>
      <c r="D39" s="16"/>
      <c r="E39" s="16"/>
      <c r="F39" s="16"/>
      <c r="G39" s="16"/>
      <c r="H39" s="16"/>
      <c r="I39" s="16"/>
      <c r="J39" s="16"/>
      <c r="K39" s="16"/>
      <c r="L39" s="16"/>
      <c r="M39" s="16"/>
      <c r="N39" s="16"/>
      <c r="O39" s="16"/>
      <c r="P39" s="16"/>
      <c r="Q39" s="16"/>
      <c r="R39" s="16"/>
      <c r="S39" s="16"/>
      <c r="T39" s="16"/>
      <c r="U39" s="16"/>
      <c r="V39" s="16"/>
    </row>
    <row r="40" spans="1:22" ht="57.6">
      <c r="A40" s="16"/>
      <c r="B40" s="93" t="s">
        <v>127</v>
      </c>
      <c r="C40" s="16"/>
      <c r="D40" s="16"/>
      <c r="E40" s="16"/>
      <c r="F40" s="16"/>
      <c r="G40" s="16"/>
      <c r="H40" s="16"/>
      <c r="I40" s="16"/>
      <c r="J40" s="16"/>
      <c r="K40" s="16"/>
      <c r="L40" s="16"/>
      <c r="M40" s="16"/>
      <c r="N40" s="16"/>
      <c r="O40" s="16"/>
      <c r="P40" s="16"/>
      <c r="Q40" s="16"/>
      <c r="R40" s="16"/>
      <c r="S40" s="16"/>
      <c r="T40" s="16"/>
      <c r="U40" s="16"/>
      <c r="V40" s="16"/>
    </row>
    <row r="41" spans="1:22">
      <c r="A41" s="16"/>
      <c r="B41" s="16"/>
      <c r="C41" s="16"/>
      <c r="D41" s="16"/>
      <c r="E41" s="16"/>
      <c r="F41" s="16"/>
      <c r="G41" s="16"/>
      <c r="H41" s="16"/>
      <c r="I41" s="16"/>
      <c r="J41" s="16"/>
      <c r="K41" s="16"/>
      <c r="L41" s="16"/>
      <c r="M41" s="16"/>
      <c r="N41" s="16"/>
      <c r="O41" s="16"/>
      <c r="P41" s="16"/>
      <c r="Q41" s="16"/>
      <c r="R41" s="16"/>
      <c r="S41" s="16"/>
      <c r="T41" s="16"/>
      <c r="U41" s="16"/>
      <c r="V41" s="16"/>
    </row>
    <row r="42" spans="1:22">
      <c r="A42" s="16"/>
      <c r="B42" s="16"/>
      <c r="C42" s="16"/>
      <c r="D42" s="16"/>
      <c r="E42" s="16"/>
      <c r="F42" s="16"/>
      <c r="G42" s="16"/>
      <c r="H42" s="16"/>
      <c r="I42" s="16"/>
      <c r="J42" s="16"/>
      <c r="K42" s="16"/>
      <c r="L42" s="16"/>
      <c r="M42" s="16"/>
      <c r="N42" s="16"/>
      <c r="O42" s="16"/>
      <c r="P42" s="16"/>
      <c r="Q42" s="16"/>
      <c r="R42" s="16"/>
      <c r="S42" s="16"/>
      <c r="T42" s="16"/>
      <c r="U42" s="16"/>
      <c r="V42" s="16"/>
    </row>
    <row r="43" spans="1:22">
      <c r="A43" s="16"/>
      <c r="B43" s="16"/>
      <c r="C43" s="16"/>
      <c r="D43" s="16"/>
      <c r="E43" s="16"/>
      <c r="F43" s="16"/>
      <c r="G43" s="16"/>
      <c r="H43" s="16"/>
      <c r="I43" s="16"/>
      <c r="J43" s="16"/>
      <c r="K43" s="16"/>
      <c r="L43" s="16"/>
      <c r="M43" s="16"/>
      <c r="N43" s="16"/>
      <c r="O43" s="16"/>
      <c r="P43" s="16"/>
      <c r="Q43" s="16"/>
      <c r="R43" s="16"/>
      <c r="S43" s="16"/>
      <c r="T43" s="16"/>
      <c r="U43" s="16"/>
      <c r="V43" s="16"/>
    </row>
    <row r="44" spans="1:22">
      <c r="A44" s="16"/>
      <c r="B44" s="16"/>
      <c r="C44" s="16"/>
      <c r="D44" s="16"/>
      <c r="E44" s="16"/>
      <c r="F44" s="16"/>
      <c r="G44" s="16"/>
      <c r="H44" s="16"/>
      <c r="I44" s="16"/>
      <c r="J44" s="16"/>
      <c r="K44" s="16"/>
      <c r="L44" s="16"/>
      <c r="M44" s="16"/>
      <c r="N44" s="16"/>
      <c r="O44" s="16"/>
      <c r="P44" s="16"/>
      <c r="Q44" s="16"/>
      <c r="R44" s="16"/>
      <c r="S44" s="16"/>
      <c r="T44" s="16"/>
      <c r="U44" s="16"/>
      <c r="V44" s="16"/>
    </row>
    <row r="45" spans="1:22">
      <c r="A45" s="16"/>
      <c r="B45" s="16"/>
      <c r="C45" s="16"/>
      <c r="D45" s="16"/>
      <c r="E45" s="16"/>
      <c r="F45" s="16"/>
      <c r="G45" s="16"/>
      <c r="H45" s="16"/>
      <c r="I45" s="16"/>
      <c r="J45" s="16"/>
      <c r="K45" s="16"/>
      <c r="L45" s="16"/>
      <c r="M45" s="16"/>
      <c r="N45" s="16"/>
      <c r="O45" s="16"/>
      <c r="P45" s="16"/>
      <c r="Q45" s="16"/>
      <c r="R45" s="16"/>
      <c r="S45" s="16"/>
      <c r="T45" s="16"/>
      <c r="U45" s="16"/>
      <c r="V45" s="16"/>
    </row>
    <row r="46" spans="1:22">
      <c r="A46" s="16"/>
      <c r="B46" s="16"/>
      <c r="C46" s="16"/>
      <c r="D46" s="16"/>
      <c r="E46" s="16"/>
      <c r="F46" s="16"/>
      <c r="G46" s="16"/>
      <c r="H46" s="16"/>
      <c r="I46" s="16"/>
      <c r="J46" s="16"/>
      <c r="K46" s="16"/>
      <c r="L46" s="16"/>
      <c r="M46" s="16"/>
      <c r="N46" s="16"/>
      <c r="O46" s="16"/>
      <c r="P46" s="16"/>
      <c r="Q46" s="16"/>
      <c r="R46" s="16"/>
      <c r="S46" s="16"/>
      <c r="T46" s="16"/>
      <c r="U46" s="16"/>
      <c r="V46" s="16"/>
    </row>
    <row r="47" spans="1:22" ht="18">
      <c r="B47" s="10"/>
    </row>
    <row r="48" spans="1:22">
      <c r="B48" s="7"/>
    </row>
    <row r="52" spans="2:2">
      <c r="B52" s="11"/>
    </row>
    <row r="54" spans="2:2">
      <c r="B54" s="7"/>
    </row>
    <row r="55" spans="2:2">
      <c r="B55" s="7"/>
    </row>
    <row r="56" spans="2:2">
      <c r="B56" s="9"/>
    </row>
  </sheetData>
  <sheetProtection algorithmName="SHA-512" hashValue="nw3c1yfVaD82UIKFAKDTKeHa7z+kBJe/zhWqIdLroB/gyinaj6cTGLKuRvfrkXUJqarD+MxxS2520gcCnBzYCQ==" saltValue="2qNKn9GiMKf3fTqjRE/FqQ==" spinCount="100000" sheet="1" selectLockedCells="1"/>
  <mergeCells count="11">
    <mergeCell ref="E34:E36"/>
    <mergeCell ref="B10:E10"/>
    <mergeCell ref="B11:E12"/>
    <mergeCell ref="B25:E26"/>
    <mergeCell ref="B32:E33"/>
    <mergeCell ref="B9:E9"/>
    <mergeCell ref="B1:E1"/>
    <mergeCell ref="B2:E2"/>
    <mergeCell ref="B3:E6"/>
    <mergeCell ref="B7:E7"/>
    <mergeCell ref="B8:E8"/>
  </mergeCells>
  <conditionalFormatting sqref="B13:B19 D13:E19">
    <cfRule type="expression" dxfId="1" priority="1">
      <formula>$C$21&gt;$C$20</formula>
    </cfRule>
  </conditionalFormatting>
  <conditionalFormatting sqref="B29 D29:E29">
    <cfRule type="expression" dxfId="0" priority="2">
      <formula>$C$29&lt;$C$28</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9DA9939D4EAB4796CD11D35FA80828" ma:contentTypeVersion="1" ma:contentTypeDescription="Create a new document." ma:contentTypeScope="" ma:versionID="280622034487628551932e19f9b67e4b">
  <xsd:schema xmlns:xsd="http://www.w3.org/2001/XMLSchema" xmlns:xs="http://www.w3.org/2001/XMLSchema" xmlns:p="http://schemas.microsoft.com/office/2006/metadata/properties" xmlns:ns2="72d2ce5a-7ad6-49a7-8fa5-8befc56c681c" targetNamespace="http://schemas.microsoft.com/office/2006/metadata/properties" ma:root="true" ma:fieldsID="884e320e19264b04ef27a4dae7b7375b" ns2:_="">
    <xsd:import namespace="72d2ce5a-7ad6-49a7-8fa5-8befc56c68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2ce5a-7ad6-49a7-8fa5-8befc56c68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B7335-583D-4882-A716-7A22D6BC7781}">
  <ds:schemaRefs>
    <ds:schemaRef ds:uri="http://schemas.microsoft.com/office/2006/documentManagement/types"/>
    <ds:schemaRef ds:uri="http://purl.org/dc/elements/1.1/"/>
    <ds:schemaRef ds:uri="72d2ce5a-7ad6-49a7-8fa5-8befc56c681c"/>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0733180-A130-4F70-A2A3-1A0B93CED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2ce5a-7ad6-49a7-8fa5-8befc56c6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1CE4F8-7539-47AE-9669-AE32EB658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44</vt:i4>
      </vt:variant>
    </vt:vector>
  </HeadingPairs>
  <TitlesOfParts>
    <vt:vector size="46" baseType="lpstr">
      <vt:lpstr>Dual Output</vt:lpstr>
      <vt:lpstr>Single Output</vt:lpstr>
      <vt:lpstr>'Dual Output'!COM_VEE</vt:lpstr>
      <vt:lpstr>'Dual Output'!COUT2</vt:lpstr>
      <vt:lpstr>'Dual Output'!COUT2_MIN</vt:lpstr>
      <vt:lpstr>'Dual Output'!COUT3</vt:lpstr>
      <vt:lpstr>COUT3_MIN</vt:lpstr>
      <vt:lpstr>'Dual Output'!dCOUT2_NEG</vt:lpstr>
      <vt:lpstr>'Dual Output'!dCOUT2_POS</vt:lpstr>
      <vt:lpstr>'Dual Output'!dCOUT3_NEG</vt:lpstr>
      <vt:lpstr>'Dual Output'!dCOUT3_POS</vt:lpstr>
      <vt:lpstr>'Dual Output'!fsw</vt:lpstr>
      <vt:lpstr>'Single Output'!fsw</vt:lpstr>
      <vt:lpstr>I_COM_VEE</vt:lpstr>
      <vt:lpstr>I_MAX_POWER</vt:lpstr>
      <vt:lpstr>I_STEP</vt:lpstr>
      <vt:lpstr>I_TOTAL_VDDS</vt:lpstr>
      <vt:lpstr>I_VDD_COM</vt:lpstr>
      <vt:lpstr>'Dual Output'!ILIM_DN</vt:lpstr>
      <vt:lpstr>'Dual Output'!ILIM_MAX</vt:lpstr>
      <vt:lpstr>'Dual Output'!ILIM_UP</vt:lpstr>
      <vt:lpstr>'Dual Output'!ILIM_UP_TOT</vt:lpstr>
      <vt:lpstr>IQ</vt:lpstr>
      <vt:lpstr>'Dual Output'!IQ_DRIVER_VDD</vt:lpstr>
      <vt:lpstr>IQ_DRIVER_VDDS</vt:lpstr>
      <vt:lpstr>'Dual Output'!IQ_DRIVER_VEE</vt:lpstr>
      <vt:lpstr>IQ_OTHER_VDD</vt:lpstr>
      <vt:lpstr>IQ_OTHER_VDDS</vt:lpstr>
      <vt:lpstr>IQ_OTHER_VEE</vt:lpstr>
      <vt:lpstr>'Dual Output'!IRLIM_CAP</vt:lpstr>
      <vt:lpstr>P_MAX</vt:lpstr>
      <vt:lpstr>'Single Output'!PERCENT_VPP_MAX</vt:lpstr>
      <vt:lpstr>PERCENT_VPP_MAX</vt:lpstr>
      <vt:lpstr>'Dual Output'!Po</vt:lpstr>
      <vt:lpstr>'Dual Output'!PRLIM</vt:lpstr>
      <vt:lpstr>'Dual Output'!Qgtot</vt:lpstr>
      <vt:lpstr>'Single Output'!Qgtot</vt:lpstr>
      <vt:lpstr>'Dual Output'!R_2</vt:lpstr>
      <vt:lpstr>'Single Output'!R_2</vt:lpstr>
      <vt:lpstr>'Dual Output'!R_4</vt:lpstr>
      <vt:lpstr>'Dual Output'!RLIM</vt:lpstr>
      <vt:lpstr>'Dual Output'!RLIM_DN</vt:lpstr>
      <vt:lpstr>'Dual Output'!RLIM_MAX</vt:lpstr>
      <vt:lpstr>'Dual Output'!RLIM_UP</vt:lpstr>
      <vt:lpstr>'Dual Output'!VDD_VEE</vt:lpstr>
      <vt:lpstr>'Single Output'!VDD_VEE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2025-07-03T13:25:52Z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0x010100659DA9939D4EAB4796CD11D35FA80828</vt:lpwstr>
  </property>
</Properties>
</file>