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png" ContentType="image/p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EE3D" lockStructure="1"/>
  <bookViews>
    <workbookView windowWidth="22488" windowHeight="9347" activeTab="1"/>
  </bookViews>
  <sheets>
    <sheet name="SCHEMATIC" sheetId="3" r:id="rId1"/>
    <sheet name="DESIGN INPUTS AND CALCULATIONS" sheetId="1" r:id="rId2"/>
    <sheet name="tables and calculations" sheetId="2" state="hidden" r:id="rId3"/>
    <sheet name="Compensation" sheetId="4" state="hidden" r:id="rId4"/>
  </sheets>
  <externalReferences>
    <externalReference r:id="rId5"/>
    <externalReference r:id="rId6"/>
  </externalReferences>
  <definedNames>
    <definedName name="_xlnm._FilterDatabase" localSheetId="1" hidden="1">'DESIGN INPUTS AND CALCULATIONS'!$A$178:$E$196</definedName>
    <definedName name="Bvdss">'DESIGN INPUTS AND CALCULATIONS'!#REF!</definedName>
    <definedName name="C_1initial">'tables and calculations'!$K$185</definedName>
    <definedName name="C_1llc_filter">'DESIGN INPUTS AND CALCULATIONS'!#REF!</definedName>
    <definedName name="C_1rec">'tables and calculations'!$K$186</definedName>
    <definedName name="C_f1">'tables and calculations'!$F$191</definedName>
    <definedName name="C_f2">'tables and calculations'!$E$193</definedName>
    <definedName name="C_s1">'tables and calculations'!$E$180</definedName>
    <definedName name="C_s2">'tables and calculations'!$F$199</definedName>
    <definedName name="Cblk">'DESIGN INPUTS AND CALCULATIONS'!#REF!</definedName>
    <definedName name="Cblk_initial">'tables and calculations'!$K$199</definedName>
    <definedName name="Cblk_rec">'tables and calculations'!$K$200</definedName>
    <definedName name="Cbulk_initial">'tables and calculations'!#REF!</definedName>
    <definedName name="Ceq">'DESIGN INPUTS AND CALCULATIONS'!#REF!</definedName>
    <definedName name="Cin">'DESIGN INPUTS AND CALCULATIONS'!#REF!</definedName>
    <definedName name="Cin_initial">'tables and calculations'!$K$192</definedName>
    <definedName name="Cin_rec">'tables and calculations'!$K$193</definedName>
    <definedName name="Coss_LLC">'DESIGN INPUTS AND CALCULATIONS'!#REF!</definedName>
    <definedName name="Coss_pfc">'DESIGN INPUTS AND CALCULATIONS'!#REF!</definedName>
    <definedName name="Cr">'DESIGN INPUTS AND CALCULATIONS'!$C$92</definedName>
    <definedName name="Cr_initial">'tables and calculations'!$K$178</definedName>
    <definedName name="Cr_rec">'tables and calculations'!$K$179</definedName>
    <definedName name="Cs_1">'tables and calculations'!$E$180</definedName>
    <definedName name="Cvcc">'DESIGN INPUTS AND CALCULATIONS'!#REF!</definedName>
    <definedName name="deltaVin">'DESIGN INPUTS AND CALCULATIONS'!#REF!</definedName>
    <definedName name="eff">'DESIGN INPUTS AND CALCULATIONS'!$C$29</definedName>
    <definedName name="Energy_C">'DESIGN INPUTS AND CALCULATIONS'!#REF!</definedName>
    <definedName name="Energy_L">'DESIGN INPUTS AND CALCULATIONS'!#REF!</definedName>
    <definedName name="ESR">'DESIGN INPUTS AND CALCULATIONS'!$C$140</definedName>
    <definedName name="f_pfc">'DESIGN INPUTS AND CALCULATIONS'!#REF!</definedName>
    <definedName name="f0">'DESIGN INPUTS AND CALCULATIONS'!$C$97</definedName>
    <definedName name="fline_max">'DESIGN INPUTS AND CALCULATIONS'!#REF!</definedName>
    <definedName name="fline_min">'DESIGN INPUTS AND CALCULATIONS'!#REF!</definedName>
    <definedName name="fllc">'DESIGN INPUTS AND CALCULATIONS'!$C$38</definedName>
    <definedName name="fn_Mgmax">'DESIGN INPUTS AND CALCULATIONS'!$C$102</definedName>
    <definedName name="fn_Mgmin">'DESIGN INPUTS AND CALCULATIONS'!$C$103</definedName>
    <definedName name="fNmax">'DESIGN INPUTS AND CALCULATIONS'!$C$59</definedName>
    <definedName name="fsw_max">'DESIGN INPUTS AND CALCULATIONS'!$C$104</definedName>
    <definedName name="fsw_min">'DESIGN INPUTS AND CALCULATIONS'!$C$105</definedName>
    <definedName name="Ibridge">'DESIGN INPUTS AND CALCULATIONS'!#REF!</definedName>
    <definedName name="Ic_out">'DESIGN INPUTS AND CALCULATIONS'!$C$139</definedName>
    <definedName name="Icblk_ripple">'DESIGN INPUTS AND CALCULATIONS'!#REF!</definedName>
    <definedName name="Ihfr_pfc">'DESIGN INPUTS AND CALCULATIONS'!#REF!</definedName>
    <definedName name="Ihfr_pfctarget">'DESIGN INPUTS AND CALCULATIONS'!#REF!</definedName>
    <definedName name="Il_peak">'DESIGN INPUTS AND CALCULATIONS'!#REF!</definedName>
    <definedName name="Iline_avg">'DESIGN INPUTS AND CALCULATIONS'!#REF!</definedName>
    <definedName name="Iline_peak">'DESIGN INPUTS AND CALCULATIONS'!#REF!</definedName>
    <definedName name="Iline_rms">'DESIGN INPUTS AND CALCULATIONS'!#REF!</definedName>
    <definedName name="Im">'DESIGN INPUTS AND CALCULATIONS'!$C$108</definedName>
    <definedName name="Im_peak">'DESIGN INPUTS AND CALCULATIONS'!#REF!</definedName>
    <definedName name="Ioe">'DESIGN INPUTS AND CALCULATIONS'!$C$107</definedName>
    <definedName name="Iout">'DESIGN INPUTS AND CALCULATIONS'!$C$27</definedName>
    <definedName name="Iout_pfc">'DESIGN INPUTS AND CALCULATIONS'!#REF!</definedName>
    <definedName name="Iq_LLC">'DESIGN INPUTS AND CALCULATIONS'!$C$130</definedName>
    <definedName name="Ir">'DESIGN INPUTS AND CALCULATIONS'!$C$109</definedName>
    <definedName name="Irect">'DESIGN INPUTS AND CALCULATIONS'!$C$137</definedName>
    <definedName name="Iripple_factor">'DESIGN INPUTS AND CALCULATIONS'!#REF!</definedName>
    <definedName name="Isav">'DESIGN INPUTS AND CALCULATIONS'!$C$134</definedName>
    <definedName name="kHz">'tables and calculations'!$B$180</definedName>
    <definedName name="kOhm">'tables and calculations'!$B$191</definedName>
    <definedName name="kOhms">[1]data!$H$18</definedName>
    <definedName name="Lm">'DESIGN INPUTS AND CALCULATIONS'!$C$96</definedName>
    <definedName name="Lm_rec">'DESIGN INPUTS AND CALCULATIONS'!$C$95</definedName>
    <definedName name="Ln">'DESIGN INPUTS AND CALCULATIONS'!$C$99</definedName>
    <definedName name="Ln_selected">'DESIGN INPUTS AND CALCULATIONS'!$C$56</definedName>
    <definedName name="Lpfc">'DESIGN INPUTS AND CALCULATIONS'!#REF!</definedName>
    <definedName name="Lpfc_rec">'DESIGN INPUTS AND CALCULATIONS'!#REF!</definedName>
    <definedName name="Lr">'DESIGN INPUTS AND CALCULATIONS'!$C$94</definedName>
    <definedName name="Lr_rec">'DESIGN INPUTS AND CALCULATIONS'!$C$93</definedName>
    <definedName name="mA">'tables and calculations'!$B$183</definedName>
    <definedName name="MegOhm">[1]data!$H$22</definedName>
    <definedName name="Mg_max">'DESIGN INPUTS AND CALCULATIONS'!$C$48</definedName>
    <definedName name="Mg_min">'DESIGN INPUTS AND CALCULATIONS'!$C$47</definedName>
    <definedName name="Mg_noload">'DESIGN INPUTS AND CALCULATIONS'!$C$58</definedName>
    <definedName name="MHz">'tables and calculations'!$B$189</definedName>
    <definedName name="mOhm">'tables and calculations'!$B$181</definedName>
    <definedName name="ms">'tables and calculations'!$B$182</definedName>
    <definedName name="mV">'tables and calculations'!$B$178</definedName>
    <definedName name="mW">'tables and calculations'!$B$187</definedName>
    <definedName name="nC">'tables and calculations'!$B$192</definedName>
    <definedName name="nF">'tables and calculations'!$B$193</definedName>
    <definedName name="Nps">'DESIGN INPUTS AND CALCULATIONS'!$C$41</definedName>
    <definedName name="Nps_rec">'DESIGN INPUTS AND CALCULATIONS'!#REF!</definedName>
    <definedName name="ns">'tables and calculations'!$B$186</definedName>
    <definedName name="Pbridge">'DESIGN INPUTS AND CALCULATIONS'!#REF!</definedName>
    <definedName name="PF">'DESIGN INPUTS AND CALCULATIONS'!#REF!</definedName>
    <definedName name="picoF">'tables and calculations'!$B$188</definedName>
    <definedName name="Pin">[2]CALCULATIONS!$C$30</definedName>
    <definedName name="Pout">'DESIGN INPUTS AND CALCULATIONS'!$C$26</definedName>
    <definedName name="Ppfc_diode">'DESIGN INPUTS AND CALCULATIONS'!#REF!</definedName>
    <definedName name="Ppfc_diode_cond">'DESIGN INPUTS AND CALCULATIONS'!#REF!</definedName>
    <definedName name="Ppfcdiode_rr">'DESIGN INPUTS AND CALCULATIONS'!#REF!</definedName>
    <definedName name="Pqpfc">'DESIGN INPUTS AND CALCULATIONS'!#REF!</definedName>
    <definedName name="Pqpfc_cond">'DESIGN INPUTS AND CALCULATIONS'!#REF!</definedName>
    <definedName name="Pqpfc_sw">'DESIGN INPUTS AND CALCULATIONS'!#REF!</definedName>
    <definedName name="Prcs_llc">'DESIGN INPUTS AND CALCULATIONS'!#REF!</definedName>
    <definedName name="Qe">'DESIGN INPUTS AND CALCULATIONS'!$C$100</definedName>
    <definedName name="Qe_selected">'DESIGN INPUTS AND CALCULATIONS'!$C$57</definedName>
    <definedName name="Qrr">'DESIGN INPUTS AND CALCULATIONS'!#REF!</definedName>
    <definedName name="Rcs_LLC">'DESIGN INPUTS AND CALCULATIONS'!#REF!</definedName>
    <definedName name="Rdson">'DESIGN INPUTS AND CALCULATIONS'!#REF!</definedName>
    <definedName name="Re">'DESIGN INPUTS AND CALCULATIONS'!$C$44</definedName>
    <definedName name="Re_fl">'DESIGN INPUTS AND CALCULATIONS'!$C$45</definedName>
    <definedName name="tdead">'DESIGN INPUTS AND CALCULATIONS'!#REF!</definedName>
    <definedName name="tf">'DESIGN INPUTS AND CALCULATIONS'!#REF!</definedName>
    <definedName name="tH">'DESIGN INPUTS AND CALCULATIONS'!#REF!</definedName>
    <definedName name="tr">'DESIGN INPUTS AND CALCULATIONS'!#REF!</definedName>
    <definedName name="uA">'tables and calculations'!$B$190</definedName>
    <definedName name="uC">'tables and calculations'!$B$194</definedName>
    <definedName name="uF">'tables and calculations'!$B$179</definedName>
    <definedName name="uH">'tables and calculations'!$B$185</definedName>
    <definedName name="us">'tables and calculations'!$B$184</definedName>
    <definedName name="Vacin_max">'DESIGN INPUTS AND CALCULATIONS'!#REF!</definedName>
    <definedName name="Vacin_min">'DESIGN INPUTS AND CALCULATIONS'!#REF!</definedName>
    <definedName name="Vblk">'DESIGN INPUTS AND CALCULATIONS'!$C$32</definedName>
    <definedName name="Vblk_hu">'DESIGN INPUTS AND CALCULATIONS'!$C$35</definedName>
    <definedName name="Vblk_max">'DESIGN INPUTS AND CALCULATIONS'!$C$34</definedName>
    <definedName name="Vblk_min">'DESIGN INPUTS AND CALCULATIONS'!#REF!</definedName>
    <definedName name="Vblk_ripple">'DESIGN INPUTS AND CALCULATIONS'!#REF!</definedName>
    <definedName name="Vblk_ripple_target">'DESIGN INPUTS AND CALCULATIONS'!$C$33</definedName>
    <definedName name="Vblock_bridge">'DESIGN INPUTS AND CALCULATIONS'!#REF!</definedName>
    <definedName name="Vbulk_min">[2]CALCULATIONS!$C$10</definedName>
    <definedName name="Vbulk_valley_rcmd">[2]CALCULATIONS!$C$35</definedName>
    <definedName name="Vcr">'DESIGN INPUTS AND CALCULATIONS'!$C$120</definedName>
    <definedName name="Vdb">'DESIGN INPUTS AND CALCULATIONS'!$C$133</definedName>
    <definedName name="Vf_bridge">'DESIGN INPUTS AND CALCULATIONS'!#REF!</definedName>
    <definedName name="Vf_Dpfc">'DESIGN INPUTS AND CALCULATIONS'!#REF!</definedName>
    <definedName name="Vin_peak_max">'DESIGN INPUTS AND CALCULATIONS'!#REF!</definedName>
    <definedName name="Vin_peak_min">'DESIGN INPUTS AND CALCULATIONS'!#REF!</definedName>
    <definedName name="Vllc_cap">'DESIGN INPUTS AND CALCULATIONS'!$C$138</definedName>
    <definedName name="Vloss">'DESIGN INPUTS AND CALCULATIONS'!$C$49</definedName>
    <definedName name="Vout">'DESIGN INPUTS AND CALCULATIONS'!$C$25</definedName>
    <definedName name="Vout_max">'DESIGN INPUTS AND CALCULATIONS'!#REF!</definedName>
    <definedName name="Vout_min">'DESIGN INPUTS AND CALCULATIONS'!#REF!</definedName>
    <definedName name="Vout_pp">'DESIGN INPUTS AND CALCULATIONS'!$C$28</definedName>
    <definedName name="Vq_LLC">'DESIGN INPUTS AND CALCULATIONS'!$C$129</definedName>
  </definedNames>
  <calcPr calcId="144525"/>
</workbook>
</file>

<file path=xl/sharedStrings.xml><?xml version="1.0" encoding="utf-8"?>
<sst xmlns="http://schemas.openxmlformats.org/spreadsheetml/2006/main" count="813" uniqueCount="549">
  <si>
    <t>RefDes</t>
  </si>
  <si>
    <t xml:space="preserve">Value </t>
  </si>
  <si>
    <t>Unit</t>
  </si>
  <si>
    <r>
      <rPr>
        <sz val="11"/>
        <color theme="1"/>
        <rFont val="新細明體"/>
        <charset val="134"/>
        <scheme val="minor"/>
      </rPr>
      <t>R</t>
    </r>
    <r>
      <rPr>
        <vertAlign val="subscript"/>
        <sz val="11"/>
        <color theme="1"/>
        <rFont val="新細明體"/>
        <charset val="134"/>
        <scheme val="minor"/>
      </rPr>
      <t>BLKupper</t>
    </r>
  </si>
  <si>
    <t>MΩ</t>
  </si>
  <si>
    <r>
      <rPr>
        <sz val="11"/>
        <color theme="1"/>
        <rFont val="新細明體"/>
        <charset val="134"/>
        <scheme val="minor"/>
      </rPr>
      <t>R</t>
    </r>
    <r>
      <rPr>
        <vertAlign val="subscript"/>
        <sz val="11"/>
        <color theme="1"/>
        <rFont val="新細明體"/>
        <charset val="134"/>
        <scheme val="minor"/>
      </rPr>
      <t>BLKlower</t>
    </r>
  </si>
  <si>
    <t>kΩ</t>
  </si>
  <si>
    <r>
      <rPr>
        <sz val="11"/>
        <color indexed="8"/>
        <rFont val="Calibri"/>
        <charset val="134"/>
      </rPr>
      <t>R</t>
    </r>
    <r>
      <rPr>
        <vertAlign val="subscript"/>
        <sz val="11"/>
        <color indexed="8"/>
        <rFont val="Calibri"/>
        <charset val="134"/>
      </rPr>
      <t>BWupper</t>
    </r>
  </si>
  <si>
    <t>KΩ</t>
  </si>
  <si>
    <r>
      <rPr>
        <sz val="11"/>
        <color indexed="8"/>
        <rFont val="Calibri"/>
        <charset val="134"/>
      </rPr>
      <t>R</t>
    </r>
    <r>
      <rPr>
        <vertAlign val="subscript"/>
        <sz val="11"/>
        <color indexed="8"/>
        <rFont val="Calibri"/>
        <charset val="134"/>
      </rPr>
      <t>BWlower</t>
    </r>
  </si>
  <si>
    <r>
      <rPr>
        <sz val="11"/>
        <color indexed="8"/>
        <rFont val="Calibri"/>
        <charset val="134"/>
      </rPr>
      <t>C</t>
    </r>
    <r>
      <rPr>
        <vertAlign val="subscript"/>
        <sz val="11"/>
        <color indexed="8"/>
        <rFont val="Calibri"/>
        <charset val="134"/>
      </rPr>
      <t>ISNS</t>
    </r>
  </si>
  <si>
    <t>pF</t>
  </si>
  <si>
    <r>
      <rPr>
        <sz val="11"/>
        <color indexed="8"/>
        <rFont val="Calibri"/>
        <charset val="134"/>
      </rPr>
      <t>R</t>
    </r>
    <r>
      <rPr>
        <vertAlign val="subscript"/>
        <sz val="11"/>
        <color indexed="8"/>
        <rFont val="Calibri"/>
        <charset val="134"/>
      </rPr>
      <t>ISNS</t>
    </r>
  </si>
  <si>
    <t>Ω</t>
  </si>
  <si>
    <r>
      <rPr>
        <sz val="11"/>
        <color indexed="8"/>
        <rFont val="Calibri"/>
        <charset val="134"/>
      </rPr>
      <t>C</t>
    </r>
    <r>
      <rPr>
        <vertAlign val="subscript"/>
        <sz val="11"/>
        <color indexed="8"/>
        <rFont val="Calibri"/>
        <charset val="134"/>
      </rPr>
      <t>VCRupper</t>
    </r>
  </si>
  <si>
    <r>
      <rPr>
        <sz val="11"/>
        <color indexed="8"/>
        <rFont val="Calibri"/>
        <charset val="134"/>
      </rPr>
      <t>C</t>
    </r>
    <r>
      <rPr>
        <vertAlign val="subscript"/>
        <sz val="11"/>
        <color indexed="8"/>
        <rFont val="Calibri"/>
        <charset val="134"/>
      </rPr>
      <t>VCRlower</t>
    </r>
  </si>
  <si>
    <t>Lr</t>
  </si>
  <si>
    <t>uH</t>
  </si>
  <si>
    <t>Lm</t>
  </si>
  <si>
    <t>Cr</t>
  </si>
  <si>
    <t>uF</t>
  </si>
  <si>
    <r>
      <rPr>
        <sz val="11"/>
        <color indexed="8"/>
        <rFont val="Calibri"/>
        <charset val="134"/>
      </rPr>
      <t>C</t>
    </r>
    <r>
      <rPr>
        <vertAlign val="subscript"/>
        <sz val="11"/>
        <color indexed="8"/>
        <rFont val="Calibri"/>
        <charset val="134"/>
      </rPr>
      <t>SS</t>
    </r>
  </si>
  <si>
    <t>nF</t>
  </si>
  <si>
    <r>
      <rPr>
        <sz val="11"/>
        <rFont val="Calibri"/>
        <charset val="134"/>
      </rPr>
      <t>R</t>
    </r>
    <r>
      <rPr>
        <vertAlign val="subscript"/>
        <sz val="11"/>
        <rFont val="Calibri"/>
        <charset val="134"/>
      </rPr>
      <t>LLupper</t>
    </r>
  </si>
  <si>
    <r>
      <rPr>
        <sz val="11"/>
        <rFont val="Calibri"/>
        <charset val="134"/>
      </rPr>
      <t>R</t>
    </r>
    <r>
      <rPr>
        <vertAlign val="subscript"/>
        <sz val="11"/>
        <rFont val="Calibri"/>
        <charset val="134"/>
      </rPr>
      <t>LLlower</t>
    </r>
  </si>
  <si>
    <t>UCC25640x DESIGN CALCULATOR TOOL</t>
  </si>
  <si>
    <t>TI Literature Number:</t>
  </si>
  <si>
    <t>Version: Original</t>
  </si>
  <si>
    <t>UCC25640x Enhanced LLC Resonant Controller</t>
  </si>
  <si>
    <t>Please enter design parameters into the</t>
  </si>
  <si>
    <t>shaded</t>
  </si>
  <si>
    <t xml:space="preserve">cells; </t>
  </si>
  <si>
    <r>
      <rPr>
        <b/>
        <sz val="12"/>
        <rFont val="Arial"/>
        <charset val="134"/>
      </rPr>
      <t xml:space="preserve">Recommended Component Values will be in </t>
    </r>
    <r>
      <rPr>
        <b/>
        <sz val="12"/>
        <color indexed="10"/>
        <rFont val="Arial"/>
        <charset val="134"/>
      </rPr>
      <t>RED</t>
    </r>
  </si>
  <si>
    <r>
      <rPr>
        <b/>
        <sz val="14"/>
        <rFont val="Arial"/>
        <charset val="134"/>
      </rPr>
      <t xml:space="preserve">Be sure to </t>
    </r>
    <r>
      <rPr>
        <b/>
        <i/>
        <sz val="14"/>
        <rFont val="Arial"/>
        <charset val="134"/>
      </rPr>
      <t>ENABLE EDITING</t>
    </r>
    <r>
      <rPr>
        <b/>
        <sz val="14"/>
        <rFont val="Arial"/>
        <charset val="134"/>
      </rPr>
      <t xml:space="preserve"> before attempting to use this design calculator</t>
    </r>
  </si>
  <si>
    <r>
      <rPr>
        <b/>
        <sz val="11"/>
        <rFont val="Arial"/>
        <charset val="134"/>
      </rPr>
      <t xml:space="preserve">This spreadsheet guides the user through the design process of an LLC resonant DC/DC CONVERTER using the </t>
    </r>
    <r>
      <rPr>
        <b/>
        <sz val="11"/>
        <color indexed="10"/>
        <rFont val="Arial"/>
        <charset val="134"/>
      </rPr>
      <t>UCC25640x</t>
    </r>
    <r>
      <rPr>
        <b/>
        <sz val="11"/>
        <rFont val="Arial"/>
        <charset val="134"/>
      </rPr>
      <t>.  User interaction is required in order to get the best possible results.  Enter the desired specification where prompted, the highlighted cells are for user inputs; calculations for the design are based upon the inputs.</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</si>
  <si>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</si>
  <si>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</si>
  <si>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</si>
  <si>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Select Which Device You Are Using</t>
  </si>
  <si>
    <t>UCC256403</t>
  </si>
  <si>
    <t>Refer datasheet for the difference of UCC25640x devices</t>
  </si>
  <si>
    <t>OUTPUT</t>
  </si>
  <si>
    <t>Output Voltage</t>
  </si>
  <si>
    <r>
      <rPr>
        <sz val="11"/>
        <color theme="1"/>
        <rFont val="新細明體"/>
        <charset val="134"/>
        <scheme val="minor"/>
      </rPr>
      <t>V</t>
    </r>
    <r>
      <rPr>
        <vertAlign val="subscript"/>
        <sz val="11"/>
        <color theme="1"/>
        <rFont val="新細明體"/>
        <charset val="134"/>
        <scheme val="minor"/>
      </rPr>
      <t>OUT</t>
    </r>
  </si>
  <si>
    <t>V</t>
  </si>
  <si>
    <t>Enter required nominal output voltage of converter</t>
  </si>
  <si>
    <t>Maximum Output Power</t>
  </si>
  <si>
    <r>
      <rPr>
        <sz val="11"/>
        <color theme="1"/>
        <rFont val="新細明體"/>
        <charset val="134"/>
        <scheme val="minor"/>
      </rPr>
      <t>P</t>
    </r>
    <r>
      <rPr>
        <vertAlign val="subscript"/>
        <sz val="11"/>
        <color theme="1"/>
        <rFont val="新細明體"/>
        <charset val="134"/>
        <scheme val="minor"/>
      </rPr>
      <t>OUT</t>
    </r>
  </si>
  <si>
    <t>W</t>
  </si>
  <si>
    <t>Enter required maximum converter output power in Watts</t>
  </si>
  <si>
    <t>Full Load Output Current</t>
  </si>
  <si>
    <r>
      <rPr>
        <sz val="11"/>
        <color theme="1"/>
        <rFont val="新細明體"/>
        <charset val="134"/>
        <scheme val="minor"/>
      </rPr>
      <t>I</t>
    </r>
    <r>
      <rPr>
        <vertAlign val="subscript"/>
        <sz val="11"/>
        <color theme="1"/>
        <rFont val="新細明體"/>
        <charset val="134"/>
        <scheme val="minor"/>
      </rPr>
      <t>OUT</t>
    </r>
  </si>
  <si>
    <t>A</t>
  </si>
  <si>
    <t>Maximum Output Voltage Ripple</t>
  </si>
  <si>
    <r>
      <rPr>
        <sz val="11"/>
        <color theme="1"/>
        <rFont val="新細明體"/>
        <charset val="134"/>
        <scheme val="minor"/>
      </rPr>
      <t>V</t>
    </r>
    <r>
      <rPr>
        <vertAlign val="subscript"/>
        <sz val="11"/>
        <color theme="1"/>
        <rFont val="新細明體"/>
        <charset val="134"/>
        <scheme val="minor"/>
      </rPr>
      <t>OUT(pk-pk)</t>
    </r>
  </si>
  <si>
    <t>mV</t>
  </si>
  <si>
    <t>Enter the desired maximum output voltage ripple</t>
  </si>
  <si>
    <t>Target Efficiency</t>
  </si>
  <si>
    <t>h</t>
  </si>
  <si>
    <t>Enter the Overall Efficiency here</t>
  </si>
  <si>
    <t>INPUT</t>
  </si>
  <si>
    <t>Nominal Input Voltage</t>
  </si>
  <si>
    <r>
      <rPr>
        <sz val="11"/>
        <color theme="1"/>
        <rFont val="新細明體"/>
        <charset val="134"/>
        <scheme val="minor"/>
      </rPr>
      <t>V</t>
    </r>
    <r>
      <rPr>
        <vertAlign val="subscript"/>
        <sz val="11"/>
        <color theme="1"/>
        <rFont val="新細明體"/>
        <charset val="134"/>
        <scheme val="minor"/>
      </rPr>
      <t>BLK</t>
    </r>
  </si>
  <si>
    <t>Enter the nominal input voltage</t>
  </si>
  <si>
    <r>
      <rPr>
        <sz val="11"/>
        <color theme="1"/>
        <rFont val="新細明體"/>
        <charset val="134"/>
        <scheme val="minor"/>
      </rPr>
      <t>Maximum V</t>
    </r>
    <r>
      <rPr>
        <vertAlign val="subscript"/>
        <sz val="11"/>
        <color theme="1"/>
        <rFont val="新細明體"/>
        <charset val="134"/>
        <scheme val="minor"/>
      </rPr>
      <t>BLK</t>
    </r>
    <r>
      <rPr>
        <sz val="11"/>
        <color theme="1"/>
        <rFont val="新細明體"/>
        <charset val="134"/>
        <scheme val="minor"/>
      </rPr>
      <t xml:space="preserve"> Ripple (2 x Line Frequency)</t>
    </r>
  </si>
  <si>
    <r>
      <rPr>
        <sz val="11"/>
        <color theme="1"/>
        <rFont val="新細明體"/>
        <charset val="134"/>
        <scheme val="minor"/>
      </rPr>
      <t>V</t>
    </r>
    <r>
      <rPr>
        <vertAlign val="subscript"/>
        <sz val="11"/>
        <color theme="1"/>
        <rFont val="新細明體"/>
        <charset val="134"/>
        <scheme val="minor"/>
      </rPr>
      <t>BLK(ripple)target</t>
    </r>
  </si>
  <si>
    <r>
      <rPr>
        <sz val="11"/>
        <color theme="1"/>
        <rFont val="新細明體"/>
        <charset val="134"/>
        <scheme val="minor"/>
      </rPr>
      <t>V</t>
    </r>
    <r>
      <rPr>
        <vertAlign val="subscript"/>
        <sz val="11"/>
        <color theme="1"/>
        <rFont val="新細明體"/>
        <charset val="134"/>
        <scheme val="minor"/>
      </rPr>
      <t>PP</t>
    </r>
  </si>
  <si>
    <t>Enter the maximum allowable input voltage ripple</t>
  </si>
  <si>
    <t>Maximum DC Input Voltage</t>
  </si>
  <si>
    <r>
      <rPr>
        <sz val="11"/>
        <color theme="1"/>
        <rFont val="新細明體"/>
        <charset val="134"/>
        <scheme val="minor"/>
      </rPr>
      <t>V</t>
    </r>
    <r>
      <rPr>
        <vertAlign val="subscript"/>
        <sz val="11"/>
        <color theme="1"/>
        <rFont val="新細明體"/>
        <charset val="134"/>
        <scheme val="minor"/>
      </rPr>
      <t>BLK(max)</t>
    </r>
  </si>
  <si>
    <t>Enter the maximum input voltage</t>
  </si>
  <si>
    <t>Minimum DC Input Voltage</t>
  </si>
  <si>
    <r>
      <rPr>
        <sz val="11"/>
        <color theme="1"/>
        <rFont val="新細明體"/>
        <charset val="134"/>
        <scheme val="minor"/>
      </rPr>
      <t>V</t>
    </r>
    <r>
      <rPr>
        <vertAlign val="subscript"/>
        <sz val="11"/>
        <color theme="1"/>
        <rFont val="新細明體"/>
        <charset val="134"/>
        <scheme val="minor"/>
      </rPr>
      <t>BLK(hu)</t>
    </r>
  </si>
  <si>
    <t>Enter the minimum input voltage</t>
  </si>
  <si>
    <t>LLC STAGE</t>
  </si>
  <si>
    <t>Nominal LLC Switching Frequency</t>
  </si>
  <si>
    <r>
      <rPr>
        <sz val="11"/>
        <color theme="1"/>
        <rFont val="新細明體"/>
        <charset val="134"/>
        <scheme val="minor"/>
      </rPr>
      <t>f</t>
    </r>
    <r>
      <rPr>
        <vertAlign val="subscript"/>
        <sz val="11"/>
        <color theme="1"/>
        <rFont val="新細明體"/>
        <charset val="134"/>
        <scheme val="minor"/>
      </rPr>
      <t>LLC</t>
    </r>
  </si>
  <si>
    <t>kHz</t>
  </si>
  <si>
    <t>Enter desired nominal LLC switching frequency</t>
  </si>
  <si>
    <t>LLC Transformer</t>
  </si>
  <si>
    <t>Recommended Primary/Secondary Turns Ratio</t>
  </si>
  <si>
    <r>
      <rPr>
        <sz val="11"/>
        <color theme="1"/>
        <rFont val="新細明體"/>
        <charset val="134"/>
        <scheme val="minor"/>
      </rPr>
      <t>N</t>
    </r>
    <r>
      <rPr>
        <vertAlign val="subscript"/>
        <sz val="11"/>
        <color theme="1"/>
        <rFont val="新細明體"/>
        <charset val="134"/>
        <scheme val="minor"/>
      </rPr>
      <t>PS(recommended)</t>
    </r>
  </si>
  <si>
    <t>Actual Primary/Secondary Turns Ratio</t>
  </si>
  <si>
    <r>
      <rPr>
        <sz val="11"/>
        <color theme="1"/>
        <rFont val="新細明體"/>
        <charset val="134"/>
        <scheme val="minor"/>
      </rPr>
      <t>N</t>
    </r>
    <r>
      <rPr>
        <vertAlign val="subscript"/>
        <sz val="11"/>
        <color theme="1"/>
        <rFont val="新細明體"/>
        <charset val="134"/>
        <scheme val="minor"/>
      </rPr>
      <t>PS</t>
    </r>
  </si>
  <si>
    <t>Enter Actual Primary/Secondary Turns Ratio</t>
  </si>
  <si>
    <t>Recommended Primary/Bias Turns Ratio</t>
  </si>
  <si>
    <r>
      <rPr>
        <sz val="11"/>
        <color theme="1"/>
        <rFont val="新細明體"/>
        <charset val="134"/>
        <scheme val="minor"/>
      </rPr>
      <t>N</t>
    </r>
    <r>
      <rPr>
        <vertAlign val="subscript"/>
        <sz val="11"/>
        <color theme="1"/>
        <rFont val="新細明體"/>
        <charset val="134"/>
        <scheme val="minor"/>
      </rPr>
      <t>PB(recommended)</t>
    </r>
  </si>
  <si>
    <t>Actual Primary/Bias Turns Ratio</t>
  </si>
  <si>
    <r>
      <rPr>
        <sz val="11"/>
        <color theme="1"/>
        <rFont val="新細明體"/>
        <charset val="134"/>
        <scheme val="minor"/>
      </rPr>
      <t>N</t>
    </r>
    <r>
      <rPr>
        <vertAlign val="subscript"/>
        <sz val="11"/>
        <color theme="1"/>
        <rFont val="新細明體"/>
        <charset val="134"/>
        <scheme val="minor"/>
      </rPr>
      <t>PB</t>
    </r>
  </si>
  <si>
    <t>Enter Actual Primary/Bias Turns Ratio</t>
  </si>
  <si>
    <t>LLC Effective Load Resistance at 110% Full Load</t>
  </si>
  <si>
    <r>
      <rPr>
        <sz val="11"/>
        <color theme="1"/>
        <rFont val="新細明體"/>
        <charset val="134"/>
        <scheme val="minor"/>
      </rPr>
      <t>R</t>
    </r>
    <r>
      <rPr>
        <vertAlign val="subscript"/>
        <sz val="11"/>
        <color theme="1"/>
        <rFont val="新細明體"/>
        <charset val="134"/>
        <scheme val="minor"/>
      </rPr>
      <t>E</t>
    </r>
  </si>
  <si>
    <t>Ω</t>
  </si>
  <si>
    <t>LLC Effective Load Resistance at Full Load</t>
  </si>
  <si>
    <r>
      <rPr>
        <sz val="11"/>
        <color theme="1"/>
        <rFont val="新細明體"/>
        <charset val="134"/>
        <scheme val="minor"/>
      </rPr>
      <t>R</t>
    </r>
    <r>
      <rPr>
        <vertAlign val="subscript"/>
        <sz val="11"/>
        <color theme="1"/>
        <rFont val="新細明體"/>
        <charset val="134"/>
        <scheme val="minor"/>
      </rPr>
      <t>E(full load)</t>
    </r>
  </si>
  <si>
    <t>LLC Gain Range</t>
  </si>
  <si>
    <t>Minimum LLC Gain</t>
  </si>
  <si>
    <r>
      <rPr>
        <sz val="11"/>
        <color theme="1"/>
        <rFont val="新細明體"/>
        <charset val="134"/>
        <scheme val="minor"/>
      </rPr>
      <t>M</t>
    </r>
    <r>
      <rPr>
        <vertAlign val="subscript"/>
        <sz val="11"/>
        <color theme="1"/>
        <rFont val="新細明體"/>
        <charset val="134"/>
        <scheme val="minor"/>
      </rPr>
      <t>G(min)</t>
    </r>
  </si>
  <si>
    <t>Maximum LLC Gain Including Losses</t>
  </si>
  <si>
    <r>
      <rPr>
        <sz val="11"/>
        <color theme="1"/>
        <rFont val="新細明體"/>
        <charset val="134"/>
        <scheme val="minor"/>
      </rPr>
      <t>M</t>
    </r>
    <r>
      <rPr>
        <vertAlign val="subscript"/>
        <sz val="11"/>
        <color theme="1"/>
        <rFont val="新細明體"/>
        <charset val="134"/>
        <scheme val="minor"/>
      </rPr>
      <t>G(max)</t>
    </r>
  </si>
  <si>
    <t>Predicted Voltage Drop Due to Losses</t>
  </si>
  <si>
    <r>
      <rPr>
        <sz val="11"/>
        <color theme="1"/>
        <rFont val="新細明體"/>
        <charset val="134"/>
        <scheme val="minor"/>
      </rPr>
      <t>V</t>
    </r>
    <r>
      <rPr>
        <vertAlign val="subscript"/>
        <sz val="11"/>
        <color theme="1"/>
        <rFont val="新細明體"/>
        <charset val="134"/>
        <scheme val="minor"/>
      </rPr>
      <t>LOSS</t>
    </r>
  </si>
  <si>
    <t>Enter the predicted voltage drop due to conversion losses in circuit</t>
  </si>
  <si>
    <r>
      <rPr>
        <b/>
        <sz val="11"/>
        <color theme="1"/>
        <rFont val="新細明體"/>
        <charset val="134"/>
        <scheme val="minor"/>
      </rPr>
      <t>Select L</t>
    </r>
    <r>
      <rPr>
        <b/>
        <vertAlign val="subscript"/>
        <sz val="11"/>
        <color theme="1"/>
        <rFont val="新細明體"/>
        <charset val="134"/>
        <scheme val="minor"/>
      </rPr>
      <t>N</t>
    </r>
    <r>
      <rPr>
        <b/>
        <sz val="11"/>
        <color theme="1"/>
        <rFont val="新細明體"/>
        <charset val="134"/>
        <scheme val="minor"/>
      </rPr>
      <t xml:space="preserve"> and Q</t>
    </r>
    <r>
      <rPr>
        <b/>
        <vertAlign val="subscript"/>
        <sz val="11"/>
        <color theme="1"/>
        <rFont val="新細明體"/>
        <charset val="134"/>
        <scheme val="minor"/>
      </rPr>
      <t>E</t>
    </r>
  </si>
  <si>
    <r>
      <rPr>
        <b/>
        <sz val="11"/>
        <color theme="1"/>
        <rFont val="Arial"/>
        <charset val="134"/>
      </rPr>
      <t>From the figure on the right, M</t>
    </r>
    <r>
      <rPr>
        <b/>
        <vertAlign val="subscript"/>
        <sz val="11"/>
        <color theme="1"/>
        <rFont val="Arial"/>
        <charset val="134"/>
      </rPr>
      <t>G(peak)</t>
    </r>
    <r>
      <rPr>
        <b/>
        <sz val="11"/>
        <color theme="1"/>
        <rFont val="Arial"/>
        <charset val="134"/>
      </rPr>
      <t xml:space="preserve"> Vs Q</t>
    </r>
    <r>
      <rPr>
        <b/>
        <vertAlign val="subscript"/>
        <sz val="11"/>
        <color theme="1"/>
        <rFont val="Arial"/>
        <charset val="134"/>
      </rPr>
      <t>E</t>
    </r>
    <r>
      <rPr>
        <b/>
        <sz val="11"/>
        <color theme="1"/>
        <rFont val="Arial"/>
        <charset val="134"/>
      </rPr>
      <t xml:space="preserve"> with respect to L</t>
    </r>
    <r>
      <rPr>
        <b/>
        <vertAlign val="subscript"/>
        <sz val="11"/>
        <color theme="1"/>
        <rFont val="Arial"/>
        <charset val="134"/>
      </rPr>
      <t>N</t>
    </r>
    <r>
      <rPr>
        <b/>
        <sz val="11"/>
        <color theme="1"/>
        <rFont val="Arial"/>
        <charset val="134"/>
      </rPr>
      <t>, select a point on an Ln curve that has an Ln and Q</t>
    </r>
    <r>
      <rPr>
        <b/>
        <vertAlign val="subscript"/>
        <sz val="11"/>
        <color theme="1"/>
        <rFont val="Arial"/>
        <charset val="134"/>
      </rPr>
      <t>E</t>
    </r>
    <r>
      <rPr>
        <b/>
        <sz val="11"/>
        <color theme="1"/>
        <rFont val="Arial"/>
        <charset val="134"/>
      </rPr>
      <t xml:space="preserve"> point that corresponds to an Attainable M</t>
    </r>
    <r>
      <rPr>
        <b/>
        <vertAlign val="subscript"/>
        <sz val="11"/>
        <color theme="1"/>
        <rFont val="Arial"/>
        <charset val="134"/>
      </rPr>
      <t>G(PEAK)</t>
    </r>
    <r>
      <rPr>
        <b/>
        <sz val="11"/>
        <color theme="1"/>
        <rFont val="Arial"/>
        <charset val="134"/>
      </rPr>
      <t xml:space="preserve"> value that is greater than M</t>
    </r>
    <r>
      <rPr>
        <b/>
        <vertAlign val="subscript"/>
        <sz val="11"/>
        <color theme="1"/>
        <rFont val="Arial"/>
        <charset val="134"/>
      </rPr>
      <t>G(max)</t>
    </r>
    <r>
      <rPr>
        <b/>
        <sz val="11"/>
        <color theme="1"/>
        <rFont val="Arial"/>
        <charset val="134"/>
      </rPr>
      <t>.  Enter the selected values in the L</t>
    </r>
    <r>
      <rPr>
        <b/>
        <vertAlign val="subscript"/>
        <sz val="11"/>
        <color theme="1"/>
        <rFont val="Arial"/>
        <charset val="134"/>
      </rPr>
      <t>N</t>
    </r>
    <r>
      <rPr>
        <b/>
        <sz val="11"/>
        <color theme="1"/>
        <rFont val="Arial"/>
        <charset val="134"/>
      </rPr>
      <t xml:space="preserve"> and Q</t>
    </r>
    <r>
      <rPr>
        <b/>
        <vertAlign val="subscript"/>
        <sz val="11"/>
        <color theme="1"/>
        <rFont val="Arial"/>
        <charset val="134"/>
      </rPr>
      <t>E</t>
    </r>
    <r>
      <rPr>
        <b/>
        <sz val="11"/>
        <color theme="1"/>
        <rFont val="Arial"/>
        <charset val="134"/>
      </rPr>
      <t xml:space="preserve"> cells below.</t>
    </r>
  </si>
  <si>
    <r>
      <rPr>
        <sz val="11"/>
        <color theme="1"/>
        <rFont val="Arial"/>
        <charset val="134"/>
      </rPr>
      <t>For example, if M</t>
    </r>
    <r>
      <rPr>
        <vertAlign val="subscript"/>
        <sz val="11"/>
        <color theme="1"/>
        <rFont val="Arial"/>
        <charset val="134"/>
      </rPr>
      <t>G(max)</t>
    </r>
    <r>
      <rPr>
        <sz val="11"/>
        <color theme="1"/>
        <rFont val="Arial"/>
        <charset val="134"/>
      </rPr>
      <t>, calculated above and shown by the horizontal line, was calculated to be 1.4, then using Ln = 5 and Q</t>
    </r>
    <r>
      <rPr>
        <vertAlign val="subscript"/>
        <sz val="11"/>
        <color theme="1"/>
        <rFont val="Arial"/>
        <charset val="134"/>
      </rPr>
      <t>E</t>
    </r>
    <r>
      <rPr>
        <sz val="11"/>
        <color theme="1"/>
        <rFont val="Arial"/>
        <charset val="134"/>
      </rPr>
      <t xml:space="preserve"> = 0.35 would result in an attainable M</t>
    </r>
    <r>
      <rPr>
        <vertAlign val="subscript"/>
        <sz val="11"/>
        <color theme="1"/>
        <rFont val="Arial"/>
        <charset val="134"/>
      </rPr>
      <t>G(PEAK)</t>
    </r>
    <r>
      <rPr>
        <sz val="11"/>
        <color theme="1"/>
        <rFont val="Arial"/>
        <charset val="134"/>
      </rPr>
      <t xml:space="preserve"> = 1.52 (interpolated from Ln = 5 curve) which satisfies the requirement that the Attainable M</t>
    </r>
    <r>
      <rPr>
        <vertAlign val="subscript"/>
        <sz val="11"/>
        <color theme="1"/>
        <rFont val="Arial"/>
        <charset val="134"/>
      </rPr>
      <t>G(PEAK)</t>
    </r>
    <r>
      <rPr>
        <sz val="11"/>
        <color theme="1"/>
        <rFont val="Arial"/>
        <charset val="134"/>
      </rPr>
      <t xml:space="preserve"> &gt; M</t>
    </r>
    <r>
      <rPr>
        <vertAlign val="subscript"/>
        <sz val="11"/>
        <color theme="1"/>
        <rFont val="Arial"/>
        <charset val="134"/>
      </rPr>
      <t>G(max)</t>
    </r>
  </si>
  <si>
    <t>Selected Primary Inductance Ratio</t>
  </si>
  <si>
    <r>
      <rPr>
        <sz val="11"/>
        <color theme="1"/>
        <rFont val="新細明體"/>
        <charset val="134"/>
        <scheme val="minor"/>
      </rPr>
      <t>L</t>
    </r>
    <r>
      <rPr>
        <vertAlign val="subscript"/>
        <sz val="11"/>
        <color theme="1"/>
        <rFont val="新細明體"/>
        <charset val="134"/>
        <scheme val="minor"/>
      </rPr>
      <t>N(selected)</t>
    </r>
  </si>
  <si>
    <t>Selected Quality Factor for Resonant Network</t>
  </si>
  <si>
    <r>
      <rPr>
        <sz val="11"/>
        <color theme="1"/>
        <rFont val="新細明體"/>
        <charset val="134"/>
        <scheme val="minor"/>
      </rPr>
      <t>Q</t>
    </r>
    <r>
      <rPr>
        <vertAlign val="subscript"/>
        <sz val="11"/>
        <color theme="1"/>
        <rFont val="新細明體"/>
        <charset val="134"/>
        <scheme val="minor"/>
      </rPr>
      <t>E(selected)</t>
    </r>
  </si>
  <si>
    <t>Gain Required at No-Load</t>
  </si>
  <si>
    <r>
      <rPr>
        <sz val="11"/>
        <color theme="1"/>
        <rFont val="新細明體"/>
        <charset val="134"/>
        <scheme val="minor"/>
      </rPr>
      <t>M</t>
    </r>
    <r>
      <rPr>
        <vertAlign val="subscript"/>
        <sz val="11"/>
        <color theme="1"/>
        <rFont val="新細明體"/>
        <charset val="134"/>
        <scheme val="minor"/>
      </rPr>
      <t>G(noload)</t>
    </r>
  </si>
  <si>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Maximum Switching Frequency</t>
    </r>
  </si>
  <si>
    <r>
      <rPr>
        <sz val="11"/>
        <color theme="1"/>
        <rFont val="新細明體"/>
        <charset val="134"/>
        <scheme val="minor"/>
      </rPr>
      <t>f</t>
    </r>
    <r>
      <rPr>
        <vertAlign val="subscript"/>
        <sz val="11"/>
        <color theme="1"/>
        <rFont val="新細明體"/>
        <charset val="134"/>
        <scheme val="minor"/>
      </rPr>
      <t>N(max)</t>
    </r>
  </si>
  <si>
    <r>
      <rPr>
        <sz val="11"/>
        <color theme="1"/>
        <rFont val="Arial"/>
        <charset val="134"/>
      </rPr>
      <t>The selected L</t>
    </r>
    <r>
      <rPr>
        <vertAlign val="subscript"/>
        <sz val="11"/>
        <color theme="1"/>
        <rFont val="Arial"/>
        <charset val="134"/>
      </rPr>
      <t>N</t>
    </r>
    <r>
      <rPr>
        <sz val="11"/>
        <color theme="1"/>
        <rFont val="Arial"/>
        <charset val="134"/>
      </rPr>
      <t xml:space="preserve"> and Q</t>
    </r>
    <r>
      <rPr>
        <vertAlign val="subscript"/>
        <sz val="11"/>
        <color theme="1"/>
        <rFont val="Arial"/>
        <charset val="134"/>
      </rPr>
      <t>E</t>
    </r>
    <r>
      <rPr>
        <sz val="11"/>
        <color theme="1"/>
        <rFont val="Arial"/>
        <charset val="134"/>
      </rPr>
      <t xml:space="preserve"> values should result in an LLC Gain Curve, shown below, that intersects with the M</t>
    </r>
    <r>
      <rPr>
        <vertAlign val="subscript"/>
        <sz val="11"/>
        <color theme="1"/>
        <rFont val="Arial"/>
        <charset val="134"/>
      </rPr>
      <t>G(min)</t>
    </r>
    <r>
      <rPr>
        <sz val="11"/>
        <color theme="1"/>
        <rFont val="Arial"/>
        <charset val="134"/>
      </rPr>
      <t xml:space="preserve"> and M</t>
    </r>
    <r>
      <rPr>
        <vertAlign val="subscript"/>
        <sz val="11"/>
        <color theme="1"/>
        <rFont val="Arial"/>
        <charset val="134"/>
      </rPr>
      <t>G(max)</t>
    </r>
    <r>
      <rPr>
        <sz val="11"/>
        <color theme="1"/>
        <rFont val="Arial"/>
        <charset val="134"/>
      </rPr>
      <t xml:space="preserve"> traces. The Gain curve from an overload condition is also plotted, showing the minimum gain at maximum frequency.</t>
    </r>
  </si>
  <si>
    <t>Parameters of the LLC Resonant Circuit</t>
  </si>
  <si>
    <t>Recommended Resonant Capacitor Value</t>
  </si>
  <si>
    <r>
      <rPr>
        <sz val="11"/>
        <color theme="1"/>
        <rFont val="新細明體"/>
        <charset val="134"/>
        <scheme val="minor"/>
      </rPr>
      <t>C</t>
    </r>
    <r>
      <rPr>
        <vertAlign val="subscript"/>
        <sz val="11"/>
        <color theme="1"/>
        <rFont val="新細明體"/>
        <charset val="134"/>
        <scheme val="minor"/>
      </rPr>
      <t>R(recommended)</t>
    </r>
  </si>
  <si>
    <t>Actual Total Value of Resonant Capacitor Used</t>
  </si>
  <si>
    <r>
      <rPr>
        <sz val="11"/>
        <color theme="1"/>
        <rFont val="新細明體"/>
        <charset val="134"/>
        <scheme val="minor"/>
      </rPr>
      <t>C</t>
    </r>
    <r>
      <rPr>
        <vertAlign val="subscript"/>
        <sz val="11"/>
        <color theme="1"/>
        <rFont val="新細明體"/>
        <charset val="134"/>
        <scheme val="minor"/>
      </rPr>
      <t>R</t>
    </r>
  </si>
  <si>
    <t>Enter actual value of Resonant Capacitor used</t>
  </si>
  <si>
    <t>Recommended Resonant Inductor Value</t>
  </si>
  <si>
    <r>
      <rPr>
        <sz val="11"/>
        <color theme="1"/>
        <rFont val="新細明體"/>
        <charset val="134"/>
        <scheme val="minor"/>
      </rPr>
      <t>L</t>
    </r>
    <r>
      <rPr>
        <vertAlign val="subscript"/>
        <sz val="11"/>
        <color theme="1"/>
        <rFont val="新細明體"/>
        <charset val="134"/>
        <scheme val="minor"/>
      </rPr>
      <t>R(recommended)</t>
    </r>
  </si>
  <si>
    <t>Actual Resonant Inductor Value Used</t>
  </si>
  <si>
    <r>
      <rPr>
        <sz val="11"/>
        <color theme="1"/>
        <rFont val="新細明體"/>
        <charset val="134"/>
        <scheme val="minor"/>
      </rPr>
      <t>L</t>
    </r>
    <r>
      <rPr>
        <vertAlign val="subscript"/>
        <sz val="11"/>
        <color theme="1"/>
        <rFont val="新細明體"/>
        <charset val="134"/>
        <scheme val="minor"/>
      </rPr>
      <t>R</t>
    </r>
  </si>
  <si>
    <t>Enter the actual value of the Resonant Inductor Value used</t>
  </si>
  <si>
    <t>Recommended Transformer Magnetizing Inductance</t>
  </si>
  <si>
    <r>
      <rPr>
        <sz val="11"/>
        <color theme="1"/>
        <rFont val="新細明體"/>
        <charset val="134"/>
        <scheme val="minor"/>
      </rPr>
      <t>L</t>
    </r>
    <r>
      <rPr>
        <vertAlign val="subscript"/>
        <sz val="11"/>
        <color theme="1"/>
        <rFont val="新細明體"/>
        <charset val="134"/>
        <scheme val="minor"/>
      </rPr>
      <t>M(recommended)</t>
    </r>
  </si>
  <si>
    <t>Actual Transformer Magnetizing Inductance Used</t>
  </si>
  <si>
    <r>
      <rPr>
        <sz val="11"/>
        <color theme="1"/>
        <rFont val="新細明體"/>
        <charset val="134"/>
        <scheme val="minor"/>
      </rPr>
      <t>L</t>
    </r>
    <r>
      <rPr>
        <vertAlign val="subscript"/>
        <sz val="11"/>
        <color theme="1"/>
        <rFont val="新細明體"/>
        <charset val="134"/>
        <scheme val="minor"/>
      </rPr>
      <t>M</t>
    </r>
  </si>
  <si>
    <t>Enter the actual Transformer Magnetizing Inductance used</t>
  </si>
  <si>
    <t>Resultant Series Resonant Frequency</t>
  </si>
  <si>
    <r>
      <rPr>
        <sz val="11"/>
        <color theme="1"/>
        <rFont val="新細明體"/>
        <charset val="134"/>
        <scheme val="minor"/>
      </rPr>
      <t>f</t>
    </r>
    <r>
      <rPr>
        <vertAlign val="subscript"/>
        <sz val="11"/>
        <color theme="1"/>
        <rFont val="新細明體"/>
        <charset val="134"/>
        <scheme val="minor"/>
      </rPr>
      <t>0</t>
    </r>
  </si>
  <si>
    <t>No Load Resonant Frequency</t>
  </si>
  <si>
    <r>
      <rPr>
        <sz val="11"/>
        <color theme="1"/>
        <rFont val="新細明體"/>
        <charset val="134"/>
        <scheme val="minor"/>
      </rPr>
      <t>f</t>
    </r>
    <r>
      <rPr>
        <vertAlign val="subscript"/>
        <sz val="11"/>
        <color theme="1"/>
        <rFont val="新細明體"/>
        <charset val="134"/>
        <scheme val="minor"/>
      </rPr>
      <t>P</t>
    </r>
  </si>
  <si>
    <t>Resultant Inductance Ratio</t>
  </si>
  <si>
    <r>
      <rPr>
        <sz val="11"/>
        <color theme="1"/>
        <rFont val="新細明體"/>
        <charset val="134"/>
        <scheme val="minor"/>
      </rPr>
      <t>L</t>
    </r>
    <r>
      <rPr>
        <vertAlign val="subscript"/>
        <sz val="11"/>
        <color theme="1"/>
        <rFont val="新細明體"/>
        <charset val="134"/>
        <scheme val="minor"/>
      </rPr>
      <t>N</t>
    </r>
  </si>
  <si>
    <r>
      <rPr>
        <sz val="11"/>
        <color theme="1"/>
        <rFont val="新細明體"/>
        <charset val="134"/>
        <scheme val="minor"/>
      </rPr>
      <t>Re-enter this value in the L</t>
    </r>
    <r>
      <rPr>
        <vertAlign val="subscript"/>
        <sz val="11"/>
        <rFont val="新細明體"/>
        <charset val="134"/>
        <scheme val="minor"/>
      </rPr>
      <t>N(selected)</t>
    </r>
    <r>
      <rPr>
        <sz val="11"/>
        <rFont val="新細明體"/>
        <charset val="134"/>
        <scheme val="minor"/>
      </rPr>
      <t xml:space="preserve"> cell above to see the actual normalized frequency at M</t>
    </r>
    <r>
      <rPr>
        <vertAlign val="subscript"/>
        <sz val="11"/>
        <rFont val="新細明體"/>
        <charset val="134"/>
        <scheme val="minor"/>
      </rPr>
      <t>G(max)</t>
    </r>
    <r>
      <rPr>
        <sz val="11"/>
        <rFont val="新細明體"/>
        <charset val="134"/>
        <scheme val="minor"/>
      </rPr>
      <t xml:space="preserve"> and M</t>
    </r>
    <r>
      <rPr>
        <vertAlign val="subscript"/>
        <sz val="11"/>
        <rFont val="新細明體"/>
        <charset val="134"/>
        <scheme val="minor"/>
      </rPr>
      <t>G(min)</t>
    </r>
  </si>
  <si>
    <t>Resultant Quality Factor at Full Load</t>
  </si>
  <si>
    <r>
      <rPr>
        <sz val="11"/>
        <color theme="1"/>
        <rFont val="新細明體"/>
        <charset val="134"/>
        <scheme val="minor"/>
      </rPr>
      <t>Q</t>
    </r>
    <r>
      <rPr>
        <vertAlign val="subscript"/>
        <sz val="11"/>
        <color theme="1"/>
        <rFont val="新細明體"/>
        <charset val="134"/>
        <scheme val="minor"/>
      </rPr>
      <t>E</t>
    </r>
  </si>
  <si>
    <r>
      <rPr>
        <sz val="11"/>
        <color theme="1"/>
        <rFont val="新細明體"/>
        <charset val="134"/>
        <scheme val="minor"/>
      </rPr>
      <t>Re-enter this value in the Q</t>
    </r>
    <r>
      <rPr>
        <vertAlign val="subscript"/>
        <sz val="11"/>
        <rFont val="新細明體"/>
        <charset val="134"/>
        <scheme val="minor"/>
      </rPr>
      <t>E(selected)</t>
    </r>
    <r>
      <rPr>
        <sz val="11"/>
        <rFont val="新細明體"/>
        <charset val="134"/>
        <scheme val="minor"/>
      </rPr>
      <t xml:space="preserve"> cell above to see the actual normalized frequency at M</t>
    </r>
    <r>
      <rPr>
        <vertAlign val="subscript"/>
        <sz val="11"/>
        <rFont val="新細明體"/>
        <charset val="134"/>
        <scheme val="minor"/>
      </rPr>
      <t>G(max)</t>
    </r>
    <r>
      <rPr>
        <sz val="11"/>
        <rFont val="新細明體"/>
        <charset val="134"/>
        <scheme val="minor"/>
      </rPr>
      <t xml:space="preserve"> and M</t>
    </r>
    <r>
      <rPr>
        <vertAlign val="subscript"/>
        <sz val="11"/>
        <rFont val="新細明體"/>
        <charset val="134"/>
        <scheme val="minor"/>
      </rPr>
      <t>G(min)</t>
    </r>
  </si>
  <si>
    <t>Gain Curve Graph Up to Date?</t>
  </si>
  <si>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t>
    </r>
    <r>
      <rPr>
        <vertAlign val="subscript"/>
        <sz val="11"/>
        <color theme="1"/>
        <rFont val="新細明體"/>
        <charset val="134"/>
        <scheme val="minor"/>
      </rPr>
      <t>G(max)</t>
    </r>
  </si>
  <si>
    <r>
      <rPr>
        <sz val="11"/>
        <color theme="1"/>
        <rFont val="新細明體"/>
        <charset val="134"/>
        <scheme val="minor"/>
      </rPr>
      <t>f</t>
    </r>
    <r>
      <rPr>
        <vertAlign val="subscript"/>
        <sz val="11"/>
        <color theme="1"/>
        <rFont val="新細明體"/>
        <charset val="134"/>
        <scheme val="minor"/>
      </rPr>
      <t>N(Mg_max)</t>
    </r>
  </si>
  <si>
    <r>
      <rPr>
        <sz val="11"/>
        <color theme="1"/>
        <rFont val="新細明體"/>
        <charset val="134"/>
        <scheme val="minor"/>
      </rPr>
      <t>Enter f</t>
    </r>
    <r>
      <rPr>
        <vertAlign val="subscript"/>
        <sz val="11"/>
        <rFont val="新細明體"/>
        <charset val="134"/>
        <scheme val="minor"/>
      </rPr>
      <t>N</t>
    </r>
    <r>
      <rPr>
        <sz val="11"/>
        <rFont val="新細明體"/>
        <charset val="134"/>
        <scheme val="minor"/>
      </rPr>
      <t xml:space="preserve"> value at the second intersection of the M</t>
    </r>
    <r>
      <rPr>
        <vertAlign val="subscript"/>
        <sz val="11"/>
        <rFont val="新細明體"/>
        <charset val="134"/>
        <scheme val="minor"/>
      </rPr>
      <t>G(max)</t>
    </r>
    <r>
      <rPr>
        <sz val="11"/>
        <rFont val="新細明體"/>
        <charset val="134"/>
        <scheme val="minor"/>
      </rPr>
      <t xml:space="preserve"> line and LLC Gain Curve shown in figure above</t>
    </r>
  </si>
  <si>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t>
    </r>
    <r>
      <rPr>
        <vertAlign val="subscript"/>
        <sz val="11"/>
        <color theme="1"/>
        <rFont val="新細明體"/>
        <charset val="134"/>
        <scheme val="minor"/>
      </rPr>
      <t>G(min)</t>
    </r>
  </si>
  <si>
    <r>
      <rPr>
        <sz val="11"/>
        <color theme="1"/>
        <rFont val="新細明體"/>
        <charset val="134"/>
        <scheme val="minor"/>
      </rPr>
      <t>f</t>
    </r>
    <r>
      <rPr>
        <vertAlign val="subscript"/>
        <sz val="11"/>
        <color theme="1"/>
        <rFont val="新細明體"/>
        <charset val="134"/>
        <scheme val="minor"/>
      </rPr>
      <t>N(Mg_min)</t>
    </r>
  </si>
  <si>
    <r>
      <rPr>
        <sz val="11"/>
        <color theme="1"/>
        <rFont val="新細明體"/>
        <charset val="134"/>
        <scheme val="minor"/>
      </rPr>
      <t>Enter f</t>
    </r>
    <r>
      <rPr>
        <vertAlign val="subscript"/>
        <sz val="11"/>
        <rFont val="新細明體"/>
        <charset val="134"/>
        <scheme val="minor"/>
      </rPr>
      <t>N</t>
    </r>
    <r>
      <rPr>
        <sz val="11"/>
        <rFont val="新細明體"/>
        <charset val="134"/>
        <scheme val="minor"/>
      </rPr>
      <t xml:space="preserve"> value at the second intersection of the M</t>
    </r>
    <r>
      <rPr>
        <vertAlign val="subscript"/>
        <sz val="11"/>
        <rFont val="新細明體"/>
        <charset val="134"/>
        <scheme val="minor"/>
      </rPr>
      <t>G(min)</t>
    </r>
    <r>
      <rPr>
        <sz val="11"/>
        <rFont val="新細明體"/>
        <charset val="134"/>
        <scheme val="minor"/>
      </rPr>
      <t xml:space="preserve"> line and LLC Gain Curve shown in figure above</t>
    </r>
  </si>
  <si>
    <t>Maximum Switching Frequency</t>
  </si>
  <si>
    <r>
      <rPr>
        <sz val="11"/>
        <color theme="1"/>
        <rFont val="新細明體"/>
        <charset val="134"/>
        <scheme val="minor"/>
      </rPr>
      <t>f</t>
    </r>
    <r>
      <rPr>
        <vertAlign val="subscript"/>
        <sz val="11"/>
        <color theme="1"/>
        <rFont val="新細明體"/>
        <charset val="134"/>
        <scheme val="minor"/>
      </rPr>
      <t>SW(max)</t>
    </r>
  </si>
  <si>
    <t>Minimum Switching Frequency</t>
  </si>
  <si>
    <r>
      <rPr>
        <sz val="11"/>
        <color theme="1"/>
        <rFont val="新細明體"/>
        <charset val="134"/>
        <scheme val="minor"/>
      </rPr>
      <t>f</t>
    </r>
    <r>
      <rPr>
        <vertAlign val="subscript"/>
        <sz val="11"/>
        <color theme="1"/>
        <rFont val="新細明體"/>
        <charset val="134"/>
        <scheme val="minor"/>
      </rPr>
      <t>SW(min)</t>
    </r>
  </si>
  <si>
    <t>LLC Primary Side Currents</t>
  </si>
  <si>
    <t>Primary Side RMS Load Current</t>
  </si>
  <si>
    <r>
      <rPr>
        <sz val="11"/>
        <color theme="1"/>
        <rFont val="新細明體"/>
        <charset val="134"/>
        <scheme val="minor"/>
      </rPr>
      <t>I</t>
    </r>
    <r>
      <rPr>
        <vertAlign val="subscript"/>
        <sz val="11"/>
        <color theme="1"/>
        <rFont val="新細明體"/>
        <charset val="134"/>
        <scheme val="minor"/>
      </rPr>
      <t>OE</t>
    </r>
  </si>
  <si>
    <r>
      <rPr>
        <sz val="11"/>
        <color theme="1"/>
        <rFont val="新細明體"/>
        <charset val="134"/>
        <scheme val="minor"/>
      </rPr>
      <t>RMS Magnetizing Current at f</t>
    </r>
    <r>
      <rPr>
        <vertAlign val="subscript"/>
        <sz val="11"/>
        <color theme="1"/>
        <rFont val="新細明體"/>
        <charset val="134"/>
        <scheme val="minor"/>
      </rPr>
      <t>SW(min)</t>
    </r>
  </si>
  <si>
    <r>
      <rPr>
        <sz val="11"/>
        <color theme="1"/>
        <rFont val="新細明體"/>
        <charset val="134"/>
        <scheme val="minor"/>
      </rPr>
      <t>I</t>
    </r>
    <r>
      <rPr>
        <vertAlign val="subscript"/>
        <sz val="11"/>
        <color theme="1"/>
        <rFont val="新細明體"/>
        <charset val="134"/>
        <scheme val="minor"/>
      </rPr>
      <t>M</t>
    </r>
  </si>
  <si>
    <t>Total Current in Resonant Circuit</t>
  </si>
  <si>
    <r>
      <rPr>
        <sz val="11"/>
        <color theme="1"/>
        <rFont val="新細明體"/>
        <charset val="134"/>
        <scheme val="minor"/>
      </rPr>
      <t>I</t>
    </r>
    <r>
      <rPr>
        <vertAlign val="subscript"/>
        <sz val="11"/>
        <color theme="1"/>
        <rFont val="新細明體"/>
        <charset val="134"/>
        <scheme val="minor"/>
      </rPr>
      <t>R</t>
    </r>
  </si>
  <si>
    <t>LLC Secondary Side Currents</t>
  </si>
  <si>
    <t>Secondary RMS Current</t>
  </si>
  <si>
    <r>
      <rPr>
        <sz val="11"/>
        <color theme="1"/>
        <rFont val="新細明體"/>
        <charset val="134"/>
        <scheme val="minor"/>
      </rPr>
      <t>I</t>
    </r>
    <r>
      <rPr>
        <vertAlign val="subscript"/>
        <sz val="11"/>
        <color theme="1"/>
        <rFont val="新細明體"/>
        <charset val="134"/>
        <scheme val="minor"/>
      </rPr>
      <t>OE(S)</t>
    </r>
  </si>
  <si>
    <t>Current in Each Center Tapped Winding</t>
  </si>
  <si>
    <r>
      <rPr>
        <sz val="11"/>
        <color theme="1"/>
        <rFont val="新細明體"/>
        <charset val="134"/>
        <scheme val="minor"/>
      </rPr>
      <t>I</t>
    </r>
    <r>
      <rPr>
        <vertAlign val="subscript"/>
        <sz val="11"/>
        <color theme="1"/>
        <rFont val="新細明體"/>
        <charset val="134"/>
        <scheme val="minor"/>
      </rPr>
      <t>WS</t>
    </r>
  </si>
  <si>
    <t>LLC Resonant Inductor</t>
  </si>
  <si>
    <t>Terminal AC Voltage Across Resonant Inductor</t>
  </si>
  <si>
    <r>
      <rPr>
        <sz val="11"/>
        <color theme="1"/>
        <rFont val="新細明體"/>
        <charset val="134"/>
        <scheme val="minor"/>
      </rPr>
      <t>V</t>
    </r>
    <r>
      <rPr>
        <vertAlign val="subscript"/>
        <sz val="11"/>
        <color theme="1"/>
        <rFont val="新細明體"/>
        <charset val="134"/>
        <scheme val="minor"/>
      </rPr>
      <t>Lr</t>
    </r>
  </si>
  <si>
    <t>Inductance</t>
  </si>
  <si>
    <t>Rated Current</t>
  </si>
  <si>
    <t>LLC Resonant Capacitor</t>
  </si>
  <si>
    <t>AC Voltage Across Resonant Capacitor</t>
  </si>
  <si>
    <r>
      <rPr>
        <sz val="11"/>
        <color theme="1"/>
        <rFont val="新細明體"/>
        <charset val="134"/>
        <scheme val="minor"/>
      </rPr>
      <t>V</t>
    </r>
    <r>
      <rPr>
        <vertAlign val="subscript"/>
        <sz val="11"/>
        <color theme="1"/>
        <rFont val="新細明體"/>
        <charset val="134"/>
        <scheme val="minor"/>
      </rPr>
      <t>CR</t>
    </r>
  </si>
  <si>
    <t>RMS Voltage Across Resonant Capacitor</t>
  </si>
  <si>
    <r>
      <rPr>
        <sz val="11"/>
        <color theme="1"/>
        <rFont val="新細明體"/>
        <charset val="134"/>
        <scheme val="minor"/>
      </rPr>
      <t>V</t>
    </r>
    <r>
      <rPr>
        <vertAlign val="subscript"/>
        <sz val="11"/>
        <color theme="1"/>
        <rFont val="新細明體"/>
        <charset val="134"/>
        <scheme val="minor"/>
      </rPr>
      <t>CR(rms)</t>
    </r>
  </si>
  <si>
    <t>Peak Voltage AC Voltage Rating for Resonant Capacitor</t>
  </si>
  <si>
    <r>
      <rPr>
        <sz val="11"/>
        <color theme="1"/>
        <rFont val="新細明體"/>
        <charset val="134"/>
        <scheme val="minor"/>
      </rPr>
      <t>V</t>
    </r>
    <r>
      <rPr>
        <vertAlign val="subscript"/>
        <sz val="11"/>
        <color theme="1"/>
        <rFont val="新細明體"/>
        <charset val="134"/>
        <scheme val="minor"/>
      </rPr>
      <t>CR(peak)</t>
    </r>
  </si>
  <si>
    <t>Valley Voltage on Resonant Capacitor</t>
  </si>
  <si>
    <r>
      <rPr>
        <sz val="11"/>
        <color indexed="8"/>
        <rFont val="Calibri"/>
        <charset val="134"/>
      </rPr>
      <t>V</t>
    </r>
    <r>
      <rPr>
        <vertAlign val="subscript"/>
        <sz val="11"/>
        <color indexed="8"/>
        <rFont val="Calibri"/>
        <charset val="134"/>
      </rPr>
      <t>Cr(valley)</t>
    </r>
  </si>
  <si>
    <t>Rated Current of Resonant Capacitor</t>
  </si>
  <si>
    <t>If Using Split Resonant Capacitors</t>
  </si>
  <si>
    <t>Value of EACH Resonant Capacitor If Using Split Resonant Capacitors</t>
  </si>
  <si>
    <r>
      <rPr>
        <sz val="11"/>
        <color theme="1"/>
        <rFont val="新細明體"/>
        <charset val="134"/>
        <scheme val="minor"/>
      </rPr>
      <t>C</t>
    </r>
    <r>
      <rPr>
        <vertAlign val="subscript"/>
        <sz val="11"/>
        <color theme="1"/>
        <rFont val="新細明體"/>
        <charset val="134"/>
        <scheme val="minor"/>
      </rPr>
      <t>R(split)</t>
    </r>
  </si>
  <si>
    <t>LLC Primary Side MOSFETs</t>
  </si>
  <si>
    <t>Minimum Voltage Rating of LLC MOSFETs</t>
  </si>
  <si>
    <r>
      <rPr>
        <sz val="11"/>
        <color theme="1"/>
        <rFont val="新細明體"/>
        <charset val="134"/>
        <scheme val="minor"/>
      </rPr>
      <t>V</t>
    </r>
    <r>
      <rPr>
        <vertAlign val="subscript"/>
        <sz val="11"/>
        <color theme="1"/>
        <rFont val="新細明體"/>
        <charset val="134"/>
        <scheme val="minor"/>
      </rPr>
      <t>QLLC(peak)</t>
    </r>
  </si>
  <si>
    <t>RMS Current Rating of LLC MOSFETs</t>
  </si>
  <si>
    <r>
      <rPr>
        <sz val="11"/>
        <color theme="1"/>
        <rFont val="新細明體"/>
        <charset val="134"/>
        <scheme val="minor"/>
      </rPr>
      <t>I</t>
    </r>
    <r>
      <rPr>
        <vertAlign val="subscript"/>
        <sz val="11"/>
        <color theme="1"/>
        <rFont val="新細明體"/>
        <charset val="134"/>
        <scheme val="minor"/>
      </rPr>
      <t>QLLC</t>
    </r>
  </si>
  <si>
    <t>LLC Output Rectifier Diodes/Synchronous rectifiers</t>
  </si>
  <si>
    <t>Minimum Voltage Rating for LLC Output Diodes</t>
  </si>
  <si>
    <r>
      <rPr>
        <sz val="11"/>
        <color theme="1"/>
        <rFont val="新細明體"/>
        <charset val="134"/>
        <scheme val="minor"/>
      </rPr>
      <t>V</t>
    </r>
    <r>
      <rPr>
        <vertAlign val="subscript"/>
        <sz val="11"/>
        <color theme="1"/>
        <rFont val="新細明體"/>
        <charset val="134"/>
        <scheme val="minor"/>
      </rPr>
      <t>DB</t>
    </r>
  </si>
  <si>
    <t>Minimum Current Rating for LLC Output Diodes</t>
  </si>
  <si>
    <r>
      <rPr>
        <sz val="11"/>
        <color theme="1"/>
        <rFont val="新細明體"/>
        <charset val="134"/>
        <scheme val="minor"/>
      </rPr>
      <t>I</t>
    </r>
    <r>
      <rPr>
        <vertAlign val="subscript"/>
        <sz val="11"/>
        <color theme="1"/>
        <rFont val="新細明體"/>
        <charset val="134"/>
        <scheme val="minor"/>
      </rPr>
      <t>SAV</t>
    </r>
  </si>
  <si>
    <r>
      <rPr>
        <b/>
        <sz val="11"/>
        <color theme="1"/>
        <rFont val="新細明體"/>
        <charset val="134"/>
        <scheme val="minor"/>
      </rPr>
      <t>LLC Output Capacitors, C</t>
    </r>
    <r>
      <rPr>
        <b/>
        <vertAlign val="subscript"/>
        <sz val="11"/>
        <color theme="1"/>
        <rFont val="新細明體"/>
        <charset val="134"/>
        <scheme val="minor"/>
      </rPr>
      <t>OUT</t>
    </r>
  </si>
  <si>
    <t>Rectifier's full wave output current</t>
  </si>
  <si>
    <r>
      <rPr>
        <sz val="11"/>
        <color theme="1"/>
        <rFont val="新細明體"/>
        <charset val="134"/>
        <scheme val="minor"/>
      </rPr>
      <t>I</t>
    </r>
    <r>
      <rPr>
        <vertAlign val="subscript"/>
        <sz val="11"/>
        <color theme="1"/>
        <rFont val="新細明體"/>
        <charset val="134"/>
        <scheme val="minor"/>
      </rPr>
      <t>RECT</t>
    </r>
  </si>
  <si>
    <r>
      <rPr>
        <sz val="11"/>
        <color theme="1"/>
        <rFont val="新細明體"/>
        <charset val="134"/>
        <scheme val="minor"/>
      </rPr>
      <t>C</t>
    </r>
    <r>
      <rPr>
        <vertAlign val="subscript"/>
        <sz val="11"/>
        <color theme="1"/>
        <rFont val="新細明體"/>
        <charset val="134"/>
        <scheme val="minor"/>
      </rPr>
      <t>OUT</t>
    </r>
    <r>
      <rPr>
        <sz val="11"/>
        <color theme="1"/>
        <rFont val="新細明體"/>
        <charset val="134"/>
        <scheme val="minor"/>
      </rPr>
      <t xml:space="preserve"> Minimum Voltage Rating</t>
    </r>
  </si>
  <si>
    <r>
      <rPr>
        <sz val="11"/>
        <color theme="1"/>
        <rFont val="新細明體"/>
        <charset val="134"/>
        <scheme val="minor"/>
      </rPr>
      <t>V</t>
    </r>
    <r>
      <rPr>
        <vertAlign val="subscript"/>
        <sz val="11"/>
        <color theme="1"/>
        <rFont val="新細明體"/>
        <charset val="134"/>
        <scheme val="minor"/>
      </rPr>
      <t>LLCcap</t>
    </r>
  </si>
  <si>
    <r>
      <rPr>
        <sz val="11"/>
        <color theme="1"/>
        <rFont val="新細明體"/>
        <charset val="134"/>
        <scheme val="minor"/>
      </rPr>
      <t>C</t>
    </r>
    <r>
      <rPr>
        <vertAlign val="subscript"/>
        <sz val="11"/>
        <color theme="1"/>
        <rFont val="新細明體"/>
        <charset val="134"/>
        <scheme val="minor"/>
      </rPr>
      <t>OUT</t>
    </r>
    <r>
      <rPr>
        <sz val="11"/>
        <color theme="1"/>
        <rFont val="新細明體"/>
        <charset val="134"/>
        <scheme val="minor"/>
      </rPr>
      <t xml:space="preserve"> RMS Ripple Current Rating at resonant frequency</t>
    </r>
  </si>
  <si>
    <r>
      <rPr>
        <sz val="11"/>
        <color theme="1"/>
        <rFont val="新細明體"/>
        <charset val="134"/>
        <scheme val="minor"/>
      </rPr>
      <t>I</t>
    </r>
    <r>
      <rPr>
        <vertAlign val="subscript"/>
        <sz val="11"/>
        <color theme="1"/>
        <rFont val="新細明體"/>
        <charset val="134"/>
        <scheme val="minor"/>
      </rPr>
      <t>C(out)</t>
    </r>
  </si>
  <si>
    <t>Use a combination of Capacitors that will meet this ripple current rating</t>
  </si>
  <si>
    <r>
      <rPr>
        <sz val="11"/>
        <color theme="1"/>
        <rFont val="新細明體"/>
        <charset val="134"/>
        <scheme val="minor"/>
      </rPr>
      <t>C</t>
    </r>
    <r>
      <rPr>
        <vertAlign val="subscript"/>
        <sz val="11"/>
        <color theme="1"/>
        <rFont val="新細明體"/>
        <charset val="134"/>
        <scheme val="minor"/>
      </rPr>
      <t>OUT</t>
    </r>
    <r>
      <rPr>
        <sz val="11"/>
        <color theme="1"/>
        <rFont val="新細明體"/>
        <charset val="134"/>
        <scheme val="minor"/>
      </rPr>
      <t xml:space="preserve"> Maximum ESR</t>
    </r>
  </si>
  <si>
    <r>
      <rPr>
        <sz val="11"/>
        <color theme="1"/>
        <rFont val="新細明體"/>
        <charset val="134"/>
        <scheme val="minor"/>
      </rPr>
      <t>ESR</t>
    </r>
    <r>
      <rPr>
        <vertAlign val="subscript"/>
        <sz val="11"/>
        <color theme="1"/>
        <rFont val="新細明體"/>
        <charset val="134"/>
        <scheme val="minor"/>
      </rPr>
      <t>max</t>
    </r>
  </si>
  <si>
    <r>
      <rPr>
        <sz val="11"/>
        <color theme="1"/>
        <rFont val="新細明體"/>
        <charset val="134"/>
        <scheme val="minor"/>
      </rPr>
      <t>m</t>
    </r>
    <r>
      <rPr>
        <sz val="11"/>
        <color theme="1"/>
        <rFont val="Calibri"/>
        <charset val="134"/>
      </rPr>
      <t>Ω</t>
    </r>
  </si>
  <si>
    <t>BLK</t>
  </si>
  <si>
    <t>BLK Pin Start Threshold</t>
  </si>
  <si>
    <r>
      <rPr>
        <sz val="11"/>
        <color theme="1"/>
        <rFont val="新細明體"/>
        <charset val="134"/>
        <scheme val="minor"/>
      </rPr>
      <t>V</t>
    </r>
    <r>
      <rPr>
        <vertAlign val="subscript"/>
        <sz val="11"/>
        <color theme="1"/>
        <rFont val="新細明體"/>
        <charset val="134"/>
        <scheme val="minor"/>
      </rPr>
      <t>BLKpinstart</t>
    </r>
  </si>
  <si>
    <t>BLK Pin Stop Threshold</t>
  </si>
  <si>
    <r>
      <rPr>
        <sz val="11"/>
        <color theme="1"/>
        <rFont val="新細明體"/>
        <charset val="134"/>
        <scheme val="minor"/>
      </rPr>
      <t>V</t>
    </r>
    <r>
      <rPr>
        <vertAlign val="subscript"/>
        <sz val="11"/>
        <color theme="1"/>
        <rFont val="新細明體"/>
        <charset val="134"/>
        <scheme val="minor"/>
      </rPr>
      <t>BLKpinstop</t>
    </r>
  </si>
  <si>
    <t>Desired Bulk Start Voltage</t>
  </si>
  <si>
    <r>
      <rPr>
        <sz val="11"/>
        <color theme="1"/>
        <rFont val="Calibri"/>
        <charset val="134"/>
      </rPr>
      <t>V</t>
    </r>
    <r>
      <rPr>
        <vertAlign val="subscript"/>
        <sz val="11"/>
        <color theme="1"/>
        <rFont val="Calibri"/>
        <charset val="134"/>
      </rPr>
      <t>BLKStart</t>
    </r>
  </si>
  <si>
    <t>Nominal Bulk Voltage</t>
  </si>
  <si>
    <t>Resistor Divider Ratio</t>
  </si>
  <si>
    <r>
      <rPr>
        <sz val="11"/>
        <color theme="1"/>
        <rFont val="新細明體"/>
        <charset val="134"/>
        <scheme val="minor"/>
      </rPr>
      <t>k</t>
    </r>
    <r>
      <rPr>
        <vertAlign val="subscript"/>
        <sz val="11"/>
        <color theme="1"/>
        <rFont val="新細明體"/>
        <charset val="134"/>
        <scheme val="minor"/>
      </rPr>
      <t>BLK</t>
    </r>
  </si>
  <si>
    <t>Resistor Divider Power Consumption Budget</t>
  </si>
  <si>
    <r>
      <rPr>
        <sz val="11"/>
        <color theme="1"/>
        <rFont val="新細明體"/>
        <charset val="134"/>
        <scheme val="minor"/>
      </rPr>
      <t>P</t>
    </r>
    <r>
      <rPr>
        <vertAlign val="subscript"/>
        <sz val="11"/>
        <color theme="1"/>
        <rFont val="新細明體"/>
        <charset val="134"/>
        <scheme val="minor"/>
      </rPr>
      <t>BLKsns</t>
    </r>
  </si>
  <si>
    <t>mW</t>
  </si>
  <si>
    <t>Enter the desired power consumption for resistor divider</t>
  </si>
  <si>
    <t>Total BLK Sense Resistor Value</t>
  </si>
  <si>
    <r>
      <rPr>
        <sz val="11"/>
        <color theme="1"/>
        <rFont val="新細明體"/>
        <charset val="134"/>
        <scheme val="minor"/>
      </rPr>
      <t>R</t>
    </r>
    <r>
      <rPr>
        <vertAlign val="subscript"/>
        <sz val="11"/>
        <color theme="1"/>
        <rFont val="新細明體"/>
        <charset val="134"/>
        <scheme val="minor"/>
      </rPr>
      <t>BLKsns</t>
    </r>
  </si>
  <si>
    <t>Recommended Lower BLK Sense Resistor Value</t>
  </si>
  <si>
    <t>Actual Lower BLK Sense Resistor Value</t>
  </si>
  <si>
    <t>Enter the actual value of the lower BLK sense resistor used</t>
  </si>
  <si>
    <t>Recommended Upper BLK Sense Resistor Value</t>
  </si>
  <si>
    <t>Actual Upper BLK Sense Resistor Value</t>
  </si>
  <si>
    <t>Enter the actual value of the upper BLK sense resistor used</t>
  </si>
  <si>
    <t>Actual Bulk Start Voltage</t>
  </si>
  <si>
    <t>Actual Bulk Stop Voltage</t>
  </si>
  <si>
    <r>
      <rPr>
        <sz val="11"/>
        <color theme="1"/>
        <rFont val="新細明體"/>
        <charset val="134"/>
        <scheme val="minor"/>
      </rPr>
      <t>V</t>
    </r>
    <r>
      <rPr>
        <vertAlign val="subscript"/>
        <sz val="11"/>
        <color theme="1"/>
        <rFont val="新細明體"/>
        <charset val="134"/>
        <scheme val="minor"/>
      </rPr>
      <t>BLKstop</t>
    </r>
  </si>
  <si>
    <t>Actual Bulk Over-Voltage Threshold Rising Threshold</t>
  </si>
  <si>
    <r>
      <rPr>
        <sz val="11"/>
        <color theme="1"/>
        <rFont val="新細明體"/>
        <charset val="134"/>
        <scheme val="minor"/>
      </rPr>
      <t>V</t>
    </r>
    <r>
      <rPr>
        <vertAlign val="subscript"/>
        <sz val="11"/>
        <color theme="1"/>
        <rFont val="新細明體"/>
        <charset val="134"/>
        <scheme val="minor"/>
      </rPr>
      <t>BLKOVPrise</t>
    </r>
  </si>
  <si>
    <t>BLK OVP Feature only present in UCC256402A</t>
  </si>
  <si>
    <t>Actual Bulk Over-Voltage Threshold Falling Threshold</t>
  </si>
  <si>
    <r>
      <rPr>
        <sz val="11"/>
        <color theme="1"/>
        <rFont val="新細明體"/>
        <charset val="134"/>
        <scheme val="minor"/>
      </rPr>
      <t>V</t>
    </r>
    <r>
      <rPr>
        <vertAlign val="subscript"/>
        <sz val="11"/>
        <color theme="1"/>
        <rFont val="新細明體"/>
        <charset val="134"/>
        <scheme val="minor"/>
      </rPr>
      <t>BLKOVfall</t>
    </r>
  </si>
  <si>
    <t>Actual BLK divider power consumption</t>
  </si>
  <si>
    <t>VCR</t>
  </si>
  <si>
    <t>Peak Resonant Current at Full Load</t>
  </si>
  <si>
    <r>
      <rPr>
        <sz val="11"/>
        <color indexed="8"/>
        <rFont val="Calibri"/>
        <charset val="134"/>
      </rPr>
      <t>I</t>
    </r>
    <r>
      <rPr>
        <vertAlign val="subscript"/>
        <sz val="11"/>
        <color indexed="8"/>
        <rFont val="Calibri"/>
        <charset val="134"/>
      </rPr>
      <t>res(peak)</t>
    </r>
  </si>
  <si>
    <t>Peak to Peak Resonant Capacitor Voltage at Full Load</t>
  </si>
  <si>
    <r>
      <rPr>
        <sz val="11"/>
        <color indexed="8"/>
        <rFont val="Calibri"/>
        <charset val="134"/>
      </rPr>
      <t>V</t>
    </r>
    <r>
      <rPr>
        <vertAlign val="subscript"/>
        <sz val="11"/>
        <color indexed="8"/>
        <rFont val="Calibri"/>
        <charset val="134"/>
      </rPr>
      <t>CR(pk-pk)</t>
    </r>
  </si>
  <si>
    <t>Common Mode Voltage of VCR Pin</t>
  </si>
  <si>
    <r>
      <rPr>
        <sz val="11"/>
        <color indexed="8"/>
        <rFont val="Calibri"/>
        <charset val="134"/>
      </rPr>
      <t>V</t>
    </r>
    <r>
      <rPr>
        <vertAlign val="subscript"/>
        <sz val="11"/>
        <color indexed="8"/>
        <rFont val="Calibri"/>
        <charset val="134"/>
      </rPr>
      <t>CM</t>
    </r>
  </si>
  <si>
    <t>Set VCR pin voltage peak to peak at full load, minimum switching frequency</t>
  </si>
  <si>
    <r>
      <rPr>
        <sz val="11"/>
        <color indexed="8"/>
        <rFont val="Calibri"/>
        <charset val="134"/>
      </rPr>
      <t>V</t>
    </r>
    <r>
      <rPr>
        <vertAlign val="subscript"/>
        <sz val="11"/>
        <color indexed="8"/>
        <rFont val="Calibri"/>
        <charset val="134"/>
      </rPr>
      <t>VCRpin(pk-pk)</t>
    </r>
  </si>
  <si>
    <t>Suggested range between 3V and 5.5V</t>
  </si>
  <si>
    <t>Set Contribution of compensation ramp to total VCR capacitor peak to peak voltage</t>
  </si>
  <si>
    <r>
      <rPr>
        <sz val="11"/>
        <color indexed="8"/>
        <rFont val="Calibri"/>
        <charset val="134"/>
      </rPr>
      <t>V</t>
    </r>
    <r>
      <rPr>
        <vertAlign val="subscript"/>
        <sz val="11"/>
        <color indexed="8"/>
        <rFont val="Calibri"/>
        <charset val="134"/>
      </rPr>
      <t>ramp(pk-pk)</t>
    </r>
  </si>
  <si>
    <t>Suggested range between 1V and 2.0V</t>
  </si>
  <si>
    <t>Compensation Ramp Current Source Value</t>
  </si>
  <si>
    <r>
      <rPr>
        <sz val="11"/>
        <color indexed="8"/>
        <rFont val="Calibri"/>
        <charset val="134"/>
      </rPr>
      <t>I</t>
    </r>
    <r>
      <rPr>
        <vertAlign val="subscript"/>
        <sz val="11"/>
        <color indexed="8"/>
        <rFont val="Calibri"/>
        <charset val="134"/>
      </rPr>
      <t>Ramp</t>
    </r>
  </si>
  <si>
    <t>mA</t>
  </si>
  <si>
    <t>Required capacitor divider ratio</t>
  </si>
  <si>
    <r>
      <rPr>
        <sz val="11"/>
        <color indexed="8"/>
        <rFont val="Calibri"/>
        <charset val="134"/>
      </rPr>
      <t>k</t>
    </r>
    <r>
      <rPr>
        <vertAlign val="subscript"/>
        <sz val="11"/>
        <color indexed="8"/>
        <rFont val="Calibri"/>
        <charset val="134"/>
      </rPr>
      <t>CapDiv</t>
    </r>
  </si>
  <si>
    <t>Recommended Capacitor Divider Value - Lower Cap</t>
  </si>
  <si>
    <t>Actual Capacitor Divider Value - Lower Cap</t>
  </si>
  <si>
    <t>Enter the  Capacitor divider value - lower cap</t>
  </si>
  <si>
    <t>Recommended Capacitor Divider Value - Upper Cap</t>
  </si>
  <si>
    <t>Actual Capacitor Divider Value - Upper Cap</t>
  </si>
  <si>
    <t>Enter the  Capacitor divider value - upper cap</t>
  </si>
  <si>
    <t>Actual capacitor divider ratio</t>
  </si>
  <si>
    <t>Actual peak to peak VCR voltage at minimum switching frequency</t>
  </si>
  <si>
    <t>Maximum VCR Voltage</t>
  </si>
  <si>
    <r>
      <rPr>
        <sz val="11"/>
        <color indexed="8"/>
        <rFont val="Calibri"/>
        <charset val="134"/>
      </rPr>
      <t>V</t>
    </r>
    <r>
      <rPr>
        <vertAlign val="subscript"/>
        <sz val="11"/>
        <color indexed="8"/>
        <rFont val="Calibri"/>
        <charset val="134"/>
      </rPr>
      <t>VCRmax</t>
    </r>
  </si>
  <si>
    <t>Minimum VCR Voltage</t>
  </si>
  <si>
    <r>
      <rPr>
        <sz val="11"/>
        <color indexed="8"/>
        <rFont val="Calibri"/>
        <charset val="134"/>
      </rPr>
      <t>V</t>
    </r>
    <r>
      <rPr>
        <vertAlign val="subscript"/>
        <sz val="11"/>
        <color indexed="8"/>
        <rFont val="Calibri"/>
        <charset val="134"/>
      </rPr>
      <t>VCRmin</t>
    </r>
  </si>
  <si>
    <t>BW</t>
  </si>
  <si>
    <r>
      <rPr>
        <sz val="11"/>
        <color indexed="8"/>
        <rFont val="Calibri"/>
        <charset val="134"/>
      </rPr>
      <t>Desired OVP Threshold Percentage of Nominal V</t>
    </r>
    <r>
      <rPr>
        <vertAlign val="subscript"/>
        <sz val="11"/>
        <color indexed="8"/>
        <rFont val="Calibri"/>
        <charset val="134"/>
      </rPr>
      <t>out</t>
    </r>
  </si>
  <si>
    <r>
      <rPr>
        <sz val="11"/>
        <color indexed="8"/>
        <rFont val="Calibri"/>
        <charset val="134"/>
      </rPr>
      <t>ƞ</t>
    </r>
    <r>
      <rPr>
        <vertAlign val="subscript"/>
        <sz val="11"/>
        <color indexed="8"/>
        <rFont val="Calibri"/>
        <charset val="134"/>
      </rPr>
      <t>OVP</t>
    </r>
  </si>
  <si>
    <t>%</t>
  </si>
  <si>
    <t>Enter the OVP threshold (percentage)</t>
  </si>
  <si>
    <t>OVP Threshold Adjustment to Account for Rectifying Element, Transformer Leakage, Resistive Losses In Power Stage, etc.</t>
  </si>
  <si>
    <r>
      <rPr>
        <sz val="11"/>
        <color indexed="8"/>
        <rFont val="Calibri"/>
        <charset val="134"/>
      </rPr>
      <t>V</t>
    </r>
    <r>
      <rPr>
        <vertAlign val="subscript"/>
        <sz val="11"/>
        <color indexed="8"/>
        <rFont val="Calibri"/>
        <charset val="134"/>
      </rPr>
      <t>Drop</t>
    </r>
  </si>
  <si>
    <t xml:space="preserve">Enter estimation for voltage drop within power stage (rectifying element, resistive losses, transformer leakage, etc). </t>
  </si>
  <si>
    <t>OVP Threshold</t>
  </si>
  <si>
    <r>
      <rPr>
        <sz val="11"/>
        <color indexed="8"/>
        <rFont val="Calibri"/>
        <charset val="134"/>
      </rPr>
      <t>V</t>
    </r>
    <r>
      <rPr>
        <vertAlign val="subscript"/>
        <sz val="11"/>
        <color indexed="8"/>
        <rFont val="Calibri"/>
        <charset val="134"/>
      </rPr>
      <t>BWOVP</t>
    </r>
  </si>
  <si>
    <r>
      <rPr>
        <sz val="11"/>
        <color indexed="8"/>
        <rFont val="Calibri"/>
        <charset val="134"/>
      </rPr>
      <t>BW Pin Voltage at Nominal V</t>
    </r>
    <r>
      <rPr>
        <vertAlign val="subscript"/>
        <sz val="11"/>
        <color indexed="8"/>
        <rFont val="Calibri"/>
        <charset val="134"/>
      </rPr>
      <t>out</t>
    </r>
  </si>
  <si>
    <r>
      <rPr>
        <sz val="11"/>
        <color indexed="8"/>
        <rFont val="Calibri"/>
        <charset val="134"/>
      </rPr>
      <t>V</t>
    </r>
    <r>
      <rPr>
        <vertAlign val="subscript"/>
        <sz val="11"/>
        <color indexed="8"/>
        <rFont val="Calibri"/>
        <charset val="134"/>
      </rPr>
      <t>BWpinNom</t>
    </r>
  </si>
  <si>
    <t>Bias Winding Nominal Voltage</t>
  </si>
  <si>
    <r>
      <rPr>
        <sz val="11"/>
        <color indexed="8"/>
        <rFont val="Calibri"/>
        <charset val="134"/>
      </rPr>
      <t>V</t>
    </r>
    <r>
      <rPr>
        <vertAlign val="subscript"/>
        <sz val="11"/>
        <color indexed="8"/>
        <rFont val="Calibri"/>
        <charset val="134"/>
      </rPr>
      <t>BiasWindingNom</t>
    </r>
  </si>
  <si>
    <t>Bias Winding Resistor Divider Ratio</t>
  </si>
  <si>
    <r>
      <rPr>
        <sz val="11"/>
        <color indexed="8"/>
        <rFont val="Calibri"/>
        <charset val="134"/>
      </rPr>
      <t>k</t>
    </r>
    <r>
      <rPr>
        <vertAlign val="subscript"/>
        <sz val="11"/>
        <color indexed="8"/>
        <rFont val="Calibri"/>
        <charset val="134"/>
      </rPr>
      <t>BW</t>
    </r>
  </si>
  <si>
    <t>Select  Option for Burst Mode Threshold Entry to Burst Mode Threshold Exit Ratio</t>
  </si>
  <si>
    <r>
      <rPr>
        <sz val="11"/>
        <color indexed="8"/>
        <rFont val="Calibri"/>
        <charset val="134"/>
      </rPr>
      <t>k</t>
    </r>
    <r>
      <rPr>
        <vertAlign val="subscript"/>
        <sz val="11"/>
        <color indexed="8"/>
        <rFont val="Calibri"/>
        <charset val="134"/>
      </rPr>
      <t>BMT</t>
    </r>
  </si>
  <si>
    <t>Option 6</t>
  </si>
  <si>
    <r>
      <rPr>
        <sz val="11"/>
        <color theme="1"/>
        <rFont val="新細明體"/>
        <charset val="134"/>
        <scheme val="minor"/>
      </rPr>
      <t>Select Ratio between burst mode entry and burst exit, Note Option 5 forces Vssinit to be 0 V while option 6 allows programming an initial V</t>
    </r>
    <r>
      <rPr>
        <vertAlign val="subscript"/>
        <sz val="11"/>
        <color theme="1"/>
        <rFont val="新細明體"/>
        <charset val="134"/>
        <scheme val="minor"/>
      </rPr>
      <t>ssinit</t>
    </r>
    <r>
      <rPr>
        <sz val="11"/>
        <color theme="1"/>
        <rFont val="新細明體"/>
        <charset val="134"/>
        <scheme val="minor"/>
      </rPr>
      <t xml:space="preserve"> voltage value</t>
    </r>
  </si>
  <si>
    <t>Ratio Between Burst Mode Entry and Burst Mode Exit</t>
  </si>
  <si>
    <t>Recommended Effective BW Programming Resistance</t>
  </si>
  <si>
    <r>
      <rPr>
        <sz val="11"/>
        <color indexed="8"/>
        <rFont val="Calibri"/>
        <charset val="134"/>
      </rPr>
      <t>R</t>
    </r>
    <r>
      <rPr>
        <vertAlign val="subscript"/>
        <sz val="11"/>
        <color indexed="8"/>
        <rFont val="Calibri"/>
        <charset val="134"/>
      </rPr>
      <t>BMTProgram</t>
    </r>
  </si>
  <si>
    <t>Recommended Bias Winding Lower Resistor Value</t>
  </si>
  <si>
    <t>Actual Bias Winding Lower Resistor Value</t>
  </si>
  <si>
    <t>Enter Bias winding lower resistor value</t>
  </si>
  <si>
    <t>Recommended Bias Winding Upper Resistor Value</t>
  </si>
  <si>
    <t>Actual Bias Winding Upper Resistor Value</t>
  </si>
  <si>
    <t>Enter Bias winding upper resistor value</t>
  </si>
  <si>
    <t>Actual BW Programming Resistance</t>
  </si>
  <si>
    <t>Actual Option for Ratio Between Burst Mode Entry and Burst Mode Exit</t>
  </si>
  <si>
    <t>Actual Ratio Between Burst Mode Entry and Burst Mode Exit</t>
  </si>
  <si>
    <t>Actual OVP Threshold Percentage of Nominal Vout</t>
  </si>
  <si>
    <t>BW Filter Capacitor Needed so That the Bandwidth is 50 Times the Resonant Frequency</t>
  </si>
  <si>
    <t xml:space="preserve">Actual BW Filter Capacitor </t>
  </si>
  <si>
    <t>Enter the actual BW filter capacitor value</t>
  </si>
  <si>
    <t>LL/SS</t>
  </si>
  <si>
    <t>SS Current Source Value</t>
  </si>
  <si>
    <r>
      <rPr>
        <sz val="11"/>
        <color indexed="8"/>
        <rFont val="Calibri"/>
        <charset val="134"/>
      </rPr>
      <t>I</t>
    </r>
    <r>
      <rPr>
        <vertAlign val="subscript"/>
        <sz val="11"/>
        <color indexed="8"/>
        <rFont val="Calibri"/>
        <charset val="134"/>
      </rPr>
      <t>SSUp</t>
    </r>
  </si>
  <si>
    <t>µA</t>
  </si>
  <si>
    <t>Required Soft Start Time at Full Load</t>
  </si>
  <si>
    <r>
      <rPr>
        <sz val="11"/>
        <color indexed="8"/>
        <rFont val="Calibri"/>
        <charset val="134"/>
      </rPr>
      <t>T</t>
    </r>
    <r>
      <rPr>
        <vertAlign val="subscript"/>
        <sz val="11"/>
        <color indexed="8"/>
        <rFont val="Calibri"/>
        <charset val="134"/>
      </rPr>
      <t>SS</t>
    </r>
  </si>
  <si>
    <t>ms</t>
  </si>
  <si>
    <t>Enter the required soft start time at full load</t>
  </si>
  <si>
    <t>Recommended SS Capacitance Value</t>
  </si>
  <si>
    <t>Actual SS Capacitance Value</t>
  </si>
  <si>
    <t>Enter the selected soft start capacitance</t>
  </si>
  <si>
    <t>Target Burst Mode Threshold Exit Setting</t>
  </si>
  <si>
    <r>
      <rPr>
        <sz val="11"/>
        <color indexed="8"/>
        <rFont val="Calibri"/>
        <charset val="134"/>
      </rPr>
      <t>V</t>
    </r>
    <r>
      <rPr>
        <vertAlign val="subscript"/>
        <sz val="11"/>
        <color indexed="8"/>
        <rFont val="Calibri"/>
        <charset val="134"/>
      </rPr>
      <t>BMT_H</t>
    </r>
  </si>
  <si>
    <t>Enter the desired burst mode threshold.</t>
  </si>
  <si>
    <t>Minimum Soft Start Precharge Voltage Based on VBMT_H and Css</t>
  </si>
  <si>
    <r>
      <rPr>
        <sz val="11"/>
        <color indexed="8"/>
        <rFont val="Calibri"/>
        <charset val="134"/>
      </rPr>
      <t>V</t>
    </r>
    <r>
      <rPr>
        <vertAlign val="subscript"/>
        <sz val="11"/>
        <color indexed="8"/>
        <rFont val="Calibri"/>
        <charset val="134"/>
      </rPr>
      <t>ssinit_min</t>
    </r>
  </si>
  <si>
    <t>Desired initial Soft Start Precharge Voltage</t>
  </si>
  <si>
    <r>
      <rPr>
        <sz val="11"/>
        <color indexed="8"/>
        <rFont val="Calibri"/>
        <charset val="134"/>
      </rPr>
      <t>V</t>
    </r>
    <r>
      <rPr>
        <vertAlign val="subscript"/>
        <sz val="11"/>
        <color indexed="8"/>
        <rFont val="Calibri"/>
        <charset val="134"/>
      </rPr>
      <t>ssinit</t>
    </r>
  </si>
  <si>
    <r>
      <rPr>
        <sz val="11"/>
        <color theme="1"/>
        <rFont val="新細明體"/>
        <charset val="134"/>
        <scheme val="minor"/>
      </rPr>
      <t>Enter the desired initial soft start voltage. Note V</t>
    </r>
    <r>
      <rPr>
        <vertAlign val="subscript"/>
        <sz val="11"/>
        <color theme="1"/>
        <rFont val="新細明體"/>
        <charset val="134"/>
        <scheme val="minor"/>
      </rPr>
      <t>ssinit</t>
    </r>
    <r>
      <rPr>
        <sz val="11"/>
        <color theme="1"/>
        <rFont val="新細明體"/>
        <charset val="134"/>
        <scheme val="minor"/>
      </rPr>
      <t xml:space="preserve"> must satisfy the inequality above unless BW Option 5 is selected. This calculation is provded in Cell 202. It is recommended to limit the precharge voltage to less than 1V.</t>
    </r>
  </si>
  <si>
    <t>Recommended Upper LL/SS Resistance</t>
  </si>
  <si>
    <r>
      <rPr>
        <sz val="11"/>
        <color indexed="8"/>
        <rFont val="Calibri"/>
        <charset val="134"/>
      </rPr>
      <t>R</t>
    </r>
    <r>
      <rPr>
        <vertAlign val="subscript"/>
        <sz val="11"/>
        <color indexed="8"/>
        <rFont val="Calibri"/>
        <charset val="134"/>
      </rPr>
      <t>LL/SS_Upper</t>
    </r>
  </si>
  <si>
    <t>Recommended Lower LL/SS Resistance</t>
  </si>
  <si>
    <r>
      <rPr>
        <sz val="11"/>
        <color indexed="8"/>
        <rFont val="Calibri"/>
        <charset val="134"/>
      </rPr>
      <t>R</t>
    </r>
    <r>
      <rPr>
        <vertAlign val="subscript"/>
        <sz val="11"/>
        <color indexed="8"/>
        <rFont val="Calibri"/>
        <charset val="134"/>
      </rPr>
      <t>LL/SS_Lower</t>
    </r>
  </si>
  <si>
    <t>Actual Upper LL/SS Resistance</t>
  </si>
  <si>
    <t>Enter the LL/SS divider value upper resistance</t>
  </si>
  <si>
    <t>Actual Lower LL/SS Resistance</t>
  </si>
  <si>
    <t>Enter the LL/SS divider value lower resistance</t>
  </si>
  <si>
    <t>Actual initial Soft Start Precharge Voltage</t>
  </si>
  <si>
    <t>Maximum attainable LL/SS Voltage at End of Soft Start</t>
  </si>
  <si>
    <r>
      <rPr>
        <sz val="11"/>
        <color indexed="8"/>
        <rFont val="Calibri"/>
        <charset val="134"/>
      </rPr>
      <t>V</t>
    </r>
    <r>
      <rPr>
        <vertAlign val="subscript"/>
        <sz val="11"/>
        <color indexed="8"/>
        <rFont val="Calibri"/>
        <charset val="134"/>
      </rPr>
      <t>ssinit_final</t>
    </r>
  </si>
  <si>
    <t>Recommended to have &gt;5V for max attainable LL/SS voltage</t>
  </si>
  <si>
    <r>
      <rPr>
        <sz val="11"/>
        <color indexed="8"/>
        <rFont val="Calibri"/>
        <charset val="134"/>
      </rPr>
      <t>V</t>
    </r>
    <r>
      <rPr>
        <vertAlign val="subscript"/>
        <sz val="11"/>
        <color indexed="8"/>
        <rFont val="Calibri"/>
        <charset val="134"/>
      </rPr>
      <t>BMT_L</t>
    </r>
  </si>
  <si>
    <t>Burst Packet Size</t>
  </si>
  <si>
    <r>
      <rPr>
        <sz val="11"/>
        <color indexed="8"/>
        <rFont val="Calibri"/>
        <charset val="134"/>
      </rPr>
      <t>N</t>
    </r>
    <r>
      <rPr>
        <vertAlign val="subscript"/>
        <sz val="11"/>
        <color indexed="8"/>
        <rFont val="Calibri"/>
        <charset val="134"/>
      </rPr>
      <t>Burst</t>
    </r>
  </si>
  <si>
    <t>Minimum number of switching cycles in each burst packet</t>
  </si>
  <si>
    <t>Actual Soft Start Time at Full Load</t>
  </si>
  <si>
    <t>ISNS</t>
  </si>
  <si>
    <t>OCP3 Threshold</t>
  </si>
  <si>
    <t>OCP2 Threshold</t>
  </si>
  <si>
    <t>OCP1 Threshold</t>
  </si>
  <si>
    <t>Desired OCP3 Threshold (Percentage of Full Load at Nominal Input Voltage)</t>
  </si>
  <si>
    <t>Enter the desired OCP threshold (percentage)</t>
  </si>
  <si>
    <t>Calculated OCP2 Level (Percentage of Full Load at Nominal Input Voltage)</t>
  </si>
  <si>
    <t>Sensed Average Input Current Level at Full Load</t>
  </si>
  <si>
    <t>Current Sense Ratio</t>
  </si>
  <si>
    <r>
      <rPr>
        <sz val="11"/>
        <color indexed="8"/>
        <rFont val="Calibri"/>
        <charset val="134"/>
      </rPr>
      <t>k</t>
    </r>
    <r>
      <rPr>
        <vertAlign val="subscript"/>
        <sz val="11"/>
        <color indexed="8"/>
        <rFont val="Calibri"/>
        <charset val="134"/>
      </rPr>
      <t>ISNS</t>
    </r>
  </si>
  <si>
    <t>Select a Current Sense Capacitor</t>
  </si>
  <si>
    <r>
      <rPr>
        <sz val="11"/>
        <rFont val="新細明體"/>
        <charset val="134"/>
        <scheme val="minor"/>
      </rPr>
      <t>Enter the current sense capacitor value such that the calculated R</t>
    </r>
    <r>
      <rPr>
        <vertAlign val="subscript"/>
        <sz val="11"/>
        <rFont val="新細明體"/>
        <charset val="134"/>
        <scheme val="minor"/>
      </rPr>
      <t>ISNS</t>
    </r>
    <r>
      <rPr>
        <sz val="11"/>
        <rFont val="新細明體"/>
        <charset val="134"/>
        <scheme val="minor"/>
      </rPr>
      <t xml:space="preserve"> &lt; 500 Ω</t>
    </r>
  </si>
  <si>
    <t xml:space="preserve">Recommended Current Sense Resistor </t>
  </si>
  <si>
    <t>Actual Current Sense Resistor</t>
  </si>
  <si>
    <t>Enter the actual current sense resistor value</t>
  </si>
  <si>
    <r>
      <rPr>
        <sz val="11"/>
        <color indexed="8"/>
        <rFont val="Calibri"/>
        <charset val="134"/>
      </rPr>
      <t>Peak V</t>
    </r>
    <r>
      <rPr>
        <vertAlign val="subscript"/>
        <sz val="11"/>
        <color indexed="8"/>
        <rFont val="Calibri"/>
        <charset val="134"/>
      </rPr>
      <t>ISNS</t>
    </r>
    <r>
      <rPr>
        <sz val="11"/>
        <color indexed="8"/>
        <rFont val="Calibri"/>
        <charset val="134"/>
      </rPr>
      <t xml:space="preserve"> at Full Load</t>
    </r>
  </si>
  <si>
    <t>Ires peak at OCP1 Level</t>
  </si>
  <si>
    <t>Isec peak at OCP1 Level</t>
  </si>
  <si>
    <t>Mg_max</t>
  </si>
  <si>
    <t>Q</t>
  </si>
  <si>
    <t>Ln</t>
  </si>
  <si>
    <t>search value</t>
  </si>
  <si>
    <t>closest value</t>
  </si>
  <si>
    <t>LLC Gain Curve Calacultions for plot:</t>
  </si>
  <si>
    <t>OVERLOAD Condition</t>
  </si>
  <si>
    <t>Qe</t>
  </si>
  <si>
    <t>fn</t>
  </si>
  <si>
    <t>fn^2</t>
  </si>
  <si>
    <t>Ln*fn^2</t>
  </si>
  <si>
    <t>fn^2-1</t>
  </si>
  <si>
    <t>real</t>
  </si>
  <si>
    <t>imaginary</t>
  </si>
  <si>
    <t>complex part</t>
  </si>
  <si>
    <t>Imaginary product</t>
  </si>
  <si>
    <t>Imaginary sum</t>
  </si>
  <si>
    <t>Imaginary div</t>
  </si>
  <si>
    <t>Abs for curve</t>
  </si>
  <si>
    <t>Mg_min</t>
  </si>
  <si>
    <t>Standard Capacitor value generation</t>
  </si>
  <si>
    <t>scalers</t>
  </si>
  <si>
    <t>CR calculations</t>
  </si>
  <si>
    <t>mV factor</t>
  </si>
  <si>
    <t>Standard Capacitor Values</t>
  </si>
  <si>
    <r>
      <rPr>
        <sz val="11"/>
        <color theme="1"/>
        <rFont val="Arial"/>
        <charset val="134"/>
      </rPr>
      <t>C</t>
    </r>
    <r>
      <rPr>
        <vertAlign val="subscript"/>
        <sz val="11"/>
        <color theme="1"/>
        <rFont val="Arial"/>
        <charset val="134"/>
      </rPr>
      <t>R</t>
    </r>
    <r>
      <rPr>
        <sz val="11"/>
        <color theme="1"/>
        <rFont val="Arial"/>
        <charset val="134"/>
      </rPr>
      <t xml:space="preserve"> Initial:</t>
    </r>
  </si>
  <si>
    <t>uF factor</t>
  </si>
  <si>
    <t>C values up to 10nF</t>
  </si>
  <si>
    <r>
      <rPr>
        <sz val="11"/>
        <color theme="1"/>
        <rFont val="Arial"/>
        <charset val="134"/>
      </rPr>
      <t>C</t>
    </r>
    <r>
      <rPr>
        <vertAlign val="subscript"/>
        <sz val="11"/>
        <color theme="1"/>
        <rFont val="Arial"/>
        <charset val="134"/>
      </rPr>
      <t>R</t>
    </r>
    <r>
      <rPr>
        <sz val="11"/>
        <color theme="1"/>
        <rFont val="Arial"/>
        <charset val="134"/>
      </rPr>
      <t xml:space="preserve"> Recommended:</t>
    </r>
  </si>
  <si>
    <t>kHz factor</t>
  </si>
  <si>
    <t>mΩ factor</t>
  </si>
  <si>
    <t>ms factor</t>
  </si>
  <si>
    <t>mA factor</t>
  </si>
  <si>
    <t>us factor</t>
  </si>
  <si>
    <t>C1 calculations</t>
  </si>
  <si>
    <t>uH factor</t>
  </si>
  <si>
    <t>C1 initial</t>
  </si>
  <si>
    <t>ns factor</t>
  </si>
  <si>
    <t>C1 recommended</t>
  </si>
  <si>
    <t>mW factor</t>
  </si>
  <si>
    <t>pF factor</t>
  </si>
  <si>
    <t>MHz factor</t>
  </si>
  <si>
    <t>uA factor</t>
  </si>
  <si>
    <r>
      <rPr>
        <sz val="11"/>
        <color theme="1"/>
        <rFont val="Arial"/>
        <charset val="134"/>
      </rPr>
      <t>k</t>
    </r>
    <r>
      <rPr>
        <sz val="11"/>
        <color theme="1"/>
        <rFont val="Calibri"/>
        <charset val="134"/>
      </rPr>
      <t>Ω</t>
    </r>
    <r>
      <rPr>
        <sz val="11"/>
        <color theme="1"/>
        <rFont val="Arial"/>
        <charset val="134"/>
      </rPr>
      <t xml:space="preserve"> factor</t>
    </r>
  </si>
  <si>
    <t>Cin calculations</t>
  </si>
  <si>
    <t>nC factor</t>
  </si>
  <si>
    <t>C values greater than 10nF</t>
  </si>
  <si>
    <t>Cin Initial</t>
  </si>
  <si>
    <t>nF factor</t>
  </si>
  <si>
    <t>Cin recommended</t>
  </si>
  <si>
    <t>uC factor</t>
  </si>
  <si>
    <t>Cblk calculations</t>
  </si>
  <si>
    <t>Cblk initial</t>
  </si>
  <si>
    <t>Cblk recommended</t>
  </si>
  <si>
    <t>List of device</t>
  </si>
  <si>
    <t>UCC256402</t>
  </si>
  <si>
    <t>UCC256402A</t>
  </si>
  <si>
    <t>UCC256404</t>
  </si>
  <si>
    <t>UCC256404A</t>
  </si>
  <si>
    <t>RBWProgram</t>
  </si>
  <si>
    <t>Option 1</t>
  </si>
  <si>
    <t>Option 2</t>
  </si>
  <si>
    <t>Option 3</t>
  </si>
  <si>
    <t>Option 4</t>
  </si>
  <si>
    <t>Option 5</t>
  </si>
  <si>
    <t>Option 7</t>
  </si>
  <si>
    <t>Option 8</t>
  </si>
  <si>
    <t>burst mode</t>
  </si>
  <si>
    <t>deleted</t>
  </si>
  <si>
    <t>primary RMS current</t>
  </si>
  <si>
    <t>magnetizing current</t>
  </si>
  <si>
    <t>resonant current</t>
  </si>
  <si>
    <t>AC resonant capacitor voltage</t>
  </si>
  <si>
    <t>resonant capacitor max voltage</t>
  </si>
  <si>
    <t>resonant capacitor min voltage</t>
  </si>
  <si>
    <t>peak to peak resonant capacitor voltage</t>
  </si>
  <si>
    <t>VCR peak to peak at desired burst/ZCS threshold</t>
  </si>
  <si>
    <t>LL/SS calculations</t>
  </si>
  <si>
    <t>Vssinit_min</t>
  </si>
  <si>
    <t>IBMT</t>
  </si>
  <si>
    <t>Vth</t>
  </si>
  <si>
    <t>Rth</t>
  </si>
  <si>
    <t>suggested upper resistance</t>
  </si>
  <si>
    <t>suggested lower resistance</t>
  </si>
  <si>
    <t>user upper resistance</t>
  </si>
  <si>
    <t>user lower resistance</t>
  </si>
  <si>
    <t>Tau</t>
  </si>
  <si>
    <t>sscal</t>
  </si>
  <si>
    <t>llcal</t>
  </si>
  <si>
    <t>Vssfinal</t>
  </si>
  <si>
    <t>option select to show negative voltage</t>
  </si>
  <si>
    <t>ZCS Calculation for option 7</t>
  </si>
  <si>
    <t>Fsw_max</t>
  </si>
  <si>
    <t>Iramp</t>
  </si>
  <si>
    <t>Lower VCR cap</t>
  </si>
  <si>
    <t>VCR peak to peak</t>
  </si>
  <si>
    <t>BMTH</t>
  </si>
  <si>
    <t>small signal calcuations</t>
  </si>
  <si>
    <t>Fsw</t>
  </si>
  <si>
    <t>w</t>
  </si>
  <si>
    <r>
      <rPr>
        <sz val="11"/>
        <color theme="1"/>
        <rFont val="新細明體"/>
        <charset val="134"/>
        <scheme val="minor"/>
      </rPr>
      <t>s=j</t>
    </r>
    <r>
      <rPr>
        <sz val="11"/>
        <color theme="1"/>
        <rFont val="Symbol"/>
        <charset val="2"/>
      </rPr>
      <t>w</t>
    </r>
  </si>
  <si>
    <r>
      <rPr>
        <sz val="11"/>
        <color theme="1"/>
        <rFont val="新細明體"/>
        <charset val="134"/>
        <scheme val="minor"/>
      </rPr>
      <t>G(j</t>
    </r>
    <r>
      <rPr>
        <sz val="11"/>
        <color theme="1"/>
        <rFont val="Symbol"/>
        <charset val="2"/>
      </rPr>
      <t>w)</t>
    </r>
  </si>
  <si>
    <t>Gain</t>
  </si>
  <si>
    <t>Phase</t>
  </si>
  <si>
    <t>Type II IL Comp</t>
  </si>
  <si>
    <t>with opto-pole, bias resistors, CTR, etc</t>
  </si>
  <si>
    <t>Type II Closed Loop</t>
  </si>
  <si>
    <t>B</t>
  </si>
  <si>
    <t>C</t>
  </si>
  <si>
    <t>Gvf</t>
  </si>
  <si>
    <t>M</t>
  </si>
  <si>
    <t>K</t>
  </si>
  <si>
    <t>t1</t>
  </si>
  <si>
    <t>t2</t>
  </si>
  <si>
    <t>Type II with Inner Loop</t>
  </si>
  <si>
    <t>Type III with Inner Loop</t>
  </si>
  <si>
    <t>Type II with Zener</t>
  </si>
  <si>
    <t>Type III with Zener</t>
  </si>
  <si>
    <t>RFBB</t>
  </si>
  <si>
    <t>RFBT</t>
  </si>
  <si>
    <t>RCOMP</t>
  </si>
  <si>
    <t>CCOMP</t>
  </si>
  <si>
    <t>CHF</t>
  </si>
  <si>
    <t>RFF</t>
  </si>
  <si>
    <t>CFF</t>
  </si>
  <si>
    <t>VZener</t>
  </si>
  <si>
    <t>RBias</t>
  </si>
  <si>
    <t>CTR</t>
  </si>
  <si>
    <t>Opto-pole</t>
  </si>
  <si>
    <t>RFB</t>
  </si>
  <si>
    <t>Type II IL Constants</t>
  </si>
  <si>
    <t>G(s)</t>
  </si>
  <si>
    <t>H(s)</t>
  </si>
  <si>
    <t>Total Compensator</t>
  </si>
  <si>
    <t>Total Closed Loop</t>
  </si>
  <si>
    <t>divider ratio</t>
  </si>
  <si>
    <t>Type III IL Constants</t>
  </si>
  <si>
    <t>BLK OVP</t>
  </si>
  <si>
    <t>BLK OVP Rising Threshold</t>
  </si>
  <si>
    <t>BLK OVP Falling Threshold</t>
  </si>
  <si>
    <t>BLK Lower Resistor</t>
  </si>
  <si>
    <t>BLK Upper Resistor</t>
  </si>
  <si>
    <t>BLK OVP Rising</t>
  </si>
  <si>
    <t>BLK OVP Falling</t>
  </si>
  <si>
    <t>Power Stage</t>
  </si>
  <si>
    <t>Output Power</t>
  </si>
  <si>
    <t>Transformer Pri:Sec Turns Ratio</t>
  </si>
  <si>
    <t>Output Load Resistance (RL)</t>
  </si>
  <si>
    <r>
      <rPr>
        <sz val="11"/>
        <color theme="1"/>
        <rFont val="新細明體"/>
        <charset val="134"/>
        <scheme val="minor"/>
      </rPr>
      <t>R</t>
    </r>
    <r>
      <rPr>
        <vertAlign val="subscript"/>
        <sz val="11"/>
        <color theme="1"/>
        <rFont val="新細明體"/>
        <charset val="134"/>
        <scheme val="minor"/>
      </rPr>
      <t>L</t>
    </r>
  </si>
  <si>
    <t>Equivalent Load Resistance (Re)</t>
  </si>
  <si>
    <t>Re</t>
  </si>
  <si>
    <t>Efficiency</t>
  </si>
  <si>
    <t>η</t>
  </si>
  <si>
    <t>Magnetizing Inductance (Lm)</t>
  </si>
  <si>
    <t>Resonant Inductance (Lr)</t>
  </si>
  <si>
    <t>Resonant Capacitance (Cr)</t>
  </si>
  <si>
    <t>Power Stage Gain at Nominal Input Voltage</t>
  </si>
  <si>
    <r>
      <rPr>
        <sz val="11"/>
        <color theme="1"/>
        <rFont val="新細明體"/>
        <charset val="134"/>
        <scheme val="minor"/>
      </rPr>
      <t>M</t>
    </r>
    <r>
      <rPr>
        <vertAlign val="subscript"/>
        <sz val="11"/>
        <color theme="1"/>
        <rFont val="新細明體"/>
        <charset val="134"/>
        <scheme val="minor"/>
      </rPr>
      <t>G(nom)</t>
    </r>
  </si>
  <si>
    <t>Output Capacitance</t>
  </si>
  <si>
    <r>
      <rPr>
        <sz val="11"/>
        <color theme="1"/>
        <rFont val="新細明體"/>
        <charset val="134"/>
        <scheme val="minor"/>
      </rPr>
      <t>C</t>
    </r>
    <r>
      <rPr>
        <vertAlign val="subscript"/>
        <sz val="11"/>
        <color theme="1"/>
        <rFont val="新細明體"/>
        <charset val="134"/>
        <scheme val="minor"/>
      </rPr>
      <t>OUT</t>
    </r>
  </si>
  <si>
    <t>mF</t>
  </si>
  <si>
    <t>Enter the total output capacitance</t>
  </si>
  <si>
    <t>Effective Output Capacitance ESR</t>
  </si>
  <si>
    <r>
      <rPr>
        <sz val="11"/>
        <color theme="1"/>
        <rFont val="新細明體"/>
        <charset val="134"/>
        <scheme val="minor"/>
      </rPr>
      <t>R</t>
    </r>
    <r>
      <rPr>
        <vertAlign val="subscript"/>
        <sz val="11"/>
        <color theme="1"/>
        <rFont val="新細明體"/>
        <charset val="134"/>
        <scheme val="minor"/>
      </rPr>
      <t>ESR</t>
    </r>
  </si>
  <si>
    <r>
      <rPr>
        <sz val="11"/>
        <color theme="1"/>
        <rFont val="新細明體"/>
        <charset val="134"/>
        <scheme val="minor"/>
      </rPr>
      <t>m</t>
    </r>
    <r>
      <rPr>
        <sz val="11"/>
        <color theme="1"/>
        <rFont val="Calibri"/>
        <charset val="134"/>
      </rPr>
      <t>Ω</t>
    </r>
  </si>
  <si>
    <t>Enter the effective equivalent series resistance of theoutput capacitance</t>
  </si>
  <si>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t>
    </r>
    <r>
      <rPr>
        <vertAlign val="subscript"/>
        <sz val="11"/>
        <color theme="1"/>
        <rFont val="新細明體"/>
        <charset val="134"/>
        <scheme val="minor"/>
      </rPr>
      <t>G(nom)</t>
    </r>
  </si>
  <si>
    <r>
      <rPr>
        <sz val="11"/>
        <color theme="1"/>
        <rFont val="新細明體"/>
        <charset val="134"/>
        <scheme val="minor"/>
      </rPr>
      <t>f</t>
    </r>
    <r>
      <rPr>
        <vertAlign val="subscript"/>
        <sz val="11"/>
        <color theme="1"/>
        <rFont val="新細明體"/>
        <charset val="134"/>
        <scheme val="minor"/>
      </rPr>
      <t>N(Mg_nom)</t>
    </r>
  </si>
  <si>
    <r>
      <rPr>
        <sz val="11"/>
        <color theme="1"/>
        <rFont val="新細明體"/>
        <charset val="134"/>
        <scheme val="minor"/>
      </rPr>
      <t>Enter f</t>
    </r>
    <r>
      <rPr>
        <vertAlign val="subscript"/>
        <sz val="11"/>
        <rFont val="新細明體"/>
        <charset val="134"/>
        <scheme val="minor"/>
      </rPr>
      <t>N</t>
    </r>
    <r>
      <rPr>
        <sz val="11"/>
        <rFont val="新細明體"/>
        <charset val="134"/>
        <scheme val="minor"/>
      </rPr>
      <t xml:space="preserve"> value at the second intersection of the M</t>
    </r>
    <r>
      <rPr>
        <vertAlign val="subscript"/>
        <sz val="11"/>
        <rFont val="新細明體"/>
        <charset val="134"/>
        <scheme val="minor"/>
      </rPr>
      <t>G(nom)</t>
    </r>
    <r>
      <rPr>
        <sz val="11"/>
        <rFont val="新細明體"/>
        <charset val="134"/>
        <scheme val="minor"/>
      </rPr>
      <t xml:space="preserve"> line and LLC Gain Curve shown in figure to the right</t>
    </r>
  </si>
  <si>
    <t>Nominal Switching Frequency</t>
  </si>
  <si>
    <r>
      <rPr>
        <sz val="11"/>
        <color theme="1"/>
        <rFont val="新細明體"/>
        <charset val="134"/>
        <scheme val="minor"/>
      </rPr>
      <t>f</t>
    </r>
    <r>
      <rPr>
        <vertAlign val="subscript"/>
        <sz val="11"/>
        <color theme="1"/>
        <rFont val="新細明體"/>
        <charset val="134"/>
        <scheme val="minor"/>
      </rPr>
      <t>SW(nom)</t>
    </r>
  </si>
  <si>
    <t>Compensation</t>
  </si>
  <si>
    <t>Compensation Network Type</t>
  </si>
  <si>
    <t>Top Feedback Resistor</t>
  </si>
  <si>
    <r>
      <rPr>
        <sz val="11"/>
        <color theme="1"/>
        <rFont val="新細明體"/>
        <charset val="134"/>
        <scheme val="minor"/>
      </rPr>
      <t>R</t>
    </r>
    <r>
      <rPr>
        <vertAlign val="subscript"/>
        <sz val="11"/>
        <color theme="1"/>
        <rFont val="新細明體"/>
        <charset val="134"/>
        <scheme val="minor"/>
      </rPr>
      <t>FBT</t>
    </r>
  </si>
  <si>
    <r>
      <rPr>
        <sz val="11"/>
        <color theme="1"/>
        <rFont val="新細明體"/>
        <charset val="134"/>
        <scheme val="minor"/>
      </rPr>
      <t>k</t>
    </r>
    <r>
      <rPr>
        <sz val="11"/>
        <color theme="1"/>
        <rFont val="Calibri"/>
        <charset val="134"/>
      </rPr>
      <t>Ω</t>
    </r>
  </si>
  <si>
    <t>Bottom Feedback Resistor</t>
  </si>
  <si>
    <r>
      <rPr>
        <sz val="11"/>
        <color theme="1"/>
        <rFont val="新細明體"/>
        <charset val="134"/>
        <scheme val="minor"/>
      </rPr>
      <t>R</t>
    </r>
    <r>
      <rPr>
        <vertAlign val="subscript"/>
        <sz val="11"/>
        <color theme="1"/>
        <rFont val="新細明體"/>
        <charset val="134"/>
        <scheme val="minor"/>
      </rPr>
      <t>FBB</t>
    </r>
  </si>
  <si>
    <t>Compensation Resistor</t>
  </si>
  <si>
    <r>
      <rPr>
        <sz val="11"/>
        <color theme="1"/>
        <rFont val="新細明體"/>
        <charset val="134"/>
        <scheme val="minor"/>
      </rPr>
      <t>R</t>
    </r>
    <r>
      <rPr>
        <vertAlign val="subscript"/>
        <sz val="11"/>
        <color theme="1"/>
        <rFont val="新細明體"/>
        <charset val="134"/>
        <scheme val="minor"/>
      </rPr>
      <t>COMP</t>
    </r>
  </si>
  <si>
    <t>Compensation Capacitor</t>
  </si>
  <si>
    <r>
      <rPr>
        <sz val="11"/>
        <color theme="1"/>
        <rFont val="新細明體"/>
        <charset val="134"/>
        <scheme val="minor"/>
      </rPr>
      <t>C</t>
    </r>
    <r>
      <rPr>
        <vertAlign val="subscript"/>
        <sz val="11"/>
        <color theme="1"/>
        <rFont val="新細明體"/>
        <charset val="134"/>
        <scheme val="minor"/>
      </rPr>
      <t>COMP</t>
    </r>
  </si>
  <si>
    <t>High Frequency Capacitor</t>
  </si>
  <si>
    <r>
      <rPr>
        <sz val="11"/>
        <color theme="1"/>
        <rFont val="新細明體"/>
        <charset val="134"/>
        <scheme val="minor"/>
      </rPr>
      <t>C</t>
    </r>
    <r>
      <rPr>
        <vertAlign val="subscript"/>
        <sz val="11"/>
        <color theme="1"/>
        <rFont val="新細明體"/>
        <charset val="134"/>
        <scheme val="minor"/>
      </rPr>
      <t>HF</t>
    </r>
  </si>
  <si>
    <t>Feedforward Resistor</t>
  </si>
  <si>
    <r>
      <rPr>
        <sz val="11"/>
        <color theme="1"/>
        <rFont val="新細明體"/>
        <charset val="134"/>
        <scheme val="minor"/>
      </rPr>
      <t>R</t>
    </r>
    <r>
      <rPr>
        <vertAlign val="subscript"/>
        <sz val="11"/>
        <color theme="1"/>
        <rFont val="新細明體"/>
        <charset val="134"/>
        <scheme val="minor"/>
      </rPr>
      <t>FF</t>
    </r>
  </si>
  <si>
    <t>Feedforward Capacitor</t>
  </si>
  <si>
    <r>
      <rPr>
        <sz val="11"/>
        <color theme="1"/>
        <rFont val="新細明體"/>
        <charset val="134"/>
        <scheme val="minor"/>
      </rPr>
      <t>C</t>
    </r>
    <r>
      <rPr>
        <vertAlign val="subscript"/>
        <sz val="11"/>
        <color theme="1"/>
        <rFont val="新細明體"/>
        <charset val="134"/>
        <scheme val="minor"/>
      </rPr>
      <t>FF</t>
    </r>
  </si>
  <si>
    <t>Zener Voltage</t>
  </si>
  <si>
    <r>
      <rPr>
        <sz val="11"/>
        <color theme="1"/>
        <rFont val="新細明體"/>
        <charset val="134"/>
        <scheme val="minor"/>
      </rPr>
      <t>V</t>
    </r>
    <r>
      <rPr>
        <vertAlign val="subscript"/>
        <sz val="11"/>
        <color theme="1"/>
        <rFont val="新細明體"/>
        <charset val="134"/>
        <scheme val="minor"/>
      </rPr>
      <t>Zener</t>
    </r>
  </si>
  <si>
    <t>Opto-coupler Bias Resistor</t>
  </si>
  <si>
    <r>
      <rPr>
        <sz val="11"/>
        <color theme="1"/>
        <rFont val="新細明體"/>
        <charset val="134"/>
        <scheme val="minor"/>
      </rPr>
      <t>R</t>
    </r>
    <r>
      <rPr>
        <vertAlign val="subscript"/>
        <sz val="11"/>
        <color theme="1"/>
        <rFont val="新細明體"/>
        <charset val="134"/>
        <scheme val="minor"/>
      </rPr>
      <t>Bias</t>
    </r>
  </si>
  <si>
    <t>Opto-coupler Current Transfer Ratio</t>
  </si>
  <si>
    <t>Opto-coupler Parasitic Pole</t>
  </si>
  <si>
    <r>
      <rPr>
        <sz val="11"/>
        <color theme="1"/>
        <rFont val="新細明體"/>
        <charset val="134"/>
        <scheme val="minor"/>
      </rPr>
      <t>Opto</t>
    </r>
    <r>
      <rPr>
        <vertAlign val="subscript"/>
        <sz val="11"/>
        <color theme="1"/>
        <rFont val="新細明體"/>
        <charset val="134"/>
        <scheme val="minor"/>
      </rPr>
      <t>Pole</t>
    </r>
  </si>
</sst>
</file>

<file path=xl/styles.xml><?xml version="1.0" encoding="utf-8"?>
<styleSheet xmlns="http://schemas.openxmlformats.org/spreadsheetml/2006/main">
  <numFmts count="9">
    <numFmt numFmtId="176" formatCode="0.0"/>
    <numFmt numFmtId="177" formatCode="0.000"/>
    <numFmt numFmtId="42" formatCode="_-&quot;$&quot;* #,##0_-;\-&quot;$&quot;* #,##0_-;_-&quot;$&quot;* &quot;-&quot;_-;_-@_-"/>
    <numFmt numFmtId="44" formatCode="_-&quot;$&quot;* #,##0.00_-;\-&quot;$&quot;* #,##0.00_-;_-&quot;$&quot;* &quot;-&quot;??_-;_-@_-"/>
    <numFmt numFmtId="43" formatCode="_-* #,##0.00_-;\-* #,##0.00_-;_-* &quot;-&quot;??_-;_-@_-"/>
    <numFmt numFmtId="41" formatCode="_-* #,##0_-;\-* #,##0_-;_-* &quot;-&quot;_-;_-@_-"/>
    <numFmt numFmtId="178" formatCode="0E+00"/>
    <numFmt numFmtId="179" formatCode="0.00000000"/>
    <numFmt numFmtId="180" formatCode="#,##0.000"/>
  </numFmts>
  <fonts count="58">
    <font>
      <sz val="11"/>
      <color theme="1"/>
      <name val="新細明體"/>
      <charset val="134"/>
      <scheme val="minor"/>
    </font>
    <font>
      <b/>
      <sz val="12"/>
      <color theme="1"/>
      <name val="Arial"/>
      <charset val="134"/>
    </font>
    <font>
      <sz val="11"/>
      <color rgb="FFFF0000"/>
      <name val="新細明體"/>
      <charset val="134"/>
      <scheme val="minor"/>
    </font>
    <font>
      <vertAlign val="subscript"/>
      <sz val="11"/>
      <color theme="1"/>
      <name val="新細明體"/>
      <charset val="134"/>
      <scheme val="minor"/>
    </font>
    <font>
      <sz val="11"/>
      <color theme="1"/>
      <name val="Calibri"/>
      <charset val="134"/>
    </font>
    <font>
      <sz val="11"/>
      <color indexed="8"/>
      <name val="Calibri"/>
      <charset val="134"/>
    </font>
    <font>
      <b/>
      <sz val="11"/>
      <color theme="1"/>
      <name val="新細明體"/>
      <charset val="134"/>
      <scheme val="minor"/>
    </font>
    <font>
      <b/>
      <sz val="11"/>
      <color rgb="FFFF0000"/>
      <name val="新細明體"/>
      <charset val="134"/>
      <scheme val="minor"/>
    </font>
    <font>
      <sz val="11"/>
      <color theme="1"/>
      <name val="Arial"/>
      <charset val="134"/>
    </font>
    <font>
      <sz val="11"/>
      <color theme="1"/>
      <name val="Symbol"/>
      <charset val="2"/>
    </font>
    <font>
      <b/>
      <sz val="22"/>
      <color indexed="9"/>
      <name val="Arial"/>
      <charset val="134"/>
    </font>
    <font>
      <b/>
      <sz val="10"/>
      <name val="Arial"/>
      <charset val="134"/>
    </font>
    <font>
      <b/>
      <sz val="12"/>
      <color theme="0"/>
      <name val="Arial"/>
      <charset val="134"/>
    </font>
    <font>
      <b/>
      <sz val="12"/>
      <name val="Arial"/>
      <charset val="134"/>
    </font>
    <font>
      <b/>
      <sz val="14"/>
      <name val="Arial"/>
      <charset val="134"/>
    </font>
    <font>
      <b/>
      <sz val="14"/>
      <color indexed="10"/>
      <name val="Arial"/>
      <charset val="134"/>
    </font>
    <font>
      <b/>
      <sz val="11"/>
      <name val="Arial"/>
      <charset val="134"/>
    </font>
    <font>
      <b/>
      <sz val="11"/>
      <color rgb="FFFF0000"/>
      <name val="Arial"/>
      <charset val="134"/>
    </font>
    <font>
      <sz val="8"/>
      <name val="Arial"/>
      <charset val="134"/>
    </font>
    <font>
      <sz val="10"/>
      <color theme="1"/>
      <name val="Symbol"/>
      <charset val="2"/>
    </font>
    <font>
      <b/>
      <sz val="11"/>
      <color theme="1"/>
      <name val="Arial"/>
      <charset val="134"/>
    </font>
    <font>
      <sz val="11"/>
      <color rgb="FF00B050"/>
      <name val="新細明體"/>
      <charset val="134"/>
      <scheme val="minor"/>
    </font>
    <font>
      <sz val="11"/>
      <name val="新細明體"/>
      <charset val="134"/>
      <scheme val="minor"/>
    </font>
    <font>
      <sz val="11"/>
      <name val="Calibri"/>
      <charset val="134"/>
    </font>
    <font>
      <b/>
      <sz val="11"/>
      <name val="新細明體"/>
      <charset val="134"/>
      <scheme val="minor"/>
    </font>
    <font>
      <b/>
      <sz val="11"/>
      <color rgb="FFFF0000"/>
      <name val="Calibri"/>
      <charset val="134"/>
    </font>
    <font>
      <sz val="11"/>
      <color indexed="10"/>
      <name val="Calibri"/>
      <charset val="134"/>
    </font>
    <font>
      <sz val="11"/>
      <color rgb="FF9C0006"/>
      <name val="新細明體"/>
      <charset val="0"/>
      <scheme val="minor"/>
    </font>
    <font>
      <b/>
      <sz val="11"/>
      <color theme="3"/>
      <name val="新細明體"/>
      <charset val="134"/>
      <scheme val="minor"/>
    </font>
    <font>
      <i/>
      <sz val="11"/>
      <color rgb="FF7F7F7F"/>
      <name val="新細明體"/>
      <charset val="0"/>
      <scheme val="minor"/>
    </font>
    <font>
      <sz val="12"/>
      <color theme="1"/>
      <name val="新細明體"/>
      <charset val="134"/>
      <scheme val="minor"/>
    </font>
    <font>
      <u/>
      <sz val="11"/>
      <color rgb="FF800080"/>
      <name val="新細明體"/>
      <charset val="0"/>
      <scheme val="minor"/>
    </font>
    <font>
      <sz val="11"/>
      <color theme="0"/>
      <name val="新細明體"/>
      <charset val="0"/>
      <scheme val="minor"/>
    </font>
    <font>
      <b/>
      <sz val="11"/>
      <color rgb="FF3F3F3F"/>
      <name val="新細明體"/>
      <charset val="0"/>
      <scheme val="minor"/>
    </font>
    <font>
      <b/>
      <sz val="15"/>
      <color theme="3"/>
      <name val="新細明體"/>
      <charset val="134"/>
      <scheme val="minor"/>
    </font>
    <font>
      <b/>
      <sz val="11"/>
      <color theme="1"/>
      <name val="新細明體"/>
      <charset val="0"/>
      <scheme val="minor"/>
    </font>
    <font>
      <b/>
      <sz val="18"/>
      <color theme="3"/>
      <name val="新細明體"/>
      <charset val="134"/>
      <scheme val="minor"/>
    </font>
    <font>
      <u/>
      <sz val="11"/>
      <color rgb="FF0000FF"/>
      <name val="新細明體"/>
      <charset val="0"/>
      <scheme val="minor"/>
    </font>
    <font>
      <b/>
      <sz val="11"/>
      <color rgb="FFFA7D00"/>
      <name val="新細明體"/>
      <charset val="0"/>
      <scheme val="minor"/>
    </font>
    <font>
      <sz val="11"/>
      <color theme="1"/>
      <name val="新細明體"/>
      <charset val="0"/>
      <scheme val="minor"/>
    </font>
    <font>
      <b/>
      <sz val="11"/>
      <color rgb="FFFFFFFF"/>
      <name val="新細明體"/>
      <charset val="0"/>
      <scheme val="minor"/>
    </font>
    <font>
      <b/>
      <sz val="13"/>
      <color theme="3"/>
      <name val="新細明體"/>
      <charset val="134"/>
      <scheme val="minor"/>
    </font>
    <font>
      <sz val="11"/>
      <color rgb="FFFF0000"/>
      <name val="新細明體"/>
      <charset val="0"/>
      <scheme val="minor"/>
    </font>
    <font>
      <sz val="10"/>
      <name val="Arial"/>
      <charset val="134"/>
    </font>
    <font>
      <sz val="11"/>
      <color rgb="FF006100"/>
      <name val="新細明體"/>
      <charset val="0"/>
      <scheme val="minor"/>
    </font>
    <font>
      <sz val="11"/>
      <color rgb="FF9C6500"/>
      <name val="新細明體"/>
      <charset val="0"/>
      <scheme val="minor"/>
    </font>
    <font>
      <sz val="11"/>
      <color rgb="FF3F3F76"/>
      <name val="新細明體"/>
      <charset val="0"/>
      <scheme val="minor"/>
    </font>
    <font>
      <sz val="11"/>
      <color rgb="FFFA7D00"/>
      <name val="新細明體"/>
      <charset val="0"/>
      <scheme val="minor"/>
    </font>
    <font>
      <vertAlign val="subscript"/>
      <sz val="11"/>
      <color indexed="8"/>
      <name val="Calibri"/>
      <charset val="134"/>
    </font>
    <font>
      <vertAlign val="subscript"/>
      <sz val="11"/>
      <name val="新細明體"/>
      <charset val="134"/>
      <scheme val="minor"/>
    </font>
    <font>
      <vertAlign val="subscript"/>
      <sz val="11"/>
      <color theme="1"/>
      <name val="Arial"/>
      <charset val="134"/>
    </font>
    <font>
      <b/>
      <sz val="12"/>
      <color indexed="10"/>
      <name val="Arial"/>
      <charset val="134"/>
    </font>
    <font>
      <b/>
      <i/>
      <sz val="14"/>
      <name val="Arial"/>
      <charset val="134"/>
    </font>
    <font>
      <b/>
      <sz val="11"/>
      <color indexed="10"/>
      <name val="Arial"/>
      <charset val="134"/>
    </font>
    <font>
      <b/>
      <vertAlign val="subscript"/>
      <sz val="11"/>
      <color theme="1"/>
      <name val="新細明體"/>
      <charset val="134"/>
      <scheme val="minor"/>
    </font>
    <font>
      <b/>
      <vertAlign val="subscript"/>
      <sz val="11"/>
      <color theme="1"/>
      <name val="Arial"/>
      <charset val="134"/>
    </font>
    <font>
      <vertAlign val="subscript"/>
      <sz val="11"/>
      <color theme="1"/>
      <name val="Calibri"/>
      <charset val="134"/>
    </font>
    <font>
      <vertAlign val="subscript"/>
      <sz val="11"/>
      <name val="Calibri"/>
      <charset val="134"/>
    </font>
  </fonts>
  <fills count="39">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rgb="FFFFC000"/>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57">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xf numFmtId="0" fontId="37" fillId="0" borderId="0" applyNumberFormat="0" applyFill="0" applyBorder="0" applyAlignment="0" applyProtection="0">
      <alignment vertical="center"/>
    </xf>
    <xf numFmtId="0" fontId="39" fillId="16" borderId="0" applyNumberFormat="0" applyBorder="0" applyAlignment="0" applyProtection="0">
      <alignment vertical="center"/>
    </xf>
    <xf numFmtId="41" fontId="30" fillId="0" borderId="0" applyFont="0" applyFill="0" applyBorder="0" applyAlignment="0" applyProtection="0">
      <alignment vertical="center"/>
    </xf>
    <xf numFmtId="43" fontId="30" fillId="0" borderId="0" applyFont="0" applyFill="0" applyBorder="0" applyAlignment="0" applyProtection="0">
      <alignment vertical="center"/>
    </xf>
    <xf numFmtId="0" fontId="39" fillId="12" borderId="0" applyNumberFormat="0" applyBorder="0" applyAlignment="0" applyProtection="0">
      <alignment vertical="center"/>
    </xf>
    <xf numFmtId="44" fontId="30" fillId="0" borderId="0" applyFont="0" applyFill="0" applyBorder="0" applyAlignment="0" applyProtection="0">
      <alignment vertical="center"/>
    </xf>
    <xf numFmtId="0" fontId="30" fillId="11" borderId="51" applyNumberFormat="0" applyFont="0" applyAlignment="0" applyProtection="0">
      <alignment vertical="center"/>
    </xf>
    <xf numFmtId="0" fontId="31" fillId="0" borderId="0" applyNumberFormat="0" applyFill="0" applyBorder="0" applyAlignment="0" applyProtection="0">
      <alignment vertical="center"/>
    </xf>
    <xf numFmtId="0" fontId="0" fillId="0" borderId="0"/>
    <xf numFmtId="9" fontId="30" fillId="0" borderId="0" applyFont="0" applyFill="0" applyBorder="0" applyAlignment="0" applyProtection="0">
      <alignment vertical="center"/>
    </xf>
    <xf numFmtId="0" fontId="43" fillId="0" borderId="0"/>
    <xf numFmtId="0" fontId="39" fillId="20" borderId="0" applyNumberFormat="0" applyBorder="0" applyAlignment="0" applyProtection="0">
      <alignment vertical="center"/>
    </xf>
    <xf numFmtId="0" fontId="39" fillId="23" borderId="0" applyNumberFormat="0" applyBorder="0" applyAlignment="0" applyProtection="0">
      <alignment vertical="center"/>
    </xf>
    <xf numFmtId="0" fontId="32" fillId="26" borderId="0" applyNumberFormat="0" applyBorder="0" applyAlignment="0" applyProtection="0">
      <alignment vertical="center"/>
    </xf>
    <xf numFmtId="42" fontId="30" fillId="0" borderId="0" applyFont="0" applyFill="0" applyBorder="0" applyAlignment="0" applyProtection="0">
      <alignment vertical="center"/>
    </xf>
    <xf numFmtId="0" fontId="4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29" borderId="0" applyNumberFormat="0" applyBorder="0" applyAlignment="0" applyProtection="0">
      <alignment vertical="center"/>
    </xf>
    <xf numFmtId="0" fontId="32" fillId="32" borderId="0" applyNumberFormat="0" applyBorder="0" applyAlignment="0" applyProtection="0">
      <alignment vertical="center"/>
    </xf>
    <xf numFmtId="0" fontId="34" fillId="0" borderId="50" applyNumberFormat="0" applyFill="0" applyAlignment="0" applyProtection="0">
      <alignment vertical="center"/>
    </xf>
    <xf numFmtId="0" fontId="32" fillId="25" borderId="0" applyNumberFormat="0" applyBorder="0" applyAlignment="0" applyProtection="0">
      <alignment vertical="center"/>
    </xf>
    <xf numFmtId="0" fontId="41" fillId="0" borderId="50" applyNumberFormat="0" applyFill="0" applyAlignment="0" applyProtection="0">
      <alignment vertical="center"/>
    </xf>
    <xf numFmtId="0" fontId="32" fillId="31" borderId="0" applyNumberFormat="0" applyBorder="0" applyAlignment="0" applyProtection="0">
      <alignment vertical="center"/>
    </xf>
    <xf numFmtId="0" fontId="28" fillId="0" borderId="53" applyNumberFormat="0" applyFill="0" applyAlignment="0" applyProtection="0">
      <alignment vertical="center"/>
    </xf>
    <xf numFmtId="0" fontId="28" fillId="0" borderId="0" applyNumberFormat="0" applyFill="0" applyBorder="0" applyAlignment="0" applyProtection="0">
      <alignment vertical="center"/>
    </xf>
    <xf numFmtId="0" fontId="44" fillId="33" borderId="0" applyNumberFormat="0" applyBorder="0" applyAlignment="0" applyProtection="0">
      <alignment vertical="center"/>
    </xf>
    <xf numFmtId="0" fontId="46" fillId="35" borderId="54" applyNumberFormat="0" applyAlignment="0" applyProtection="0">
      <alignment vertical="center"/>
    </xf>
    <xf numFmtId="0" fontId="33" fillId="10" borderId="49" applyNumberFormat="0" applyAlignment="0" applyProtection="0">
      <alignment vertical="center"/>
    </xf>
    <xf numFmtId="0" fontId="38" fillId="10" borderId="54" applyNumberFormat="0" applyAlignment="0" applyProtection="0">
      <alignment vertical="center"/>
    </xf>
    <xf numFmtId="0" fontId="0" fillId="0" borderId="0"/>
    <xf numFmtId="0" fontId="40" fillId="13" borderId="55" applyNumberFormat="0" applyAlignment="0" applyProtection="0">
      <alignment vertical="center"/>
    </xf>
    <xf numFmtId="0" fontId="47" fillId="0" borderId="56" applyNumberFormat="0" applyFill="0" applyAlignment="0" applyProtection="0">
      <alignment vertical="center"/>
    </xf>
    <xf numFmtId="0" fontId="35" fillId="0" borderId="52" applyNumberFormat="0" applyFill="0" applyAlignment="0" applyProtection="0">
      <alignment vertical="center"/>
    </xf>
    <xf numFmtId="0" fontId="27" fillId="8" borderId="0" applyNumberFormat="0" applyBorder="0" applyAlignment="0" applyProtection="0">
      <alignment vertical="center"/>
    </xf>
    <xf numFmtId="0" fontId="45" fillId="34" borderId="0" applyNumberFormat="0" applyBorder="0" applyAlignment="0" applyProtection="0">
      <alignment vertical="center"/>
    </xf>
    <xf numFmtId="0" fontId="32" fillId="9" borderId="0" applyNumberFormat="0" applyBorder="0" applyAlignment="0" applyProtection="0">
      <alignment vertical="center"/>
    </xf>
    <xf numFmtId="0" fontId="39" fillId="19" borderId="0" applyNumberFormat="0" applyBorder="0" applyAlignment="0" applyProtection="0">
      <alignment vertical="center"/>
    </xf>
    <xf numFmtId="0" fontId="39" fillId="22" borderId="0" applyNumberFormat="0" applyBorder="0" applyAlignment="0" applyProtection="0">
      <alignment vertical="center"/>
    </xf>
    <xf numFmtId="0" fontId="32" fillId="38" borderId="0" applyNumberFormat="0" applyBorder="0" applyAlignment="0" applyProtection="0">
      <alignment vertical="center"/>
    </xf>
    <xf numFmtId="0" fontId="39" fillId="15" borderId="0" applyNumberFormat="0" applyBorder="0" applyAlignment="0" applyProtection="0">
      <alignment vertical="center"/>
    </xf>
    <xf numFmtId="0" fontId="39" fillId="28" borderId="0" applyNumberFormat="0" applyBorder="0" applyAlignment="0" applyProtection="0">
      <alignment vertical="center"/>
    </xf>
    <xf numFmtId="0" fontId="39" fillId="14" borderId="0" applyNumberFormat="0" applyBorder="0" applyAlignment="0" applyProtection="0">
      <alignment vertical="center"/>
    </xf>
    <xf numFmtId="0" fontId="39" fillId="27" borderId="0" applyNumberFormat="0" applyBorder="0" applyAlignment="0" applyProtection="0">
      <alignment vertical="center"/>
    </xf>
    <xf numFmtId="0" fontId="32" fillId="30" borderId="0" applyNumberFormat="0" applyBorder="0" applyAlignment="0" applyProtection="0">
      <alignment vertical="center"/>
    </xf>
    <xf numFmtId="0" fontId="32" fillId="18" borderId="0" applyNumberFormat="0" applyBorder="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2" fillId="37" borderId="0" applyNumberFormat="0" applyBorder="0" applyAlignment="0" applyProtection="0">
      <alignment vertical="center"/>
    </xf>
    <xf numFmtId="0" fontId="32" fillId="17" borderId="0" applyNumberFormat="0" applyBorder="0" applyAlignment="0" applyProtection="0">
      <alignment vertical="center"/>
    </xf>
    <xf numFmtId="0" fontId="32" fillId="36" borderId="0" applyNumberFormat="0" applyBorder="0" applyAlignment="0" applyProtection="0">
      <alignment vertical="center"/>
    </xf>
  </cellStyleXfs>
  <cellXfs count="270">
    <xf numFmtId="0" fontId="0" fillId="0" borderId="0" xfId="0"/>
    <xf numFmtId="0" fontId="1" fillId="2" borderId="1"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vertical="center"/>
    </xf>
    <xf numFmtId="0" fontId="2" fillId="0" borderId="0" xfId="0" applyFont="1"/>
    <xf numFmtId="0" fontId="0" fillId="3" borderId="5" xfId="0" applyFont="1" applyFill="1" applyBorder="1" applyAlignment="1" applyProtection="1">
      <alignment vertical="center"/>
    </xf>
    <xf numFmtId="0" fontId="3" fillId="3" borderId="6"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8" xfId="0" applyFont="1" applyFill="1" applyBorder="1" applyAlignment="1" applyProtection="1">
      <alignment vertical="center"/>
    </xf>
    <xf numFmtId="2" fontId="0" fillId="3" borderId="7" xfId="0" applyNumberFormat="1" applyFont="1" applyFill="1" applyBorder="1" applyAlignment="1" applyProtection="1">
      <alignment vertical="center"/>
    </xf>
    <xf numFmtId="0" fontId="4" fillId="3" borderId="8" xfId="0" applyFont="1" applyFill="1" applyBorder="1" applyAlignment="1" applyProtection="1">
      <alignment vertical="center"/>
    </xf>
    <xf numFmtId="0" fontId="0" fillId="3" borderId="6" xfId="0" applyFont="1" applyFill="1" applyBorder="1" applyAlignment="1" applyProtection="1">
      <alignment vertical="center"/>
    </xf>
    <xf numFmtId="0" fontId="5" fillId="0" borderId="5" xfId="0" applyNumberFormat="1" applyFont="1" applyFill="1" applyBorder="1" applyAlignment="1" applyProtection="1"/>
    <xf numFmtId="0" fontId="5" fillId="0" borderId="7" xfId="0" applyNumberFormat="1" applyFont="1" applyFill="1" applyBorder="1" applyAlignment="1" applyProtection="1"/>
    <xf numFmtId="0" fontId="5" fillId="0" borderId="8" xfId="0" applyNumberFormat="1" applyFont="1" applyFill="1" applyBorder="1" applyAlignment="1" applyProtection="1"/>
    <xf numFmtId="0" fontId="0" fillId="4" borderId="7" xfId="0" applyFont="1" applyFill="1" applyBorder="1" applyAlignment="1" applyProtection="1">
      <alignment vertical="center"/>
      <protection locked="0"/>
    </xf>
    <xf numFmtId="0" fontId="0" fillId="3" borderId="8" xfId="0" applyFont="1" applyFill="1" applyBorder="1" applyAlignment="1" applyProtection="1">
      <alignment vertical="center" wrapText="1"/>
    </xf>
    <xf numFmtId="176" fontId="0" fillId="3" borderId="7" xfId="0" applyNumberFormat="1" applyFont="1" applyFill="1" applyBorder="1" applyAlignment="1" applyProtection="1">
      <alignment vertical="center"/>
    </xf>
    <xf numFmtId="0" fontId="0" fillId="4" borderId="7" xfId="0" applyFont="1" applyFill="1" applyBorder="1" applyAlignment="1" applyProtection="1">
      <alignment vertical="center"/>
    </xf>
    <xf numFmtId="2" fontId="0" fillId="4" borderId="7" xfId="0" applyNumberFormat="1" applyFont="1" applyFill="1" applyBorder="1" applyAlignment="1" applyProtection="1">
      <alignment vertical="center"/>
    </xf>
    <xf numFmtId="2" fontId="0" fillId="0" borderId="0" xfId="0" applyNumberFormat="1" applyFont="1" applyAlignment="1">
      <alignment horizontal="left"/>
    </xf>
    <xf numFmtId="0" fontId="0" fillId="0" borderId="0" xfId="0" applyFont="1"/>
    <xf numFmtId="0" fontId="6" fillId="0" borderId="0" xfId="0" applyFont="1" applyAlignment="1">
      <alignment horizontal="center"/>
    </xf>
    <xf numFmtId="11" fontId="2" fillId="0" borderId="0" xfId="0" applyNumberFormat="1" applyFont="1"/>
    <xf numFmtId="0" fontId="6" fillId="0" borderId="0" xfId="0" applyFont="1" applyAlignment="1">
      <alignment horizontal="center" vertical="center"/>
    </xf>
    <xf numFmtId="11" fontId="0" fillId="0" borderId="0" xfId="0" applyNumberFormat="1"/>
    <xf numFmtId="11" fontId="0" fillId="0" borderId="0" xfId="0" applyNumberFormat="1" applyFont="1"/>
    <xf numFmtId="2" fontId="0" fillId="0" borderId="0" xfId="0" applyNumberFormat="1"/>
    <xf numFmtId="2" fontId="0" fillId="0" borderId="0" xfId="0" applyNumberFormat="1" applyFont="1" applyAlignment="1">
      <alignment horizontal="left" vertical="center"/>
    </xf>
    <xf numFmtId="2" fontId="0" fillId="0" borderId="0" xfId="0" applyNumberFormat="1" applyAlignment="1">
      <alignment horizontal="left"/>
    </xf>
    <xf numFmtId="0" fontId="7" fillId="0" borderId="0" xfId="0" applyFont="1"/>
    <xf numFmtId="0" fontId="8" fillId="3" borderId="7" xfId="0" applyFont="1" applyFill="1" applyBorder="1" applyProtection="1"/>
    <xf numFmtId="178" fontId="8" fillId="3" borderId="7" xfId="0" applyNumberFormat="1" applyFont="1" applyFill="1" applyBorder="1" applyProtection="1"/>
    <xf numFmtId="0" fontId="8" fillId="3" borderId="0" xfId="0" applyFont="1" applyFill="1" applyAlignment="1" applyProtection="1">
      <alignment horizontal="center"/>
    </xf>
    <xf numFmtId="0" fontId="8" fillId="3" borderId="0" xfId="0" applyFont="1" applyFill="1" applyProtection="1"/>
    <xf numFmtId="2" fontId="0" fillId="0" borderId="0" xfId="0" applyNumberFormat="1" applyAlignment="1">
      <alignment vertical="center"/>
    </xf>
    <xf numFmtId="0" fontId="0" fillId="0" borderId="7" xfId="0" applyBorder="1" applyAlignment="1">
      <alignment horizontal="center"/>
    </xf>
    <xf numFmtId="0" fontId="0" fillId="0" borderId="7" xfId="0" applyBorder="1"/>
    <xf numFmtId="11" fontId="0" fillId="0" borderId="7" xfId="0" applyNumberFormat="1" applyBorder="1"/>
    <xf numFmtId="2" fontId="0" fillId="0" borderId="7" xfId="0" applyNumberFormat="1" applyBorder="1"/>
    <xf numFmtId="0" fontId="0" fillId="0" borderId="0" xfId="0" applyAlignment="1">
      <alignment wrapText="1"/>
    </xf>
    <xf numFmtId="0" fontId="0" fillId="0" borderId="7" xfId="0" applyFill="1" applyBorder="1" applyAlignment="1">
      <alignment horizontal="center" vertical="center"/>
    </xf>
    <xf numFmtId="0" fontId="0" fillId="0" borderId="9" xfId="0" applyFill="1" applyBorder="1" applyAlignment="1">
      <alignment horizontal="center" vertical="center"/>
    </xf>
    <xf numFmtId="179" fontId="0" fillId="0" borderId="7" xfId="0" applyNumberFormat="1" applyBorder="1"/>
    <xf numFmtId="177" fontId="0" fillId="0" borderId="0" xfId="0" applyNumberFormat="1"/>
    <xf numFmtId="0" fontId="9" fillId="0" borderId="0" xfId="0" applyFont="1"/>
    <xf numFmtId="0" fontId="0" fillId="0" borderId="0" xfId="0" applyBorder="1"/>
    <xf numFmtId="0" fontId="0" fillId="3" borderId="0" xfId="0" applyFont="1" applyFill="1" applyAlignment="1" applyProtection="1">
      <alignment vertical="center"/>
    </xf>
    <xf numFmtId="0" fontId="6" fillId="3" borderId="0" xfId="0" applyFont="1" applyFill="1" applyAlignment="1" applyProtection="1">
      <alignment vertical="center"/>
    </xf>
    <xf numFmtId="0" fontId="0" fillId="3" borderId="0" xfId="0" applyFill="1" applyAlignment="1" applyProtection="1">
      <alignment vertical="center"/>
    </xf>
    <xf numFmtId="0" fontId="10" fillId="5" borderId="10" xfId="0" applyFont="1" applyFill="1" applyBorder="1" applyAlignment="1" applyProtection="1">
      <alignment horizontal="center" vertical="center"/>
    </xf>
    <xf numFmtId="0" fontId="10" fillId="5" borderId="11" xfId="0" applyFont="1" applyFill="1" applyBorder="1" applyAlignment="1" applyProtection="1">
      <alignment horizontal="center" vertical="center"/>
    </xf>
    <xf numFmtId="0" fontId="10" fillId="5" borderId="12" xfId="0" applyFont="1" applyFill="1" applyBorder="1" applyAlignment="1" applyProtection="1">
      <alignment horizontal="center" vertical="center"/>
    </xf>
    <xf numFmtId="0" fontId="11" fillId="3" borderId="13" xfId="0" applyFont="1" applyFill="1" applyBorder="1" applyAlignment="1" applyProtection="1">
      <alignment horizontal="left" vertical="center"/>
    </xf>
    <xf numFmtId="0" fontId="11" fillId="3" borderId="11" xfId="0" applyFont="1" applyFill="1" applyBorder="1" applyAlignment="1" applyProtection="1">
      <alignment horizontal="left" vertical="center"/>
    </xf>
    <xf numFmtId="0" fontId="11" fillId="3" borderId="12" xfId="0" applyFont="1" applyFill="1" applyBorder="1" applyAlignment="1" applyProtection="1">
      <alignment horizontal="left" vertical="center"/>
    </xf>
    <xf numFmtId="0" fontId="12" fillId="5" borderId="10" xfId="0" applyFont="1" applyFill="1" applyBorder="1" applyAlignment="1" applyProtection="1">
      <alignment horizontal="center" vertical="center" wrapText="1"/>
    </xf>
    <xf numFmtId="0" fontId="12" fillId="5" borderId="11" xfId="0" applyFont="1" applyFill="1" applyBorder="1" applyAlignment="1" applyProtection="1">
      <alignment horizontal="center" vertical="center" wrapText="1"/>
    </xf>
    <xf numFmtId="0" fontId="12" fillId="5" borderId="12" xfId="0" applyFont="1" applyFill="1" applyBorder="1" applyAlignment="1" applyProtection="1">
      <alignment horizontal="center" vertical="center" wrapText="1"/>
    </xf>
    <xf numFmtId="0" fontId="13" fillId="3" borderId="14" xfId="0" applyFont="1" applyFill="1" applyBorder="1" applyAlignment="1" applyProtection="1">
      <alignment horizontal="right" vertical="center"/>
    </xf>
    <xf numFmtId="0" fontId="13" fillId="4" borderId="15" xfId="0" applyFont="1" applyFill="1" applyBorder="1" applyAlignment="1" applyProtection="1">
      <alignment horizontal="center" vertical="center"/>
    </xf>
    <xf numFmtId="0" fontId="13" fillId="3" borderId="15" xfId="0" applyFont="1" applyFill="1" applyBorder="1" applyAlignment="1" applyProtection="1">
      <alignment horizontal="left" vertical="center"/>
    </xf>
    <xf numFmtId="0" fontId="13" fillId="3" borderId="16" xfId="0" applyFont="1" applyFill="1" applyBorder="1" applyAlignment="1" applyProtection="1">
      <alignment horizontal="left" vertical="center"/>
    </xf>
    <xf numFmtId="0" fontId="13" fillId="3" borderId="17"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3" borderId="18"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18" xfId="0" applyFont="1" applyFill="1" applyBorder="1" applyAlignment="1" applyProtection="1">
      <alignment horizontal="center" vertical="center"/>
    </xf>
    <xf numFmtId="0" fontId="16" fillId="3" borderId="17"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3" borderId="18"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17" fillId="3" borderId="15" xfId="0" applyFont="1" applyFill="1" applyBorder="1" applyAlignment="1" applyProtection="1">
      <alignment horizontal="center" vertical="center" wrapText="1"/>
    </xf>
    <xf numFmtId="0" fontId="17" fillId="3" borderId="16"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18" xfId="0" applyFont="1" applyFill="1" applyBorder="1" applyAlignment="1" applyProtection="1">
      <alignment horizontal="center" vertical="center" wrapText="1"/>
    </xf>
    <xf numFmtId="0" fontId="17" fillId="3" borderId="13" xfId="0" applyFont="1" applyFill="1" applyBorder="1" applyAlignment="1" applyProtection="1">
      <alignment horizontal="center" vertical="center" wrapText="1"/>
    </xf>
    <xf numFmtId="0" fontId="17" fillId="3" borderId="19" xfId="0" applyFont="1" applyFill="1" applyBorder="1" applyAlignment="1" applyProtection="1">
      <alignment horizontal="center" vertical="center" wrapText="1"/>
    </xf>
    <xf numFmtId="0" fontId="17" fillId="3" borderId="20" xfId="0" applyFont="1" applyFill="1" applyBorder="1" applyAlignment="1" applyProtection="1">
      <alignment horizontal="center" vertical="center" wrapText="1"/>
    </xf>
    <xf numFmtId="0" fontId="11" fillId="3" borderId="14" xfId="0" applyFont="1" applyFill="1" applyBorder="1" applyAlignment="1" applyProtection="1">
      <alignment horizontal="left" vertical="center"/>
    </xf>
    <xf numFmtId="0" fontId="11" fillId="3" borderId="15" xfId="0" applyFont="1" applyFill="1" applyBorder="1" applyAlignment="1" applyProtection="1">
      <alignment horizontal="left" vertical="center"/>
    </xf>
    <xf numFmtId="0" fontId="11" fillId="3" borderId="16" xfId="0" applyFont="1" applyFill="1" applyBorder="1" applyAlignment="1" applyProtection="1">
      <alignment horizontal="left" vertical="center"/>
    </xf>
    <xf numFmtId="0" fontId="18" fillId="3" borderId="17" xfId="0" applyFont="1" applyFill="1" applyBorder="1" applyAlignment="1" applyProtection="1">
      <alignment horizontal="left" vertical="center" wrapText="1"/>
    </xf>
    <xf numFmtId="0" fontId="18" fillId="3" borderId="0" xfId="0" applyFont="1" applyFill="1" applyBorder="1" applyAlignment="1" applyProtection="1">
      <alignment horizontal="left" vertical="center" wrapText="1"/>
    </xf>
    <xf numFmtId="0" fontId="18" fillId="3" borderId="18" xfId="0" applyFont="1" applyFill="1" applyBorder="1" applyAlignment="1" applyProtection="1">
      <alignment horizontal="left" vertical="center" wrapText="1"/>
    </xf>
    <xf numFmtId="0" fontId="18" fillId="3" borderId="13" xfId="0" applyFont="1" applyFill="1" applyBorder="1" applyAlignment="1" applyProtection="1">
      <alignment horizontal="left" vertical="center" wrapText="1"/>
    </xf>
    <xf numFmtId="0" fontId="18" fillId="3" borderId="19" xfId="0" applyFont="1" applyFill="1" applyBorder="1" applyAlignment="1" applyProtection="1">
      <alignment horizontal="left" vertical="center" wrapText="1"/>
    </xf>
    <xf numFmtId="0" fontId="18" fillId="3" borderId="2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 fillId="3" borderId="7" xfId="0" applyFont="1" applyFill="1" applyBorder="1" applyAlignment="1" applyProtection="1">
      <alignment horizontal="left" vertical="center" wrapText="1"/>
    </xf>
    <xf numFmtId="0" fontId="0" fillId="3" borderId="7" xfId="0" applyFill="1" applyBorder="1" applyAlignment="1" applyProtection="1">
      <alignment horizontal="left" vertical="center" wrapText="1"/>
    </xf>
    <xf numFmtId="0" fontId="0" fillId="4" borderId="7" xfId="0" applyFill="1" applyBorder="1" applyAlignment="1" applyProtection="1">
      <alignment horizontal="left" vertical="center" wrapText="1"/>
      <protection locked="0"/>
    </xf>
    <xf numFmtId="0" fontId="0" fillId="3" borderId="0" xfId="0" applyFont="1" applyFill="1" applyBorder="1" applyAlignment="1" applyProtection="1">
      <alignment horizontal="center" vertical="center"/>
    </xf>
    <xf numFmtId="0" fontId="0" fillId="3" borderId="21" xfId="0" applyFont="1" applyFill="1" applyBorder="1" applyAlignment="1" applyProtection="1">
      <alignment vertical="center"/>
    </xf>
    <xf numFmtId="0" fontId="19" fillId="3" borderId="22" xfId="0" applyFont="1" applyFill="1" applyBorder="1" applyAlignment="1" applyProtection="1">
      <alignment vertical="center"/>
    </xf>
    <xf numFmtId="0" fontId="0" fillId="4" borderId="22" xfId="0" applyFont="1" applyFill="1" applyBorder="1" applyAlignment="1" applyProtection="1">
      <alignment vertical="center"/>
      <protection locked="0"/>
    </xf>
    <xf numFmtId="0" fontId="0" fillId="3" borderId="23" xfId="0" applyFont="1" applyFill="1" applyBorder="1" applyAlignment="1" applyProtection="1">
      <alignment vertical="center"/>
    </xf>
    <xf numFmtId="0" fontId="0" fillId="3" borderId="24" xfId="0" applyFont="1" applyFill="1" applyBorder="1" applyAlignment="1" applyProtection="1">
      <alignment vertical="center"/>
    </xf>
    <xf numFmtId="0" fontId="0" fillId="3" borderId="10" xfId="0" applyFont="1" applyFill="1" applyBorder="1" applyAlignment="1" applyProtection="1">
      <alignment horizontal="center" vertical="center"/>
    </xf>
    <xf numFmtId="0" fontId="0" fillId="3" borderId="11" xfId="0" applyFont="1" applyFill="1" applyBorder="1" applyAlignment="1" applyProtection="1">
      <alignment horizontal="center" vertical="center"/>
    </xf>
    <xf numFmtId="0" fontId="2" fillId="3" borderId="0" xfId="0" applyFont="1" applyFill="1" applyBorder="1" applyAlignment="1" applyProtection="1">
      <alignment vertical="center"/>
    </xf>
    <xf numFmtId="0" fontId="13" fillId="2" borderId="25" xfId="0" applyFont="1" applyFill="1" applyBorder="1" applyAlignment="1" applyProtection="1">
      <alignment horizontal="left" vertical="center"/>
    </xf>
    <xf numFmtId="0" fontId="13" fillId="2" borderId="26" xfId="0" applyFont="1" applyFill="1" applyBorder="1" applyAlignment="1" applyProtection="1">
      <alignment horizontal="left" vertical="center"/>
    </xf>
    <xf numFmtId="0" fontId="13" fillId="2" borderId="27" xfId="0" applyFont="1" applyFill="1" applyBorder="1" applyAlignment="1" applyProtection="1">
      <alignment horizontal="left" vertical="center"/>
    </xf>
    <xf numFmtId="0" fontId="0" fillId="3" borderId="28" xfId="0" applyFont="1" applyFill="1" applyBorder="1" applyAlignment="1" applyProtection="1">
      <alignment vertical="center"/>
    </xf>
    <xf numFmtId="0" fontId="0" fillId="4" borderId="6" xfId="0" applyFont="1" applyFill="1" applyBorder="1" applyAlignment="1" applyProtection="1">
      <alignment vertical="center"/>
      <protection locked="0"/>
    </xf>
    <xf numFmtId="0" fontId="0" fillId="3" borderId="29" xfId="0" applyFont="1" applyFill="1" applyBorder="1" applyAlignment="1" applyProtection="1">
      <alignment vertical="center"/>
    </xf>
    <xf numFmtId="1" fontId="0" fillId="4" borderId="7" xfId="0" applyNumberFormat="1" applyFont="1" applyFill="1" applyBorder="1" applyAlignment="1" applyProtection="1">
      <alignment vertical="center"/>
      <protection locked="0"/>
    </xf>
    <xf numFmtId="0" fontId="0" fillId="3" borderId="0" xfId="0" applyFont="1" applyFill="1" applyBorder="1" applyAlignment="1" applyProtection="1">
      <alignment vertical="center"/>
    </xf>
    <xf numFmtId="0" fontId="2" fillId="3" borderId="0" xfId="0" applyFont="1" applyFill="1" applyAlignment="1" applyProtection="1">
      <alignment vertical="center"/>
    </xf>
    <xf numFmtId="0" fontId="1" fillId="2" borderId="30" xfId="0" applyFont="1" applyFill="1" applyBorder="1" applyAlignment="1" applyProtection="1">
      <alignment horizontal="left" vertical="center"/>
    </xf>
    <xf numFmtId="0" fontId="1" fillId="2" borderId="31" xfId="0" applyFont="1" applyFill="1" applyBorder="1" applyAlignment="1" applyProtection="1">
      <alignment horizontal="left" vertical="center"/>
    </xf>
    <xf numFmtId="0" fontId="1" fillId="2" borderId="32" xfId="0" applyFont="1" applyFill="1" applyBorder="1" applyAlignment="1" applyProtection="1">
      <alignment horizontal="left" vertical="center"/>
    </xf>
    <xf numFmtId="0" fontId="1" fillId="2" borderId="33" xfId="0" applyFont="1" applyFill="1" applyBorder="1" applyAlignment="1" applyProtection="1">
      <alignment vertical="center"/>
    </xf>
    <xf numFmtId="0" fontId="0" fillId="3" borderId="25" xfId="0" applyFont="1" applyFill="1" applyBorder="1" applyAlignment="1" applyProtection="1">
      <alignment vertical="center"/>
    </xf>
    <xf numFmtId="0" fontId="0" fillId="3" borderId="26" xfId="0" applyFont="1" applyFill="1" applyBorder="1" applyAlignment="1" applyProtection="1">
      <alignment vertical="center"/>
    </xf>
    <xf numFmtId="0" fontId="0" fillId="4" borderId="26" xfId="0" applyFont="1" applyFill="1" applyBorder="1" applyAlignment="1" applyProtection="1">
      <alignment vertical="center"/>
      <protection locked="0"/>
    </xf>
    <xf numFmtId="0" fontId="0" fillId="3" borderId="27" xfId="0" applyFont="1" applyFill="1" applyBorder="1" applyAlignment="1" applyProtection="1">
      <alignment vertical="center"/>
    </xf>
    <xf numFmtId="0" fontId="0" fillId="3" borderId="34" xfId="0" applyFont="1" applyFill="1" applyBorder="1" applyAlignment="1" applyProtection="1">
      <alignment vertical="center"/>
    </xf>
    <xf numFmtId="0" fontId="6" fillId="6" borderId="25" xfId="0" applyFont="1" applyFill="1" applyBorder="1" applyAlignment="1" applyProtection="1">
      <alignment horizontal="left" vertical="center"/>
    </xf>
    <xf numFmtId="0" fontId="6" fillId="6" borderId="26" xfId="0" applyFont="1" applyFill="1" applyBorder="1" applyAlignment="1" applyProtection="1">
      <alignment horizontal="left" vertical="center"/>
    </xf>
    <xf numFmtId="0" fontId="6" fillId="6" borderId="27" xfId="0" applyFont="1" applyFill="1" applyBorder="1" applyAlignment="1" applyProtection="1">
      <alignment horizontal="left" vertical="center"/>
    </xf>
    <xf numFmtId="0" fontId="6" fillId="6" borderId="35" xfId="0" applyFont="1" applyFill="1" applyBorder="1" applyAlignment="1" applyProtection="1">
      <alignment vertical="center"/>
    </xf>
    <xf numFmtId="0" fontId="0" fillId="3" borderId="36" xfId="0" applyFont="1" applyFill="1" applyBorder="1" applyAlignment="1" applyProtection="1">
      <alignment horizontal="left" vertical="center"/>
    </xf>
    <xf numFmtId="0" fontId="0" fillId="3" borderId="37" xfId="0" applyFont="1" applyFill="1" applyBorder="1" applyAlignment="1" applyProtection="1">
      <alignment horizontal="right" vertical="center"/>
    </xf>
    <xf numFmtId="0" fontId="0" fillId="3" borderId="38" xfId="0" applyFont="1" applyFill="1" applyBorder="1" applyAlignment="1" applyProtection="1">
      <alignment horizontal="left" vertical="center"/>
    </xf>
    <xf numFmtId="2" fontId="0" fillId="4" borderId="7" xfId="0" applyNumberFormat="1" applyFont="1" applyFill="1" applyBorder="1" applyAlignment="1" applyProtection="1">
      <alignment vertical="center"/>
      <protection locked="0"/>
    </xf>
    <xf numFmtId="0" fontId="6" fillId="3" borderId="8" xfId="0" applyFont="1" applyFill="1" applyBorder="1" applyAlignment="1" applyProtection="1">
      <alignment vertical="center" wrapText="1"/>
    </xf>
    <xf numFmtId="2" fontId="0" fillId="0" borderId="7" xfId="0" applyNumberFormat="1" applyFont="1" applyFill="1" applyBorder="1" applyAlignment="1" applyProtection="1">
      <alignment vertical="center"/>
    </xf>
    <xf numFmtId="0" fontId="0" fillId="3" borderId="22" xfId="0" applyFont="1" applyFill="1" applyBorder="1" applyAlignment="1" applyProtection="1">
      <alignment vertical="center"/>
    </xf>
    <xf numFmtId="176" fontId="0" fillId="3" borderId="22" xfId="0" applyNumberFormat="1" applyFont="1" applyFill="1" applyBorder="1" applyAlignment="1" applyProtection="1">
      <alignment vertical="center"/>
    </xf>
    <xf numFmtId="0" fontId="4" fillId="3" borderId="23" xfId="0" applyFont="1" applyFill="1" applyBorder="1" applyAlignment="1" applyProtection="1">
      <alignment vertical="center"/>
    </xf>
    <xf numFmtId="0" fontId="6" fillId="6" borderId="39" xfId="0" applyFont="1" applyFill="1" applyBorder="1" applyAlignment="1" applyProtection="1">
      <alignment horizontal="left" vertical="center"/>
    </xf>
    <xf numFmtId="0" fontId="6" fillId="6" borderId="40" xfId="0" applyFont="1" applyFill="1" applyBorder="1" applyAlignment="1" applyProtection="1">
      <alignment horizontal="left" vertical="center"/>
    </xf>
    <xf numFmtId="0" fontId="6" fillId="6" borderId="41" xfId="0" applyFont="1" applyFill="1" applyBorder="1" applyAlignment="1" applyProtection="1">
      <alignment horizontal="left" vertical="center"/>
    </xf>
    <xf numFmtId="177" fontId="6" fillId="3" borderId="6" xfId="0" applyNumberFormat="1" applyFont="1" applyFill="1" applyBorder="1" applyAlignment="1" applyProtection="1">
      <alignment vertical="center"/>
    </xf>
    <xf numFmtId="177" fontId="6" fillId="3" borderId="7" xfId="0" applyNumberFormat="1" applyFont="1" applyFill="1" applyBorder="1" applyAlignment="1" applyProtection="1">
      <alignment vertical="center"/>
    </xf>
    <xf numFmtId="0" fontId="0" fillId="3" borderId="36" xfId="0" applyFont="1" applyFill="1" applyBorder="1" applyAlignment="1" applyProtection="1">
      <alignment vertical="center"/>
    </xf>
    <xf numFmtId="0" fontId="0" fillId="3" borderId="37" xfId="0" applyFont="1" applyFill="1" applyBorder="1" applyAlignment="1" applyProtection="1">
      <alignment vertical="center"/>
    </xf>
    <xf numFmtId="180" fontId="0" fillId="4" borderId="37" xfId="0" applyNumberFormat="1" applyFont="1" applyFill="1" applyBorder="1" applyAlignment="1" applyProtection="1">
      <alignment vertical="center"/>
      <protection locked="0"/>
    </xf>
    <xf numFmtId="0" fontId="0" fillId="3" borderId="38" xfId="0" applyFont="1" applyFill="1" applyBorder="1" applyAlignment="1" applyProtection="1">
      <alignment vertical="center"/>
    </xf>
    <xf numFmtId="0" fontId="6" fillId="6" borderId="30" xfId="0" applyFont="1" applyFill="1" applyBorder="1" applyAlignment="1" applyProtection="1">
      <alignment horizontal="left" vertical="center"/>
    </xf>
    <xf numFmtId="0" fontId="6" fillId="6" borderId="31" xfId="0" applyFont="1" applyFill="1" applyBorder="1" applyAlignment="1" applyProtection="1">
      <alignment horizontal="left" vertical="center"/>
    </xf>
    <xf numFmtId="0" fontId="6" fillId="6" borderId="32" xfId="0" applyFont="1" applyFill="1" applyBorder="1" applyAlignment="1" applyProtection="1">
      <alignment horizontal="left" vertical="center"/>
    </xf>
    <xf numFmtId="0" fontId="20" fillId="3" borderId="10"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wrapText="1"/>
    </xf>
    <xf numFmtId="0" fontId="20" fillId="3" borderId="12"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4" fontId="0" fillId="4" borderId="7" xfId="0" applyNumberFormat="1" applyFont="1" applyFill="1" applyBorder="1" applyAlignment="1" applyProtection="1">
      <alignment vertical="center"/>
      <protection locked="0"/>
    </xf>
    <xf numFmtId="0" fontId="0" fillId="3" borderId="4" xfId="0" applyFill="1" applyBorder="1" applyAlignment="1" applyProtection="1">
      <alignment vertical="center"/>
    </xf>
    <xf numFmtId="180" fontId="0" fillId="3" borderId="7" xfId="0" applyNumberFormat="1" applyFont="1" applyFill="1" applyBorder="1" applyAlignment="1" applyProtection="1">
      <alignment vertical="center"/>
    </xf>
    <xf numFmtId="0" fontId="0" fillId="3" borderId="42" xfId="0" applyFill="1" applyBorder="1" applyAlignment="1" applyProtection="1">
      <alignment vertical="center"/>
    </xf>
    <xf numFmtId="2" fontId="0" fillId="3" borderId="37" xfId="0" applyNumberFormat="1" applyFont="1" applyFill="1" applyBorder="1" applyAlignment="1" applyProtection="1">
      <alignment vertical="center"/>
    </xf>
    <xf numFmtId="0" fontId="8" fillId="3" borderId="13"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wrapText="1"/>
    </xf>
    <xf numFmtId="0" fontId="21" fillId="3" borderId="17" xfId="0" applyFont="1" applyFill="1" applyBorder="1" applyAlignment="1" applyProtection="1">
      <alignment vertical="center"/>
    </xf>
    <xf numFmtId="0" fontId="21" fillId="3" borderId="0" xfId="0" applyFont="1" applyFill="1" applyBorder="1" applyAlignment="1" applyProtection="1">
      <alignment vertical="center"/>
    </xf>
    <xf numFmtId="180" fontId="21" fillId="3" borderId="0" xfId="0" applyNumberFormat="1" applyFont="1" applyFill="1" applyBorder="1" applyAlignment="1" applyProtection="1">
      <alignment vertical="center"/>
    </xf>
    <xf numFmtId="0" fontId="21" fillId="3" borderId="18" xfId="0" applyFont="1" applyFill="1" applyBorder="1" applyAlignment="1" applyProtection="1">
      <alignment vertical="center"/>
    </xf>
    <xf numFmtId="0" fontId="0" fillId="3" borderId="34" xfId="0" applyFill="1" applyBorder="1" applyAlignment="1" applyProtection="1">
      <alignment vertical="center"/>
    </xf>
    <xf numFmtId="177" fontId="7" fillId="3" borderId="7" xfId="0" applyNumberFormat="1" applyFont="1" applyFill="1" applyBorder="1" applyAlignment="1" applyProtection="1">
      <alignment vertical="center"/>
    </xf>
    <xf numFmtId="0" fontId="7" fillId="3" borderId="7" xfId="0" applyFont="1" applyFill="1" applyBorder="1" applyAlignment="1" applyProtection="1">
      <alignment vertical="center"/>
    </xf>
    <xf numFmtId="176" fontId="0" fillId="3" borderId="43" xfId="0" applyNumberFormat="1" applyFont="1" applyFill="1" applyBorder="1" applyAlignment="1" applyProtection="1">
      <alignment vertical="center"/>
    </xf>
    <xf numFmtId="2" fontId="6" fillId="3" borderId="43" xfId="0" applyNumberFormat="1" applyFont="1" applyFill="1" applyBorder="1" applyAlignment="1" applyProtection="1">
      <alignment vertical="center"/>
    </xf>
    <xf numFmtId="0" fontId="7" fillId="3" borderId="0" xfId="0" applyFont="1" applyFill="1" applyBorder="1" applyAlignment="1" applyProtection="1">
      <alignment vertical="center" wrapText="1"/>
    </xf>
    <xf numFmtId="4" fontId="6" fillId="3" borderId="43" xfId="0" applyNumberFormat="1" applyFont="1" applyFill="1" applyBorder="1" applyAlignment="1" applyProtection="1">
      <alignment vertical="center"/>
    </xf>
    <xf numFmtId="4" fontId="6" fillId="3" borderId="43" xfId="0" applyNumberFormat="1" applyFont="1" applyFill="1" applyBorder="1" applyAlignment="1" applyProtection="1">
      <alignment horizontal="left" vertical="center" wrapText="1"/>
    </xf>
    <xf numFmtId="0" fontId="6" fillId="6" borderId="5" xfId="0" applyFont="1" applyFill="1" applyBorder="1" applyAlignment="1" applyProtection="1">
      <alignment horizontal="left" vertical="center"/>
    </xf>
    <xf numFmtId="0" fontId="6" fillId="6" borderId="7" xfId="0" applyFont="1" applyFill="1" applyBorder="1" applyAlignment="1" applyProtection="1">
      <alignment horizontal="left" vertical="center"/>
    </xf>
    <xf numFmtId="0" fontId="6" fillId="6" borderId="8" xfId="0" applyFont="1" applyFill="1" applyBorder="1" applyAlignment="1" applyProtection="1">
      <alignment horizontal="left" vertical="center"/>
    </xf>
    <xf numFmtId="177" fontId="0" fillId="3" borderId="7" xfId="0" applyNumberFormat="1" applyFont="1" applyFill="1" applyBorder="1" applyAlignment="1" applyProtection="1">
      <alignment vertical="center"/>
    </xf>
    <xf numFmtId="177" fontId="0" fillId="3" borderId="22" xfId="0" applyNumberFormat="1" applyFont="1" applyFill="1" applyBorder="1" applyAlignment="1" applyProtection="1">
      <alignment vertical="center"/>
    </xf>
    <xf numFmtId="0" fontId="0" fillId="3" borderId="44" xfId="0" applyFont="1" applyFill="1" applyBorder="1" applyAlignment="1" applyProtection="1">
      <alignment horizontal="left" vertical="center"/>
    </xf>
    <xf numFmtId="177" fontId="22" fillId="3" borderId="7" xfId="0" applyNumberFormat="1" applyFont="1" applyFill="1" applyBorder="1" applyAlignment="1" applyProtection="1">
      <alignment vertical="center"/>
    </xf>
    <xf numFmtId="177" fontId="22" fillId="3" borderId="22" xfId="0" applyNumberFormat="1" applyFont="1" applyFill="1" applyBorder="1" applyAlignment="1" applyProtection="1">
      <alignment vertical="center"/>
    </xf>
    <xf numFmtId="0" fontId="0" fillId="3" borderId="17" xfId="0" applyFont="1" applyFill="1" applyBorder="1" applyAlignment="1" applyProtection="1">
      <alignment vertical="center"/>
    </xf>
    <xf numFmtId="176" fontId="22" fillId="3" borderId="7" xfId="0" applyNumberFormat="1" applyFont="1" applyFill="1" applyBorder="1" applyAlignment="1" applyProtection="1">
      <alignment vertical="center"/>
    </xf>
    <xf numFmtId="176" fontId="23" fillId="0" borderId="7" xfId="0" applyNumberFormat="1" applyFont="1" applyFill="1" applyBorder="1" applyAlignment="1" applyProtection="1"/>
    <xf numFmtId="0" fontId="0" fillId="6" borderId="5" xfId="0" applyFont="1" applyFill="1" applyBorder="1" applyAlignment="1" applyProtection="1">
      <alignment horizontal="left" vertical="center"/>
    </xf>
    <xf numFmtId="0" fontId="0" fillId="6" borderId="7" xfId="0" applyFont="1" applyFill="1" applyBorder="1" applyAlignment="1" applyProtection="1">
      <alignment horizontal="left" vertical="center"/>
    </xf>
    <xf numFmtId="0" fontId="0" fillId="6" borderId="8" xfId="0" applyFont="1" applyFill="1" applyBorder="1" applyAlignment="1" applyProtection="1">
      <alignment horizontal="left" vertical="center"/>
    </xf>
    <xf numFmtId="0" fontId="0" fillId="3" borderId="11" xfId="0" applyFont="1" applyFill="1" applyBorder="1" applyAlignment="1" applyProtection="1">
      <alignment vertical="center"/>
    </xf>
    <xf numFmtId="0" fontId="0" fillId="3" borderId="0" xfId="0" applyFill="1" applyBorder="1" applyAlignment="1" applyProtection="1">
      <alignment vertical="center"/>
    </xf>
    <xf numFmtId="0" fontId="22" fillId="3" borderId="7" xfId="0" applyFont="1" applyFill="1" applyBorder="1" applyAlignment="1" applyProtection="1">
      <alignment vertical="center"/>
    </xf>
    <xf numFmtId="177" fontId="7" fillId="3" borderId="0" xfId="0" applyNumberFormat="1" applyFont="1" applyFill="1" applyBorder="1" applyAlignment="1" applyProtection="1">
      <alignment vertical="center"/>
    </xf>
    <xf numFmtId="0" fontId="0" fillId="0" borderId="5" xfId="0" applyBorder="1"/>
    <xf numFmtId="2" fontId="0" fillId="3" borderId="7" xfId="0" applyNumberFormat="1" applyFill="1" applyBorder="1" applyProtection="1"/>
    <xf numFmtId="0" fontId="0" fillId="0" borderId="8" xfId="0" applyBorder="1"/>
    <xf numFmtId="0" fontId="4" fillId="0" borderId="7" xfId="0" applyFont="1" applyBorder="1"/>
    <xf numFmtId="0" fontId="0" fillId="0" borderId="7" xfId="0" applyFill="1" applyBorder="1" applyProtection="1"/>
    <xf numFmtId="0" fontId="0" fillId="0" borderId="7" xfId="0" applyBorder="1" applyProtection="1"/>
    <xf numFmtId="1" fontId="0" fillId="0" borderId="7" xfId="0" applyNumberFormat="1" applyBorder="1" applyProtection="1"/>
    <xf numFmtId="0" fontId="0" fillId="4" borderId="7" xfId="0" applyFill="1" applyBorder="1" applyProtection="1">
      <protection locked="0"/>
    </xf>
    <xf numFmtId="0" fontId="4" fillId="0" borderId="8" xfId="0" applyFont="1" applyBorder="1"/>
    <xf numFmtId="2" fontId="7" fillId="0" borderId="7" xfId="0" applyNumberFormat="1" applyFont="1" applyBorder="1"/>
    <xf numFmtId="1" fontId="0" fillId="0" borderId="7" xfId="0" applyNumberFormat="1" applyBorder="1"/>
    <xf numFmtId="0" fontId="0" fillId="0" borderId="36" xfId="0" applyBorder="1"/>
    <xf numFmtId="1" fontId="0" fillId="0" borderId="37" xfId="0" applyNumberFormat="1" applyBorder="1"/>
    <xf numFmtId="0" fontId="0" fillId="0" borderId="38" xfId="0" applyBorder="1"/>
    <xf numFmtId="0" fontId="0" fillId="3" borderId="45" xfId="0" applyFont="1" applyFill="1" applyBorder="1" applyAlignment="1" applyProtection="1">
      <alignment vertical="center"/>
    </xf>
    <xf numFmtId="0" fontId="0" fillId="0" borderId="22" xfId="0" applyBorder="1"/>
    <xf numFmtId="0" fontId="24" fillId="6" borderId="25" xfId="0" applyFont="1" applyFill="1" applyBorder="1" applyAlignment="1" applyProtection="1">
      <alignment horizontal="left" vertical="center"/>
    </xf>
    <xf numFmtId="0" fontId="24" fillId="6" borderId="26" xfId="0" applyFont="1" applyFill="1" applyBorder="1" applyAlignment="1" applyProtection="1">
      <alignment horizontal="left" vertical="center"/>
    </xf>
    <xf numFmtId="0" fontId="24" fillId="6" borderId="27" xfId="0" applyFont="1" applyFill="1" applyBorder="1" applyAlignment="1" applyProtection="1">
      <alignment horizontal="left" vertical="center"/>
    </xf>
    <xf numFmtId="2" fontId="5" fillId="0" borderId="7" xfId="0" applyNumberFormat="1" applyFont="1" applyFill="1" applyBorder="1" applyAlignment="1" applyProtection="1"/>
    <xf numFmtId="177" fontId="5" fillId="0" borderId="7" xfId="0" applyNumberFormat="1" applyFont="1" applyFill="1" applyBorder="1" applyAlignment="1" applyProtection="1"/>
    <xf numFmtId="2" fontId="5" fillId="3" borderId="7" xfId="0" applyNumberFormat="1" applyFont="1" applyFill="1" applyBorder="1" applyAlignment="1" applyProtection="1"/>
    <xf numFmtId="0" fontId="5" fillId="4" borderId="7" xfId="0" applyNumberFormat="1" applyFont="1" applyFill="1" applyBorder="1" applyAlignment="1" applyProtection="1">
      <protection locked="0"/>
    </xf>
    <xf numFmtId="0" fontId="5" fillId="3" borderId="7" xfId="0" applyNumberFormat="1" applyFont="1" applyFill="1" applyBorder="1" applyAlignment="1" applyProtection="1"/>
    <xf numFmtId="1" fontId="25" fillId="3" borderId="7" xfId="0" applyNumberFormat="1" applyFont="1" applyFill="1" applyBorder="1" applyAlignment="1" applyProtection="1"/>
    <xf numFmtId="176" fontId="5" fillId="4" borderId="7" xfId="0" applyNumberFormat="1" applyFont="1" applyFill="1" applyBorder="1" applyAlignment="1" applyProtection="1">
      <protection locked="0"/>
    </xf>
    <xf numFmtId="176" fontId="5" fillId="3" borderId="7" xfId="0" applyNumberFormat="1" applyFont="1" applyFill="1" applyBorder="1" applyAlignment="1" applyProtection="1"/>
    <xf numFmtId="0" fontId="5" fillId="0" borderId="21" xfId="0" applyNumberFormat="1" applyFont="1" applyFill="1" applyBorder="1" applyAlignment="1" applyProtection="1"/>
    <xf numFmtId="0" fontId="5" fillId="0" borderId="22" xfId="0" applyNumberFormat="1" applyFont="1" applyFill="1" applyBorder="1" applyAlignment="1" applyProtection="1"/>
    <xf numFmtId="2" fontId="5" fillId="0" borderId="22" xfId="0" applyNumberFormat="1" applyFont="1" applyFill="1" applyBorder="1" applyAlignment="1" applyProtection="1"/>
    <xf numFmtId="0" fontId="5" fillId="0" borderId="23" xfId="0" applyNumberFormat="1" applyFont="1" applyFill="1" applyBorder="1" applyAlignment="1" applyProtection="1"/>
    <xf numFmtId="0" fontId="5" fillId="0" borderId="17" xfId="0" applyNumberFormat="1" applyFont="1" applyFill="1" applyBorder="1" applyAlignment="1" applyProtection="1"/>
    <xf numFmtId="0" fontId="5" fillId="0" borderId="0" xfId="0" applyNumberFormat="1" applyFont="1" applyFill="1" applyBorder="1" applyAlignment="1" applyProtection="1"/>
    <xf numFmtId="2" fontId="5" fillId="0" borderId="0" xfId="0" applyNumberFormat="1" applyFont="1" applyFill="1" applyBorder="1" applyAlignment="1" applyProtection="1"/>
    <xf numFmtId="0" fontId="5" fillId="0" borderId="5" xfId="0" applyNumberFormat="1" applyFont="1" applyFill="1" applyBorder="1" applyAlignment="1" applyProtection="1">
      <alignment wrapText="1"/>
    </xf>
    <xf numFmtId="0" fontId="23" fillId="3" borderId="7" xfId="0" applyNumberFormat="1" applyFont="1" applyFill="1" applyBorder="1" applyAlignment="1" applyProtection="1"/>
    <xf numFmtId="176" fontId="5" fillId="0" borderId="7" xfId="0" applyNumberFormat="1" applyFont="1" applyFill="1" applyBorder="1" applyAlignment="1" applyProtection="1"/>
    <xf numFmtId="0" fontId="5" fillId="0" borderId="5"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xf>
    <xf numFmtId="0" fontId="5" fillId="4" borderId="7" xfId="0" applyNumberFormat="1" applyFont="1" applyFill="1" applyBorder="1" applyAlignment="1" applyProtection="1">
      <alignment horizontal="right" vertical="center"/>
      <protection locked="0"/>
    </xf>
    <xf numFmtId="0" fontId="5" fillId="0" borderId="7" xfId="0" applyNumberFormat="1" applyFont="1" applyFill="1" applyBorder="1" applyAlignment="1" applyProtection="1">
      <alignment horizontal="right" vertical="center"/>
    </xf>
    <xf numFmtId="177" fontId="25" fillId="0" borderId="7" xfId="0" applyNumberFormat="1" applyFont="1" applyFill="1" applyBorder="1" applyAlignment="1" applyProtection="1"/>
    <xf numFmtId="177" fontId="5" fillId="4" borderId="7" xfId="0" applyNumberFormat="1" applyFont="1" applyFill="1" applyBorder="1" applyAlignment="1" applyProtection="1">
      <protection locked="0"/>
    </xf>
    <xf numFmtId="177" fontId="25" fillId="3" borderId="7" xfId="0" applyNumberFormat="1" applyFont="1" applyFill="1" applyBorder="1" applyAlignment="1" applyProtection="1"/>
    <xf numFmtId="177" fontId="23" fillId="4" borderId="7" xfId="0" applyNumberFormat="1" applyFont="1" applyFill="1" applyBorder="1" applyAlignment="1" applyProtection="1">
      <protection locked="0"/>
    </xf>
    <xf numFmtId="0" fontId="0" fillId="3" borderId="46" xfId="0" applyFill="1" applyBorder="1" applyAlignment="1" applyProtection="1">
      <alignment vertical="center"/>
    </xf>
    <xf numFmtId="177" fontId="23" fillId="3" borderId="7" xfId="0" applyNumberFormat="1" applyFont="1" applyFill="1" applyBorder="1" applyAlignment="1" applyProtection="1"/>
    <xf numFmtId="2" fontId="23" fillId="3" borderId="7" xfId="0" applyNumberFormat="1" applyFont="1" applyFill="1" applyBorder="1" applyAlignment="1" applyProtection="1">
      <alignment horizontal="right" vertical="center" wrapText="1"/>
    </xf>
    <xf numFmtId="2" fontId="23" fillId="3" borderId="7" xfId="0" applyNumberFormat="1" applyFont="1" applyFill="1" applyBorder="1" applyAlignment="1" applyProtection="1">
      <alignment horizontal="right"/>
    </xf>
    <xf numFmtId="2" fontId="25" fillId="0" borderId="7" xfId="0" applyNumberFormat="1" applyFont="1" applyFill="1" applyBorder="1" applyAlignment="1" applyProtection="1"/>
    <xf numFmtId="0" fontId="5" fillId="0" borderId="39" xfId="0" applyNumberFormat="1" applyFont="1" applyFill="1" applyBorder="1" applyAlignment="1" applyProtection="1"/>
    <xf numFmtId="0" fontId="5" fillId="0" borderId="40" xfId="0" applyNumberFormat="1" applyFont="1" applyFill="1" applyBorder="1" applyAlignment="1" applyProtection="1"/>
    <xf numFmtId="2" fontId="5" fillId="4" borderId="40" xfId="0" applyNumberFormat="1" applyFont="1" applyFill="1" applyBorder="1" applyAlignment="1" applyProtection="1">
      <protection locked="0"/>
    </xf>
    <xf numFmtId="0" fontId="5" fillId="0" borderId="41" xfId="0" applyNumberFormat="1" applyFont="1" applyFill="1" applyBorder="1" applyAlignment="1" applyProtection="1"/>
    <xf numFmtId="0" fontId="5" fillId="0" borderId="36" xfId="0" applyNumberFormat="1" applyFont="1" applyFill="1" applyBorder="1" applyAlignment="1" applyProtection="1"/>
    <xf numFmtId="0" fontId="5" fillId="0" borderId="37" xfId="0" applyNumberFormat="1" applyFont="1" applyFill="1" applyBorder="1" applyAlignment="1" applyProtection="1"/>
    <xf numFmtId="0" fontId="5" fillId="4" borderId="37" xfId="0" applyNumberFormat="1" applyFont="1" applyFill="1" applyBorder="1" applyAlignment="1" applyProtection="1">
      <protection locked="0"/>
    </xf>
    <xf numFmtId="0" fontId="5" fillId="0" borderId="38" xfId="0" applyNumberFormat="1" applyFont="1" applyFill="1" applyBorder="1" applyAlignment="1" applyProtection="1"/>
    <xf numFmtId="1" fontId="25" fillId="3" borderId="37" xfId="0" applyNumberFormat="1" applyFont="1" applyFill="1" applyBorder="1" applyAlignment="1" applyProtection="1"/>
    <xf numFmtId="1" fontId="5" fillId="4" borderId="37" xfId="0" applyNumberFormat="1" applyFont="1" applyFill="1" applyBorder="1" applyAlignment="1" applyProtection="1">
      <protection locked="0"/>
    </xf>
    <xf numFmtId="2" fontId="0" fillId="4" borderId="7" xfId="0" applyNumberFormat="1" applyFill="1" applyBorder="1" applyProtection="1">
      <protection locked="0"/>
    </xf>
    <xf numFmtId="177" fontId="7" fillId="3" borderId="37" xfId="0" applyNumberFormat="1" applyFont="1" applyFill="1" applyBorder="1" applyProtection="1"/>
    <xf numFmtId="2" fontId="5" fillId="4" borderId="37" xfId="0" applyNumberFormat="1" applyFont="1" applyFill="1" applyBorder="1" applyAlignment="1" applyProtection="1">
      <protection locked="0"/>
    </xf>
    <xf numFmtId="176" fontId="25" fillId="0" borderId="37" xfId="0" applyNumberFormat="1" applyFont="1" applyFill="1" applyBorder="1" applyAlignment="1" applyProtection="1"/>
    <xf numFmtId="0" fontId="0" fillId="3" borderId="47" xfId="0" applyFont="1" applyFill="1" applyBorder="1" applyAlignment="1" applyProtection="1">
      <alignment horizontal="center" vertical="center"/>
    </xf>
    <xf numFmtId="0" fontId="0" fillId="3" borderId="48" xfId="0" applyFont="1" applyFill="1" applyBorder="1" applyAlignment="1" applyProtection="1">
      <alignment horizontal="center" vertical="center"/>
    </xf>
    <xf numFmtId="176" fontId="5" fillId="4" borderId="37" xfId="0" applyNumberFormat="1" applyFont="1" applyFill="1" applyBorder="1" applyAlignment="1" applyProtection="1">
      <protection locked="0"/>
    </xf>
    <xf numFmtId="177" fontId="5" fillId="3" borderId="37" xfId="0" applyNumberFormat="1" applyFont="1" applyFill="1" applyBorder="1" applyAlignment="1" applyProtection="1"/>
    <xf numFmtId="177" fontId="23" fillId="3" borderId="7" xfId="0" applyNumberFormat="1" applyFont="1" applyFill="1" applyBorder="1" applyAlignment="1" applyProtection="1">
      <alignment horizontal="right"/>
    </xf>
    <xf numFmtId="1" fontId="23" fillId="3" borderId="37" xfId="0" applyNumberFormat="1" applyFont="1" applyFill="1" applyBorder="1" applyAlignment="1" applyProtection="1">
      <alignment horizontal="right"/>
    </xf>
    <xf numFmtId="176" fontId="25" fillId="0" borderId="22" xfId="0" applyNumberFormat="1" applyFont="1" applyFill="1" applyBorder="1" applyAlignment="1" applyProtection="1"/>
    <xf numFmtId="0" fontId="26" fillId="0" borderId="0" xfId="0" applyNumberFormat="1" applyFont="1" applyFill="1" applyBorder="1" applyAlignment="1" applyProtection="1"/>
    <xf numFmtId="0" fontId="22" fillId="3" borderId="8" xfId="0" applyFont="1" applyFill="1" applyBorder="1" applyAlignment="1" applyProtection="1">
      <alignment vertical="center"/>
    </xf>
    <xf numFmtId="1" fontId="25" fillId="0" borderId="7" xfId="0" applyNumberFormat="1" applyFont="1" applyFill="1" applyBorder="1" applyAlignment="1" applyProtection="1"/>
    <xf numFmtId="0" fontId="0" fillId="7" borderId="7" xfId="0" applyFill="1" applyBorder="1"/>
    <xf numFmtId="0" fontId="23" fillId="0" borderId="7" xfId="0" applyNumberFormat="1" applyFont="1" applyFill="1" applyBorder="1" applyAlignment="1" applyProtection="1"/>
  </cellXfs>
  <cellStyles count="52">
    <cellStyle name="一般" xfId="0" builtinId="0"/>
    <cellStyle name="超連結" xfId="1" builtinId="8"/>
    <cellStyle name="20% - 輔色2" xfId="2" builtinId="34"/>
    <cellStyle name="千分位[0]" xfId="3" builtinId="6"/>
    <cellStyle name="千分位" xfId="4" builtinId="3"/>
    <cellStyle name="20% - 輔色1" xfId="5" builtinId="30"/>
    <cellStyle name="貨幣" xfId="6" builtinId="4"/>
    <cellStyle name="備註" xfId="7" builtinId="10"/>
    <cellStyle name="已瀏覽過的超連結" xfId="8" builtinId="9"/>
    <cellStyle name="Normal 2_DESIGN INPUTS AND CALCULATIONS" xfId="9"/>
    <cellStyle name="百分比" xfId="10" builtinId="5"/>
    <cellStyle name="Normal 2" xfId="11"/>
    <cellStyle name="20% - 輔色5" xfId="12" builtinId="46"/>
    <cellStyle name="40% - 輔色3" xfId="13" builtinId="39"/>
    <cellStyle name="60% - 輔色1" xfId="14" builtinId="32"/>
    <cellStyle name="貨幣[0]" xfId="15" builtinId="7"/>
    <cellStyle name="警告文字" xfId="16" builtinId="11"/>
    <cellStyle name="標題" xfId="17" builtinId="15"/>
    <cellStyle name="說明文字" xfId="18" builtinId="53"/>
    <cellStyle name="40% - 輔色6" xfId="19" builtinId="51"/>
    <cellStyle name="60% - 輔色4" xfId="20" builtinId="44"/>
    <cellStyle name="標題 1" xfId="21" builtinId="16"/>
    <cellStyle name="60% - 輔色5" xfId="22" builtinId="48"/>
    <cellStyle name="標題 2" xfId="23" builtinId="17"/>
    <cellStyle name="60% - 輔色6" xfId="24" builtinId="52"/>
    <cellStyle name="標題 3" xfId="25" builtinId="18"/>
    <cellStyle name="標題 4" xfId="26" builtinId="19"/>
    <cellStyle name="好" xfId="27" builtinId="26"/>
    <cellStyle name="輸入" xfId="28" builtinId="20"/>
    <cellStyle name="輸出" xfId="29" builtinId="21"/>
    <cellStyle name="計算方式" xfId="30" builtinId="22"/>
    <cellStyle name="Normal 2 2" xfId="31"/>
    <cellStyle name="檢查儲存格" xfId="32" builtinId="23"/>
    <cellStyle name="連結的儲存格" xfId="33" builtinId="24"/>
    <cellStyle name="加總" xfId="34" builtinId="25"/>
    <cellStyle name="壞" xfId="35" builtinId="27"/>
    <cellStyle name="中性" xfId="36" builtinId="28"/>
    <cellStyle name="輔色1" xfId="37" builtinId="29"/>
    <cellStyle name="20% - 輔色3" xfId="38" builtinId="38"/>
    <cellStyle name="40% - 輔色1" xfId="39" builtinId="31"/>
    <cellStyle name="輔色2" xfId="40" builtinId="33"/>
    <cellStyle name="20% - 輔色4" xfId="41" builtinId="42"/>
    <cellStyle name="40% - 輔色2" xfId="42" builtinId="35"/>
    <cellStyle name="20% - 輔色6" xfId="43" builtinId="50"/>
    <cellStyle name="40% - 輔色4" xfId="44" builtinId="43"/>
    <cellStyle name="60% - 輔色2" xfId="45" builtinId="36"/>
    <cellStyle name="輔色3" xfId="46" builtinId="37"/>
    <cellStyle name="40% - 輔色5" xfId="47" builtinId="47"/>
    <cellStyle name="60% - 輔色3" xfId="48" builtinId="40"/>
    <cellStyle name="輔色4" xfId="49" builtinId="41"/>
    <cellStyle name="輔色5" xfId="50" builtinId="45"/>
    <cellStyle name="輔色6" xfId="51" builtinId="49"/>
  </cellStyles>
  <dxfs count="3">
    <dxf>
      <font>
        <color rgb="FF006100"/>
      </font>
      <fill>
        <patternFill patternType="solid">
          <bgColor rgb="FFC6EFCE"/>
        </patternFill>
      </fill>
    </dxf>
    <dxf>
      <font>
        <color rgb="FF9C0006"/>
      </font>
      <fill>
        <patternFill patternType="solid">
          <bgColor rgb="FFFFC7CE"/>
        </patternFill>
      </fill>
    </dxf>
    <dxf>
      <fill>
        <patternFill patternType="solid">
          <bgColor theme="0" tint="-0.3499862666707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M</a:t>
            </a:r>
            <a:r>
              <a:rPr lang="en-US" baseline="-25000"/>
              <a:t>G(peak)</a:t>
            </a:r>
            <a:r>
              <a:rPr lang="en-US"/>
              <a:t> Vs Q</a:t>
            </a:r>
            <a:r>
              <a:rPr lang="en-US" baseline="-25000"/>
              <a:t>E</a:t>
            </a:r>
            <a:r>
              <a:rPr lang="en-US"/>
              <a:t> with respect to L</a:t>
            </a:r>
            <a:r>
              <a:rPr lang="en-US" baseline="-25000"/>
              <a:t>N</a:t>
            </a:r>
            <a:endParaRPr lang="en-US" baseline="-25000"/>
          </a:p>
        </c:rich>
      </c:tx>
      <c:layout/>
      <c:overlay val="0"/>
    </c:title>
    <c:autoTitleDeleted val="0"/>
    <c:plotArea>
      <c:layout/>
      <c:scatterChart>
        <c:scatterStyle val="smooth"/>
        <c:varyColors val="0"/>
        <c:ser>
          <c:idx val="6"/>
          <c:order val="0"/>
          <c:tx>
            <c:strRef>
              <c:f>"Ln = 2"</c:f>
              <c:strCache>
                <c:ptCount val="1"/>
                <c:pt idx="0">
                  <c:v>Ln = 2</c:v>
                </c:pt>
              </c:strCache>
            </c:strRef>
          </c:tx>
          <c:spPr>
            <a:ln w="28575" cap="rnd" cmpd="sng" algn="ctr">
              <a:solidFill>
                <a:srgbClr val="FF0000"/>
              </a:solidFill>
              <a:prstDash val="solid"/>
              <a:round/>
            </a:ln>
          </c:spPr>
          <c:marker>
            <c:symbol val="none"/>
          </c:marker>
          <c:dLbls>
            <c:delete val="1"/>
          </c:dLbls>
          <c:xVal>
            <c:numRef>
              <c:f>'tables and calculations'!$G$8:$G$22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2.05</c:v>
                </c:pt>
                <c:pt idx="4">
                  <c:v>1.73</c:v>
                </c:pt>
                <c:pt idx="5">
                  <c:v>1.52</c:v>
                </c:pt>
                <c:pt idx="6">
                  <c:v>1.38</c:v>
                </c:pt>
                <c:pt idx="7">
                  <c:v>1.28</c:v>
                </c:pt>
                <c:pt idx="8">
                  <c:v>1.21</c:v>
                </c:pt>
                <c:pt idx="9">
                  <c:v>1.16</c:v>
                </c:pt>
                <c:pt idx="10">
                  <c:v>1.13</c:v>
                </c:pt>
                <c:pt idx="11">
                  <c:v>1.11</c:v>
                </c:pt>
                <c:pt idx="12">
                  <c:v>1.09</c:v>
                </c:pt>
                <c:pt idx="13">
                  <c:v>1.07</c:v>
                </c:pt>
                <c:pt idx="14">
                  <c:v>1.06</c:v>
                </c:pt>
              </c:numCache>
            </c:numRef>
          </c:yVal>
          <c:smooth val="1"/>
        </c:ser>
        <c:ser>
          <c:idx val="1"/>
          <c:order val="1"/>
          <c:tx>
            <c:strRef>
              <c:f>"Ln = 2.5"</c:f>
              <c:strCache>
                <c:ptCount val="1"/>
                <c:pt idx="0">
                  <c:v>Ln = 2.5</c:v>
                </c:pt>
              </c:strCache>
            </c:strRef>
          </c:tx>
          <c:spPr>
            <a:ln w="28575" cap="rnd" cmpd="sng" algn="ctr">
              <a:solidFill>
                <a:srgbClr val="FF0000"/>
              </a:solidFill>
              <a:prstDash val="sysDash"/>
              <a:round/>
            </a:ln>
          </c:spPr>
          <c:marker>
            <c:symbol val="none"/>
          </c:marker>
          <c:dLbls>
            <c:delete val="1"/>
          </c:dLbls>
          <c:xVal>
            <c:numRef>
              <c:f>'tables and calculations'!$K$8:$K$22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calculations'!$J$8:$J$22</c:f>
              <c:numCache>
                <c:formatCode>0.00E+00</c:formatCode>
                <c:ptCount val="15"/>
                <c:pt idx="0">
                  <c:v>5.03</c:v>
                </c:pt>
                <c:pt idx="1">
                  <c:v>3.06</c:v>
                </c:pt>
                <c:pt idx="2">
                  <c:v>2.24</c:v>
                </c:pt>
                <c:pt idx="3">
                  <c:v>1.8</c:v>
                </c:pt>
                <c:pt idx="4">
                  <c:v>1.53</c:v>
                </c:pt>
                <c:pt idx="5">
                  <c:v>1.36</c:v>
                </c:pt>
                <c:pt idx="6">
                  <c:v>1.25</c:v>
                </c:pt>
                <c:pt idx="7">
                  <c:v>1.18</c:v>
                </c:pt>
                <c:pt idx="8">
                  <c:v>1.13</c:v>
                </c:pt>
                <c:pt idx="9">
                  <c:v>1.1</c:v>
                </c:pt>
                <c:pt idx="10">
                  <c:v>1.08</c:v>
                </c:pt>
                <c:pt idx="11">
                  <c:v>1.07</c:v>
                </c:pt>
                <c:pt idx="12">
                  <c:v>1.05</c:v>
                </c:pt>
                <c:pt idx="13">
                  <c:v>1.05</c:v>
                </c:pt>
                <c:pt idx="14">
                  <c:v>1.04</c:v>
                </c:pt>
              </c:numCache>
            </c:numRef>
          </c:yVal>
          <c:smooth val="1"/>
        </c:ser>
        <c:ser>
          <c:idx val="0"/>
          <c:order val="2"/>
          <c:tx>
            <c:strRef>
              <c:f>"Ln = 3"</c:f>
              <c:strCache>
                <c:ptCount val="1"/>
                <c:pt idx="0">
                  <c:v>Ln = 3</c:v>
                </c:pt>
              </c:strCache>
            </c:strRef>
          </c:tx>
          <c:spPr>
            <a:ln w="28575" cap="rnd" cmpd="sng" algn="ctr">
              <a:solidFill>
                <a:schemeClr val="accent6">
                  <a:lumMod val="75000"/>
                </a:schemeClr>
              </a:solidFill>
              <a:prstDash val="solid"/>
              <a:round/>
            </a:ln>
          </c:spPr>
          <c:marker>
            <c:symbol val="none"/>
          </c:marker>
          <c:dLbls>
            <c:delete val="1"/>
          </c:dLbls>
          <c:xVal>
            <c:numRef>
              <c:f>'tables and calculations'!$AF$8:$AF$23</c:f>
              <c:numCache>
                <c:formatCode>0.00E+00</c:formatCode>
                <c:ptCount val="16"/>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calculations'!$O$8:$O$22</c:f>
              <c:numCache>
                <c:formatCode>0.00E+00</c:formatCode>
                <c:ptCount val="15"/>
                <c:pt idx="0">
                  <c:v>4.47</c:v>
                </c:pt>
                <c:pt idx="1">
                  <c:v>2.74</c:v>
                </c:pt>
                <c:pt idx="2">
                  <c:v>2.01</c:v>
                </c:pt>
                <c:pt idx="3">
                  <c:v>1.63</c:v>
                </c:pt>
                <c:pt idx="4">
                  <c:v>1.4</c:v>
                </c:pt>
                <c:pt idx="5">
                  <c:v>1.26</c:v>
                </c:pt>
                <c:pt idx="6">
                  <c:v>1.17</c:v>
                </c:pt>
                <c:pt idx="7">
                  <c:v>1.12</c:v>
                </c:pt>
                <c:pt idx="8">
                  <c:v>1.09</c:v>
                </c:pt>
                <c:pt idx="9">
                  <c:v>1.07</c:v>
                </c:pt>
                <c:pt idx="10">
                  <c:v>1.05</c:v>
                </c:pt>
                <c:pt idx="11">
                  <c:v>1.04</c:v>
                </c:pt>
                <c:pt idx="12">
                  <c:v>1.04</c:v>
                </c:pt>
                <c:pt idx="13">
                  <c:v>1.03</c:v>
                </c:pt>
                <c:pt idx="14">
                  <c:v>1.03</c:v>
                </c:pt>
              </c:numCache>
            </c:numRef>
          </c:yVal>
          <c:smooth val="1"/>
        </c:ser>
        <c:ser>
          <c:idx val="2"/>
          <c:order val="3"/>
          <c:tx>
            <c:strRef>
              <c:f>"Ln = 3.5"</c:f>
              <c:strCache>
                <c:ptCount val="1"/>
                <c:pt idx="0">
                  <c:v>Ln = 3.5</c:v>
                </c:pt>
              </c:strCache>
            </c:strRef>
          </c:tx>
          <c:spPr>
            <a:ln w="28575" cap="rnd" cmpd="sng" algn="ctr">
              <a:solidFill>
                <a:schemeClr val="accent6">
                  <a:lumMod val="75000"/>
                </a:schemeClr>
              </a:solidFill>
              <a:prstDash val="sysDash"/>
              <a:round/>
            </a:ln>
          </c:spPr>
          <c:marker>
            <c:symbol val="none"/>
          </c:marker>
          <c:dLbls>
            <c:delete val="1"/>
          </c:dLbls>
          <c:xVal>
            <c:numRef>
              <c:f>'tables and calculations'!$T$8:$T$22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calculations'!$S$8:$S$22</c:f>
              <c:numCache>
                <c:formatCode>0.00E+00</c:formatCode>
                <c:ptCount val="15"/>
                <c:pt idx="0">
                  <c:v>4.09</c:v>
                </c:pt>
                <c:pt idx="1">
                  <c:v>2.5</c:v>
                </c:pt>
                <c:pt idx="2">
                  <c:v>1.85</c:v>
                </c:pt>
                <c:pt idx="3">
                  <c:v>1.5</c:v>
                </c:pt>
                <c:pt idx="4">
                  <c:v>1.31</c:v>
                </c:pt>
                <c:pt idx="5">
                  <c:v>1.19</c:v>
                </c:pt>
                <c:pt idx="6">
                  <c:v>1.12</c:v>
                </c:pt>
                <c:pt idx="7">
                  <c:v>1.09</c:v>
                </c:pt>
                <c:pt idx="8">
                  <c:v>1.06</c:v>
                </c:pt>
                <c:pt idx="9">
                  <c:v>1.05</c:v>
                </c:pt>
                <c:pt idx="10">
                  <c:v>1.04</c:v>
                </c:pt>
                <c:pt idx="11">
                  <c:v>1.03</c:v>
                </c:pt>
                <c:pt idx="12">
                  <c:v>1.03</c:v>
                </c:pt>
                <c:pt idx="13">
                  <c:v>1.02</c:v>
                </c:pt>
                <c:pt idx="14">
                  <c:v>1.02</c:v>
                </c:pt>
              </c:numCache>
            </c:numRef>
          </c:yVal>
          <c:smooth val="1"/>
        </c:ser>
        <c:ser>
          <c:idx val="3"/>
          <c:order val="4"/>
          <c:tx>
            <c:strRef>
              <c:f>"Ln = 4"</c:f>
              <c:strCache>
                <c:ptCount val="1"/>
                <c:pt idx="0">
                  <c:v>Ln = 4</c:v>
                </c:pt>
              </c:strCache>
            </c:strRef>
          </c:tx>
          <c:spPr>
            <a:ln w="28575" cap="rnd" cmpd="sng" algn="ctr">
              <a:solidFill>
                <a:schemeClr val="accent4">
                  <a:lumMod val="75000"/>
                </a:schemeClr>
              </a:solidFill>
              <a:prstDash val="solid"/>
              <a:round/>
            </a:ln>
          </c:spPr>
          <c:marker>
            <c:symbol val="none"/>
          </c:marker>
          <c:dLbls>
            <c:delete val="1"/>
          </c:dLbls>
          <c:xVal>
            <c:numRef>
              <c:f>'tables and calculations'!$X$8:$X$22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calculations'!$W$8:$W$22</c:f>
              <c:numCache>
                <c:formatCode>0.00E+00</c:formatCode>
                <c:ptCount val="15"/>
                <c:pt idx="0">
                  <c:v>3.76</c:v>
                </c:pt>
                <c:pt idx="1">
                  <c:v>2.32</c:v>
                </c:pt>
                <c:pt idx="2">
                  <c:v>1.72</c:v>
                </c:pt>
                <c:pt idx="3">
                  <c:v>1.41</c:v>
                </c:pt>
                <c:pt idx="4">
                  <c:v>1.24</c:v>
                </c:pt>
                <c:pt idx="5">
                  <c:v>1.14</c:v>
                </c:pt>
                <c:pt idx="6">
                  <c:v>1.09</c:v>
                </c:pt>
                <c:pt idx="7">
                  <c:v>1.06</c:v>
                </c:pt>
                <c:pt idx="8">
                  <c:v>1.05</c:v>
                </c:pt>
                <c:pt idx="9">
                  <c:v>1.04</c:v>
                </c:pt>
                <c:pt idx="10">
                  <c:v>1.03</c:v>
                </c:pt>
                <c:pt idx="11">
                  <c:v>1.02</c:v>
                </c:pt>
                <c:pt idx="12">
                  <c:v>1.02</c:v>
                </c:pt>
                <c:pt idx="13">
                  <c:v>1.02</c:v>
                </c:pt>
                <c:pt idx="14">
                  <c:v>1.01</c:v>
                </c:pt>
              </c:numCache>
            </c:numRef>
          </c:yVal>
          <c:smooth val="1"/>
        </c:ser>
        <c:ser>
          <c:idx val="4"/>
          <c:order val="5"/>
          <c:tx>
            <c:strRef>
              <c:f>"Ln = 4.5"</c:f>
              <c:strCache>
                <c:ptCount val="1"/>
                <c:pt idx="0">
                  <c:v>Ln = 4.5</c:v>
                </c:pt>
              </c:strCache>
            </c:strRef>
          </c:tx>
          <c:spPr>
            <a:ln w="28575" cap="rnd" cmpd="sng" algn="ctr">
              <a:solidFill>
                <a:schemeClr val="accent4">
                  <a:lumMod val="75000"/>
                </a:schemeClr>
              </a:solidFill>
              <a:prstDash val="sysDash"/>
              <a:round/>
            </a:ln>
          </c:spPr>
          <c:marker>
            <c:symbol val="none"/>
          </c:marker>
          <c:dLbls>
            <c:delete val="1"/>
          </c:dLbls>
          <c:xVal>
            <c:numRef>
              <c:f>'tables and calculations'!$AB$8:$AB$22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calculations'!$AA$8:$AA$22</c:f>
              <c:numCache>
                <c:formatCode>0.00E+00</c:formatCode>
                <c:ptCount val="15"/>
                <c:pt idx="0">
                  <c:v>3.51</c:v>
                </c:pt>
                <c:pt idx="1">
                  <c:v>2.17</c:v>
                </c:pt>
                <c:pt idx="2">
                  <c:v>1.62</c:v>
                </c:pt>
                <c:pt idx="3">
                  <c:v>1.34</c:v>
                </c:pt>
                <c:pt idx="4">
                  <c:v>1.19</c:v>
                </c:pt>
                <c:pt idx="5">
                  <c:v>1.11</c:v>
                </c:pt>
                <c:pt idx="6">
                  <c:v>1.07</c:v>
                </c:pt>
                <c:pt idx="7">
                  <c:v>1.05</c:v>
                </c:pt>
                <c:pt idx="8">
                  <c:v>1.04</c:v>
                </c:pt>
                <c:pt idx="9">
                  <c:v>1.03</c:v>
                </c:pt>
                <c:pt idx="10">
                  <c:v>1.02</c:v>
                </c:pt>
                <c:pt idx="11">
                  <c:v>1.02</c:v>
                </c:pt>
                <c:pt idx="12">
                  <c:v>1.02</c:v>
                </c:pt>
                <c:pt idx="13">
                  <c:v>1.01</c:v>
                </c:pt>
                <c:pt idx="14">
                  <c:v>1.01</c:v>
                </c:pt>
              </c:numCache>
            </c:numRef>
          </c:yVal>
          <c:smooth val="1"/>
        </c:ser>
        <c:ser>
          <c:idx val="5"/>
          <c:order val="6"/>
          <c:tx>
            <c:strRef>
              <c:f>"Ln = 5"</c:f>
              <c:strCache>
                <c:ptCount val="1"/>
                <c:pt idx="0">
                  <c:v>Ln = 5</c:v>
                </c:pt>
              </c:strCache>
            </c:strRef>
          </c:tx>
          <c:spPr>
            <a:ln w="28575" cap="rnd" cmpd="sng" algn="ctr">
              <a:solidFill>
                <a:srgbClr val="00B050"/>
              </a:solidFill>
              <a:prstDash val="solid"/>
              <a:round/>
            </a:ln>
          </c:spPr>
          <c:marker>
            <c:symbol val="none"/>
          </c:marker>
          <c:dLbls>
            <c:delete val="1"/>
          </c:dLbls>
          <c:xVal>
            <c:numRef>
              <c:f>'tables and calculations'!$AF$8:$AF$22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calculations'!$AE$8:$AE$22</c:f>
              <c:numCache>
                <c:formatCode>0.00E+00</c:formatCode>
                <c:ptCount val="15"/>
                <c:pt idx="0">
                  <c:v>3.32</c:v>
                </c:pt>
                <c:pt idx="1">
                  <c:v>2.05</c:v>
                </c:pt>
                <c:pt idx="2">
                  <c:v>1.54</c:v>
                </c:pt>
                <c:pt idx="3">
                  <c:v>1.28</c:v>
                </c:pt>
                <c:pt idx="4">
                  <c:v>1.15</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strRef>
              <c:f>"Ln = 6"</c:f>
              <c:strCache>
                <c:ptCount val="1"/>
                <c:pt idx="0">
                  <c:v>Ln = 6</c:v>
                </c:pt>
              </c:strCache>
            </c:strRef>
          </c:tx>
          <c:spPr>
            <a:ln w="28575" cap="rnd" cmpd="sng" algn="ctr">
              <a:solidFill>
                <a:schemeClr val="accent1"/>
              </a:solidFill>
              <a:prstDash val="solid"/>
              <a:round/>
            </a:ln>
          </c:spPr>
          <c:marker>
            <c:symbol val="none"/>
          </c:marker>
          <c:dLbls>
            <c:delete val="1"/>
          </c:dLbls>
          <c:xVal>
            <c:numRef>
              <c:f>'tables and calculations'!$AN$8:$AN$22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calculations'!$AM$8:$AM$22</c:f>
              <c:numCache>
                <c:formatCode>0.00E+00</c:formatCode>
                <c:ptCount val="15"/>
                <c:pt idx="0">
                  <c:v>3</c:v>
                </c:pt>
                <c:pt idx="1">
                  <c:v>1.86</c:v>
                </c:pt>
                <c:pt idx="2">
                  <c:v>1.41</c:v>
                </c:pt>
                <c:pt idx="3">
                  <c:v>1.19</c:v>
                </c:pt>
                <c:pt idx="4">
                  <c:v>1.09</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strRef>
              <c:f>"Ln = 7"</c:f>
              <c:strCache>
                <c:ptCount val="1"/>
                <c:pt idx="0">
                  <c:v>Ln = 7</c:v>
                </c:pt>
              </c:strCache>
            </c:strRef>
          </c:tx>
          <c:spPr>
            <a:ln w="28575" cap="rnd" cmpd="sng" algn="ctr">
              <a:solidFill>
                <a:schemeClr val="accent2">
                  <a:lumMod val="75000"/>
                </a:schemeClr>
              </a:solidFill>
              <a:prstDash val="solid"/>
              <a:round/>
            </a:ln>
          </c:spPr>
          <c:marker>
            <c:symbol val="none"/>
          </c:marker>
          <c:dLbls>
            <c:delete val="1"/>
          </c:dLbls>
          <c:xVal>
            <c:numRef>
              <c:f>'tables and calculations'!$AV$8:$AV$22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calculations'!$AU$8:$AU$22</c:f>
              <c:numCache>
                <c:formatCode>0.00E+00</c:formatCode>
                <c:ptCount val="15"/>
                <c:pt idx="0">
                  <c:v>2.75</c:v>
                </c:pt>
                <c:pt idx="1">
                  <c:v>1.72</c:v>
                </c:pt>
                <c:pt idx="2">
                  <c:v>1.32</c:v>
                </c:pt>
                <c:pt idx="3">
                  <c:v>1.14</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strRef>
              <c:f>"Ln = 8"</c:f>
              <c:strCache>
                <c:ptCount val="1"/>
                <c:pt idx="0">
                  <c:v>Ln = 8</c:v>
                </c:pt>
              </c:strCache>
            </c:strRef>
          </c:tx>
          <c:spPr>
            <a:ln w="28575" cap="rnd" cmpd="sng" algn="ctr">
              <a:solidFill>
                <a:schemeClr val="bg1">
                  <a:lumMod val="50000"/>
                </a:schemeClr>
              </a:solidFill>
              <a:prstDash val="solid"/>
              <a:round/>
            </a:ln>
          </c:spPr>
          <c:marker>
            <c:symbol val="none"/>
          </c:marker>
          <c:dLbls>
            <c:delete val="1"/>
          </c:dLbls>
          <c:xVal>
            <c:numRef>
              <c:f>'tables and calculations'!$BD$8:$BD$22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calculations'!$BC$8:$BC$22</c:f>
              <c:numCache>
                <c:formatCode>0.00E+00</c:formatCode>
                <c:ptCount val="15"/>
                <c:pt idx="0">
                  <c:v>2.56</c:v>
                </c:pt>
                <c:pt idx="1">
                  <c:v>1.61</c:v>
                </c:pt>
                <c:pt idx="2">
                  <c:v>1.25</c:v>
                </c:pt>
                <c:pt idx="3">
                  <c:v>1.1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strRef>
              <c:f>"Ln = 9"</c:f>
              <c:strCache>
                <c:ptCount val="1"/>
                <c:pt idx="0">
                  <c:v>Ln = 9</c:v>
                </c:pt>
              </c:strCache>
            </c:strRef>
          </c:tx>
          <c:spPr>
            <a:ln w="28575" cap="rnd" cmpd="sng" algn="ctr">
              <a:solidFill>
                <a:schemeClr val="tx1"/>
              </a:solidFill>
              <a:prstDash val="solid"/>
              <a:round/>
            </a:ln>
          </c:spPr>
          <c:marker>
            <c:symbol val="none"/>
          </c:marker>
          <c:dLbls>
            <c:delete val="1"/>
          </c:dLbls>
          <c:xVal>
            <c:numRef>
              <c:f>'tables and calculations'!$BL$8:$BL$22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calculations'!$BK$8:$BK$22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strRef>
              <c:f>"Mg_max"</c:f>
              <c:strCache>
                <c:ptCount val="1"/>
                <c:pt idx="0">
                  <c:v>Mg_max</c:v>
                </c:pt>
              </c:strCache>
            </c:strRef>
          </c:tx>
          <c:spPr>
            <a:ln w="28575" cap="rnd" cmpd="sng" algn="ctr">
              <a:solidFill>
                <a:schemeClr val="accent6">
                  <a:shade val="95000"/>
                  <a:satMod val="105000"/>
                </a:schemeClr>
              </a:solidFill>
              <a:prstDash val="dash"/>
              <a:round/>
            </a:ln>
          </c:spPr>
          <c:marker>
            <c:symbol val="none"/>
          </c:marker>
          <c:dLbls>
            <c:delete val="1"/>
          </c:dLbls>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571035648"/>
        <c:axId val="571037568"/>
      </c:scatterChart>
      <c:valAx>
        <c:axId val="571035648"/>
        <c:scaling>
          <c:orientation val="minMax"/>
          <c:max val="1.5"/>
          <c:min val="0.15"/>
        </c:scaling>
        <c:delete val="0"/>
        <c:axPos val="b"/>
        <c:maj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Quality Factor (Q</a:t>
                </a:r>
                <a:r>
                  <a:rPr lang="en-US" baseline="-25000"/>
                  <a:t>E</a:t>
                </a:r>
                <a:r>
                  <a:rPr lang="en-US"/>
                  <a:t>)</a:t>
                </a:r>
                <a:endParaRPr lang="en-US"/>
              </a:p>
            </c:rich>
          </c:tx>
          <c:layout/>
          <c:overlay val="0"/>
        </c:title>
        <c:numFmt formatCode="#,##0.00" sourceLinked="0"/>
        <c:majorTickMark val="out"/>
        <c:minorTickMark val="none"/>
        <c:tickLblPos val="nextTo"/>
        <c:txPr>
          <a:bodyPr rot="-54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37568"/>
        <c:crosses val="autoZero"/>
        <c:crossBetween val="midCat"/>
        <c:majorUnit val="0.05"/>
        <c:minorUnit val="0.01"/>
      </c:valAx>
      <c:valAx>
        <c:axId val="571037568"/>
        <c:scaling>
          <c:orientation val="minMax"/>
          <c:max val="3"/>
          <c:min val="1"/>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Attainable Peak Gain (M</a:t>
                </a:r>
                <a:r>
                  <a:rPr lang="en-US" baseline="-25000"/>
                  <a:t>G(PEAK)</a:t>
                </a:r>
                <a:r>
                  <a:rPr lang="en-US"/>
                  <a:t>)</a:t>
                </a:r>
                <a:endParaRPr lang="en-US"/>
              </a:p>
            </c:rich>
          </c:tx>
          <c:layout/>
          <c:overlay val="0"/>
        </c:title>
        <c:numFmt formatCode="#,##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35648"/>
        <c:crosses val="autoZero"/>
        <c:crossBetween val="midCat"/>
        <c:maj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LLC Gain Curve with the Selected</a:t>
            </a:r>
            <a:r>
              <a:rPr lang="en-US" baseline="0"/>
              <a:t> L</a:t>
            </a:r>
            <a:r>
              <a:rPr lang="en-US" baseline="-25000"/>
              <a:t>N</a:t>
            </a:r>
            <a:r>
              <a:rPr lang="en-US" baseline="0"/>
              <a:t> and Q</a:t>
            </a:r>
            <a:r>
              <a:rPr lang="en-US" baseline="-25000"/>
              <a:t>E</a:t>
            </a:r>
            <a:endParaRPr lang="en-US" baseline="-25000"/>
          </a:p>
        </c:rich>
      </c:tx>
      <c:layout/>
      <c:overlay val="0"/>
    </c:title>
    <c:autoTitleDeleted val="0"/>
    <c:plotArea>
      <c:layout>
        <c:manualLayout>
          <c:layoutTarget val="inner"/>
          <c:xMode val="edge"/>
          <c:yMode val="edge"/>
          <c:x val="0.102309954686885"/>
          <c:y val="0.124561147621301"/>
          <c:w val="0.727390784034531"/>
          <c:h val="0.725456937526216"/>
        </c:manualLayout>
      </c:layout>
      <c:scatterChart>
        <c:scatterStyle val="smooth"/>
        <c:varyColors val="0"/>
        <c:ser>
          <c:idx val="0"/>
          <c:order val="0"/>
          <c:tx>
            <c:strRef>
              <c:f>"Ln_Qe Gain with respect to freq"</c:f>
              <c:strCache>
                <c:ptCount val="1"/>
                <c:pt idx="0">
                  <c:v>Ln_Qe Gain with respect to freq</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calculations'!$S$66:$S$140</c:f>
              <c:numCache>
                <c:formatCode>0.00</c:formatCode>
                <c:ptCount val="75"/>
                <c:pt idx="0">
                  <c:v>0</c:v>
                </c:pt>
                <c:pt idx="1">
                  <c:v>0.0140634604647324</c:v>
                </c:pt>
                <c:pt idx="2">
                  <c:v>0.0582776272582912</c:v>
                </c:pt>
                <c:pt idx="3">
                  <c:v>0.139171901601292</c:v>
                </c:pt>
                <c:pt idx="4">
                  <c:v>0.268977778726311</c:v>
                </c:pt>
                <c:pt idx="5">
                  <c:v>0.465982881659741</c:v>
                </c:pt>
                <c:pt idx="6">
                  <c:v>0.745946291045919</c:v>
                </c:pt>
                <c:pt idx="7">
                  <c:v>1.08264422267278</c:v>
                </c:pt>
                <c:pt idx="8">
                  <c:v>1.35664648193388</c:v>
                </c:pt>
                <c:pt idx="9">
                  <c:v>1.45892862417071</c:v>
                </c:pt>
                <c:pt idx="10">
                  <c:v>1.43205011618118</c:v>
                </c:pt>
                <c:pt idx="11">
                  <c:v>1.36135736510185</c:v>
                </c:pt>
                <c:pt idx="12">
                  <c:v>1.28871359166781</c:v>
                </c:pt>
                <c:pt idx="13">
                  <c:v>1.22585832229997</c:v>
                </c:pt>
                <c:pt idx="14">
                  <c:v>1.17389537413326</c:v>
                </c:pt>
                <c:pt idx="15">
                  <c:v>1.13120686298808</c:v>
                </c:pt>
                <c:pt idx="16">
                  <c:v>1.09585945001898</c:v>
                </c:pt>
                <c:pt idx="17">
                  <c:v>1.06620408510256</c:v>
                </c:pt>
                <c:pt idx="18">
                  <c:v>1.04095391365058</c:v>
                </c:pt>
                <c:pt idx="19">
                  <c:v>1.01913187160283</c:v>
                </c:pt>
                <c:pt idx="20">
                  <c:v>1</c:v>
                </c:pt>
                <c:pt idx="21">
                  <c:v>0.982998803698771</c:v>
                </c:pt>
                <c:pt idx="22">
                  <c:v>0.967700861991079</c:v>
                </c:pt>
                <c:pt idx="23">
                  <c:v>0.953776706187293</c:v>
                </c:pt>
                <c:pt idx="24">
                  <c:v>0.94097001668901</c:v>
                </c:pt>
                <c:pt idx="25">
                  <c:v>0.929079593865909</c:v>
                </c:pt>
                <c:pt idx="26">
                  <c:v>0.917946178909134</c:v>
                </c:pt>
                <c:pt idx="27">
                  <c:v>0.907442739793598</c:v>
                </c:pt>
                <c:pt idx="28">
                  <c:v>0.897467243123563</c:v>
                </c:pt>
                <c:pt idx="29">
                  <c:v>0.887937222331591</c:v>
                </c:pt>
                <c:pt idx="30">
                  <c:v>0.878785655410643</c:v>
                </c:pt>
                <c:pt idx="31">
                  <c:v>0.869957806355333</c:v>
                </c:pt>
                <c:pt idx="32">
                  <c:v>0.861408782683466</c:v>
                </c:pt>
                <c:pt idx="33">
                  <c:v>0.853101630145411</c:v>
                </c:pt>
                <c:pt idx="34">
                  <c:v>0.845005834190296</c:v>
                </c:pt>
                <c:pt idx="35">
                  <c:v>0.837096132207098</c:v>
                </c:pt>
                <c:pt idx="36">
                  <c:v>0.829351565262037</c:v>
                </c:pt>
                <c:pt idx="37">
                  <c:v>0.821754715926284</c:v>
                </c:pt>
                <c:pt idx="38">
                  <c:v>0.81429109183366</c:v>
                </c:pt>
                <c:pt idx="39">
                  <c:v>0.806948624213283</c:v>
                </c:pt>
                <c:pt idx="40">
                  <c:v>0.799717257774258</c:v>
                </c:pt>
                <c:pt idx="41">
                  <c:v>0.792588613658777</c:v>
                </c:pt>
                <c:pt idx="42">
                  <c:v>0.785555711208634</c:v>
                </c:pt>
                <c:pt idx="43">
                  <c:v>0.77861273735311</c:v>
                </c:pt>
                <c:pt idx="44">
                  <c:v>0.771754854771958</c:v>
                </c:pt>
                <c:pt idx="45">
                  <c:v>0.764978041796382</c:v>
                </c:pt>
                <c:pt idx="46">
                  <c:v>0.758278958415691</c:v>
                </c:pt>
                <c:pt idx="47">
                  <c:v>0.751654833855244</c:v>
                </c:pt>
                <c:pt idx="48">
                  <c:v>0.745103372054714</c:v>
                </c:pt>
                <c:pt idx="49">
                  <c:v>0.738622672058896</c:v>
                </c:pt>
                <c:pt idx="50">
                  <c:v>0.732211160876962</c:v>
                </c:pt>
                <c:pt idx="51">
                  <c:v>0.725867536801175</c:v>
                </c:pt>
                <c:pt idx="52">
                  <c:v>0.719590721526156</c:v>
                </c:pt>
                <c:pt idx="53">
                  <c:v>0.713379819693034</c:v>
                </c:pt>
                <c:pt idx="54">
                  <c:v>0.707234084712921</c:v>
                </c:pt>
                <c:pt idx="55">
                  <c:v>0.70115288991226</c:v>
                </c:pt>
                <c:pt idx="56">
                  <c:v>0.695135704196858</c:v>
                </c:pt>
                <c:pt idx="57">
                  <c:v>0.689182071558641</c:v>
                </c:pt>
                <c:pt idx="58">
                  <c:v>0.683291593854435</c:v>
                </c:pt>
                <c:pt idx="59">
                  <c:v>0.677463916373627</c:v>
                </c:pt>
                <c:pt idx="60">
                  <c:v>0.671698715784584</c:v>
                </c:pt>
                <c:pt idx="61">
                  <c:v>0.665995690110868</c:v>
                </c:pt>
                <c:pt idx="62">
                  <c:v>0.660354550439718</c:v>
                </c:pt>
                <c:pt idx="63">
                  <c:v>0.654775014108588</c:v>
                </c:pt>
                <c:pt idx="64">
                  <c:v>0.649256799152233</c:v>
                </c:pt>
                <c:pt idx="65">
                  <c:v>0.643799619823917</c:v>
                </c:pt>
                <c:pt idx="66">
                  <c:v>0.638403183030797</c:v>
                </c:pt>
                <c:pt idx="67">
                  <c:v>0.63306718554609</c:v>
                </c:pt>
                <c:pt idx="68">
                  <c:v>0.627791311879912</c:v>
                </c:pt>
                <c:pt idx="69">
                  <c:v>0.622575232707226</c:v>
                </c:pt>
                <c:pt idx="70">
                  <c:v>0.617418603765486</c:v>
                </c:pt>
                <c:pt idx="71">
                  <c:v>0.612321065146757</c:v>
                </c:pt>
              </c:numCache>
            </c:numRef>
          </c:yVal>
          <c:smooth val="1"/>
        </c:ser>
        <c:ser>
          <c:idx val="1"/>
          <c:order val="1"/>
          <c:tx>
            <c:strRef>
              <c:f>"Mg(max)"</c:f>
              <c:strCache>
                <c:ptCount val="1"/>
                <c:pt idx="0">
                  <c:v>Mg(max)</c:v>
                </c:pt>
              </c:strCache>
            </c:strRef>
          </c:tx>
          <c:spPr>
            <a:ln w="28575" cap="rnd" cmpd="sng" algn="ctr">
              <a:solidFill>
                <a:schemeClr val="accent6"/>
              </a:solidFill>
              <a:prstDash val="solid"/>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calculations'!$U$66:$U$140</c:f>
              <c:numCache>
                <c:formatCode>0.00</c:formatCode>
                <c:ptCount val="75"/>
                <c:pt idx="0">
                  <c:v>1.10958904109589</c:v>
                </c:pt>
                <c:pt idx="1">
                  <c:v>1.10958904109589</c:v>
                </c:pt>
                <c:pt idx="2">
                  <c:v>1.10958904109589</c:v>
                </c:pt>
                <c:pt idx="3">
                  <c:v>1.10958904109589</c:v>
                </c:pt>
                <c:pt idx="4">
                  <c:v>1.10958904109589</c:v>
                </c:pt>
                <c:pt idx="5">
                  <c:v>1.10958904109589</c:v>
                </c:pt>
                <c:pt idx="6">
                  <c:v>1.10958904109589</c:v>
                </c:pt>
                <c:pt idx="7">
                  <c:v>1.10958904109589</c:v>
                </c:pt>
                <c:pt idx="8">
                  <c:v>1.10958904109589</c:v>
                </c:pt>
                <c:pt idx="9">
                  <c:v>1.10958904109589</c:v>
                </c:pt>
                <c:pt idx="10">
                  <c:v>1.10958904109589</c:v>
                </c:pt>
                <c:pt idx="11">
                  <c:v>1.10958904109589</c:v>
                </c:pt>
                <c:pt idx="12">
                  <c:v>1.10958904109589</c:v>
                </c:pt>
                <c:pt idx="13">
                  <c:v>1.10958904109589</c:v>
                </c:pt>
                <c:pt idx="14">
                  <c:v>1.10958904109589</c:v>
                </c:pt>
                <c:pt idx="15">
                  <c:v>1.10958904109589</c:v>
                </c:pt>
                <c:pt idx="16">
                  <c:v>1.10958904109589</c:v>
                </c:pt>
                <c:pt idx="17">
                  <c:v>1.10958904109589</c:v>
                </c:pt>
                <c:pt idx="18">
                  <c:v>1.10958904109589</c:v>
                </c:pt>
                <c:pt idx="19">
                  <c:v>1.10958904109589</c:v>
                </c:pt>
                <c:pt idx="20">
                  <c:v>1.10958904109589</c:v>
                </c:pt>
                <c:pt idx="21">
                  <c:v>1.10958904109589</c:v>
                </c:pt>
                <c:pt idx="22">
                  <c:v>1.10958904109589</c:v>
                </c:pt>
                <c:pt idx="23">
                  <c:v>1.10958904109589</c:v>
                </c:pt>
                <c:pt idx="24">
                  <c:v>1.10958904109589</c:v>
                </c:pt>
                <c:pt idx="25">
                  <c:v>1.10958904109589</c:v>
                </c:pt>
                <c:pt idx="26">
                  <c:v>1.10958904109589</c:v>
                </c:pt>
                <c:pt idx="27">
                  <c:v>1.10958904109589</c:v>
                </c:pt>
                <c:pt idx="28">
                  <c:v>1.10958904109589</c:v>
                </c:pt>
                <c:pt idx="29">
                  <c:v>1.10958904109589</c:v>
                </c:pt>
                <c:pt idx="30">
                  <c:v>1.10958904109589</c:v>
                </c:pt>
                <c:pt idx="31">
                  <c:v>1.10958904109589</c:v>
                </c:pt>
                <c:pt idx="32">
                  <c:v>1.10958904109589</c:v>
                </c:pt>
                <c:pt idx="33">
                  <c:v>1.10958904109589</c:v>
                </c:pt>
                <c:pt idx="34">
                  <c:v>1.10958904109589</c:v>
                </c:pt>
                <c:pt idx="35">
                  <c:v>1.10958904109589</c:v>
                </c:pt>
                <c:pt idx="36">
                  <c:v>1.10958904109589</c:v>
                </c:pt>
                <c:pt idx="37">
                  <c:v>1.10958904109589</c:v>
                </c:pt>
                <c:pt idx="38">
                  <c:v>1.10958904109589</c:v>
                </c:pt>
                <c:pt idx="39">
                  <c:v>1.10958904109589</c:v>
                </c:pt>
                <c:pt idx="40">
                  <c:v>1.10958904109589</c:v>
                </c:pt>
                <c:pt idx="41">
                  <c:v>1.10958904109589</c:v>
                </c:pt>
                <c:pt idx="42">
                  <c:v>1.10958904109589</c:v>
                </c:pt>
                <c:pt idx="43">
                  <c:v>1.10958904109589</c:v>
                </c:pt>
                <c:pt idx="44">
                  <c:v>1.10958904109589</c:v>
                </c:pt>
                <c:pt idx="45">
                  <c:v>1.10958904109589</c:v>
                </c:pt>
                <c:pt idx="46">
                  <c:v>1.10958904109589</c:v>
                </c:pt>
                <c:pt idx="47">
                  <c:v>1.10958904109589</c:v>
                </c:pt>
                <c:pt idx="48">
                  <c:v>1.10958904109589</c:v>
                </c:pt>
                <c:pt idx="49">
                  <c:v>1.10958904109589</c:v>
                </c:pt>
                <c:pt idx="50">
                  <c:v>1.10958904109589</c:v>
                </c:pt>
                <c:pt idx="51">
                  <c:v>1.10958904109589</c:v>
                </c:pt>
                <c:pt idx="52">
                  <c:v>1.10958904109589</c:v>
                </c:pt>
                <c:pt idx="53">
                  <c:v>1.10958904109589</c:v>
                </c:pt>
                <c:pt idx="54">
                  <c:v>1.10958904109589</c:v>
                </c:pt>
                <c:pt idx="55">
                  <c:v>1.10958904109589</c:v>
                </c:pt>
                <c:pt idx="56">
                  <c:v>1.10958904109589</c:v>
                </c:pt>
                <c:pt idx="57">
                  <c:v>1.10958904109589</c:v>
                </c:pt>
                <c:pt idx="58">
                  <c:v>1.10958904109589</c:v>
                </c:pt>
                <c:pt idx="59">
                  <c:v>1.10958904109589</c:v>
                </c:pt>
                <c:pt idx="60">
                  <c:v>1.10958904109589</c:v>
                </c:pt>
                <c:pt idx="61">
                  <c:v>1.10958904109589</c:v>
                </c:pt>
                <c:pt idx="62">
                  <c:v>1.10958904109589</c:v>
                </c:pt>
                <c:pt idx="63">
                  <c:v>1.10958904109589</c:v>
                </c:pt>
                <c:pt idx="64">
                  <c:v>1.10958904109589</c:v>
                </c:pt>
                <c:pt idx="65">
                  <c:v>1.10958904109589</c:v>
                </c:pt>
                <c:pt idx="66">
                  <c:v>1.10958904109589</c:v>
                </c:pt>
                <c:pt idx="67">
                  <c:v>1.10958904109589</c:v>
                </c:pt>
                <c:pt idx="68">
                  <c:v>1.10958904109589</c:v>
                </c:pt>
                <c:pt idx="69">
                  <c:v>1.10958904109589</c:v>
                </c:pt>
                <c:pt idx="70">
                  <c:v>1.10958904109589</c:v>
                </c:pt>
                <c:pt idx="71">
                  <c:v>1.10958904109589</c:v>
                </c:pt>
              </c:numCache>
            </c:numRef>
          </c:yVal>
          <c:smooth val="1"/>
        </c:ser>
        <c:ser>
          <c:idx val="2"/>
          <c:order val="2"/>
          <c:tx>
            <c:strRef>
              <c:f>"Mg(min)"</c:f>
              <c:strCache>
                <c:ptCount val="1"/>
                <c:pt idx="0">
                  <c:v>Mg(min)</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calculations'!$V$66:$V$140</c:f>
              <c:numCache>
                <c:formatCode>0.00</c:formatCode>
                <c:ptCount val="75"/>
                <c:pt idx="0">
                  <c:v>0.981219512195122</c:v>
                </c:pt>
                <c:pt idx="1">
                  <c:v>0.981219512195122</c:v>
                </c:pt>
                <c:pt idx="2">
                  <c:v>0.981219512195122</c:v>
                </c:pt>
                <c:pt idx="3">
                  <c:v>0.981219512195122</c:v>
                </c:pt>
                <c:pt idx="4">
                  <c:v>0.981219512195122</c:v>
                </c:pt>
                <c:pt idx="5">
                  <c:v>0.981219512195122</c:v>
                </c:pt>
                <c:pt idx="6">
                  <c:v>0.981219512195122</c:v>
                </c:pt>
                <c:pt idx="7">
                  <c:v>0.981219512195122</c:v>
                </c:pt>
                <c:pt idx="8">
                  <c:v>0.981219512195122</c:v>
                </c:pt>
                <c:pt idx="9">
                  <c:v>0.981219512195122</c:v>
                </c:pt>
                <c:pt idx="10">
                  <c:v>0.981219512195122</c:v>
                </c:pt>
                <c:pt idx="11">
                  <c:v>0.981219512195122</c:v>
                </c:pt>
                <c:pt idx="12">
                  <c:v>0.981219512195122</c:v>
                </c:pt>
                <c:pt idx="13">
                  <c:v>0.981219512195122</c:v>
                </c:pt>
                <c:pt idx="14">
                  <c:v>0.981219512195122</c:v>
                </c:pt>
                <c:pt idx="15">
                  <c:v>0.981219512195122</c:v>
                </c:pt>
                <c:pt idx="16">
                  <c:v>0.981219512195122</c:v>
                </c:pt>
                <c:pt idx="17">
                  <c:v>0.981219512195122</c:v>
                </c:pt>
                <c:pt idx="18">
                  <c:v>0.981219512195122</c:v>
                </c:pt>
                <c:pt idx="19">
                  <c:v>0.981219512195122</c:v>
                </c:pt>
                <c:pt idx="20">
                  <c:v>0.981219512195122</c:v>
                </c:pt>
                <c:pt idx="21">
                  <c:v>0.981219512195122</c:v>
                </c:pt>
                <c:pt idx="22">
                  <c:v>0.981219512195122</c:v>
                </c:pt>
                <c:pt idx="23">
                  <c:v>0.981219512195122</c:v>
                </c:pt>
                <c:pt idx="24">
                  <c:v>0.981219512195122</c:v>
                </c:pt>
                <c:pt idx="25">
                  <c:v>0.981219512195122</c:v>
                </c:pt>
                <c:pt idx="26">
                  <c:v>0.981219512195122</c:v>
                </c:pt>
                <c:pt idx="27">
                  <c:v>0.981219512195122</c:v>
                </c:pt>
                <c:pt idx="28">
                  <c:v>0.981219512195122</c:v>
                </c:pt>
                <c:pt idx="29">
                  <c:v>0.981219512195122</c:v>
                </c:pt>
                <c:pt idx="30">
                  <c:v>0.981219512195122</c:v>
                </c:pt>
                <c:pt idx="31">
                  <c:v>0.981219512195122</c:v>
                </c:pt>
                <c:pt idx="32">
                  <c:v>0.981219512195122</c:v>
                </c:pt>
                <c:pt idx="33">
                  <c:v>0.981219512195122</c:v>
                </c:pt>
                <c:pt idx="34">
                  <c:v>0.981219512195122</c:v>
                </c:pt>
                <c:pt idx="35">
                  <c:v>0.981219512195122</c:v>
                </c:pt>
                <c:pt idx="36">
                  <c:v>0.981219512195122</c:v>
                </c:pt>
                <c:pt idx="37">
                  <c:v>0.981219512195122</c:v>
                </c:pt>
                <c:pt idx="38">
                  <c:v>0.981219512195122</c:v>
                </c:pt>
                <c:pt idx="39">
                  <c:v>0.981219512195122</c:v>
                </c:pt>
                <c:pt idx="40">
                  <c:v>0.981219512195122</c:v>
                </c:pt>
                <c:pt idx="41">
                  <c:v>0.981219512195122</c:v>
                </c:pt>
                <c:pt idx="42">
                  <c:v>0.981219512195122</c:v>
                </c:pt>
                <c:pt idx="43">
                  <c:v>0.981219512195122</c:v>
                </c:pt>
                <c:pt idx="44">
                  <c:v>0.981219512195122</c:v>
                </c:pt>
                <c:pt idx="45">
                  <c:v>0.981219512195122</c:v>
                </c:pt>
                <c:pt idx="46">
                  <c:v>0.981219512195122</c:v>
                </c:pt>
                <c:pt idx="47">
                  <c:v>0.981219512195122</c:v>
                </c:pt>
                <c:pt idx="48">
                  <c:v>0.981219512195122</c:v>
                </c:pt>
                <c:pt idx="49">
                  <c:v>0.981219512195122</c:v>
                </c:pt>
                <c:pt idx="50">
                  <c:v>0.981219512195122</c:v>
                </c:pt>
                <c:pt idx="51">
                  <c:v>0.981219512195122</c:v>
                </c:pt>
                <c:pt idx="52">
                  <c:v>0.981219512195122</c:v>
                </c:pt>
                <c:pt idx="53">
                  <c:v>0.981219512195122</c:v>
                </c:pt>
                <c:pt idx="54">
                  <c:v>0.981219512195122</c:v>
                </c:pt>
                <c:pt idx="55">
                  <c:v>0.981219512195122</c:v>
                </c:pt>
                <c:pt idx="56">
                  <c:v>0.981219512195122</c:v>
                </c:pt>
                <c:pt idx="57">
                  <c:v>0.981219512195122</c:v>
                </c:pt>
                <c:pt idx="58">
                  <c:v>0.981219512195122</c:v>
                </c:pt>
                <c:pt idx="59">
                  <c:v>0.981219512195122</c:v>
                </c:pt>
                <c:pt idx="60">
                  <c:v>0.981219512195122</c:v>
                </c:pt>
                <c:pt idx="61">
                  <c:v>0.981219512195122</c:v>
                </c:pt>
                <c:pt idx="62">
                  <c:v>0.981219512195122</c:v>
                </c:pt>
                <c:pt idx="63">
                  <c:v>0.981219512195122</c:v>
                </c:pt>
                <c:pt idx="64">
                  <c:v>0.981219512195122</c:v>
                </c:pt>
                <c:pt idx="65">
                  <c:v>0.981219512195122</c:v>
                </c:pt>
                <c:pt idx="66">
                  <c:v>0.981219512195122</c:v>
                </c:pt>
                <c:pt idx="67">
                  <c:v>0.981219512195122</c:v>
                </c:pt>
                <c:pt idx="68">
                  <c:v>0.981219512195122</c:v>
                </c:pt>
                <c:pt idx="69">
                  <c:v>0.981219512195122</c:v>
                </c:pt>
                <c:pt idx="70">
                  <c:v>0.981219512195122</c:v>
                </c:pt>
                <c:pt idx="71">
                  <c:v>0.981219512195122</c:v>
                </c:pt>
              </c:numCache>
            </c:numRef>
          </c:yVal>
          <c:smooth val="1"/>
        </c:ser>
        <c:ser>
          <c:idx val="3"/>
          <c:order val="3"/>
          <c:tx>
            <c:strRef>
              <c:f>"No Load Gain Curve"</c:f>
              <c:strCache>
                <c:ptCount val="1"/>
                <c:pt idx="0">
                  <c:v>No Load Gain Curve</c:v>
                </c:pt>
              </c:strCache>
            </c:strRef>
          </c:tx>
          <c:spPr>
            <a:ln w="28575" cap="rnd" cmpd="sng" algn="ctr">
              <a:solidFill>
                <a:schemeClr val="accent4">
                  <a:shade val="95000"/>
                  <a:satMod val="105000"/>
                </a:schemeClr>
              </a:solidFill>
              <a:prstDash val="sysDash"/>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calculations'!$AO$66:$AO$140</c:f>
              <c:numCache>
                <c:formatCode>0.00</c:formatCode>
                <c:ptCount val="75"/>
                <c:pt idx="0">
                  <c:v>0</c:v>
                </c:pt>
                <c:pt idx="1">
                  <c:v>0.0141317603167832</c:v>
                </c:pt>
                <c:pt idx="2">
                  <c:v>0.0595034143331023</c:v>
                </c:pt>
                <c:pt idx="3">
                  <c:v>0.146762016407255</c:v>
                </c:pt>
                <c:pt idx="4">
                  <c:v>0.301518122391475</c:v>
                </c:pt>
                <c:pt idx="5">
                  <c:v>0.588981614235944</c:v>
                </c:pt>
                <c:pt idx="6">
                  <c:v>1.22167129912445</c:v>
                </c:pt>
                <c:pt idx="7">
                  <c:v>3.46779153437901</c:v>
                </c:pt>
                <c:pt idx="8">
                  <c:v>17.9227756102968</c:v>
                </c:pt>
                <c:pt idx="9">
                  <c:v>3.42837764309545</c:v>
                </c:pt>
                <c:pt idx="10">
                  <c:v>2.17186347466536</c:v>
                </c:pt>
                <c:pt idx="11">
                  <c:v>1.70854942289094</c:v>
                </c:pt>
                <c:pt idx="12">
                  <c:v>1.47003344542863</c:v>
                </c:pt>
                <c:pt idx="13">
                  <c:v>1.32597559826059</c:v>
                </c:pt>
                <c:pt idx="14">
                  <c:v>1.23031019937826</c:v>
                </c:pt>
                <c:pt idx="15">
                  <c:v>1.16263913781852</c:v>
                </c:pt>
                <c:pt idx="16">
                  <c:v>1.11255613870757</c:v>
                </c:pt>
                <c:pt idx="17">
                  <c:v>1.07420573135423</c:v>
                </c:pt>
                <c:pt idx="18">
                  <c:v>1.04404671054488</c:v>
                </c:pt>
                <c:pt idx="19">
                  <c:v>1.0198154565716</c:v>
                </c:pt>
                <c:pt idx="20">
                  <c:v>1</c:v>
                </c:pt>
                <c:pt idx="21">
                  <c:v>0.98355368264961</c:v>
                </c:pt>
                <c:pt idx="22">
                  <c:v>0.969730149433769</c:v>
                </c:pt>
                <c:pt idx="23">
                  <c:v>0.957983706114069</c:v>
                </c:pt>
                <c:pt idx="24">
                  <c:v>0.947906743275888</c:v>
                </c:pt>
                <c:pt idx="25">
                  <c:v>0.93918910531</c:v>
                </c:pt>
                <c:pt idx="26">
                  <c:v>0.931590939416904</c:v>
                </c:pt>
                <c:pt idx="27">
                  <c:v>0.92492409280193</c:v>
                </c:pt>
                <c:pt idx="28">
                  <c:v>0.91903908345786</c:v>
                </c:pt>
                <c:pt idx="29">
                  <c:v>0.913815795178747</c:v>
                </c:pt>
                <c:pt idx="30">
                  <c:v>0.909156715814223</c:v>
                </c:pt>
                <c:pt idx="31">
                  <c:v>0.904981946391835</c:v>
                </c:pt>
                <c:pt idx="32">
                  <c:v>0.901225465067173</c:v>
                </c:pt>
                <c:pt idx="33">
                  <c:v>0.897832294422099</c:v>
                </c:pt>
                <c:pt idx="34">
                  <c:v>0.894756328503637</c:v>
                </c:pt>
                <c:pt idx="35">
                  <c:v>0.891958648059676</c:v>
                </c:pt>
                <c:pt idx="36">
                  <c:v>0.889406201407561</c:v>
                </c:pt>
                <c:pt idx="37">
                  <c:v>0.887070762192384</c:v>
                </c:pt>
                <c:pt idx="38">
                  <c:v>0.884928098986535</c:v>
                </c:pt>
                <c:pt idx="39">
                  <c:v>0.882957308506478</c:v>
                </c:pt>
                <c:pt idx="40">
                  <c:v>0.881140276317698</c:v>
                </c:pt>
                <c:pt idx="41">
                  <c:v>0.879461237694339</c:v>
                </c:pt>
                <c:pt idx="42">
                  <c:v>0.877906417765098</c:v>
                </c:pt>
                <c:pt idx="43">
                  <c:v>0.876463734876546</c:v>
                </c:pt>
                <c:pt idx="44">
                  <c:v>0.87512255470177</c:v>
                </c:pt>
                <c:pt idx="45">
                  <c:v>0.873873485341092</c:v>
                </c:pt>
                <c:pt idx="46">
                  <c:v>0.872708205733919</c:v>
                </c:pt>
                <c:pt idx="47">
                  <c:v>0.871619321292535</c:v>
                </c:pt>
                <c:pt idx="48">
                  <c:v>0.870600241900133</c:v>
                </c:pt>
                <c:pt idx="49">
                  <c:v>0.869645078374878</c:v>
                </c:pt>
                <c:pt idx="50">
                  <c:v>0.868748554254123</c:v>
                </c:pt>
                <c:pt idx="51">
                  <c:v>0.867905930346494</c:v>
                </c:pt>
                <c:pt idx="52">
                  <c:v>0.867112939970684</c:v>
                </c:pt>
                <c:pt idx="53">
                  <c:v>0.866365733175768</c:v>
                </c:pt>
                <c:pt idx="54">
                  <c:v>0.865660828539472</c:v>
                </c:pt>
                <c:pt idx="55">
                  <c:v>0.864995071384069</c:v>
                </c:pt>
                <c:pt idx="56">
                  <c:v>0.864365597446664</c:v>
                </c:pt>
                <c:pt idx="57">
                  <c:v>0.863769801201011</c:v>
                </c:pt>
                <c:pt idx="58">
                  <c:v>0.863205308159167</c:v>
                </c:pt>
                <c:pt idx="59">
                  <c:v>0.862669950588952</c:v>
                </c:pt>
                <c:pt idx="60">
                  <c:v>0.862161746171933</c:v>
                </c:pt>
                <c:pt idx="61">
                  <c:v>0.86167887920009</c:v>
                </c:pt>
                <c:pt idx="62">
                  <c:v>0.861219683970305</c:v>
                </c:pt>
                <c:pt idx="63">
                  <c:v>0.860782630086686</c:v>
                </c:pt>
                <c:pt idx="64">
                  <c:v>0.860366309423213</c:v>
                </c:pt>
                <c:pt idx="65">
                  <c:v>0.859969424534917</c:v>
                </c:pt>
                <c:pt idx="66">
                  <c:v>0.859590778335799</c:v>
                </c:pt>
                <c:pt idx="67">
                  <c:v>0.859229264887096</c:v>
                </c:pt>
                <c:pt idx="68">
                  <c:v>0.858883861160928</c:v>
                </c:pt>
                <c:pt idx="69">
                  <c:v>0.858553619662637</c:v>
                </c:pt>
                <c:pt idx="70">
                  <c:v>0.858237661810648</c:v>
                </c:pt>
                <c:pt idx="71">
                  <c:v>0.857935171985931</c:v>
                </c:pt>
              </c:numCache>
            </c:numRef>
          </c:yVal>
          <c:smooth val="1"/>
        </c:ser>
        <c:dLbls>
          <c:showLegendKey val="0"/>
          <c:showVal val="0"/>
          <c:showCatName val="0"/>
          <c:showSerName val="0"/>
          <c:showPercent val="0"/>
          <c:showBubbleSize val="0"/>
        </c:dLbls>
        <c:axId val="571060992"/>
        <c:axId val="571062912"/>
      </c:scatterChart>
      <c:valAx>
        <c:axId val="571060992"/>
        <c:scaling>
          <c:orientation val="minMax"/>
          <c:max val="3.5"/>
        </c:scaling>
        <c:delete val="0"/>
        <c:axPos val="b"/>
        <c:majorGridlines/>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Normalized Frequency (f</a:t>
                </a:r>
                <a:r>
                  <a:rPr lang="en-US" baseline="-25000"/>
                  <a:t>N</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62912"/>
        <c:crosses val="autoZero"/>
        <c:crossBetween val="midCat"/>
        <c:majorUnit val="0.5"/>
        <c:minorUnit val="0.1"/>
      </c:valAx>
      <c:valAx>
        <c:axId val="571062912"/>
        <c:scaling>
          <c:orientation val="minMax"/>
          <c:max val="2"/>
          <c:min val="0"/>
        </c:scaling>
        <c:delete val="0"/>
        <c:axPos val="l"/>
        <c:majorGridlines/>
        <c:min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(M</a:t>
                </a:r>
                <a:r>
                  <a:rPr lang="en-US" baseline="-25000"/>
                  <a:t>G</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60992"/>
        <c:crosses val="autoZero"/>
        <c:crossBetween val="midCat"/>
        <c:min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LLC Gain Curve with the Selected</a:t>
            </a:r>
            <a:r>
              <a:rPr lang="en-US" baseline="0"/>
              <a:t> L</a:t>
            </a:r>
            <a:r>
              <a:rPr lang="en-US" baseline="-25000"/>
              <a:t>N</a:t>
            </a:r>
            <a:r>
              <a:rPr lang="en-US" baseline="0"/>
              <a:t> and Q</a:t>
            </a:r>
            <a:r>
              <a:rPr lang="en-US" baseline="-25000"/>
              <a:t>E</a:t>
            </a:r>
            <a:endParaRPr lang="en-US" baseline="-25000"/>
          </a:p>
        </c:rich>
      </c:tx>
      <c:layout/>
      <c:overlay val="0"/>
    </c:title>
    <c:autoTitleDeleted val="0"/>
    <c:plotArea>
      <c:layout>
        <c:manualLayout>
          <c:layoutTarget val="inner"/>
          <c:xMode val="edge"/>
          <c:yMode val="edge"/>
          <c:x val="0.102309954686885"/>
          <c:y val="0.124561147621301"/>
          <c:w val="0.727390784034531"/>
          <c:h val="0.725456937526216"/>
        </c:manualLayout>
      </c:layout>
      <c:scatterChart>
        <c:scatterStyle val="smooth"/>
        <c:varyColors val="0"/>
        <c:ser>
          <c:idx val="0"/>
          <c:order val="0"/>
          <c:marker>
            <c:symbol val="none"/>
          </c:marker>
          <c:dLbls>
            <c:delete val="1"/>
          </c:dLbls>
          <c:xVal>
            <c:numRef>
              <c:f>'tables and calculations'!$C$66:$C$136</c:f>
              <c:numCache>
                <c:formatCode>0.00</c:formatCode>
                <c:ptCount val="71"/>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numCache>
            </c:numRef>
          </c:xVal>
          <c:yVal>
            <c:numRef>
              <c:f>'tables and calculations'!$S$66:$S$136</c:f>
              <c:numCache>
                <c:formatCode>0.00</c:formatCode>
                <c:ptCount val="71"/>
                <c:pt idx="0">
                  <c:v>0</c:v>
                </c:pt>
                <c:pt idx="1">
                  <c:v>0.0140634604647324</c:v>
                </c:pt>
                <c:pt idx="2">
                  <c:v>0.0582776272582912</c:v>
                </c:pt>
                <c:pt idx="3">
                  <c:v>0.139171901601292</c:v>
                </c:pt>
                <c:pt idx="4">
                  <c:v>0.268977778726311</c:v>
                </c:pt>
                <c:pt idx="5">
                  <c:v>0.465982881659741</c:v>
                </c:pt>
                <c:pt idx="6">
                  <c:v>0.745946291045919</c:v>
                </c:pt>
                <c:pt idx="7">
                  <c:v>1.08264422267278</c:v>
                </c:pt>
                <c:pt idx="8">
                  <c:v>1.35664648193388</c:v>
                </c:pt>
                <c:pt idx="9">
                  <c:v>1.45892862417071</c:v>
                </c:pt>
                <c:pt idx="10">
                  <c:v>1.43205011618118</c:v>
                </c:pt>
                <c:pt idx="11">
                  <c:v>1.36135736510185</c:v>
                </c:pt>
                <c:pt idx="12">
                  <c:v>1.28871359166781</c:v>
                </c:pt>
                <c:pt idx="13">
                  <c:v>1.22585832229997</c:v>
                </c:pt>
                <c:pt idx="14">
                  <c:v>1.17389537413326</c:v>
                </c:pt>
                <c:pt idx="15">
                  <c:v>1.13120686298808</c:v>
                </c:pt>
                <c:pt idx="16">
                  <c:v>1.09585945001898</c:v>
                </c:pt>
                <c:pt idx="17">
                  <c:v>1.06620408510256</c:v>
                </c:pt>
                <c:pt idx="18">
                  <c:v>1.04095391365058</c:v>
                </c:pt>
                <c:pt idx="19">
                  <c:v>1.01913187160283</c:v>
                </c:pt>
                <c:pt idx="20">
                  <c:v>1</c:v>
                </c:pt>
                <c:pt idx="21">
                  <c:v>0.982998803698771</c:v>
                </c:pt>
                <c:pt idx="22">
                  <c:v>0.967700861991079</c:v>
                </c:pt>
                <c:pt idx="23">
                  <c:v>0.953776706187293</c:v>
                </c:pt>
                <c:pt idx="24">
                  <c:v>0.94097001668901</c:v>
                </c:pt>
                <c:pt idx="25">
                  <c:v>0.929079593865909</c:v>
                </c:pt>
                <c:pt idx="26">
                  <c:v>0.917946178909134</c:v>
                </c:pt>
                <c:pt idx="27">
                  <c:v>0.907442739793598</c:v>
                </c:pt>
                <c:pt idx="28">
                  <c:v>0.897467243123563</c:v>
                </c:pt>
                <c:pt idx="29">
                  <c:v>0.887937222331591</c:v>
                </c:pt>
                <c:pt idx="30">
                  <c:v>0.878785655410643</c:v>
                </c:pt>
                <c:pt idx="31">
                  <c:v>0.869957806355333</c:v>
                </c:pt>
                <c:pt idx="32">
                  <c:v>0.861408782683466</c:v>
                </c:pt>
                <c:pt idx="33">
                  <c:v>0.853101630145411</c:v>
                </c:pt>
                <c:pt idx="34">
                  <c:v>0.845005834190296</c:v>
                </c:pt>
                <c:pt idx="35">
                  <c:v>0.837096132207098</c:v>
                </c:pt>
                <c:pt idx="36">
                  <c:v>0.829351565262037</c:v>
                </c:pt>
                <c:pt idx="37">
                  <c:v>0.821754715926284</c:v>
                </c:pt>
                <c:pt idx="38">
                  <c:v>0.81429109183366</c:v>
                </c:pt>
                <c:pt idx="39">
                  <c:v>0.806948624213283</c:v>
                </c:pt>
                <c:pt idx="40">
                  <c:v>0.799717257774258</c:v>
                </c:pt>
                <c:pt idx="41">
                  <c:v>0.792588613658777</c:v>
                </c:pt>
                <c:pt idx="42">
                  <c:v>0.785555711208634</c:v>
                </c:pt>
                <c:pt idx="43">
                  <c:v>0.77861273735311</c:v>
                </c:pt>
                <c:pt idx="44">
                  <c:v>0.771754854771958</c:v>
                </c:pt>
                <c:pt idx="45">
                  <c:v>0.764978041796382</c:v>
                </c:pt>
                <c:pt idx="46">
                  <c:v>0.758278958415691</c:v>
                </c:pt>
                <c:pt idx="47">
                  <c:v>0.751654833855244</c:v>
                </c:pt>
                <c:pt idx="48">
                  <c:v>0.745103372054714</c:v>
                </c:pt>
                <c:pt idx="49">
                  <c:v>0.738622672058896</c:v>
                </c:pt>
                <c:pt idx="50">
                  <c:v>0.732211160876962</c:v>
                </c:pt>
                <c:pt idx="51">
                  <c:v>0.725867536801175</c:v>
                </c:pt>
                <c:pt idx="52">
                  <c:v>0.719590721526156</c:v>
                </c:pt>
                <c:pt idx="53">
                  <c:v>0.713379819693034</c:v>
                </c:pt>
                <c:pt idx="54">
                  <c:v>0.707234084712921</c:v>
                </c:pt>
                <c:pt idx="55">
                  <c:v>0.70115288991226</c:v>
                </c:pt>
                <c:pt idx="56">
                  <c:v>0.695135704196858</c:v>
                </c:pt>
                <c:pt idx="57">
                  <c:v>0.689182071558641</c:v>
                </c:pt>
                <c:pt idx="58">
                  <c:v>0.683291593854435</c:v>
                </c:pt>
                <c:pt idx="59">
                  <c:v>0.677463916373627</c:v>
                </c:pt>
                <c:pt idx="60">
                  <c:v>0.671698715784584</c:v>
                </c:pt>
                <c:pt idx="61">
                  <c:v>0.665995690110868</c:v>
                </c:pt>
                <c:pt idx="62">
                  <c:v>0.660354550439718</c:v>
                </c:pt>
                <c:pt idx="63">
                  <c:v>0.654775014108588</c:v>
                </c:pt>
                <c:pt idx="64">
                  <c:v>0.649256799152233</c:v>
                </c:pt>
                <c:pt idx="65">
                  <c:v>0.643799619823917</c:v>
                </c:pt>
                <c:pt idx="66">
                  <c:v>0.638403183030797</c:v>
                </c:pt>
                <c:pt idx="67">
                  <c:v>0.63306718554609</c:v>
                </c:pt>
                <c:pt idx="68">
                  <c:v>0.627791311879912</c:v>
                </c:pt>
                <c:pt idx="69">
                  <c:v>0.622575232707226</c:v>
                </c:pt>
                <c:pt idx="70">
                  <c:v>0.617418603765486</c:v>
                </c:pt>
              </c:numCache>
            </c:numRef>
          </c:yVal>
          <c:smooth val="1"/>
        </c:ser>
        <c:ser>
          <c:idx val="1"/>
          <c:order val="1"/>
          <c:tx>
            <c:strRef>
              <c:f>"Mg(max)"</c:f>
              <c:strCache>
                <c:ptCount val="1"/>
                <c:pt idx="0">
                  <c:v>Mg(max)</c:v>
                </c:pt>
              </c:strCache>
            </c:strRef>
          </c:tx>
          <c:spPr>
            <a:ln w="28575" cap="rnd" cmpd="sng" algn="ctr">
              <a:solidFill>
                <a:schemeClr val="accent6"/>
              </a:solidFill>
              <a:prstDash val="solid"/>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calculations'!$U$66:$U$140</c:f>
              <c:numCache>
                <c:formatCode>0.00</c:formatCode>
                <c:ptCount val="75"/>
                <c:pt idx="0">
                  <c:v>1.10958904109589</c:v>
                </c:pt>
                <c:pt idx="1">
                  <c:v>1.10958904109589</c:v>
                </c:pt>
                <c:pt idx="2">
                  <c:v>1.10958904109589</c:v>
                </c:pt>
                <c:pt idx="3">
                  <c:v>1.10958904109589</c:v>
                </c:pt>
                <c:pt idx="4">
                  <c:v>1.10958904109589</c:v>
                </c:pt>
                <c:pt idx="5">
                  <c:v>1.10958904109589</c:v>
                </c:pt>
                <c:pt idx="6">
                  <c:v>1.10958904109589</c:v>
                </c:pt>
                <c:pt idx="7">
                  <c:v>1.10958904109589</c:v>
                </c:pt>
                <c:pt idx="8">
                  <c:v>1.10958904109589</c:v>
                </c:pt>
                <c:pt idx="9">
                  <c:v>1.10958904109589</c:v>
                </c:pt>
                <c:pt idx="10">
                  <c:v>1.10958904109589</c:v>
                </c:pt>
                <c:pt idx="11">
                  <c:v>1.10958904109589</c:v>
                </c:pt>
                <c:pt idx="12">
                  <c:v>1.10958904109589</c:v>
                </c:pt>
                <c:pt idx="13">
                  <c:v>1.10958904109589</c:v>
                </c:pt>
                <c:pt idx="14">
                  <c:v>1.10958904109589</c:v>
                </c:pt>
                <c:pt idx="15">
                  <c:v>1.10958904109589</c:v>
                </c:pt>
                <c:pt idx="16">
                  <c:v>1.10958904109589</c:v>
                </c:pt>
                <c:pt idx="17">
                  <c:v>1.10958904109589</c:v>
                </c:pt>
                <c:pt idx="18">
                  <c:v>1.10958904109589</c:v>
                </c:pt>
                <c:pt idx="19">
                  <c:v>1.10958904109589</c:v>
                </c:pt>
                <c:pt idx="20">
                  <c:v>1.10958904109589</c:v>
                </c:pt>
                <c:pt idx="21">
                  <c:v>1.10958904109589</c:v>
                </c:pt>
                <c:pt idx="22">
                  <c:v>1.10958904109589</c:v>
                </c:pt>
                <c:pt idx="23">
                  <c:v>1.10958904109589</c:v>
                </c:pt>
                <c:pt idx="24">
                  <c:v>1.10958904109589</c:v>
                </c:pt>
                <c:pt idx="25">
                  <c:v>1.10958904109589</c:v>
                </c:pt>
                <c:pt idx="26">
                  <c:v>1.10958904109589</c:v>
                </c:pt>
                <c:pt idx="27">
                  <c:v>1.10958904109589</c:v>
                </c:pt>
                <c:pt idx="28">
                  <c:v>1.10958904109589</c:v>
                </c:pt>
                <c:pt idx="29">
                  <c:v>1.10958904109589</c:v>
                </c:pt>
                <c:pt idx="30">
                  <c:v>1.10958904109589</c:v>
                </c:pt>
                <c:pt idx="31">
                  <c:v>1.10958904109589</c:v>
                </c:pt>
                <c:pt idx="32">
                  <c:v>1.10958904109589</c:v>
                </c:pt>
                <c:pt idx="33">
                  <c:v>1.10958904109589</c:v>
                </c:pt>
                <c:pt idx="34">
                  <c:v>1.10958904109589</c:v>
                </c:pt>
                <c:pt idx="35">
                  <c:v>1.10958904109589</c:v>
                </c:pt>
                <c:pt idx="36">
                  <c:v>1.10958904109589</c:v>
                </c:pt>
                <c:pt idx="37">
                  <c:v>1.10958904109589</c:v>
                </c:pt>
                <c:pt idx="38">
                  <c:v>1.10958904109589</c:v>
                </c:pt>
                <c:pt idx="39">
                  <c:v>1.10958904109589</c:v>
                </c:pt>
                <c:pt idx="40">
                  <c:v>1.10958904109589</c:v>
                </c:pt>
                <c:pt idx="41">
                  <c:v>1.10958904109589</c:v>
                </c:pt>
                <c:pt idx="42">
                  <c:v>1.10958904109589</c:v>
                </c:pt>
                <c:pt idx="43">
                  <c:v>1.10958904109589</c:v>
                </c:pt>
                <c:pt idx="44">
                  <c:v>1.10958904109589</c:v>
                </c:pt>
                <c:pt idx="45">
                  <c:v>1.10958904109589</c:v>
                </c:pt>
                <c:pt idx="46">
                  <c:v>1.10958904109589</c:v>
                </c:pt>
                <c:pt idx="47">
                  <c:v>1.10958904109589</c:v>
                </c:pt>
                <c:pt idx="48">
                  <c:v>1.10958904109589</c:v>
                </c:pt>
                <c:pt idx="49">
                  <c:v>1.10958904109589</c:v>
                </c:pt>
                <c:pt idx="50">
                  <c:v>1.10958904109589</c:v>
                </c:pt>
                <c:pt idx="51">
                  <c:v>1.10958904109589</c:v>
                </c:pt>
                <c:pt idx="52">
                  <c:v>1.10958904109589</c:v>
                </c:pt>
                <c:pt idx="53">
                  <c:v>1.10958904109589</c:v>
                </c:pt>
                <c:pt idx="54">
                  <c:v>1.10958904109589</c:v>
                </c:pt>
                <c:pt idx="55">
                  <c:v>1.10958904109589</c:v>
                </c:pt>
                <c:pt idx="56">
                  <c:v>1.10958904109589</c:v>
                </c:pt>
                <c:pt idx="57">
                  <c:v>1.10958904109589</c:v>
                </c:pt>
                <c:pt idx="58">
                  <c:v>1.10958904109589</c:v>
                </c:pt>
                <c:pt idx="59">
                  <c:v>1.10958904109589</c:v>
                </c:pt>
                <c:pt idx="60">
                  <c:v>1.10958904109589</c:v>
                </c:pt>
                <c:pt idx="61">
                  <c:v>1.10958904109589</c:v>
                </c:pt>
                <c:pt idx="62">
                  <c:v>1.10958904109589</c:v>
                </c:pt>
                <c:pt idx="63">
                  <c:v>1.10958904109589</c:v>
                </c:pt>
                <c:pt idx="64">
                  <c:v>1.10958904109589</c:v>
                </c:pt>
                <c:pt idx="65">
                  <c:v>1.10958904109589</c:v>
                </c:pt>
                <c:pt idx="66">
                  <c:v>1.10958904109589</c:v>
                </c:pt>
                <c:pt idx="67">
                  <c:v>1.10958904109589</c:v>
                </c:pt>
                <c:pt idx="68">
                  <c:v>1.10958904109589</c:v>
                </c:pt>
                <c:pt idx="69">
                  <c:v>1.10958904109589</c:v>
                </c:pt>
                <c:pt idx="70">
                  <c:v>1.10958904109589</c:v>
                </c:pt>
                <c:pt idx="71">
                  <c:v>1.10958904109589</c:v>
                </c:pt>
              </c:numCache>
            </c:numRef>
          </c:yVal>
          <c:smooth val="1"/>
        </c:ser>
        <c:ser>
          <c:idx val="2"/>
          <c:order val="2"/>
          <c:tx>
            <c:strRef>
              <c:f>"Mg(min)"</c:f>
              <c:strCache>
                <c:ptCount val="1"/>
                <c:pt idx="0">
                  <c:v>Mg(min)</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calculations'!$V$66:$V$140</c:f>
              <c:numCache>
                <c:formatCode>0.00</c:formatCode>
                <c:ptCount val="75"/>
                <c:pt idx="0">
                  <c:v>0.981219512195122</c:v>
                </c:pt>
                <c:pt idx="1">
                  <c:v>0.981219512195122</c:v>
                </c:pt>
                <c:pt idx="2">
                  <c:v>0.981219512195122</c:v>
                </c:pt>
                <c:pt idx="3">
                  <c:v>0.981219512195122</c:v>
                </c:pt>
                <c:pt idx="4">
                  <c:v>0.981219512195122</c:v>
                </c:pt>
                <c:pt idx="5">
                  <c:v>0.981219512195122</c:v>
                </c:pt>
                <c:pt idx="6">
                  <c:v>0.981219512195122</c:v>
                </c:pt>
                <c:pt idx="7">
                  <c:v>0.981219512195122</c:v>
                </c:pt>
                <c:pt idx="8">
                  <c:v>0.981219512195122</c:v>
                </c:pt>
                <c:pt idx="9">
                  <c:v>0.981219512195122</c:v>
                </c:pt>
                <c:pt idx="10">
                  <c:v>0.981219512195122</c:v>
                </c:pt>
                <c:pt idx="11">
                  <c:v>0.981219512195122</c:v>
                </c:pt>
                <c:pt idx="12">
                  <c:v>0.981219512195122</c:v>
                </c:pt>
                <c:pt idx="13">
                  <c:v>0.981219512195122</c:v>
                </c:pt>
                <c:pt idx="14">
                  <c:v>0.981219512195122</c:v>
                </c:pt>
                <c:pt idx="15">
                  <c:v>0.981219512195122</c:v>
                </c:pt>
                <c:pt idx="16">
                  <c:v>0.981219512195122</c:v>
                </c:pt>
                <c:pt idx="17">
                  <c:v>0.981219512195122</c:v>
                </c:pt>
                <c:pt idx="18">
                  <c:v>0.981219512195122</c:v>
                </c:pt>
                <c:pt idx="19">
                  <c:v>0.981219512195122</c:v>
                </c:pt>
                <c:pt idx="20">
                  <c:v>0.981219512195122</c:v>
                </c:pt>
                <c:pt idx="21">
                  <c:v>0.981219512195122</c:v>
                </c:pt>
                <c:pt idx="22">
                  <c:v>0.981219512195122</c:v>
                </c:pt>
                <c:pt idx="23">
                  <c:v>0.981219512195122</c:v>
                </c:pt>
                <c:pt idx="24">
                  <c:v>0.981219512195122</c:v>
                </c:pt>
                <c:pt idx="25">
                  <c:v>0.981219512195122</c:v>
                </c:pt>
                <c:pt idx="26">
                  <c:v>0.981219512195122</c:v>
                </c:pt>
                <c:pt idx="27">
                  <c:v>0.981219512195122</c:v>
                </c:pt>
                <c:pt idx="28">
                  <c:v>0.981219512195122</c:v>
                </c:pt>
                <c:pt idx="29">
                  <c:v>0.981219512195122</c:v>
                </c:pt>
                <c:pt idx="30">
                  <c:v>0.981219512195122</c:v>
                </c:pt>
                <c:pt idx="31">
                  <c:v>0.981219512195122</c:v>
                </c:pt>
                <c:pt idx="32">
                  <c:v>0.981219512195122</c:v>
                </c:pt>
                <c:pt idx="33">
                  <c:v>0.981219512195122</c:v>
                </c:pt>
                <c:pt idx="34">
                  <c:v>0.981219512195122</c:v>
                </c:pt>
                <c:pt idx="35">
                  <c:v>0.981219512195122</c:v>
                </c:pt>
                <c:pt idx="36">
                  <c:v>0.981219512195122</c:v>
                </c:pt>
                <c:pt idx="37">
                  <c:v>0.981219512195122</c:v>
                </c:pt>
                <c:pt idx="38">
                  <c:v>0.981219512195122</c:v>
                </c:pt>
                <c:pt idx="39">
                  <c:v>0.981219512195122</c:v>
                </c:pt>
                <c:pt idx="40">
                  <c:v>0.981219512195122</c:v>
                </c:pt>
                <c:pt idx="41">
                  <c:v>0.981219512195122</c:v>
                </c:pt>
                <c:pt idx="42">
                  <c:v>0.981219512195122</c:v>
                </c:pt>
                <c:pt idx="43">
                  <c:v>0.981219512195122</c:v>
                </c:pt>
                <c:pt idx="44">
                  <c:v>0.981219512195122</c:v>
                </c:pt>
                <c:pt idx="45">
                  <c:v>0.981219512195122</c:v>
                </c:pt>
                <c:pt idx="46">
                  <c:v>0.981219512195122</c:v>
                </c:pt>
                <c:pt idx="47">
                  <c:v>0.981219512195122</c:v>
                </c:pt>
                <c:pt idx="48">
                  <c:v>0.981219512195122</c:v>
                </c:pt>
                <c:pt idx="49">
                  <c:v>0.981219512195122</c:v>
                </c:pt>
                <c:pt idx="50">
                  <c:v>0.981219512195122</c:v>
                </c:pt>
                <c:pt idx="51">
                  <c:v>0.981219512195122</c:v>
                </c:pt>
                <c:pt idx="52">
                  <c:v>0.981219512195122</c:v>
                </c:pt>
                <c:pt idx="53">
                  <c:v>0.981219512195122</c:v>
                </c:pt>
                <c:pt idx="54">
                  <c:v>0.981219512195122</c:v>
                </c:pt>
                <c:pt idx="55">
                  <c:v>0.981219512195122</c:v>
                </c:pt>
                <c:pt idx="56">
                  <c:v>0.981219512195122</c:v>
                </c:pt>
                <c:pt idx="57">
                  <c:v>0.981219512195122</c:v>
                </c:pt>
                <c:pt idx="58">
                  <c:v>0.981219512195122</c:v>
                </c:pt>
                <c:pt idx="59">
                  <c:v>0.981219512195122</c:v>
                </c:pt>
                <c:pt idx="60">
                  <c:v>0.981219512195122</c:v>
                </c:pt>
                <c:pt idx="61">
                  <c:v>0.981219512195122</c:v>
                </c:pt>
                <c:pt idx="62">
                  <c:v>0.981219512195122</c:v>
                </c:pt>
                <c:pt idx="63">
                  <c:v>0.981219512195122</c:v>
                </c:pt>
                <c:pt idx="64">
                  <c:v>0.981219512195122</c:v>
                </c:pt>
                <c:pt idx="65">
                  <c:v>0.981219512195122</c:v>
                </c:pt>
                <c:pt idx="66">
                  <c:v>0.981219512195122</c:v>
                </c:pt>
                <c:pt idx="67">
                  <c:v>0.981219512195122</c:v>
                </c:pt>
                <c:pt idx="68">
                  <c:v>0.981219512195122</c:v>
                </c:pt>
                <c:pt idx="69">
                  <c:v>0.981219512195122</c:v>
                </c:pt>
                <c:pt idx="70">
                  <c:v>0.981219512195122</c:v>
                </c:pt>
                <c:pt idx="71">
                  <c:v>0.981219512195122</c:v>
                </c:pt>
              </c:numCache>
            </c:numRef>
          </c:yVal>
          <c:smooth val="1"/>
        </c:ser>
        <c:ser>
          <c:idx val="3"/>
          <c:order val="3"/>
          <c:spPr>
            <a:ln w="28575" cap="rnd" cmpd="sng" algn="ctr">
              <a:solidFill>
                <a:schemeClr val="accent4">
                  <a:shade val="95000"/>
                  <a:satMod val="105000"/>
                </a:schemeClr>
              </a:solidFill>
              <a:prstDash val="sysDash"/>
              <a:round/>
            </a:ln>
          </c:spPr>
          <c:marker>
            <c:symbol val="none"/>
          </c:marker>
          <c:dLbls>
            <c:delete val="1"/>
          </c:dLbls>
          <c:xVal>
            <c:numRef>
              <c:f>'tables and calculations'!$C$66:$C$136</c:f>
              <c:numCache>
                <c:formatCode>0.00</c:formatCode>
                <c:ptCount val="71"/>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numCache>
            </c:numRef>
          </c:xVal>
          <c:yVal>
            <c:numRef>
              <c:f>'tables and calculations'!$AO$66:$AO$136</c:f>
              <c:numCache>
                <c:formatCode>0.00</c:formatCode>
                <c:ptCount val="71"/>
                <c:pt idx="0">
                  <c:v>0</c:v>
                </c:pt>
                <c:pt idx="1">
                  <c:v>0.0141317603167832</c:v>
                </c:pt>
                <c:pt idx="2">
                  <c:v>0.0595034143331023</c:v>
                </c:pt>
                <c:pt idx="3">
                  <c:v>0.146762016407255</c:v>
                </c:pt>
                <c:pt idx="4">
                  <c:v>0.301518122391475</c:v>
                </c:pt>
                <c:pt idx="5">
                  <c:v>0.588981614235944</c:v>
                </c:pt>
                <c:pt idx="6">
                  <c:v>1.22167129912445</c:v>
                </c:pt>
                <c:pt idx="7">
                  <c:v>3.46779153437901</c:v>
                </c:pt>
                <c:pt idx="8">
                  <c:v>17.9227756102968</c:v>
                </c:pt>
                <c:pt idx="9">
                  <c:v>3.42837764309545</c:v>
                </c:pt>
                <c:pt idx="10">
                  <c:v>2.17186347466536</c:v>
                </c:pt>
                <c:pt idx="11">
                  <c:v>1.70854942289094</c:v>
                </c:pt>
                <c:pt idx="12">
                  <c:v>1.47003344542863</c:v>
                </c:pt>
                <c:pt idx="13">
                  <c:v>1.32597559826059</c:v>
                </c:pt>
                <c:pt idx="14">
                  <c:v>1.23031019937826</c:v>
                </c:pt>
                <c:pt idx="15">
                  <c:v>1.16263913781852</c:v>
                </c:pt>
                <c:pt idx="16">
                  <c:v>1.11255613870757</c:v>
                </c:pt>
                <c:pt idx="17">
                  <c:v>1.07420573135423</c:v>
                </c:pt>
                <c:pt idx="18">
                  <c:v>1.04404671054488</c:v>
                </c:pt>
                <c:pt idx="19">
                  <c:v>1.0198154565716</c:v>
                </c:pt>
                <c:pt idx="20">
                  <c:v>1</c:v>
                </c:pt>
                <c:pt idx="21">
                  <c:v>0.98355368264961</c:v>
                </c:pt>
                <c:pt idx="22">
                  <c:v>0.969730149433769</c:v>
                </c:pt>
                <c:pt idx="23">
                  <c:v>0.957983706114069</c:v>
                </c:pt>
                <c:pt idx="24">
                  <c:v>0.947906743275888</c:v>
                </c:pt>
                <c:pt idx="25">
                  <c:v>0.93918910531</c:v>
                </c:pt>
                <c:pt idx="26">
                  <c:v>0.931590939416904</c:v>
                </c:pt>
                <c:pt idx="27">
                  <c:v>0.92492409280193</c:v>
                </c:pt>
                <c:pt idx="28">
                  <c:v>0.91903908345786</c:v>
                </c:pt>
                <c:pt idx="29">
                  <c:v>0.913815795178747</c:v>
                </c:pt>
                <c:pt idx="30">
                  <c:v>0.909156715814223</c:v>
                </c:pt>
                <c:pt idx="31">
                  <c:v>0.904981946391835</c:v>
                </c:pt>
                <c:pt idx="32">
                  <c:v>0.901225465067173</c:v>
                </c:pt>
                <c:pt idx="33">
                  <c:v>0.897832294422099</c:v>
                </c:pt>
                <c:pt idx="34">
                  <c:v>0.894756328503637</c:v>
                </c:pt>
                <c:pt idx="35">
                  <c:v>0.891958648059676</c:v>
                </c:pt>
                <c:pt idx="36">
                  <c:v>0.889406201407561</c:v>
                </c:pt>
                <c:pt idx="37">
                  <c:v>0.887070762192384</c:v>
                </c:pt>
                <c:pt idx="38">
                  <c:v>0.884928098986535</c:v>
                </c:pt>
                <c:pt idx="39">
                  <c:v>0.882957308506478</c:v>
                </c:pt>
                <c:pt idx="40">
                  <c:v>0.881140276317698</c:v>
                </c:pt>
                <c:pt idx="41">
                  <c:v>0.879461237694339</c:v>
                </c:pt>
                <c:pt idx="42">
                  <c:v>0.877906417765098</c:v>
                </c:pt>
                <c:pt idx="43">
                  <c:v>0.876463734876546</c:v>
                </c:pt>
                <c:pt idx="44">
                  <c:v>0.87512255470177</c:v>
                </c:pt>
                <c:pt idx="45">
                  <c:v>0.873873485341092</c:v>
                </c:pt>
                <c:pt idx="46">
                  <c:v>0.872708205733919</c:v>
                </c:pt>
                <c:pt idx="47">
                  <c:v>0.871619321292535</c:v>
                </c:pt>
                <c:pt idx="48">
                  <c:v>0.870600241900133</c:v>
                </c:pt>
                <c:pt idx="49">
                  <c:v>0.869645078374878</c:v>
                </c:pt>
                <c:pt idx="50">
                  <c:v>0.868748554254123</c:v>
                </c:pt>
                <c:pt idx="51">
                  <c:v>0.867905930346494</c:v>
                </c:pt>
                <c:pt idx="52">
                  <c:v>0.867112939970684</c:v>
                </c:pt>
                <c:pt idx="53">
                  <c:v>0.866365733175768</c:v>
                </c:pt>
                <c:pt idx="54">
                  <c:v>0.865660828539472</c:v>
                </c:pt>
                <c:pt idx="55">
                  <c:v>0.864995071384069</c:v>
                </c:pt>
                <c:pt idx="56">
                  <c:v>0.864365597446664</c:v>
                </c:pt>
                <c:pt idx="57">
                  <c:v>0.863769801201011</c:v>
                </c:pt>
                <c:pt idx="58">
                  <c:v>0.863205308159167</c:v>
                </c:pt>
                <c:pt idx="59">
                  <c:v>0.862669950588952</c:v>
                </c:pt>
                <c:pt idx="60">
                  <c:v>0.862161746171933</c:v>
                </c:pt>
                <c:pt idx="61">
                  <c:v>0.86167887920009</c:v>
                </c:pt>
                <c:pt idx="62">
                  <c:v>0.861219683970305</c:v>
                </c:pt>
                <c:pt idx="63">
                  <c:v>0.860782630086686</c:v>
                </c:pt>
                <c:pt idx="64">
                  <c:v>0.860366309423213</c:v>
                </c:pt>
                <c:pt idx="65">
                  <c:v>0.859969424534917</c:v>
                </c:pt>
                <c:pt idx="66">
                  <c:v>0.859590778335799</c:v>
                </c:pt>
                <c:pt idx="67">
                  <c:v>0.859229264887096</c:v>
                </c:pt>
                <c:pt idx="68">
                  <c:v>0.858883861160928</c:v>
                </c:pt>
                <c:pt idx="69">
                  <c:v>0.858553619662637</c:v>
                </c:pt>
                <c:pt idx="70">
                  <c:v>0.858237661810648</c:v>
                </c:pt>
              </c:numCache>
            </c:numRef>
          </c:yVal>
          <c:smooth val="1"/>
        </c:ser>
        <c:dLbls>
          <c:showLegendKey val="0"/>
          <c:showVal val="0"/>
          <c:showCatName val="0"/>
          <c:showSerName val="0"/>
          <c:showPercent val="0"/>
          <c:showBubbleSize val="0"/>
        </c:dLbls>
        <c:axId val="572308096"/>
        <c:axId val="572318464"/>
      </c:scatterChart>
      <c:valAx>
        <c:axId val="572308096"/>
        <c:scaling>
          <c:orientation val="minMax"/>
          <c:max val="3.5"/>
        </c:scaling>
        <c:delete val="0"/>
        <c:axPos val="b"/>
        <c:majorGridlines/>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Normalized Frequency (f</a:t>
                </a:r>
                <a:r>
                  <a:rPr lang="en-US" baseline="-25000"/>
                  <a:t>N</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18464"/>
        <c:crosses val="autoZero"/>
        <c:crossBetween val="midCat"/>
        <c:majorUnit val="0.5"/>
        <c:minorUnit val="0.1"/>
      </c:valAx>
      <c:valAx>
        <c:axId val="572318464"/>
        <c:scaling>
          <c:orientation val="minMax"/>
          <c:max val="2"/>
          <c:min val="0"/>
        </c:scaling>
        <c:delete val="0"/>
        <c:axPos val="l"/>
        <c:majorGridlines/>
        <c:min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(M</a:t>
                </a:r>
                <a:r>
                  <a:rPr lang="en-US" baseline="-25000"/>
                  <a:t>G</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08096"/>
        <c:crosses val="autoZero"/>
        <c:crossBetween val="midCat"/>
        <c:min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M</a:t>
            </a:r>
            <a:r>
              <a:rPr lang="en-US" baseline="-25000"/>
              <a:t>G(peak)</a:t>
            </a:r>
            <a:r>
              <a:rPr lang="en-US"/>
              <a:t> Vs Q</a:t>
            </a:r>
            <a:r>
              <a:rPr lang="en-US" baseline="-25000"/>
              <a:t>E</a:t>
            </a:r>
            <a:r>
              <a:rPr lang="en-US"/>
              <a:t> with respect to L</a:t>
            </a:r>
            <a:r>
              <a:rPr lang="en-US" baseline="-25000"/>
              <a:t>N</a:t>
            </a:r>
            <a:endParaRPr lang="en-US" baseline="-25000"/>
          </a:p>
        </c:rich>
      </c:tx>
      <c:layout/>
      <c:overlay val="0"/>
    </c:title>
    <c:autoTitleDeleted val="0"/>
    <c:plotArea>
      <c:layout/>
      <c:scatterChart>
        <c:scatterStyle val="smooth"/>
        <c:varyColors val="0"/>
        <c:ser>
          <c:idx val="6"/>
          <c:order val="0"/>
          <c:tx>
            <c:strRef>
              <c:f>"Ln = 2"</c:f>
              <c:strCache>
                <c:ptCount val="1"/>
                <c:pt idx="0">
                  <c:v>Ln = 2</c:v>
                </c:pt>
              </c:strCache>
            </c:strRef>
          </c:tx>
          <c:spPr>
            <a:ln w="28575" cap="rnd" cmpd="sng" algn="ctr">
              <a:solidFill>
                <a:srgbClr val="FF0000"/>
              </a:solidFill>
              <a:prstDash val="solid"/>
              <a:round/>
            </a:ln>
          </c:spPr>
          <c:marker>
            <c:symbol val="none"/>
          </c:marker>
          <c:dLbls>
            <c:delete val="1"/>
          </c:dLbls>
          <c:xVal>
            <c:numRef>
              <c:f>'tables and calculations'!$G$8:$G$22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2.05</c:v>
                </c:pt>
                <c:pt idx="4">
                  <c:v>1.73</c:v>
                </c:pt>
                <c:pt idx="5">
                  <c:v>1.52</c:v>
                </c:pt>
                <c:pt idx="6">
                  <c:v>1.38</c:v>
                </c:pt>
                <c:pt idx="7">
                  <c:v>1.28</c:v>
                </c:pt>
                <c:pt idx="8">
                  <c:v>1.21</c:v>
                </c:pt>
                <c:pt idx="9">
                  <c:v>1.16</c:v>
                </c:pt>
                <c:pt idx="10">
                  <c:v>1.13</c:v>
                </c:pt>
                <c:pt idx="11">
                  <c:v>1.11</c:v>
                </c:pt>
                <c:pt idx="12">
                  <c:v>1.09</c:v>
                </c:pt>
                <c:pt idx="13">
                  <c:v>1.07</c:v>
                </c:pt>
                <c:pt idx="14">
                  <c:v>1.06</c:v>
                </c:pt>
              </c:numCache>
            </c:numRef>
          </c:yVal>
          <c:smooth val="1"/>
        </c:ser>
        <c:ser>
          <c:idx val="1"/>
          <c:order val="1"/>
          <c:tx>
            <c:strRef>
              <c:f>"Ln = 2.5"</c:f>
              <c:strCache>
                <c:ptCount val="1"/>
                <c:pt idx="0">
                  <c:v>Ln = 2.5</c:v>
                </c:pt>
              </c:strCache>
            </c:strRef>
          </c:tx>
          <c:spPr>
            <a:ln w="28575" cap="rnd" cmpd="sng" algn="ctr">
              <a:solidFill>
                <a:srgbClr val="FF0000"/>
              </a:solidFill>
              <a:prstDash val="sysDash"/>
              <a:round/>
            </a:ln>
          </c:spPr>
          <c:marker>
            <c:symbol val="none"/>
          </c:marker>
          <c:dLbls>
            <c:delete val="1"/>
          </c:dLbls>
          <c:xVal>
            <c:numRef>
              <c:f>'tables and calculations'!$K$8:$K$22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calculations'!$J$8:$J$22</c:f>
              <c:numCache>
                <c:formatCode>0.00E+00</c:formatCode>
                <c:ptCount val="15"/>
                <c:pt idx="0">
                  <c:v>5.03</c:v>
                </c:pt>
                <c:pt idx="1">
                  <c:v>3.06</c:v>
                </c:pt>
                <c:pt idx="2">
                  <c:v>2.24</c:v>
                </c:pt>
                <c:pt idx="3">
                  <c:v>1.8</c:v>
                </c:pt>
                <c:pt idx="4">
                  <c:v>1.53</c:v>
                </c:pt>
                <c:pt idx="5">
                  <c:v>1.36</c:v>
                </c:pt>
                <c:pt idx="6">
                  <c:v>1.25</c:v>
                </c:pt>
                <c:pt idx="7">
                  <c:v>1.18</c:v>
                </c:pt>
                <c:pt idx="8">
                  <c:v>1.13</c:v>
                </c:pt>
                <c:pt idx="9">
                  <c:v>1.1</c:v>
                </c:pt>
                <c:pt idx="10">
                  <c:v>1.08</c:v>
                </c:pt>
                <c:pt idx="11">
                  <c:v>1.07</c:v>
                </c:pt>
                <c:pt idx="12">
                  <c:v>1.05</c:v>
                </c:pt>
                <c:pt idx="13">
                  <c:v>1.05</c:v>
                </c:pt>
                <c:pt idx="14">
                  <c:v>1.04</c:v>
                </c:pt>
              </c:numCache>
            </c:numRef>
          </c:yVal>
          <c:smooth val="1"/>
        </c:ser>
        <c:ser>
          <c:idx val="0"/>
          <c:order val="2"/>
          <c:tx>
            <c:strRef>
              <c:f>"Ln = 3"</c:f>
              <c:strCache>
                <c:ptCount val="1"/>
                <c:pt idx="0">
                  <c:v>Ln = 3</c:v>
                </c:pt>
              </c:strCache>
            </c:strRef>
          </c:tx>
          <c:spPr>
            <a:ln w="28575" cap="rnd" cmpd="sng" algn="ctr">
              <a:solidFill>
                <a:schemeClr val="accent6">
                  <a:lumMod val="75000"/>
                </a:schemeClr>
              </a:solidFill>
              <a:prstDash val="solid"/>
              <a:round/>
            </a:ln>
          </c:spPr>
          <c:marker>
            <c:symbol val="none"/>
          </c:marker>
          <c:dLbls>
            <c:delete val="1"/>
          </c:dLbls>
          <c:xVal>
            <c:numRef>
              <c:f>'tables and calculations'!$AF$8:$AF$23</c:f>
              <c:numCache>
                <c:formatCode>0.00E+00</c:formatCode>
                <c:ptCount val="16"/>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calculations'!$O$8:$O$22</c:f>
              <c:numCache>
                <c:formatCode>0.00E+00</c:formatCode>
                <c:ptCount val="15"/>
                <c:pt idx="0">
                  <c:v>4.47</c:v>
                </c:pt>
                <c:pt idx="1">
                  <c:v>2.74</c:v>
                </c:pt>
                <c:pt idx="2">
                  <c:v>2.01</c:v>
                </c:pt>
                <c:pt idx="3">
                  <c:v>1.63</c:v>
                </c:pt>
                <c:pt idx="4">
                  <c:v>1.4</c:v>
                </c:pt>
                <c:pt idx="5">
                  <c:v>1.26</c:v>
                </c:pt>
                <c:pt idx="6">
                  <c:v>1.17</c:v>
                </c:pt>
                <c:pt idx="7">
                  <c:v>1.12</c:v>
                </c:pt>
                <c:pt idx="8">
                  <c:v>1.09</c:v>
                </c:pt>
                <c:pt idx="9">
                  <c:v>1.07</c:v>
                </c:pt>
                <c:pt idx="10">
                  <c:v>1.05</c:v>
                </c:pt>
                <c:pt idx="11">
                  <c:v>1.04</c:v>
                </c:pt>
                <c:pt idx="12">
                  <c:v>1.04</c:v>
                </c:pt>
                <c:pt idx="13">
                  <c:v>1.03</c:v>
                </c:pt>
                <c:pt idx="14">
                  <c:v>1.03</c:v>
                </c:pt>
              </c:numCache>
            </c:numRef>
          </c:yVal>
          <c:smooth val="1"/>
        </c:ser>
        <c:ser>
          <c:idx val="2"/>
          <c:order val="3"/>
          <c:tx>
            <c:strRef>
              <c:f>"Ln = 3.5"</c:f>
              <c:strCache>
                <c:ptCount val="1"/>
                <c:pt idx="0">
                  <c:v>Ln = 3.5</c:v>
                </c:pt>
              </c:strCache>
            </c:strRef>
          </c:tx>
          <c:spPr>
            <a:ln w="28575" cap="rnd" cmpd="sng" algn="ctr">
              <a:solidFill>
                <a:schemeClr val="accent6">
                  <a:lumMod val="75000"/>
                </a:schemeClr>
              </a:solidFill>
              <a:prstDash val="sysDash"/>
              <a:round/>
            </a:ln>
          </c:spPr>
          <c:marker>
            <c:symbol val="none"/>
          </c:marker>
          <c:dLbls>
            <c:delete val="1"/>
          </c:dLbls>
          <c:xVal>
            <c:numRef>
              <c:f>'tables and calculations'!$T$8:$T$22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calculations'!$S$8:$S$22</c:f>
              <c:numCache>
                <c:formatCode>0.00E+00</c:formatCode>
                <c:ptCount val="15"/>
                <c:pt idx="0">
                  <c:v>4.09</c:v>
                </c:pt>
                <c:pt idx="1">
                  <c:v>2.5</c:v>
                </c:pt>
                <c:pt idx="2">
                  <c:v>1.85</c:v>
                </c:pt>
                <c:pt idx="3">
                  <c:v>1.5</c:v>
                </c:pt>
                <c:pt idx="4">
                  <c:v>1.31</c:v>
                </c:pt>
                <c:pt idx="5">
                  <c:v>1.19</c:v>
                </c:pt>
                <c:pt idx="6">
                  <c:v>1.12</c:v>
                </c:pt>
                <c:pt idx="7">
                  <c:v>1.09</c:v>
                </c:pt>
                <c:pt idx="8">
                  <c:v>1.06</c:v>
                </c:pt>
                <c:pt idx="9">
                  <c:v>1.05</c:v>
                </c:pt>
                <c:pt idx="10">
                  <c:v>1.04</c:v>
                </c:pt>
                <c:pt idx="11">
                  <c:v>1.03</c:v>
                </c:pt>
                <c:pt idx="12">
                  <c:v>1.03</c:v>
                </c:pt>
                <c:pt idx="13">
                  <c:v>1.02</c:v>
                </c:pt>
                <c:pt idx="14">
                  <c:v>1.02</c:v>
                </c:pt>
              </c:numCache>
            </c:numRef>
          </c:yVal>
          <c:smooth val="1"/>
        </c:ser>
        <c:ser>
          <c:idx val="3"/>
          <c:order val="4"/>
          <c:tx>
            <c:strRef>
              <c:f>"Ln = 4"</c:f>
              <c:strCache>
                <c:ptCount val="1"/>
                <c:pt idx="0">
                  <c:v>Ln = 4</c:v>
                </c:pt>
              </c:strCache>
            </c:strRef>
          </c:tx>
          <c:spPr>
            <a:ln w="28575" cap="rnd" cmpd="sng" algn="ctr">
              <a:solidFill>
                <a:schemeClr val="accent4">
                  <a:lumMod val="75000"/>
                </a:schemeClr>
              </a:solidFill>
              <a:prstDash val="solid"/>
              <a:round/>
            </a:ln>
          </c:spPr>
          <c:marker>
            <c:symbol val="none"/>
          </c:marker>
          <c:dLbls>
            <c:delete val="1"/>
          </c:dLbls>
          <c:xVal>
            <c:numRef>
              <c:f>'tables and calculations'!$X$8:$X$22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calculations'!$W$8:$W$22</c:f>
              <c:numCache>
                <c:formatCode>0.00E+00</c:formatCode>
                <c:ptCount val="15"/>
                <c:pt idx="0">
                  <c:v>3.76</c:v>
                </c:pt>
                <c:pt idx="1">
                  <c:v>2.32</c:v>
                </c:pt>
                <c:pt idx="2">
                  <c:v>1.72</c:v>
                </c:pt>
                <c:pt idx="3">
                  <c:v>1.41</c:v>
                </c:pt>
                <c:pt idx="4">
                  <c:v>1.24</c:v>
                </c:pt>
                <c:pt idx="5">
                  <c:v>1.14</c:v>
                </c:pt>
                <c:pt idx="6">
                  <c:v>1.09</c:v>
                </c:pt>
                <c:pt idx="7">
                  <c:v>1.06</c:v>
                </c:pt>
                <c:pt idx="8">
                  <c:v>1.05</c:v>
                </c:pt>
                <c:pt idx="9">
                  <c:v>1.04</c:v>
                </c:pt>
                <c:pt idx="10">
                  <c:v>1.03</c:v>
                </c:pt>
                <c:pt idx="11">
                  <c:v>1.02</c:v>
                </c:pt>
                <c:pt idx="12">
                  <c:v>1.02</c:v>
                </c:pt>
                <c:pt idx="13">
                  <c:v>1.02</c:v>
                </c:pt>
                <c:pt idx="14">
                  <c:v>1.01</c:v>
                </c:pt>
              </c:numCache>
            </c:numRef>
          </c:yVal>
          <c:smooth val="1"/>
        </c:ser>
        <c:ser>
          <c:idx val="4"/>
          <c:order val="5"/>
          <c:tx>
            <c:strRef>
              <c:f>"Ln = 4.5"</c:f>
              <c:strCache>
                <c:ptCount val="1"/>
                <c:pt idx="0">
                  <c:v>Ln = 4.5</c:v>
                </c:pt>
              </c:strCache>
            </c:strRef>
          </c:tx>
          <c:spPr>
            <a:ln w="28575" cap="rnd" cmpd="sng" algn="ctr">
              <a:solidFill>
                <a:schemeClr val="accent4">
                  <a:lumMod val="75000"/>
                </a:schemeClr>
              </a:solidFill>
              <a:prstDash val="sysDash"/>
              <a:round/>
            </a:ln>
          </c:spPr>
          <c:marker>
            <c:symbol val="none"/>
          </c:marker>
          <c:dLbls>
            <c:delete val="1"/>
          </c:dLbls>
          <c:xVal>
            <c:numRef>
              <c:f>'tables and calculations'!$AB$8:$AB$22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calculations'!$AA$8:$AA$22</c:f>
              <c:numCache>
                <c:formatCode>0.00E+00</c:formatCode>
                <c:ptCount val="15"/>
                <c:pt idx="0">
                  <c:v>3.51</c:v>
                </c:pt>
                <c:pt idx="1">
                  <c:v>2.17</c:v>
                </c:pt>
                <c:pt idx="2">
                  <c:v>1.62</c:v>
                </c:pt>
                <c:pt idx="3">
                  <c:v>1.34</c:v>
                </c:pt>
                <c:pt idx="4">
                  <c:v>1.19</c:v>
                </c:pt>
                <c:pt idx="5">
                  <c:v>1.11</c:v>
                </c:pt>
                <c:pt idx="6">
                  <c:v>1.07</c:v>
                </c:pt>
                <c:pt idx="7">
                  <c:v>1.05</c:v>
                </c:pt>
                <c:pt idx="8">
                  <c:v>1.04</c:v>
                </c:pt>
                <c:pt idx="9">
                  <c:v>1.03</c:v>
                </c:pt>
                <c:pt idx="10">
                  <c:v>1.02</c:v>
                </c:pt>
                <c:pt idx="11">
                  <c:v>1.02</c:v>
                </c:pt>
                <c:pt idx="12">
                  <c:v>1.02</c:v>
                </c:pt>
                <c:pt idx="13">
                  <c:v>1.01</c:v>
                </c:pt>
                <c:pt idx="14">
                  <c:v>1.01</c:v>
                </c:pt>
              </c:numCache>
            </c:numRef>
          </c:yVal>
          <c:smooth val="1"/>
        </c:ser>
        <c:ser>
          <c:idx val="5"/>
          <c:order val="6"/>
          <c:tx>
            <c:strRef>
              <c:f>"Ln = 5"</c:f>
              <c:strCache>
                <c:ptCount val="1"/>
                <c:pt idx="0">
                  <c:v>Ln = 5</c:v>
                </c:pt>
              </c:strCache>
            </c:strRef>
          </c:tx>
          <c:spPr>
            <a:ln w="28575" cap="rnd" cmpd="sng" algn="ctr">
              <a:solidFill>
                <a:srgbClr val="00B050"/>
              </a:solidFill>
              <a:prstDash val="solid"/>
              <a:round/>
            </a:ln>
          </c:spPr>
          <c:marker>
            <c:symbol val="none"/>
          </c:marker>
          <c:dLbls>
            <c:delete val="1"/>
          </c:dLbls>
          <c:xVal>
            <c:numRef>
              <c:f>'tables and calculations'!$AF$8:$AF$22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calculations'!$AE$8:$AE$22</c:f>
              <c:numCache>
                <c:formatCode>0.00E+00</c:formatCode>
                <c:ptCount val="15"/>
                <c:pt idx="0">
                  <c:v>3.32</c:v>
                </c:pt>
                <c:pt idx="1">
                  <c:v>2.05</c:v>
                </c:pt>
                <c:pt idx="2">
                  <c:v>1.54</c:v>
                </c:pt>
                <c:pt idx="3">
                  <c:v>1.28</c:v>
                </c:pt>
                <c:pt idx="4">
                  <c:v>1.15</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strRef>
              <c:f>"Ln = 6"</c:f>
              <c:strCache>
                <c:ptCount val="1"/>
                <c:pt idx="0">
                  <c:v>Ln = 6</c:v>
                </c:pt>
              </c:strCache>
            </c:strRef>
          </c:tx>
          <c:spPr>
            <a:ln w="28575" cap="rnd" cmpd="sng" algn="ctr">
              <a:solidFill>
                <a:schemeClr val="accent1"/>
              </a:solidFill>
              <a:prstDash val="solid"/>
              <a:round/>
            </a:ln>
          </c:spPr>
          <c:marker>
            <c:symbol val="none"/>
          </c:marker>
          <c:dLbls>
            <c:delete val="1"/>
          </c:dLbls>
          <c:xVal>
            <c:numRef>
              <c:f>'tables and calculations'!$AN$8:$AN$22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calculations'!$AM$8:$AM$22</c:f>
              <c:numCache>
                <c:formatCode>0.00E+00</c:formatCode>
                <c:ptCount val="15"/>
                <c:pt idx="0">
                  <c:v>3</c:v>
                </c:pt>
                <c:pt idx="1">
                  <c:v>1.86</c:v>
                </c:pt>
                <c:pt idx="2">
                  <c:v>1.41</c:v>
                </c:pt>
                <c:pt idx="3">
                  <c:v>1.19</c:v>
                </c:pt>
                <c:pt idx="4">
                  <c:v>1.09</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strRef>
              <c:f>"Ln = 7"</c:f>
              <c:strCache>
                <c:ptCount val="1"/>
                <c:pt idx="0">
                  <c:v>Ln = 7</c:v>
                </c:pt>
              </c:strCache>
            </c:strRef>
          </c:tx>
          <c:spPr>
            <a:ln w="28575" cap="rnd" cmpd="sng" algn="ctr">
              <a:solidFill>
                <a:schemeClr val="accent2">
                  <a:lumMod val="75000"/>
                </a:schemeClr>
              </a:solidFill>
              <a:prstDash val="solid"/>
              <a:round/>
            </a:ln>
          </c:spPr>
          <c:marker>
            <c:symbol val="none"/>
          </c:marker>
          <c:dLbls>
            <c:delete val="1"/>
          </c:dLbls>
          <c:xVal>
            <c:numRef>
              <c:f>'tables and calculations'!$AV$8:$AV$22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calculations'!$AU$8:$AU$22</c:f>
              <c:numCache>
                <c:formatCode>0.00E+00</c:formatCode>
                <c:ptCount val="15"/>
                <c:pt idx="0">
                  <c:v>2.75</c:v>
                </c:pt>
                <c:pt idx="1">
                  <c:v>1.72</c:v>
                </c:pt>
                <c:pt idx="2">
                  <c:v>1.32</c:v>
                </c:pt>
                <c:pt idx="3">
                  <c:v>1.14</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strRef>
              <c:f>"Ln = 8"</c:f>
              <c:strCache>
                <c:ptCount val="1"/>
                <c:pt idx="0">
                  <c:v>Ln = 8</c:v>
                </c:pt>
              </c:strCache>
            </c:strRef>
          </c:tx>
          <c:spPr>
            <a:ln w="28575" cap="rnd" cmpd="sng" algn="ctr">
              <a:solidFill>
                <a:schemeClr val="bg1">
                  <a:lumMod val="50000"/>
                </a:schemeClr>
              </a:solidFill>
              <a:prstDash val="solid"/>
              <a:round/>
            </a:ln>
          </c:spPr>
          <c:marker>
            <c:symbol val="none"/>
          </c:marker>
          <c:dLbls>
            <c:delete val="1"/>
          </c:dLbls>
          <c:xVal>
            <c:numRef>
              <c:f>'tables and calculations'!$BD$8:$BD$22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calculations'!$BC$8:$BC$22</c:f>
              <c:numCache>
                <c:formatCode>0.00E+00</c:formatCode>
                <c:ptCount val="15"/>
                <c:pt idx="0">
                  <c:v>2.56</c:v>
                </c:pt>
                <c:pt idx="1">
                  <c:v>1.61</c:v>
                </c:pt>
                <c:pt idx="2">
                  <c:v>1.25</c:v>
                </c:pt>
                <c:pt idx="3">
                  <c:v>1.1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strRef>
              <c:f>"Ln = 9"</c:f>
              <c:strCache>
                <c:ptCount val="1"/>
                <c:pt idx="0">
                  <c:v>Ln = 9</c:v>
                </c:pt>
              </c:strCache>
            </c:strRef>
          </c:tx>
          <c:spPr>
            <a:ln w="28575" cap="rnd" cmpd="sng" algn="ctr">
              <a:solidFill>
                <a:schemeClr val="tx1"/>
              </a:solidFill>
              <a:prstDash val="solid"/>
              <a:round/>
            </a:ln>
          </c:spPr>
          <c:marker>
            <c:symbol val="none"/>
          </c:marker>
          <c:dLbls>
            <c:delete val="1"/>
          </c:dLbls>
          <c:xVal>
            <c:numRef>
              <c:f>'tables and calculations'!$BL$8:$BL$22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calculations'!$BK$8:$BK$22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strRef>
              <c:f>"Mg_max"</c:f>
              <c:strCache>
                <c:ptCount val="1"/>
                <c:pt idx="0">
                  <c:v>Mg_max</c:v>
                </c:pt>
              </c:strCache>
            </c:strRef>
          </c:tx>
          <c:spPr>
            <a:ln w="28575" cap="rnd" cmpd="sng" algn="ctr">
              <a:solidFill>
                <a:schemeClr val="accent6">
                  <a:shade val="95000"/>
                  <a:satMod val="105000"/>
                </a:schemeClr>
              </a:solidFill>
              <a:prstDash val="dash"/>
              <a:round/>
            </a:ln>
          </c:spPr>
          <c:marker>
            <c:symbol val="none"/>
          </c:marker>
          <c:dLbls>
            <c:delete val="1"/>
          </c:dLbls>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572372864"/>
        <c:axId val="572379136"/>
      </c:scatterChart>
      <c:valAx>
        <c:axId val="572372864"/>
        <c:scaling>
          <c:orientation val="minMax"/>
          <c:max val="1.5"/>
          <c:min val="0.15"/>
        </c:scaling>
        <c:delete val="0"/>
        <c:axPos val="b"/>
        <c:maj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Quality Factor (Q</a:t>
                </a:r>
                <a:r>
                  <a:rPr lang="en-US" baseline="-25000"/>
                  <a:t>E</a:t>
                </a:r>
                <a:r>
                  <a:rPr lang="en-US"/>
                  <a:t>)</a:t>
                </a:r>
                <a:endParaRPr lang="en-US"/>
              </a:p>
            </c:rich>
          </c:tx>
          <c:layout/>
          <c:overlay val="0"/>
        </c:title>
        <c:numFmt formatCode="#,##0.00" sourceLinked="0"/>
        <c:majorTickMark val="out"/>
        <c:minorTickMark val="none"/>
        <c:tickLblPos val="nextTo"/>
        <c:txPr>
          <a:bodyPr rot="-54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79136"/>
        <c:crosses val="autoZero"/>
        <c:crossBetween val="midCat"/>
        <c:majorUnit val="0.05"/>
        <c:minorUnit val="0.01"/>
      </c:valAx>
      <c:valAx>
        <c:axId val="572379136"/>
        <c:scaling>
          <c:orientation val="minMax"/>
          <c:max val="3"/>
          <c:min val="1"/>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Attainable Peak Gain (M</a:t>
                </a:r>
                <a:r>
                  <a:rPr lang="en-US" baseline="-25000"/>
                  <a:t>G(PEAK)</a:t>
                </a:r>
                <a:r>
                  <a:rPr lang="en-US"/>
                  <a:t>)</a:t>
                </a:r>
                <a:endParaRPr lang="en-US"/>
              </a:p>
            </c:rich>
          </c:tx>
          <c:layout/>
          <c:overlay val="0"/>
        </c:title>
        <c:numFmt formatCode="#,##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72864"/>
        <c:crosses val="autoZero"/>
        <c:crossBetween val="midCat"/>
        <c:maj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LLC Gain Curve with the Selected</a:t>
            </a:r>
            <a:r>
              <a:rPr lang="en-US" baseline="0"/>
              <a:t> L</a:t>
            </a:r>
            <a:r>
              <a:rPr lang="en-US" baseline="-25000"/>
              <a:t>N</a:t>
            </a:r>
            <a:r>
              <a:rPr lang="en-US" baseline="0"/>
              <a:t> and Q</a:t>
            </a:r>
            <a:r>
              <a:rPr lang="en-US" baseline="-25000"/>
              <a:t>E</a:t>
            </a:r>
            <a:endParaRPr lang="en-US" baseline="-25000"/>
          </a:p>
        </c:rich>
      </c:tx>
      <c:layout/>
      <c:overlay val="0"/>
    </c:title>
    <c:autoTitleDeleted val="0"/>
    <c:plotArea>
      <c:layout>
        <c:manualLayout>
          <c:layoutTarget val="inner"/>
          <c:xMode val="edge"/>
          <c:yMode val="edge"/>
          <c:x val="0.102309954686885"/>
          <c:y val="0.124561147621301"/>
          <c:w val="0.727390784034531"/>
          <c:h val="0.725456937526216"/>
        </c:manualLayout>
      </c:layout>
      <c:scatterChart>
        <c:scatterStyle val="smooth"/>
        <c:varyColors val="0"/>
        <c:ser>
          <c:idx val="0"/>
          <c:order val="0"/>
          <c:tx>
            <c:strRef>
              <c:f>"Ln_Qe Gain with respect to freq"</c:f>
              <c:strCache>
                <c:ptCount val="1"/>
                <c:pt idx="0">
                  <c:v>Ln_Qe Gain with respect to freq</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calculations'!$S$66:$S$140</c:f>
              <c:numCache>
                <c:formatCode>0.00</c:formatCode>
                <c:ptCount val="75"/>
                <c:pt idx="0">
                  <c:v>0</c:v>
                </c:pt>
                <c:pt idx="1">
                  <c:v>0.0140634604647324</c:v>
                </c:pt>
                <c:pt idx="2">
                  <c:v>0.0582776272582912</c:v>
                </c:pt>
                <c:pt idx="3">
                  <c:v>0.139171901601292</c:v>
                </c:pt>
                <c:pt idx="4">
                  <c:v>0.268977778726311</c:v>
                </c:pt>
                <c:pt idx="5">
                  <c:v>0.465982881659741</c:v>
                </c:pt>
                <c:pt idx="6">
                  <c:v>0.745946291045919</c:v>
                </c:pt>
                <c:pt idx="7">
                  <c:v>1.08264422267278</c:v>
                </c:pt>
                <c:pt idx="8">
                  <c:v>1.35664648193388</c:v>
                </c:pt>
                <c:pt idx="9">
                  <c:v>1.45892862417071</c:v>
                </c:pt>
                <c:pt idx="10">
                  <c:v>1.43205011618118</c:v>
                </c:pt>
                <c:pt idx="11">
                  <c:v>1.36135736510185</c:v>
                </c:pt>
                <c:pt idx="12">
                  <c:v>1.28871359166781</c:v>
                </c:pt>
                <c:pt idx="13">
                  <c:v>1.22585832229997</c:v>
                </c:pt>
                <c:pt idx="14">
                  <c:v>1.17389537413326</c:v>
                </c:pt>
                <c:pt idx="15">
                  <c:v>1.13120686298808</c:v>
                </c:pt>
                <c:pt idx="16">
                  <c:v>1.09585945001898</c:v>
                </c:pt>
                <c:pt idx="17">
                  <c:v>1.06620408510256</c:v>
                </c:pt>
                <c:pt idx="18">
                  <c:v>1.04095391365058</c:v>
                </c:pt>
                <c:pt idx="19">
                  <c:v>1.01913187160283</c:v>
                </c:pt>
                <c:pt idx="20">
                  <c:v>1</c:v>
                </c:pt>
                <c:pt idx="21">
                  <c:v>0.982998803698771</c:v>
                </c:pt>
                <c:pt idx="22">
                  <c:v>0.967700861991079</c:v>
                </c:pt>
                <c:pt idx="23">
                  <c:v>0.953776706187293</c:v>
                </c:pt>
                <c:pt idx="24">
                  <c:v>0.94097001668901</c:v>
                </c:pt>
                <c:pt idx="25">
                  <c:v>0.929079593865909</c:v>
                </c:pt>
                <c:pt idx="26">
                  <c:v>0.917946178909134</c:v>
                </c:pt>
                <c:pt idx="27">
                  <c:v>0.907442739793598</c:v>
                </c:pt>
                <c:pt idx="28">
                  <c:v>0.897467243123563</c:v>
                </c:pt>
                <c:pt idx="29">
                  <c:v>0.887937222331591</c:v>
                </c:pt>
                <c:pt idx="30">
                  <c:v>0.878785655410643</c:v>
                </c:pt>
                <c:pt idx="31">
                  <c:v>0.869957806355333</c:v>
                </c:pt>
                <c:pt idx="32">
                  <c:v>0.861408782683466</c:v>
                </c:pt>
                <c:pt idx="33">
                  <c:v>0.853101630145411</c:v>
                </c:pt>
                <c:pt idx="34">
                  <c:v>0.845005834190296</c:v>
                </c:pt>
                <c:pt idx="35">
                  <c:v>0.837096132207098</c:v>
                </c:pt>
                <c:pt idx="36">
                  <c:v>0.829351565262037</c:v>
                </c:pt>
                <c:pt idx="37">
                  <c:v>0.821754715926284</c:v>
                </c:pt>
                <c:pt idx="38">
                  <c:v>0.81429109183366</c:v>
                </c:pt>
                <c:pt idx="39">
                  <c:v>0.806948624213283</c:v>
                </c:pt>
                <c:pt idx="40">
                  <c:v>0.799717257774258</c:v>
                </c:pt>
                <c:pt idx="41">
                  <c:v>0.792588613658777</c:v>
                </c:pt>
                <c:pt idx="42">
                  <c:v>0.785555711208634</c:v>
                </c:pt>
                <c:pt idx="43">
                  <c:v>0.77861273735311</c:v>
                </c:pt>
                <c:pt idx="44">
                  <c:v>0.771754854771958</c:v>
                </c:pt>
                <c:pt idx="45">
                  <c:v>0.764978041796382</c:v>
                </c:pt>
                <c:pt idx="46">
                  <c:v>0.758278958415691</c:v>
                </c:pt>
                <c:pt idx="47">
                  <c:v>0.751654833855244</c:v>
                </c:pt>
                <c:pt idx="48">
                  <c:v>0.745103372054714</c:v>
                </c:pt>
                <c:pt idx="49">
                  <c:v>0.738622672058896</c:v>
                </c:pt>
                <c:pt idx="50">
                  <c:v>0.732211160876962</c:v>
                </c:pt>
                <c:pt idx="51">
                  <c:v>0.725867536801175</c:v>
                </c:pt>
                <c:pt idx="52">
                  <c:v>0.719590721526156</c:v>
                </c:pt>
                <c:pt idx="53">
                  <c:v>0.713379819693034</c:v>
                </c:pt>
                <c:pt idx="54">
                  <c:v>0.707234084712921</c:v>
                </c:pt>
                <c:pt idx="55">
                  <c:v>0.70115288991226</c:v>
                </c:pt>
                <c:pt idx="56">
                  <c:v>0.695135704196858</c:v>
                </c:pt>
                <c:pt idx="57">
                  <c:v>0.689182071558641</c:v>
                </c:pt>
                <c:pt idx="58">
                  <c:v>0.683291593854435</c:v>
                </c:pt>
                <c:pt idx="59">
                  <c:v>0.677463916373627</c:v>
                </c:pt>
                <c:pt idx="60">
                  <c:v>0.671698715784584</c:v>
                </c:pt>
                <c:pt idx="61">
                  <c:v>0.665995690110868</c:v>
                </c:pt>
                <c:pt idx="62">
                  <c:v>0.660354550439718</c:v>
                </c:pt>
                <c:pt idx="63">
                  <c:v>0.654775014108588</c:v>
                </c:pt>
                <c:pt idx="64">
                  <c:v>0.649256799152233</c:v>
                </c:pt>
                <c:pt idx="65">
                  <c:v>0.643799619823917</c:v>
                </c:pt>
                <c:pt idx="66">
                  <c:v>0.638403183030797</c:v>
                </c:pt>
                <c:pt idx="67">
                  <c:v>0.63306718554609</c:v>
                </c:pt>
                <c:pt idx="68">
                  <c:v>0.627791311879912</c:v>
                </c:pt>
                <c:pt idx="69">
                  <c:v>0.622575232707226</c:v>
                </c:pt>
                <c:pt idx="70">
                  <c:v>0.617418603765486</c:v>
                </c:pt>
                <c:pt idx="71">
                  <c:v>0.612321065146757</c:v>
                </c:pt>
              </c:numCache>
            </c:numRef>
          </c:yVal>
          <c:smooth val="1"/>
        </c:ser>
        <c:ser>
          <c:idx val="1"/>
          <c:order val="1"/>
          <c:tx>
            <c:strRef>
              <c:f>"Mg(nom)"</c:f>
              <c:strCache>
                <c:ptCount val="1"/>
                <c:pt idx="0">
                  <c:v>Mg(nom)</c:v>
                </c:pt>
              </c:strCache>
            </c:strRef>
          </c:tx>
          <c:spPr>
            <a:ln w="28575" cap="rnd" cmpd="sng" algn="ctr">
              <a:solidFill>
                <a:schemeClr val="accent6"/>
              </a:solidFill>
              <a:prstDash val="solid"/>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calculations'!$AR$66:$AR$137</c:f>
              <c:numCache>
                <c:formatCode>0.00</c:formatCode>
                <c:ptCount val="72"/>
                <c:pt idx="0">
                  <c:v>1.03153846153846</c:v>
                </c:pt>
                <c:pt idx="1">
                  <c:v>1.03153846153846</c:v>
                </c:pt>
                <c:pt idx="2">
                  <c:v>1.03153846153846</c:v>
                </c:pt>
                <c:pt idx="3">
                  <c:v>1.03153846153846</c:v>
                </c:pt>
                <c:pt idx="4">
                  <c:v>1.03153846153846</c:v>
                </c:pt>
                <c:pt idx="5">
                  <c:v>1.03153846153846</c:v>
                </c:pt>
                <c:pt idx="6">
                  <c:v>1.03153846153846</c:v>
                </c:pt>
                <c:pt idx="7">
                  <c:v>1.03153846153846</c:v>
                </c:pt>
                <c:pt idx="8">
                  <c:v>1.03153846153846</c:v>
                </c:pt>
                <c:pt idx="9">
                  <c:v>1.03153846153846</c:v>
                </c:pt>
                <c:pt idx="10">
                  <c:v>1.03153846153846</c:v>
                </c:pt>
                <c:pt idx="11">
                  <c:v>1.03153846153846</c:v>
                </c:pt>
                <c:pt idx="12">
                  <c:v>1.03153846153846</c:v>
                </c:pt>
                <c:pt idx="13">
                  <c:v>1.03153846153846</c:v>
                </c:pt>
                <c:pt idx="14">
                  <c:v>1.03153846153846</c:v>
                </c:pt>
                <c:pt idx="15">
                  <c:v>1.03153846153846</c:v>
                </c:pt>
                <c:pt idx="16">
                  <c:v>1.03153846153846</c:v>
                </c:pt>
                <c:pt idx="17">
                  <c:v>1.03153846153846</c:v>
                </c:pt>
                <c:pt idx="18">
                  <c:v>1.03153846153846</c:v>
                </c:pt>
                <c:pt idx="19">
                  <c:v>1.03153846153846</c:v>
                </c:pt>
                <c:pt idx="20">
                  <c:v>1.03153846153846</c:v>
                </c:pt>
                <c:pt idx="21">
                  <c:v>1.03153846153846</c:v>
                </c:pt>
                <c:pt idx="22">
                  <c:v>1.03153846153846</c:v>
                </c:pt>
                <c:pt idx="23">
                  <c:v>1.03153846153846</c:v>
                </c:pt>
                <c:pt idx="24">
                  <c:v>1.03153846153846</c:v>
                </c:pt>
                <c:pt idx="25">
                  <c:v>1.03153846153846</c:v>
                </c:pt>
                <c:pt idx="26">
                  <c:v>1.03153846153846</c:v>
                </c:pt>
                <c:pt idx="27">
                  <c:v>1.03153846153846</c:v>
                </c:pt>
                <c:pt idx="28">
                  <c:v>1.03153846153846</c:v>
                </c:pt>
                <c:pt idx="29">
                  <c:v>1.03153846153846</c:v>
                </c:pt>
                <c:pt idx="30">
                  <c:v>1.03153846153846</c:v>
                </c:pt>
                <c:pt idx="31">
                  <c:v>1.03153846153846</c:v>
                </c:pt>
                <c:pt idx="32">
                  <c:v>1.03153846153846</c:v>
                </c:pt>
                <c:pt idx="33">
                  <c:v>1.03153846153846</c:v>
                </c:pt>
                <c:pt idx="34">
                  <c:v>1.03153846153846</c:v>
                </c:pt>
                <c:pt idx="35">
                  <c:v>1.03153846153846</c:v>
                </c:pt>
                <c:pt idx="36">
                  <c:v>1.03153846153846</c:v>
                </c:pt>
                <c:pt idx="37">
                  <c:v>1.03153846153846</c:v>
                </c:pt>
                <c:pt idx="38">
                  <c:v>1.03153846153846</c:v>
                </c:pt>
                <c:pt idx="39">
                  <c:v>1.03153846153846</c:v>
                </c:pt>
                <c:pt idx="40">
                  <c:v>1.03153846153846</c:v>
                </c:pt>
                <c:pt idx="41">
                  <c:v>1.03153846153846</c:v>
                </c:pt>
                <c:pt idx="42">
                  <c:v>1.03153846153846</c:v>
                </c:pt>
                <c:pt idx="43">
                  <c:v>1.03153846153846</c:v>
                </c:pt>
                <c:pt idx="44">
                  <c:v>1.03153846153846</c:v>
                </c:pt>
                <c:pt idx="45">
                  <c:v>1.03153846153846</c:v>
                </c:pt>
                <c:pt idx="46">
                  <c:v>1.03153846153846</c:v>
                </c:pt>
                <c:pt idx="47">
                  <c:v>1.03153846153846</c:v>
                </c:pt>
                <c:pt idx="48">
                  <c:v>1.03153846153846</c:v>
                </c:pt>
                <c:pt idx="49">
                  <c:v>1.03153846153846</c:v>
                </c:pt>
                <c:pt idx="50">
                  <c:v>1.03153846153846</c:v>
                </c:pt>
                <c:pt idx="51">
                  <c:v>1.03153846153846</c:v>
                </c:pt>
                <c:pt idx="52">
                  <c:v>1.03153846153846</c:v>
                </c:pt>
                <c:pt idx="53">
                  <c:v>1.03153846153846</c:v>
                </c:pt>
                <c:pt idx="54">
                  <c:v>1.03153846153846</c:v>
                </c:pt>
                <c:pt idx="55">
                  <c:v>1.03153846153846</c:v>
                </c:pt>
                <c:pt idx="56">
                  <c:v>1.03153846153846</c:v>
                </c:pt>
                <c:pt idx="57">
                  <c:v>1.03153846153846</c:v>
                </c:pt>
                <c:pt idx="58">
                  <c:v>1.03153846153846</c:v>
                </c:pt>
                <c:pt idx="59">
                  <c:v>1.03153846153846</c:v>
                </c:pt>
                <c:pt idx="60">
                  <c:v>1.03153846153846</c:v>
                </c:pt>
                <c:pt idx="61">
                  <c:v>1.03153846153846</c:v>
                </c:pt>
                <c:pt idx="62">
                  <c:v>1.03153846153846</c:v>
                </c:pt>
                <c:pt idx="63">
                  <c:v>1.03153846153846</c:v>
                </c:pt>
                <c:pt idx="64">
                  <c:v>1.03153846153846</c:v>
                </c:pt>
                <c:pt idx="65">
                  <c:v>1.03153846153846</c:v>
                </c:pt>
                <c:pt idx="66">
                  <c:v>1.03153846153846</c:v>
                </c:pt>
                <c:pt idx="67">
                  <c:v>1.03153846153846</c:v>
                </c:pt>
                <c:pt idx="68">
                  <c:v>1.03153846153846</c:v>
                </c:pt>
                <c:pt idx="69">
                  <c:v>1.03153846153846</c:v>
                </c:pt>
                <c:pt idx="70">
                  <c:v>1.03153846153846</c:v>
                </c:pt>
                <c:pt idx="71">
                  <c:v>1.03153846153846</c:v>
                </c:pt>
              </c:numCache>
            </c:numRef>
          </c:yVal>
          <c:smooth val="1"/>
        </c:ser>
        <c:dLbls>
          <c:showLegendKey val="0"/>
          <c:showVal val="0"/>
          <c:showCatName val="0"/>
          <c:showSerName val="0"/>
          <c:showPercent val="0"/>
          <c:showBubbleSize val="0"/>
        </c:dLbls>
        <c:axId val="572410112"/>
        <c:axId val="572416384"/>
      </c:scatterChart>
      <c:valAx>
        <c:axId val="572410112"/>
        <c:scaling>
          <c:orientation val="minMax"/>
          <c:max val="3.5"/>
        </c:scaling>
        <c:delete val="0"/>
        <c:axPos val="b"/>
        <c:majorGridlines/>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Normalized Frequency (f</a:t>
                </a:r>
                <a:r>
                  <a:rPr lang="en-US" baseline="-25000"/>
                  <a:t>N</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416384"/>
        <c:crosses val="autoZero"/>
        <c:crossBetween val="midCat"/>
        <c:majorUnit val="0.5"/>
        <c:minorUnit val="0.1"/>
      </c:valAx>
      <c:valAx>
        <c:axId val="572416384"/>
        <c:scaling>
          <c:orientation val="minMax"/>
          <c:max val="2"/>
          <c:min val="0"/>
        </c:scaling>
        <c:delete val="0"/>
        <c:axPos val="l"/>
        <c:majorGridlines/>
        <c:min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(M</a:t>
                </a:r>
                <a:r>
                  <a:rPr lang="en-US" baseline="-25000"/>
                  <a:t>G</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410112"/>
        <c:crosses val="autoZero"/>
        <c:crossBetween val="midCat"/>
        <c:min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Gain(dB)</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calculations'!$H$279:$H$1369</c:f>
              <c:numCache>
                <c:formatCode>General</c:formatCode>
                <c:ptCount val="1091"/>
                <c:pt idx="0">
                  <c:v>16.2257459571321</c:v>
                </c:pt>
                <c:pt idx="1">
                  <c:v>13.5958832005811</c:v>
                </c:pt>
                <c:pt idx="2">
                  <c:v>11.1480630407559</c:v>
                </c:pt>
                <c:pt idx="3">
                  <c:v>9.098169569352</c:v>
                </c:pt>
                <c:pt idx="4">
                  <c:v>7.3845627590272</c:v>
                </c:pt>
                <c:pt idx="5">
                  <c:v>5.92798936816286</c:v>
                </c:pt>
                <c:pt idx="6">
                  <c:v>4.66749741589265</c:v>
                </c:pt>
                <c:pt idx="7">
                  <c:v>3.55934042868814</c:v>
                </c:pt>
                <c:pt idx="8">
                  <c:v>2.5720817065832</c:v>
                </c:pt>
                <c:pt idx="9">
                  <c:v>1.68271568046208</c:v>
                </c:pt>
                <c:pt idx="10">
                  <c:v>-4.25440150505831</c:v>
                </c:pt>
                <c:pt idx="11">
                  <c:v>-7.76058925789232</c:v>
                </c:pt>
                <c:pt idx="12">
                  <c:v>-10.2538775609267</c:v>
                </c:pt>
                <c:pt idx="13">
                  <c:v>-12.1895360398058</c:v>
                </c:pt>
                <c:pt idx="14">
                  <c:v>-13.7717796162818</c:v>
                </c:pt>
                <c:pt idx="15">
                  <c:v>-15.1098822893636</c:v>
                </c:pt>
                <c:pt idx="16">
                  <c:v>-16.2691804167597</c:v>
                </c:pt>
                <c:pt idx="17">
                  <c:v>-17.2918600477552</c:v>
                </c:pt>
                <c:pt idx="18">
                  <c:v>-18.2067445956438</c:v>
                </c:pt>
                <c:pt idx="19">
                  <c:v>-24.2264962556087</c:v>
                </c:pt>
                <c:pt idx="20">
                  <c:v>-27.748164334592</c:v>
                </c:pt>
                <c:pt idx="21">
                  <c:v>-30.2468840796697</c:v>
                </c:pt>
                <c:pt idx="22">
                  <c:v>-32.1850588884286</c:v>
                </c:pt>
                <c:pt idx="23">
                  <c:v>-33.7686699838655</c:v>
                </c:pt>
                <c:pt idx="24">
                  <c:v>-35.1075974401067</c:v>
                </c:pt>
                <c:pt idx="25">
                  <c:v>-36.2674309690263</c:v>
                </c:pt>
                <c:pt idx="26">
                  <c:v>-37.2904777084572</c:v>
                </c:pt>
                <c:pt idx="27">
                  <c:v>-38.2056248662732</c:v>
                </c:pt>
                <c:pt idx="28">
                  <c:v>-44.2262162956527</c:v>
                </c:pt>
                <c:pt idx="29">
                  <c:v>-47.7480399056718</c:v>
                </c:pt>
                <c:pt idx="30">
                  <c:v>-50.2468140879546</c:v>
                </c:pt>
                <c:pt idx="31">
                  <c:v>-52.1850140935984</c:v>
                </c:pt>
                <c:pt idx="32">
                  <c:v>-53.7686388762945</c:v>
                </c:pt>
                <c:pt idx="33">
                  <c:v>-55.1075745855425</c:v>
                </c:pt>
                <c:pt idx="34">
                  <c:v>-56.2674134709896</c:v>
                </c:pt>
                <c:pt idx="35">
                  <c:v>-57.290463882842</c:v>
                </c:pt>
                <c:pt idx="36">
                  <c:v>-58.2056136675214</c:v>
                </c:pt>
              </c:numCache>
            </c:numRef>
          </c:yVal>
          <c:smooth val="1"/>
        </c:ser>
        <c:ser>
          <c:idx val="1"/>
          <c:order val="1"/>
          <c:tx>
            <c:strRef>
              <c:f>"Type II Inner Loop Compensator"</c:f>
              <c:strCache>
                <c:ptCount val="1"/>
                <c:pt idx="0">
                  <c:v>Type 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calculations'!$M$279:$M$1369</c:f>
              <c:numCache>
                <c:formatCode>General</c:formatCode>
                <c:ptCount val="1091"/>
                <c:pt idx="0">
                  <c:v>41.445839971918</c:v>
                </c:pt>
                <c:pt idx="1">
                  <c:v>35.5901180400256</c:v>
                </c:pt>
                <c:pt idx="2">
                  <c:v>32.3298787135295</c:v>
                </c:pt>
                <c:pt idx="3">
                  <c:v>30.1726792037705</c:v>
                </c:pt>
                <c:pt idx="4">
                  <c:v>28.6374650856796</c:v>
                </c:pt>
                <c:pt idx="5">
                  <c:v>27.5003627183746</c:v>
                </c:pt>
                <c:pt idx="6">
                  <c:v>26.6359050316992</c:v>
                </c:pt>
                <c:pt idx="7">
                  <c:v>25.9658627741843</c:v>
                </c:pt>
                <c:pt idx="8">
                  <c:v>25.4382283471505</c:v>
                </c:pt>
                <c:pt idx="9">
                  <c:v>25.0169964538385</c:v>
                </c:pt>
                <c:pt idx="10">
                  <c:v>23.2971940742783</c:v>
                </c:pt>
                <c:pt idx="11">
                  <c:v>22.8702452857811</c:v>
                </c:pt>
                <c:pt idx="12">
                  <c:v>22.6891082113143</c:v>
                </c:pt>
                <c:pt idx="13">
                  <c:v>22.579268266791</c:v>
                </c:pt>
                <c:pt idx="14">
                  <c:v>22.493782451077</c:v>
                </c:pt>
                <c:pt idx="15">
                  <c:v>22.4160952802538</c:v>
                </c:pt>
                <c:pt idx="16">
                  <c:v>22.3393236165255</c:v>
                </c:pt>
                <c:pt idx="17">
                  <c:v>22.2603154840886</c:v>
                </c:pt>
                <c:pt idx="18">
                  <c:v>22.1775706129611</c:v>
                </c:pt>
                <c:pt idx="19">
                  <c:v>21.1124425945732</c:v>
                </c:pt>
                <c:pt idx="20">
                  <c:v>19.7855803388508</c:v>
                </c:pt>
                <c:pt idx="21">
                  <c:v>18.4205622538441</c:v>
                </c:pt>
                <c:pt idx="22">
                  <c:v>17.1227236485897</c:v>
                </c:pt>
                <c:pt idx="23">
                  <c:v>15.9251343240605</c:v>
                </c:pt>
                <c:pt idx="24">
                  <c:v>14.8302233071914</c:v>
                </c:pt>
                <c:pt idx="25">
                  <c:v>13.8296372737455</c:v>
                </c:pt>
                <c:pt idx="26">
                  <c:v>12.9123032818428</c:v>
                </c:pt>
                <c:pt idx="27">
                  <c:v>12.0674130298758</c:v>
                </c:pt>
                <c:pt idx="28">
                  <c:v>6.07132203865018</c:v>
                </c:pt>
                <c:pt idx="29">
                  <c:v>2.30875812687657</c:v>
                </c:pt>
                <c:pt idx="30">
                  <c:v>-0.414323402462233</c:v>
                </c:pt>
                <c:pt idx="31">
                  <c:v>-2.52491560711515</c:v>
                </c:pt>
                <c:pt idx="32">
                  <c:v>-4.23484060583534</c:v>
                </c:pt>
                <c:pt idx="33">
                  <c:v>-5.66586055084191</c:v>
                </c:pt>
                <c:pt idx="34">
                  <c:v>-6.8935780384889</c:v>
                </c:pt>
                <c:pt idx="35">
                  <c:v>-7.96749898639934</c:v>
                </c:pt>
                <c:pt idx="36">
                  <c:v>-8.92146025383722</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yVal>
          <c:smooth val="1"/>
        </c:ser>
        <c:ser>
          <c:idx val="2"/>
          <c:order val="2"/>
          <c:tx>
            <c:strRef>
              <c:f>"Type II Inner Loop Closed Loop"</c:f>
              <c:strCache>
                <c:ptCount val="1"/>
                <c:pt idx="0">
                  <c:v>Type 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calculations'!$Q$279:$Q$315</c:f>
              <c:numCache>
                <c:formatCode>General</c:formatCode>
                <c:ptCount val="37"/>
                <c:pt idx="0">
                  <c:v>57.6715859290501</c:v>
                </c:pt>
                <c:pt idx="1">
                  <c:v>49.1860012406067</c:v>
                </c:pt>
                <c:pt idx="2">
                  <c:v>43.4779417542854</c:v>
                </c:pt>
                <c:pt idx="3">
                  <c:v>39.2708487731225</c:v>
                </c:pt>
                <c:pt idx="4">
                  <c:v>36.0220278447068</c:v>
                </c:pt>
                <c:pt idx="5">
                  <c:v>33.4283520865374</c:v>
                </c:pt>
                <c:pt idx="6">
                  <c:v>31.3034024475919</c:v>
                </c:pt>
                <c:pt idx="7">
                  <c:v>29.5252032028724</c:v>
                </c:pt>
                <c:pt idx="8">
                  <c:v>28.0103100537338</c:v>
                </c:pt>
                <c:pt idx="9">
                  <c:v>26.6997121343006</c:v>
                </c:pt>
                <c:pt idx="10">
                  <c:v>19.04279256922</c:v>
                </c:pt>
                <c:pt idx="11">
                  <c:v>15.1096560278888</c:v>
                </c:pt>
                <c:pt idx="12">
                  <c:v>12.4352306503877</c:v>
                </c:pt>
                <c:pt idx="13">
                  <c:v>10.3897322269852</c:v>
                </c:pt>
                <c:pt idx="14">
                  <c:v>8.72200283479518</c:v>
                </c:pt>
                <c:pt idx="15">
                  <c:v>7.30621299089016</c:v>
                </c:pt>
                <c:pt idx="16">
                  <c:v>6.07014319976581</c:v>
                </c:pt>
                <c:pt idx="17">
                  <c:v>4.96845543633344</c:v>
                </c:pt>
                <c:pt idx="18">
                  <c:v>3.97082601731737</c:v>
                </c:pt>
                <c:pt idx="19">
                  <c:v>-3.11405366103545</c:v>
                </c:pt>
                <c:pt idx="20">
                  <c:v>-7.96258399574118</c:v>
                </c:pt>
                <c:pt idx="21">
                  <c:v>-11.8263218258256</c:v>
                </c:pt>
                <c:pt idx="22">
                  <c:v>-15.0623352398389</c:v>
                </c:pt>
                <c:pt idx="23">
                  <c:v>-17.843535659805</c:v>
                </c:pt>
                <c:pt idx="24">
                  <c:v>-20.2773741329153</c:v>
                </c:pt>
                <c:pt idx="25">
                  <c:v>-22.4377936952808</c:v>
                </c:pt>
                <c:pt idx="26">
                  <c:v>-24.3781744266144</c:v>
                </c:pt>
                <c:pt idx="27">
                  <c:v>-26.1382118363974</c:v>
                </c:pt>
                <c:pt idx="28">
                  <c:v>-38.1548942570025</c:v>
                </c:pt>
                <c:pt idx="29">
                  <c:v>-45.4392817787953</c:v>
                </c:pt>
                <c:pt idx="30">
                  <c:v>-50.6611374904169</c:v>
                </c:pt>
                <c:pt idx="31">
                  <c:v>-54.7099297007135</c:v>
                </c:pt>
                <c:pt idx="32">
                  <c:v>-58.0034794821298</c:v>
                </c:pt>
                <c:pt idx="33">
                  <c:v>-60.7734351363844</c:v>
                </c:pt>
                <c:pt idx="34">
                  <c:v>-63.1609915094785</c:v>
                </c:pt>
                <c:pt idx="35">
                  <c:v>-65.2579628692414</c:v>
                </c:pt>
                <c:pt idx="36">
                  <c:v>-67.1270739213586</c:v>
                </c:pt>
              </c:numCache>
            </c:numRef>
          </c:yVal>
          <c:smooth val="1"/>
        </c:ser>
        <c:dLbls>
          <c:showLegendKey val="0"/>
          <c:showVal val="0"/>
          <c:showCatName val="0"/>
          <c:showSerName val="0"/>
          <c:showPercent val="0"/>
          <c:showBubbleSize val="0"/>
        </c:dLbls>
        <c:axId val="572446976"/>
        <c:axId val="572588416"/>
      </c:scatterChart>
      <c:valAx>
        <c:axId val="572446976"/>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588416"/>
        <c:crossesAt val="-1000"/>
        <c:crossBetween val="midCat"/>
      </c:valAx>
      <c:valAx>
        <c:axId val="572588416"/>
        <c:scaling>
          <c:orientation val="minMax"/>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(dB)</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446976"/>
        <c:crosses val="autoZero"/>
        <c:crossBetween val="midCat"/>
        <c:majorUnit val="10"/>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Phase(°)</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calculations'!$I$279:$I$1369</c:f>
              <c:numCache>
                <c:formatCode>General</c:formatCode>
                <c:ptCount val="1091"/>
                <c:pt idx="0">
                  <c:v>-31.7831377788303</c:v>
                </c:pt>
                <c:pt idx="1">
                  <c:v>-51.0982877868104</c:v>
                </c:pt>
                <c:pt idx="2">
                  <c:v>-61.7213001415947</c:v>
                </c:pt>
                <c:pt idx="3">
                  <c:v>-68.0272146795946</c:v>
                </c:pt>
                <c:pt idx="4">
                  <c:v>-72.1110077353385</c:v>
                </c:pt>
                <c:pt idx="5">
                  <c:v>-74.9447738850562</c:v>
                </c:pt>
                <c:pt idx="6">
                  <c:v>-77.0169580452557</c:v>
                </c:pt>
                <c:pt idx="7">
                  <c:v>-78.5944098107616</c:v>
                </c:pt>
                <c:pt idx="8">
                  <c:v>-79.8336751377591</c:v>
                </c:pt>
                <c:pt idx="9">
                  <c:v>-80.8321133155463</c:v>
                </c:pt>
                <c:pt idx="10">
                  <c:v>-85.3865271366129</c:v>
                </c:pt>
                <c:pt idx="11">
                  <c:v>-86.9206554516359</c:v>
                </c:pt>
                <c:pt idx="12">
                  <c:v>-87.6895185593202</c:v>
                </c:pt>
                <c:pt idx="13">
                  <c:v>-88.1512541486639</c:v>
                </c:pt>
                <c:pt idx="14">
                  <c:v>-88.4592150894026</c:v>
                </c:pt>
                <c:pt idx="15">
                  <c:v>-88.6792427602443</c:v>
                </c:pt>
                <c:pt idx="16">
                  <c:v>-88.8442894409727</c:v>
                </c:pt>
                <c:pt idx="17">
                  <c:v>-88.9726724851983</c:v>
                </c:pt>
                <c:pt idx="18">
                  <c:v>-89.0753864112729</c:v>
                </c:pt>
                <c:pt idx="19">
                  <c:v>-89.5376631051275</c:v>
                </c:pt>
                <c:pt idx="20">
                  <c:v>-89.6917716867899</c:v>
                </c:pt>
                <c:pt idx="21">
                  <c:v>-89.7688277894489</c:v>
                </c:pt>
                <c:pt idx="22">
                  <c:v>-89.8150618702882</c:v>
                </c:pt>
                <c:pt idx="23">
                  <c:v>-89.8458847283677</c:v>
                </c:pt>
                <c:pt idx="24">
                  <c:v>-89.8679011112215</c:v>
                </c:pt>
                <c:pt idx="25">
                  <c:v>-89.8844134243179</c:v>
                </c:pt>
                <c:pt idx="26">
                  <c:v>-89.8972563479187</c:v>
                </c:pt>
                <c:pt idx="27">
                  <c:v>-89.9075306942949</c:v>
                </c:pt>
                <c:pt idx="28">
                  <c:v>-89.9537653170411</c:v>
                </c:pt>
                <c:pt idx="29">
                  <c:v>-89.9691768743106</c:v>
                </c:pt>
                <c:pt idx="30">
                  <c:v>-89.9768826547573</c:v>
                </c:pt>
                <c:pt idx="31">
                  <c:v>-89.9815061234445</c:v>
                </c:pt>
                <c:pt idx="32">
                  <c:v>-89.9845884360402</c:v>
                </c:pt>
                <c:pt idx="33">
                  <c:v>-89.98679008795</c:v>
                </c:pt>
                <c:pt idx="34">
                  <c:v>-89.9884413269082</c:v>
                </c:pt>
                <c:pt idx="35">
                  <c:v>-89.9897256238892</c:v>
                </c:pt>
                <c:pt idx="36">
                  <c:v>-89.9907530614814</c:v>
                </c:pt>
              </c:numCache>
            </c:numRef>
          </c:yVal>
          <c:smooth val="1"/>
        </c:ser>
        <c:ser>
          <c:idx val="1"/>
          <c:order val="1"/>
          <c:tx>
            <c:strRef>
              <c:f>"Type II Inner Loop Compensator"</c:f>
              <c:strCache>
                <c:ptCount val="1"/>
                <c:pt idx="0">
                  <c:v>Type 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calculations'!$N$279:$N$1369</c:f>
              <c:numCache>
                <c:formatCode>General</c:formatCode>
                <c:ptCount val="1091"/>
                <c:pt idx="0">
                  <c:v>96.3405784605228</c:v>
                </c:pt>
                <c:pt idx="1">
                  <c:v>102.516263502077</c:v>
                </c:pt>
                <c:pt idx="2">
                  <c:v>108.385877641361</c:v>
                </c:pt>
                <c:pt idx="3">
                  <c:v>113.847746077536</c:v>
                </c:pt>
                <c:pt idx="4">
                  <c:v>118.84415595196</c:v>
                </c:pt>
                <c:pt idx="5">
                  <c:v>123.356384681253</c:v>
                </c:pt>
                <c:pt idx="6">
                  <c:v>127.39484591395</c:v>
                </c:pt>
                <c:pt idx="7">
                  <c:v>130.988541527468</c:v>
                </c:pt>
                <c:pt idx="8">
                  <c:v>134.176249302929</c:v>
                </c:pt>
                <c:pt idx="9">
                  <c:v>137.000223283299</c:v>
                </c:pt>
                <c:pt idx="10">
                  <c:v>152.72457177495</c:v>
                </c:pt>
                <c:pt idx="11">
                  <c:v>158.269645278918</c:v>
                </c:pt>
                <c:pt idx="12">
                  <c:v>160.378476413214</c:v>
                </c:pt>
                <c:pt idx="13">
                  <c:v>160.993538200988</c:v>
                </c:pt>
                <c:pt idx="14">
                  <c:v>160.842190233512</c:v>
                </c:pt>
                <c:pt idx="15">
                  <c:v>160.253997762074</c:v>
                </c:pt>
                <c:pt idx="16">
                  <c:v>159.399565289799</c:v>
                </c:pt>
                <c:pt idx="17">
                  <c:v>158.376225972188</c:v>
                </c:pt>
                <c:pt idx="18">
                  <c:v>157.243760844325</c:v>
                </c:pt>
                <c:pt idx="19">
                  <c:v>144.719941220602</c:v>
                </c:pt>
                <c:pt idx="20">
                  <c:v>134.07840684052</c:v>
                </c:pt>
                <c:pt idx="21">
                  <c:v>126.002199309333</c:v>
                </c:pt>
                <c:pt idx="22">
                  <c:v>119.918984629526</c:v>
                </c:pt>
                <c:pt idx="23">
                  <c:v>115.254667754668</c:v>
                </c:pt>
                <c:pt idx="24">
                  <c:v>111.591776685897</c:v>
                </c:pt>
                <c:pt idx="25">
                  <c:v>108.646730972231</c:v>
                </c:pt>
                <c:pt idx="26">
                  <c:v>106.228227764004</c:v>
                </c:pt>
                <c:pt idx="27">
                  <c:v>104.205471940902</c:v>
                </c:pt>
                <c:pt idx="28">
                  <c:v>93.9506858686513</c:v>
                </c:pt>
                <c:pt idx="29">
                  <c:v>90.2943751428543</c:v>
                </c:pt>
                <c:pt idx="30">
                  <c:v>88.7756983356348</c:v>
                </c:pt>
                <c:pt idx="31">
                  <c:v>88.1593459186756</c:v>
                </c:pt>
                <c:pt idx="32">
                  <c:v>87.9466027854415</c:v>
                </c:pt>
                <c:pt idx="33">
                  <c:v>87.9171463612665</c:v>
                </c:pt>
                <c:pt idx="34">
                  <c:v>87.9699615092804</c:v>
                </c:pt>
                <c:pt idx="35">
                  <c:v>88.0575322552473</c:v>
                </c:pt>
                <c:pt idx="36">
                  <c:v>88.1571484044491</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yVal>
          <c:smooth val="1"/>
        </c:ser>
        <c:ser>
          <c:idx val="2"/>
          <c:order val="2"/>
          <c:tx>
            <c:strRef>
              <c:f>"Type II Inner Loop Closed Loop"</c:f>
              <c:strCache>
                <c:ptCount val="1"/>
                <c:pt idx="0">
                  <c:v>Type 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calculations'!$R$279:$R$315</c:f>
              <c:numCache>
                <c:formatCode>General</c:formatCode>
                <c:ptCount val="37"/>
                <c:pt idx="0">
                  <c:v>64.5574406816925</c:v>
                </c:pt>
                <c:pt idx="1">
                  <c:v>51.4179757152669</c:v>
                </c:pt>
                <c:pt idx="2">
                  <c:v>46.6645774997658</c:v>
                </c:pt>
                <c:pt idx="3">
                  <c:v>45.8205313979411</c:v>
                </c:pt>
                <c:pt idx="4">
                  <c:v>46.7331482166215</c:v>
                </c:pt>
                <c:pt idx="5">
                  <c:v>48.4116107961969</c:v>
                </c:pt>
                <c:pt idx="6">
                  <c:v>50.3778878686942</c:v>
                </c:pt>
                <c:pt idx="7">
                  <c:v>52.394131716706</c:v>
                </c:pt>
                <c:pt idx="8">
                  <c:v>54.3425741651696</c:v>
                </c:pt>
                <c:pt idx="9">
                  <c:v>56.168109967753</c:v>
                </c:pt>
                <c:pt idx="10">
                  <c:v>67.3380446383375</c:v>
                </c:pt>
                <c:pt idx="11">
                  <c:v>71.3489898272824</c:v>
                </c:pt>
                <c:pt idx="12">
                  <c:v>72.6889578538939</c:v>
                </c:pt>
                <c:pt idx="13">
                  <c:v>72.8422840523238</c:v>
                </c:pt>
                <c:pt idx="14">
                  <c:v>72.3829751441095</c:v>
                </c:pt>
                <c:pt idx="15">
                  <c:v>71.5747550018292</c:v>
                </c:pt>
                <c:pt idx="16">
                  <c:v>70.5552758488263</c:v>
                </c:pt>
                <c:pt idx="17">
                  <c:v>69.4035534869899</c:v>
                </c:pt>
                <c:pt idx="18">
                  <c:v>68.1683744330522</c:v>
                </c:pt>
                <c:pt idx="19">
                  <c:v>55.1822781154746</c:v>
                </c:pt>
                <c:pt idx="20">
                  <c:v>44.3866351537302</c:v>
                </c:pt>
                <c:pt idx="21">
                  <c:v>36.2333715198843</c:v>
                </c:pt>
                <c:pt idx="22">
                  <c:v>30.1039227592381</c:v>
                </c:pt>
                <c:pt idx="23">
                  <c:v>25.4087830262999</c:v>
                </c:pt>
                <c:pt idx="24">
                  <c:v>21.7238755746754</c:v>
                </c:pt>
                <c:pt idx="25">
                  <c:v>18.7623175479133</c:v>
                </c:pt>
                <c:pt idx="26">
                  <c:v>16.3309714160857</c:v>
                </c:pt>
                <c:pt idx="27">
                  <c:v>14.2979412466069</c:v>
                </c:pt>
                <c:pt idx="28">
                  <c:v>3.99692055161023</c:v>
                </c:pt>
                <c:pt idx="29">
                  <c:v>0.325198268543744</c:v>
                </c:pt>
                <c:pt idx="30">
                  <c:v>358.798815680878</c:v>
                </c:pt>
                <c:pt idx="31">
                  <c:v>358.177839795231</c:v>
                </c:pt>
                <c:pt idx="32">
                  <c:v>357.962014349401</c:v>
                </c:pt>
                <c:pt idx="33">
                  <c:v>357.930356273317</c:v>
                </c:pt>
                <c:pt idx="34">
                  <c:v>357.981520182372</c:v>
                </c:pt>
                <c:pt idx="35">
                  <c:v>358.067806631358</c:v>
                </c:pt>
                <c:pt idx="36">
                  <c:v>358.166395342968</c:v>
                </c:pt>
              </c:numCache>
            </c:numRef>
          </c:yVal>
          <c:smooth val="1"/>
        </c:ser>
        <c:dLbls>
          <c:showLegendKey val="0"/>
          <c:showVal val="0"/>
          <c:showCatName val="0"/>
          <c:showSerName val="0"/>
          <c:showPercent val="0"/>
          <c:showBubbleSize val="0"/>
        </c:dLbls>
        <c:axId val="572614912"/>
        <c:axId val="572617088"/>
      </c:scatterChart>
      <c:valAx>
        <c:axId val="572614912"/>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17088"/>
        <c:crossesAt val="-360"/>
        <c:crossBetween val="midCat"/>
      </c:valAx>
      <c:valAx>
        <c:axId val="572617088"/>
        <c:scaling>
          <c:orientation val="minMax"/>
          <c:max val="180"/>
          <c:min val="-180"/>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Phase (</a:t>
                </a:r>
                <a:r>
                  <a:rPr lang="en-US">
                    <a:latin typeface="Arial" panose="020B0604020202020204"/>
                    <a:cs typeface="Arial" panose="020B0604020202020204"/>
                  </a:rPr>
                  <a:t>°)</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14912"/>
        <c:crosses val="autoZero"/>
        <c:crossBetween val="midCat"/>
        <c:majorUnit val="30"/>
        <c:minorUnit val="10"/>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Gain(dB)</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calculations'!$H$279:$H$1369</c:f>
              <c:numCache>
                <c:formatCode>General</c:formatCode>
                <c:ptCount val="1091"/>
                <c:pt idx="0">
                  <c:v>16.2257459571321</c:v>
                </c:pt>
                <c:pt idx="1">
                  <c:v>13.5958832005811</c:v>
                </c:pt>
                <c:pt idx="2">
                  <c:v>11.1480630407559</c:v>
                </c:pt>
                <c:pt idx="3">
                  <c:v>9.098169569352</c:v>
                </c:pt>
                <c:pt idx="4">
                  <c:v>7.3845627590272</c:v>
                </c:pt>
                <c:pt idx="5">
                  <c:v>5.92798936816286</c:v>
                </c:pt>
                <c:pt idx="6">
                  <c:v>4.66749741589265</c:v>
                </c:pt>
                <c:pt idx="7">
                  <c:v>3.55934042868814</c:v>
                </c:pt>
                <c:pt idx="8">
                  <c:v>2.5720817065832</c:v>
                </c:pt>
                <c:pt idx="9">
                  <c:v>1.68271568046208</c:v>
                </c:pt>
                <c:pt idx="10">
                  <c:v>-4.25440150505831</c:v>
                </c:pt>
                <c:pt idx="11">
                  <c:v>-7.76058925789232</c:v>
                </c:pt>
                <c:pt idx="12">
                  <c:v>-10.2538775609267</c:v>
                </c:pt>
                <c:pt idx="13">
                  <c:v>-12.1895360398058</c:v>
                </c:pt>
                <c:pt idx="14">
                  <c:v>-13.7717796162818</c:v>
                </c:pt>
                <c:pt idx="15">
                  <c:v>-15.1098822893636</c:v>
                </c:pt>
                <c:pt idx="16">
                  <c:v>-16.2691804167597</c:v>
                </c:pt>
                <c:pt idx="17">
                  <c:v>-17.2918600477552</c:v>
                </c:pt>
                <c:pt idx="18">
                  <c:v>-18.2067445956438</c:v>
                </c:pt>
                <c:pt idx="19">
                  <c:v>-24.2264962556087</c:v>
                </c:pt>
                <c:pt idx="20">
                  <c:v>-27.748164334592</c:v>
                </c:pt>
                <c:pt idx="21">
                  <c:v>-30.2468840796697</c:v>
                </c:pt>
                <c:pt idx="22">
                  <c:v>-32.1850588884286</c:v>
                </c:pt>
                <c:pt idx="23">
                  <c:v>-33.7686699838655</c:v>
                </c:pt>
                <c:pt idx="24">
                  <c:v>-35.1075974401067</c:v>
                </c:pt>
                <c:pt idx="25">
                  <c:v>-36.2674309690263</c:v>
                </c:pt>
                <c:pt idx="26">
                  <c:v>-37.2904777084572</c:v>
                </c:pt>
                <c:pt idx="27">
                  <c:v>-38.2056248662732</c:v>
                </c:pt>
                <c:pt idx="28">
                  <c:v>-44.2262162956527</c:v>
                </c:pt>
                <c:pt idx="29">
                  <c:v>-47.7480399056718</c:v>
                </c:pt>
                <c:pt idx="30">
                  <c:v>-50.2468140879546</c:v>
                </c:pt>
                <c:pt idx="31">
                  <c:v>-52.1850140935984</c:v>
                </c:pt>
                <c:pt idx="32">
                  <c:v>-53.7686388762945</c:v>
                </c:pt>
                <c:pt idx="33">
                  <c:v>-55.1075745855425</c:v>
                </c:pt>
                <c:pt idx="34">
                  <c:v>-56.2674134709896</c:v>
                </c:pt>
                <c:pt idx="35">
                  <c:v>-57.290463882842</c:v>
                </c:pt>
                <c:pt idx="36">
                  <c:v>-58.2056136675214</c:v>
                </c:pt>
              </c:numCache>
            </c:numRef>
          </c:yVal>
          <c:smooth val="1"/>
        </c:ser>
        <c:ser>
          <c:idx val="1"/>
          <c:order val="1"/>
          <c:tx>
            <c:strRef>
              <c:f>"Type III Inner Loop Compensator"</c:f>
              <c:strCache>
                <c:ptCount val="1"/>
                <c:pt idx="0">
                  <c:v>Type III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calculations'!$O$318:$O$354</c:f>
              <c:numCache>
                <c:formatCode>General</c:formatCode>
                <c:ptCount val="37"/>
                <c:pt idx="0">
                  <c:v>41.4459224605525</c:v>
                </c:pt>
                <c:pt idx="1">
                  <c:v>35.5904479897957</c:v>
                </c:pt>
                <c:pt idx="2">
                  <c:v>32.3306210826327</c:v>
                </c:pt>
                <c:pt idx="3">
                  <c:v>30.1739989265682</c:v>
                </c:pt>
                <c:pt idx="4">
                  <c:v>28.6395270631688</c:v>
                </c:pt>
                <c:pt idx="5">
                  <c:v>27.5033318086666</c:v>
                </c:pt>
                <c:pt idx="6">
                  <c:v>26.6399460405061</c:v>
                </c:pt>
                <c:pt idx="7">
                  <c:v>25.9711404453151</c:v>
                </c:pt>
                <c:pt idx="8">
                  <c:v>25.4449073530201</c:v>
                </c:pt>
                <c:pt idx="9">
                  <c:v>25.0252413859895</c:v>
                </c:pt>
                <c:pt idx="10">
                  <c:v>23.3301262717772</c:v>
                </c:pt>
                <c:pt idx="11">
                  <c:v>22.9441653931317</c:v>
                </c:pt>
                <c:pt idx="12">
                  <c:v>22.8200837046334</c:v>
                </c:pt>
                <c:pt idx="13">
                  <c:v>22.7830463197971</c:v>
                </c:pt>
                <c:pt idx="14">
                  <c:v>22.7857086466205</c:v>
                </c:pt>
                <c:pt idx="15">
                  <c:v>22.8110394478198</c:v>
                </c:pt>
                <c:pt idx="16">
                  <c:v>22.8516138190306</c:v>
                </c:pt>
                <c:pt idx="17">
                  <c:v>22.9036808978191</c:v>
                </c:pt>
                <c:pt idx="18">
                  <c:v>22.9650937582162</c:v>
                </c:pt>
                <c:pt idx="19">
                  <c:v>23.902832512377</c:v>
                </c:pt>
                <c:pt idx="20">
                  <c:v>25.1274273246056</c:v>
                </c:pt>
                <c:pt idx="21">
                  <c:v>26.3925211368955</c:v>
                </c:pt>
                <c:pt idx="22">
                  <c:v>27.5884775605442</c:v>
                </c:pt>
                <c:pt idx="23">
                  <c:v>28.6785506496924</c:v>
                </c:pt>
                <c:pt idx="24">
                  <c:v>29.6578420399642</c:v>
                </c:pt>
                <c:pt idx="25">
                  <c:v>30.5333822376146</c:v>
                </c:pt>
                <c:pt idx="26">
                  <c:v>31.3157340538973</c:v>
                </c:pt>
                <c:pt idx="27">
                  <c:v>32.0157222091268</c:v>
                </c:pt>
                <c:pt idx="28">
                  <c:v>36.1504007544638</c:v>
                </c:pt>
                <c:pt idx="29">
                  <c:v>37.7767459070895</c:v>
                </c:pt>
                <c:pt idx="30">
                  <c:v>38.4971571026207</c:v>
                </c:pt>
                <c:pt idx="31">
                  <c:v>38.8512447636484</c:v>
                </c:pt>
                <c:pt idx="32">
                  <c:v>39.0425547059821</c:v>
                </c:pt>
                <c:pt idx="33">
                  <c:v>39.1547049100297</c:v>
                </c:pt>
                <c:pt idx="34">
                  <c:v>39.2250736153094</c:v>
                </c:pt>
                <c:pt idx="35">
                  <c:v>39.2717609897932</c:v>
                </c:pt>
                <c:pt idx="36">
                  <c:v>39.304186548245</c:v>
                </c:pt>
              </c:numCache>
            </c:numRef>
          </c:yVal>
          <c:smooth val="1"/>
        </c:ser>
        <c:ser>
          <c:idx val="2"/>
          <c:order val="2"/>
          <c:tx>
            <c:strRef>
              <c:f>"Type II Inner Loop Closed Loop"</c:f>
              <c:strCache>
                <c:ptCount val="1"/>
                <c:pt idx="0">
                  <c:v>Type 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calculations'!$R$318:$R$354</c:f>
              <c:numCache>
                <c:formatCode>General</c:formatCode>
                <c:ptCount val="37"/>
                <c:pt idx="0">
                  <c:v>57.6716684176846</c:v>
                </c:pt>
                <c:pt idx="1">
                  <c:v>49.1863311903768</c:v>
                </c:pt>
                <c:pt idx="2">
                  <c:v>43.4786841233886</c:v>
                </c:pt>
                <c:pt idx="3">
                  <c:v>39.2721684959202</c:v>
                </c:pt>
                <c:pt idx="4">
                  <c:v>36.024089822196</c:v>
                </c:pt>
                <c:pt idx="5">
                  <c:v>33.4313211768295</c:v>
                </c:pt>
                <c:pt idx="6">
                  <c:v>31.3074434563987</c:v>
                </c:pt>
                <c:pt idx="7">
                  <c:v>29.5304808740032</c:v>
                </c:pt>
                <c:pt idx="8">
                  <c:v>28.0169890596033</c:v>
                </c:pt>
                <c:pt idx="9">
                  <c:v>26.7079570664516</c:v>
                </c:pt>
                <c:pt idx="10">
                  <c:v>19.0757247667188</c:v>
                </c:pt>
                <c:pt idx="11">
                  <c:v>15.1835761352394</c:v>
                </c:pt>
                <c:pt idx="12">
                  <c:v>12.5662061437067</c:v>
                </c:pt>
                <c:pt idx="13">
                  <c:v>10.5935102799913</c:v>
                </c:pt>
                <c:pt idx="14">
                  <c:v>9.01392903033864</c:v>
                </c:pt>
                <c:pt idx="15">
                  <c:v>7.70115715845622</c:v>
                </c:pt>
                <c:pt idx="16">
                  <c:v>6.5824334022709</c:v>
                </c:pt>
                <c:pt idx="17">
                  <c:v>5.61182085006398</c:v>
                </c:pt>
                <c:pt idx="18">
                  <c:v>4.75834916257249</c:v>
                </c:pt>
                <c:pt idx="19">
                  <c:v>-0.323663743231673</c:v>
                </c:pt>
                <c:pt idx="20">
                  <c:v>-2.62073700998644</c:v>
                </c:pt>
                <c:pt idx="21">
                  <c:v>-3.85436294277419</c:v>
                </c:pt>
                <c:pt idx="22">
                  <c:v>-4.59658132788441</c:v>
                </c:pt>
                <c:pt idx="23">
                  <c:v>-5.09011933417307</c:v>
                </c:pt>
                <c:pt idx="24">
                  <c:v>-5.44975540014246</c:v>
                </c:pt>
                <c:pt idx="25">
                  <c:v>-5.73404873141174</c:v>
                </c:pt>
                <c:pt idx="26">
                  <c:v>-5.97474365455985</c:v>
                </c:pt>
                <c:pt idx="27">
                  <c:v>-6.1899026571464</c:v>
                </c:pt>
                <c:pt idx="28">
                  <c:v>-8.07581554118887</c:v>
                </c:pt>
                <c:pt idx="29">
                  <c:v>-9.97129399858238</c:v>
                </c:pt>
                <c:pt idx="30">
                  <c:v>-11.7496569853339</c:v>
                </c:pt>
                <c:pt idx="31">
                  <c:v>-13.33376932995</c:v>
                </c:pt>
                <c:pt idx="32">
                  <c:v>-14.7260841703123</c:v>
                </c:pt>
                <c:pt idx="33">
                  <c:v>-15.9528696755128</c:v>
                </c:pt>
                <c:pt idx="34">
                  <c:v>-17.0423398556802</c:v>
                </c:pt>
                <c:pt idx="35">
                  <c:v>-18.0187028930488</c:v>
                </c:pt>
                <c:pt idx="36">
                  <c:v>-18.9014271192764</c:v>
                </c:pt>
              </c:numCache>
            </c:numRef>
          </c:yVal>
          <c:smooth val="1"/>
        </c:ser>
        <c:dLbls>
          <c:showLegendKey val="0"/>
          <c:showVal val="0"/>
          <c:showCatName val="0"/>
          <c:showSerName val="0"/>
          <c:showPercent val="0"/>
          <c:showBubbleSize val="0"/>
        </c:dLbls>
        <c:axId val="572647680"/>
        <c:axId val="572649856"/>
      </c:scatterChart>
      <c:valAx>
        <c:axId val="572647680"/>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49856"/>
        <c:crossesAt val="-1000"/>
        <c:crossBetween val="midCat"/>
      </c:valAx>
      <c:valAx>
        <c:axId val="572649856"/>
        <c:scaling>
          <c:orientation val="minMax"/>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(dB)</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47680"/>
        <c:crosses val="autoZero"/>
        <c:crossBetween val="midCat"/>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Phase(°)</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calculations'!$I$279:$I$1369</c:f>
              <c:numCache>
                <c:formatCode>General</c:formatCode>
                <c:ptCount val="1091"/>
                <c:pt idx="0">
                  <c:v>-31.7831377788303</c:v>
                </c:pt>
                <c:pt idx="1">
                  <c:v>-51.0982877868104</c:v>
                </c:pt>
                <c:pt idx="2">
                  <c:v>-61.7213001415947</c:v>
                </c:pt>
                <c:pt idx="3">
                  <c:v>-68.0272146795946</c:v>
                </c:pt>
                <c:pt idx="4">
                  <c:v>-72.1110077353385</c:v>
                </c:pt>
                <c:pt idx="5">
                  <c:v>-74.9447738850562</c:v>
                </c:pt>
                <c:pt idx="6">
                  <c:v>-77.0169580452557</c:v>
                </c:pt>
                <c:pt idx="7">
                  <c:v>-78.5944098107616</c:v>
                </c:pt>
                <c:pt idx="8">
                  <c:v>-79.8336751377591</c:v>
                </c:pt>
                <c:pt idx="9">
                  <c:v>-80.8321133155463</c:v>
                </c:pt>
                <c:pt idx="10">
                  <c:v>-85.3865271366129</c:v>
                </c:pt>
                <c:pt idx="11">
                  <c:v>-86.9206554516359</c:v>
                </c:pt>
                <c:pt idx="12">
                  <c:v>-87.6895185593202</c:v>
                </c:pt>
                <c:pt idx="13">
                  <c:v>-88.1512541486639</c:v>
                </c:pt>
                <c:pt idx="14">
                  <c:v>-88.4592150894026</c:v>
                </c:pt>
                <c:pt idx="15">
                  <c:v>-88.6792427602443</c:v>
                </c:pt>
                <c:pt idx="16">
                  <c:v>-88.8442894409727</c:v>
                </c:pt>
                <c:pt idx="17">
                  <c:v>-88.9726724851983</c:v>
                </c:pt>
                <c:pt idx="18">
                  <c:v>-89.0753864112729</c:v>
                </c:pt>
                <c:pt idx="19">
                  <c:v>-89.5376631051275</c:v>
                </c:pt>
                <c:pt idx="20">
                  <c:v>-89.6917716867899</c:v>
                </c:pt>
                <c:pt idx="21">
                  <c:v>-89.7688277894489</c:v>
                </c:pt>
                <c:pt idx="22">
                  <c:v>-89.8150618702882</c:v>
                </c:pt>
                <c:pt idx="23">
                  <c:v>-89.8458847283677</c:v>
                </c:pt>
                <c:pt idx="24">
                  <c:v>-89.8679011112215</c:v>
                </c:pt>
                <c:pt idx="25">
                  <c:v>-89.8844134243179</c:v>
                </c:pt>
                <c:pt idx="26">
                  <c:v>-89.8972563479187</c:v>
                </c:pt>
                <c:pt idx="27">
                  <c:v>-89.9075306942949</c:v>
                </c:pt>
                <c:pt idx="28">
                  <c:v>-89.9537653170411</c:v>
                </c:pt>
                <c:pt idx="29">
                  <c:v>-89.9691768743106</c:v>
                </c:pt>
                <c:pt idx="30">
                  <c:v>-89.9768826547573</c:v>
                </c:pt>
                <c:pt idx="31">
                  <c:v>-89.9815061234445</c:v>
                </c:pt>
                <c:pt idx="32">
                  <c:v>-89.9845884360402</c:v>
                </c:pt>
                <c:pt idx="33">
                  <c:v>-89.98679008795</c:v>
                </c:pt>
                <c:pt idx="34">
                  <c:v>-89.9884413269082</c:v>
                </c:pt>
                <c:pt idx="35">
                  <c:v>-89.9897256238892</c:v>
                </c:pt>
                <c:pt idx="36">
                  <c:v>-89.9907530614814</c:v>
                </c:pt>
              </c:numCache>
            </c:numRef>
          </c:yVal>
          <c:smooth val="1"/>
        </c:ser>
        <c:ser>
          <c:idx val="1"/>
          <c:order val="1"/>
          <c:tx>
            <c:strRef>
              <c:f>"Type III Inner Loop Compensator"</c:f>
              <c:strCache>
                <c:ptCount val="1"/>
                <c:pt idx="0">
                  <c:v>Type III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calculations'!$P$318:$P$354</c:f>
              <c:numCache>
                <c:formatCode>General</c:formatCode>
                <c:ptCount val="37"/>
                <c:pt idx="0">
                  <c:v>96.6743801317642</c:v>
                </c:pt>
                <c:pt idx="1">
                  <c:v>103.183860072165</c:v>
                </c:pt>
                <c:pt idx="2">
                  <c:v>109.387255566282</c:v>
                </c:pt>
                <c:pt idx="3">
                  <c:v>115.182885043219</c:v>
                </c:pt>
                <c:pt idx="4">
                  <c:v>120.513028876611</c:v>
                </c:pt>
                <c:pt idx="5">
                  <c:v>125.358957718464</c:v>
                </c:pt>
                <c:pt idx="6">
                  <c:v>129.731078456591</c:v>
                </c:pt>
                <c:pt idx="7">
                  <c:v>133.658386212353</c:v>
                </c:pt>
                <c:pt idx="8">
                  <c:v>137.179652016254</c:v>
                </c:pt>
                <c:pt idx="9">
                  <c:v>140.337123166852</c:v>
                </c:pt>
                <c:pt idx="10">
                  <c:v>159.391618366617</c:v>
                </c:pt>
                <c:pt idx="11">
                  <c:v>168.253409369112</c:v>
                </c:pt>
                <c:pt idx="12">
                  <c:v>173.659004850431</c:v>
                </c:pt>
                <c:pt idx="13">
                  <c:v>177.544576669621</c:v>
                </c:pt>
                <c:pt idx="14">
                  <c:v>180.631470597741</c:v>
                </c:pt>
                <c:pt idx="15">
                  <c:v>183.243582310617</c:v>
                </c:pt>
                <c:pt idx="16">
                  <c:v>185.546239041951</c:v>
                </c:pt>
                <c:pt idx="17">
                  <c:v>187.631927437467</c:v>
                </c:pt>
                <c:pt idx="18">
                  <c:v>189.556041272662</c:v>
                </c:pt>
                <c:pt idx="19">
                  <c:v>204.08789682941</c:v>
                </c:pt>
                <c:pt idx="20">
                  <c:v>213.644289719874</c:v>
                </c:pt>
                <c:pt idx="21">
                  <c:v>219.938945901914</c:v>
                </c:pt>
                <c:pt idx="22">
                  <c:v>223.981538831978</c:v>
                </c:pt>
                <c:pt idx="23">
                  <c:v>226.487103608091</c:v>
                </c:pt>
                <c:pt idx="24">
                  <c:v>227.938284770208</c:v>
                </c:pt>
                <c:pt idx="25">
                  <c:v>228.656149959922</c:v>
                </c:pt>
                <c:pt idx="26">
                  <c:v>228.856343799574</c:v>
                </c:pt>
                <c:pt idx="27">
                  <c:v>228.686583969468</c:v>
                </c:pt>
                <c:pt idx="28">
                  <c:v>220.021219698981</c:v>
                </c:pt>
                <c:pt idx="29">
                  <c:v>210.994293777942</c:v>
                </c:pt>
                <c:pt idx="30">
                  <c:v>204.505504332785</c:v>
                </c:pt>
                <c:pt idx="31">
                  <c:v>199.991140754195</c:v>
                </c:pt>
                <c:pt idx="32">
                  <c:v>196.779195632144</c:v>
                </c:pt>
                <c:pt idx="33">
                  <c:v>194.415890875203</c:v>
                </c:pt>
                <c:pt idx="34">
                  <c:v>192.619109705135</c:v>
                </c:pt>
                <c:pt idx="35">
                  <c:v>191.213127638558</c:v>
                </c:pt>
                <c:pt idx="36">
                  <c:v>190.085652002259</c:v>
                </c:pt>
              </c:numCache>
            </c:numRef>
          </c:yVal>
          <c:smooth val="1"/>
        </c:ser>
        <c:ser>
          <c:idx val="2"/>
          <c:order val="2"/>
          <c:tx>
            <c:strRef>
              <c:f>"Type III Inner Loop Closed Loop"</c:f>
              <c:strCache>
                <c:ptCount val="1"/>
                <c:pt idx="0">
                  <c:v>Type III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calculations'!$S$318:$S$354</c:f>
              <c:numCache>
                <c:formatCode>General</c:formatCode>
                <c:ptCount val="37"/>
                <c:pt idx="0">
                  <c:v>64.8912423529339</c:v>
                </c:pt>
                <c:pt idx="1">
                  <c:v>52.0855722853545</c:v>
                </c:pt>
                <c:pt idx="2">
                  <c:v>47.6659554246873</c:v>
                </c:pt>
                <c:pt idx="3">
                  <c:v>47.1556703636249</c:v>
                </c:pt>
                <c:pt idx="4">
                  <c:v>48.4020211412723</c:v>
                </c:pt>
                <c:pt idx="5">
                  <c:v>50.4141838334075</c:v>
                </c:pt>
                <c:pt idx="6">
                  <c:v>52.7141204113357</c:v>
                </c:pt>
                <c:pt idx="7">
                  <c:v>55.063976401592</c:v>
                </c:pt>
                <c:pt idx="8">
                  <c:v>57.345976878495</c:v>
                </c:pt>
                <c:pt idx="9">
                  <c:v>59.5050098513054</c:v>
                </c:pt>
                <c:pt idx="10">
                  <c:v>74.0050912300045</c:v>
                </c:pt>
                <c:pt idx="11">
                  <c:v>81.3327539174759</c:v>
                </c:pt>
                <c:pt idx="12">
                  <c:v>85.9694862911111</c:v>
                </c:pt>
                <c:pt idx="13">
                  <c:v>89.3933225209572</c:v>
                </c:pt>
                <c:pt idx="14">
                  <c:v>92.1722555083382</c:v>
                </c:pt>
                <c:pt idx="15">
                  <c:v>94.564339550373</c:v>
                </c:pt>
                <c:pt idx="16">
                  <c:v>96.7019496009782</c:v>
                </c:pt>
                <c:pt idx="17">
                  <c:v>98.6592549522688</c:v>
                </c:pt>
                <c:pt idx="18">
                  <c:v>100.48065486139</c:v>
                </c:pt>
                <c:pt idx="19">
                  <c:v>114.550233724282</c:v>
                </c:pt>
                <c:pt idx="20">
                  <c:v>123.952518033084</c:v>
                </c:pt>
                <c:pt idx="21">
                  <c:v>130.170118112466</c:v>
                </c:pt>
                <c:pt idx="22">
                  <c:v>134.16647696169</c:v>
                </c:pt>
                <c:pt idx="23">
                  <c:v>136.641218879724</c:v>
                </c:pt>
                <c:pt idx="24">
                  <c:v>138.070383658986</c:v>
                </c:pt>
                <c:pt idx="25">
                  <c:v>138.771736535604</c:v>
                </c:pt>
                <c:pt idx="26">
                  <c:v>138.959087451655</c:v>
                </c:pt>
                <c:pt idx="27">
                  <c:v>138.779053275173</c:v>
                </c:pt>
                <c:pt idx="28">
                  <c:v>130.067454381939</c:v>
                </c:pt>
                <c:pt idx="29">
                  <c:v>121.025116903632</c:v>
                </c:pt>
                <c:pt idx="30">
                  <c:v>114.528621678027</c:v>
                </c:pt>
                <c:pt idx="31">
                  <c:v>110.009634630751</c:v>
                </c:pt>
                <c:pt idx="32">
                  <c:v>106.794607196104</c:v>
                </c:pt>
                <c:pt idx="33">
                  <c:v>104.429100787253</c:v>
                </c:pt>
                <c:pt idx="34">
                  <c:v>102.630668378227</c:v>
                </c:pt>
                <c:pt idx="35">
                  <c:v>101.223402014669</c:v>
                </c:pt>
                <c:pt idx="36">
                  <c:v>100.094898940777</c:v>
                </c:pt>
              </c:numCache>
            </c:numRef>
          </c:yVal>
          <c:smooth val="1"/>
        </c:ser>
        <c:dLbls>
          <c:showLegendKey val="0"/>
          <c:showVal val="0"/>
          <c:showCatName val="0"/>
          <c:showSerName val="0"/>
          <c:showPercent val="0"/>
          <c:showBubbleSize val="0"/>
        </c:dLbls>
        <c:axId val="572754176"/>
        <c:axId val="572756352"/>
      </c:scatterChart>
      <c:valAx>
        <c:axId val="572754176"/>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756352"/>
        <c:crossesAt val="-360"/>
        <c:crossBetween val="midCat"/>
      </c:valAx>
      <c:valAx>
        <c:axId val="572756352"/>
        <c:scaling>
          <c:orientation val="minMax"/>
          <c:min val="-180"/>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Phase (</a:t>
                </a:r>
                <a:r>
                  <a:rPr lang="en-US">
                    <a:latin typeface="Arial" panose="020B0604020202020204"/>
                    <a:cs typeface="Arial" panose="020B0604020202020204"/>
                  </a:rPr>
                  <a:t>°)</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754176"/>
        <c:crosses val="autoZero"/>
        <c:crossBetween val="midCat"/>
        <c:majorUnit val="30"/>
        <c:minorUnit val="10"/>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5" Type="http://schemas.openxmlformats.org/officeDocument/2006/relationships/chart" Target="../charts/chart9.xml"/><Relationship Id="rId4" Type="http://schemas.openxmlformats.org/officeDocument/2006/relationships/chart" Target="../charts/chart8.xml"/><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29936</xdr:colOff>
      <xdr:row>2</xdr:row>
      <xdr:rowOff>9525</xdr:rowOff>
    </xdr:from>
    <xdr:to>
      <xdr:col>13</xdr:col>
      <xdr:colOff>431062</xdr:colOff>
      <xdr:row>32</xdr:row>
      <xdr:rowOff>21206</xdr:rowOff>
    </xdr:to>
    <xdr:pic>
      <xdr:nvPicPr>
        <xdr:cNvPr id="2" name="Picture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578485" y="390525"/>
          <a:ext cx="6984365" cy="572643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4</xdr:col>
      <xdr:colOff>49868</xdr:colOff>
      <xdr:row>56</xdr:row>
      <xdr:rowOff>104974</xdr:rowOff>
    </xdr:from>
    <xdr:to>
      <xdr:col>4</xdr:col>
      <xdr:colOff>7375071</xdr:colOff>
      <xdr:row>88</xdr:row>
      <xdr:rowOff>119344</xdr:rowOff>
    </xdr:to>
    <xdr:graphicFrame>
      <xdr:nvGraphicFramePr>
        <xdr:cNvPr id="2" name="Chart 1"/>
        <xdr:cNvGraphicFramePr/>
      </xdr:nvGraphicFramePr>
      <xdr:xfrm>
        <a:off x="7878445" y="12251055"/>
        <a:ext cx="7134860" cy="651573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61</xdr:row>
      <xdr:rowOff>76199</xdr:rowOff>
    </xdr:from>
    <xdr:to>
      <xdr:col>3</xdr:col>
      <xdr:colOff>161925</xdr:colOff>
      <xdr:row>87</xdr:row>
      <xdr:rowOff>171450</xdr:rowOff>
    </xdr:to>
    <xdr:graphicFrame>
      <xdr:nvGraphicFramePr>
        <xdr:cNvPr id="5" name="Chart 4"/>
        <xdr:cNvGraphicFramePr/>
      </xdr:nvGraphicFramePr>
      <xdr:xfrm>
        <a:off x="171450" y="13580110"/>
        <a:ext cx="7357745" cy="504888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xdr:colOff>
          <xdr:row>203</xdr:row>
          <xdr:rowOff>9525</xdr:rowOff>
        </xdr:from>
        <xdr:to>
          <xdr:col>4</xdr:col>
          <xdr:colOff>2324100</xdr:colOff>
          <xdr:row>203</xdr:row>
          <xdr:rowOff>428625</xdr:rowOff>
        </xdr:to>
        <xdr:sp>
          <xdr:nvSpPr>
            <xdr:cNvPr id="2051" name="Object 3" hidden="1">
              <a:extLst>
                <a:ext uri="{63B3BB69-23CF-44E3-9099-C40C66FF867C}">
                  <a14:compatExt spid="_x0000_s2051"/>
                </a:ext>
              </a:extLst>
            </xdr:cNvPr>
            <xdr:cNvSpPr/>
          </xdr:nvSpPr>
          <xdr:spPr>
            <a:xfrm>
              <a:off x="7838440" y="45723810"/>
              <a:ext cx="2314575" cy="419100"/>
            </a:xfrm>
            <a:prstGeom prst="rect">
              <a:avLst/>
            </a:prstGeom>
          </xdr:spPr>
        </xdr:sp>
        <xdr:clientData/>
      </xdr:twoCellAnchor>
    </mc:Choice>
    <mc:Fallback/>
  </mc:AlternateContent>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578427</xdr:colOff>
      <xdr:row>140</xdr:row>
      <xdr:rowOff>5194</xdr:rowOff>
    </xdr:from>
    <xdr:to>
      <xdr:col>10</xdr:col>
      <xdr:colOff>923926</xdr:colOff>
      <xdr:row>166</xdr:row>
      <xdr:rowOff>14720</xdr:rowOff>
    </xdr:to>
    <xdr:graphicFrame>
      <xdr:nvGraphicFramePr>
        <xdr:cNvPr id="3" name="Chart 2"/>
        <xdr:cNvGraphicFramePr/>
      </xdr:nvGraphicFramePr>
      <xdr:xfrm>
        <a:off x="577850" y="26675080"/>
        <a:ext cx="10823575" cy="496252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597101</xdr:colOff>
      <xdr:row>24</xdr:row>
      <xdr:rowOff>170169</xdr:rowOff>
    </xdr:from>
    <xdr:to>
      <xdr:col>8</xdr:col>
      <xdr:colOff>707572</xdr:colOff>
      <xdr:row>60</xdr:row>
      <xdr:rowOff>85355</xdr:rowOff>
    </xdr:to>
    <xdr:graphicFrame>
      <xdr:nvGraphicFramePr>
        <xdr:cNvPr id="6" name="Chart 5"/>
        <xdr:cNvGraphicFramePr/>
      </xdr:nvGraphicFramePr>
      <xdr:xfrm>
        <a:off x="596900" y="4741545"/>
        <a:ext cx="9037320" cy="677354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0</xdr:row>
      <xdr:rowOff>176892</xdr:rowOff>
    </xdr:from>
    <xdr:ext cx="4803303" cy="264560"/>
    <xdr:sp>
      <xdr:nvSpPr>
        <xdr:cNvPr id="7" name="TextBox 6"/>
        <xdr:cNvSpPr txBox="1"/>
      </xdr:nvSpPr>
      <xdr:spPr>
        <a:xfrm>
          <a:off x="2307590" y="176530"/>
          <a:ext cx="4803140"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Mg_max values were</a:t>
          </a:r>
          <a:r>
            <a:rPr lang="en-US" sz="1100" baseline="0"/>
            <a:t> calculated in MathCad and imported here for graphing</a:t>
          </a:r>
          <a:endParaRPr 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5</xdr:col>
      <xdr:colOff>21292</xdr:colOff>
      <xdr:row>0</xdr:row>
      <xdr:rowOff>167191</xdr:rowOff>
    </xdr:from>
    <xdr:to>
      <xdr:col>16</xdr:col>
      <xdr:colOff>217714</xdr:colOff>
      <xdr:row>22</xdr:row>
      <xdr:rowOff>27214</xdr:rowOff>
    </xdr:to>
    <xdr:graphicFrame>
      <xdr:nvGraphicFramePr>
        <xdr:cNvPr id="2" name="Chart 1"/>
        <xdr:cNvGraphicFramePr/>
      </xdr:nvGraphicFramePr>
      <xdr:xfrm>
        <a:off x="7510145" y="167005"/>
        <a:ext cx="6231255" cy="53784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115660</xdr:rowOff>
    </xdr:from>
    <xdr:to>
      <xdr:col>4</xdr:col>
      <xdr:colOff>730250</xdr:colOff>
      <xdr:row>64</xdr:row>
      <xdr:rowOff>66448</xdr:rowOff>
    </xdr:to>
    <xdr:graphicFrame>
      <xdr:nvGraphicFramePr>
        <xdr:cNvPr id="3" name="Chart 2"/>
        <xdr:cNvGraphicFramePr/>
      </xdr:nvGraphicFramePr>
      <xdr:xfrm>
        <a:off x="0" y="8669020"/>
        <a:ext cx="6094730" cy="528447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718635</xdr:colOff>
      <xdr:row>36</xdr:row>
      <xdr:rowOff>120582</xdr:rowOff>
    </xdr:from>
    <xdr:to>
      <xdr:col>13</xdr:col>
      <xdr:colOff>321236</xdr:colOff>
      <xdr:row>64</xdr:row>
      <xdr:rowOff>65048</xdr:rowOff>
    </xdr:to>
    <xdr:graphicFrame>
      <xdr:nvGraphicFramePr>
        <xdr:cNvPr id="4" name="Chart 3"/>
        <xdr:cNvGraphicFramePr/>
      </xdr:nvGraphicFramePr>
      <xdr:xfrm>
        <a:off x="6082665" y="8673465"/>
        <a:ext cx="6116320" cy="527875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66</xdr:row>
      <xdr:rowOff>0</xdr:rowOff>
    </xdr:from>
    <xdr:to>
      <xdr:col>4</xdr:col>
      <xdr:colOff>730250</xdr:colOff>
      <xdr:row>93</xdr:row>
      <xdr:rowOff>141288</xdr:rowOff>
    </xdr:to>
    <xdr:graphicFrame>
      <xdr:nvGraphicFramePr>
        <xdr:cNvPr id="5" name="Chart 4"/>
        <xdr:cNvGraphicFramePr/>
      </xdr:nvGraphicFramePr>
      <xdr:xfrm>
        <a:off x="0" y="14268450"/>
        <a:ext cx="6094730" cy="528447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806823</xdr:colOff>
      <xdr:row>65</xdr:row>
      <xdr:rowOff>179294</xdr:rowOff>
    </xdr:from>
    <xdr:to>
      <xdr:col>13</xdr:col>
      <xdr:colOff>409424</xdr:colOff>
      <xdr:row>93</xdr:row>
      <xdr:rowOff>123760</xdr:rowOff>
    </xdr:to>
    <xdr:graphicFrame>
      <xdr:nvGraphicFramePr>
        <xdr:cNvPr id="6" name="Chart 5"/>
        <xdr:cNvGraphicFramePr/>
      </xdr:nvGraphicFramePr>
      <xdr:xfrm>
        <a:off x="6170930" y="14257020"/>
        <a:ext cx="6116320" cy="527812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799100\Desktop\Emei%20UCC28180\Design%20Calculator\UCC28180%20Design%20Calcula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0799100\Desktop\UCC28740%20FlyLight\Design%20Calculator\SLUC487_UCC28740%20Design%20Calculator_Rev%20A_unlock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SIGN INPUTS AND CALCULATIONS"/>
      <sheetName val="SCHEMATIC"/>
      <sheetName val="data"/>
      <sheetName val="Sheet1"/>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TART HERE"/>
      <sheetName val="SCHEMATIC AND BoM"/>
      <sheetName val="CALCULATIONS"/>
      <sheetName val="LOOKUP TABLES AND DROPDOWN LIST"/>
      <sheetName val="Sheet1"/>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 Type="http://schemas.openxmlformats.org/officeDocument/2006/relationships/image" Target="../media/image2.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5:D49"/>
  <sheetViews>
    <sheetView topLeftCell="A7" workbookViewId="0">
      <selection activeCell="H46" sqref="H46"/>
    </sheetView>
  </sheetViews>
  <sheetFormatPr defaultColWidth="9" defaultRowHeight="15" outlineLevelCol="3"/>
  <sheetData>
    <row r="35" spans="2:4">
      <c r="B35" s="268" t="s">
        <v>0</v>
      </c>
      <c r="C35" s="268" t="s">
        <v>1</v>
      </c>
      <c r="D35" s="268" t="s">
        <v>2</v>
      </c>
    </row>
    <row r="36" ht="17.4" spans="2:4">
      <c r="B36" s="38" t="s">
        <v>3</v>
      </c>
      <c r="C36" s="38">
        <f>'DESIGN INPUTS AND CALCULATIONS'!C153</f>
        <v>7.2</v>
      </c>
      <c r="D36" s="197" t="s">
        <v>4</v>
      </c>
    </row>
    <row r="37" ht="17.4" spans="2:4">
      <c r="B37" s="38" t="s">
        <v>5</v>
      </c>
      <c r="C37" s="38">
        <f>'DESIGN INPUTS AND CALCULATIONS'!C151</f>
        <v>63</v>
      </c>
      <c r="D37" s="197" t="s">
        <v>6</v>
      </c>
    </row>
    <row r="38" ht="17.4" spans="2:4">
      <c r="B38" s="14" t="s">
        <v>7</v>
      </c>
      <c r="C38" s="40">
        <f>'DESIGN INPUTS AND CALCULATIONS'!C190</f>
        <v>68</v>
      </c>
      <c r="D38" s="14" t="s">
        <v>8</v>
      </c>
    </row>
    <row r="39" ht="17.4" spans="2:4">
      <c r="B39" s="14" t="s">
        <v>9</v>
      </c>
      <c r="C39" s="38">
        <f>'DESIGN INPUTS AND CALCULATIONS'!C188</f>
        <v>4.3</v>
      </c>
      <c r="D39" s="14" t="s">
        <v>8</v>
      </c>
    </row>
    <row r="40" ht="17.4" spans="2:4">
      <c r="B40" s="14" t="s">
        <v>10</v>
      </c>
      <c r="C40" s="38">
        <f>'DESIGN INPUTS AND CALCULATIONS'!C225</f>
        <v>150</v>
      </c>
      <c r="D40" s="14" t="s">
        <v>11</v>
      </c>
    </row>
    <row r="41" ht="17.4" spans="2:4">
      <c r="B41" s="14" t="s">
        <v>12</v>
      </c>
      <c r="C41" s="38">
        <f>'DESIGN INPUTS AND CALCULATIONS'!C227</f>
        <v>100</v>
      </c>
      <c r="D41" s="14" t="s">
        <v>13</v>
      </c>
    </row>
    <row r="42" ht="17.4" spans="2:4">
      <c r="B42" s="14" t="s">
        <v>14</v>
      </c>
      <c r="C42" s="38">
        <f>'DESIGN INPUTS AND CALCULATIONS'!C171</f>
        <v>82</v>
      </c>
      <c r="D42" s="14" t="s">
        <v>11</v>
      </c>
    </row>
    <row r="43" ht="17.4" spans="2:4">
      <c r="B43" s="14" t="s">
        <v>15</v>
      </c>
      <c r="C43" s="38">
        <f>'DESIGN INPUTS AND CALCULATIONS'!C169</f>
        <v>8200</v>
      </c>
      <c r="D43" s="14" t="s">
        <v>11</v>
      </c>
    </row>
    <row r="44" spans="2:4">
      <c r="B44" s="14" t="s">
        <v>16</v>
      </c>
      <c r="C44" s="38">
        <f>Lr</f>
        <v>54</v>
      </c>
      <c r="D44" s="14" t="s">
        <v>17</v>
      </c>
    </row>
    <row r="45" spans="2:4">
      <c r="B45" s="14" t="s">
        <v>18</v>
      </c>
      <c r="C45" s="38">
        <f>Lm</f>
        <v>300</v>
      </c>
      <c r="D45" s="14" t="s">
        <v>17</v>
      </c>
    </row>
    <row r="46" spans="2:4">
      <c r="B46" s="14" t="s">
        <v>19</v>
      </c>
      <c r="C46" s="38">
        <f>Cr</f>
        <v>0.044</v>
      </c>
      <c r="D46" s="14" t="s">
        <v>20</v>
      </c>
    </row>
    <row r="47" ht="17.4" spans="2:4">
      <c r="B47" s="14" t="s">
        <v>21</v>
      </c>
      <c r="C47" s="204">
        <f>'DESIGN INPUTS AND CALCULATIONS'!$C$202</f>
        <v>82</v>
      </c>
      <c r="D47" s="14" t="s">
        <v>22</v>
      </c>
    </row>
    <row r="48" ht="17.4" spans="2:4">
      <c r="B48" s="269" t="s">
        <v>23</v>
      </c>
      <c r="C48" s="40">
        <f>'DESIGN INPUTS AND CALCULATIONS'!C208</f>
        <v>470</v>
      </c>
      <c r="D48" s="14" t="s">
        <v>8</v>
      </c>
    </row>
    <row r="49" ht="17.4" spans="2:4">
      <c r="B49" s="269" t="s">
        <v>24</v>
      </c>
      <c r="C49" s="40">
        <f>'DESIGN INPUTS AND CALCULATIONS'!C209</f>
        <v>247</v>
      </c>
      <c r="D49" s="14" t="s">
        <v>8</v>
      </c>
    </row>
  </sheetData>
  <sheetProtection password="EE3D" sheet="1" selectLockedCells="1" objects="1" scenarios="1"/>
  <pageMargins left="0.7" right="0.7" top="0.75" bottom="0.75" header="0.3" footer="0.3"/>
  <pageSetup paperSize="1"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3"/>
  <sheetViews>
    <sheetView tabSelected="1" zoomScale="85" zoomScaleNormal="85" workbookViewId="0">
      <selection activeCell="C25" sqref="C25"/>
    </sheetView>
  </sheetViews>
  <sheetFormatPr defaultColWidth="9.14583333333333" defaultRowHeight="15" outlineLevelCol="7"/>
  <cols>
    <col min="1" max="1" width="84.5729166666667" style="50" customWidth="1"/>
    <col min="2" max="2" width="18.4270833333333" style="50" customWidth="1"/>
    <col min="3" max="3" width="17.8541666666667" style="50" customWidth="1"/>
    <col min="4" max="4" width="7.57291666666667" style="50" customWidth="1"/>
    <col min="5" max="5" width="117.854166666667" style="50" customWidth="1"/>
    <col min="6" max="6" width="12" style="50" customWidth="1"/>
    <col min="7" max="16384" width="9.14583333333333" style="50"/>
  </cols>
  <sheetData>
    <row r="1" ht="28.95" spans="1:4">
      <c r="A1" s="51" t="s">
        <v>25</v>
      </c>
      <c r="B1" s="52"/>
      <c r="C1" s="52"/>
      <c r="D1" s="53"/>
    </row>
    <row r="2" ht="15.75" spans="1:4">
      <c r="A2" s="54" t="s">
        <v>26</v>
      </c>
      <c r="B2" s="55" t="s">
        <v>27</v>
      </c>
      <c r="C2" s="55"/>
      <c r="D2" s="56"/>
    </row>
    <row r="3" ht="16.35" spans="1:4">
      <c r="A3" s="57" t="s">
        <v>28</v>
      </c>
      <c r="B3" s="58"/>
      <c r="C3" s="58"/>
      <c r="D3" s="59"/>
    </row>
    <row r="4" ht="15.6" spans="1:4">
      <c r="A4" s="60" t="s">
        <v>29</v>
      </c>
      <c r="B4" s="61" t="s">
        <v>30</v>
      </c>
      <c r="C4" s="62" t="s">
        <v>31</v>
      </c>
      <c r="D4" s="63"/>
    </row>
    <row r="5" ht="15.6" spans="1:4">
      <c r="A5" s="64" t="s">
        <v>32</v>
      </c>
      <c r="B5" s="65"/>
      <c r="C5" s="65"/>
      <c r="D5" s="66"/>
    </row>
    <row r="6" ht="17.4" spans="1:4">
      <c r="A6" s="67" t="s">
        <v>33</v>
      </c>
      <c r="B6" s="68"/>
      <c r="C6" s="68"/>
      <c r="D6" s="69"/>
    </row>
    <row r="7" spans="1:4">
      <c r="A7" s="70" t="s">
        <v>34</v>
      </c>
      <c r="B7" s="71"/>
      <c r="C7" s="71"/>
      <c r="D7" s="72"/>
    </row>
    <row r="8" spans="1:4">
      <c r="A8" s="70"/>
      <c r="B8" s="71"/>
      <c r="C8" s="71"/>
      <c r="D8" s="72"/>
    </row>
    <row r="9" spans="1:4">
      <c r="A9" s="70"/>
      <c r="B9" s="71"/>
      <c r="C9" s="71"/>
      <c r="D9" s="72"/>
    </row>
    <row r="10" spans="1:4">
      <c r="A10" s="70"/>
      <c r="B10" s="71"/>
      <c r="C10" s="71"/>
      <c r="D10" s="72"/>
    </row>
    <row r="11" ht="15.75" spans="1:4">
      <c r="A11" s="70"/>
      <c r="B11" s="71"/>
      <c r="C11" s="71"/>
      <c r="D11" s="72"/>
    </row>
    <row r="12" spans="1:4">
      <c r="A12" s="73" t="s">
        <v>35</v>
      </c>
      <c r="B12" s="74"/>
      <c r="C12" s="74"/>
      <c r="D12" s="75"/>
    </row>
    <row r="13" spans="1:4">
      <c r="A13" s="76"/>
      <c r="B13" s="77"/>
      <c r="C13" s="77"/>
      <c r="D13" s="78"/>
    </row>
    <row r="14" spans="1:4">
      <c r="A14" s="76"/>
      <c r="B14" s="77"/>
      <c r="C14" s="77"/>
      <c r="D14" s="78"/>
    </row>
    <row r="15" spans="1:4">
      <c r="A15" s="76"/>
      <c r="B15" s="77"/>
      <c r="C15" s="77"/>
      <c r="D15" s="78"/>
    </row>
    <row r="16" ht="15.75" spans="1:4">
      <c r="A16" s="79"/>
      <c r="B16" s="80"/>
      <c r="C16" s="80"/>
      <c r="D16" s="81"/>
    </row>
    <row r="17" spans="1:4">
      <c r="A17" s="82" t="s">
        <v>36</v>
      </c>
      <c r="B17" s="83"/>
      <c r="C17" s="83"/>
      <c r="D17" s="84"/>
    </row>
    <row r="18" spans="1:4">
      <c r="A18" s="85" t="s">
        <v>37</v>
      </c>
      <c r="B18" s="86"/>
      <c r="C18" s="86"/>
      <c r="D18" s="87"/>
    </row>
    <row r="19" spans="1:4">
      <c r="A19" s="85"/>
      <c r="B19" s="86"/>
      <c r="C19" s="86"/>
      <c r="D19" s="87"/>
    </row>
    <row r="20" ht="15.75" spans="1:4">
      <c r="A20" s="88"/>
      <c r="B20" s="89"/>
      <c r="C20" s="89"/>
      <c r="D20" s="90"/>
    </row>
    <row r="21" spans="1:4">
      <c r="A21" s="91"/>
      <c r="B21" s="91"/>
      <c r="C21" s="91"/>
      <c r="D21" s="91"/>
    </row>
    <row r="22" ht="15.6" spans="1:5">
      <c r="A22" s="92" t="s">
        <v>38</v>
      </c>
      <c r="B22" s="93"/>
      <c r="C22" s="94" t="s">
        <v>39</v>
      </c>
      <c r="D22" s="93"/>
      <c r="E22" s="93" t="s">
        <v>40</v>
      </c>
    </row>
    <row r="23" s="48" customFormat="1" ht="15.75" spans="1:4">
      <c r="A23" s="95"/>
      <c r="B23" s="95"/>
      <c r="C23" s="95"/>
      <c r="D23" s="95"/>
    </row>
    <row r="24" s="48" customFormat="1" ht="15.6" spans="1:8">
      <c r="A24" s="1" t="s">
        <v>41</v>
      </c>
      <c r="B24" s="2"/>
      <c r="C24" s="2"/>
      <c r="D24" s="3"/>
      <c r="E24" s="4"/>
      <c r="F24" s="50"/>
      <c r="G24" s="50"/>
      <c r="H24" s="50"/>
    </row>
    <row r="25" ht="17.4" spans="1:5">
      <c r="A25" s="6" t="s">
        <v>42</v>
      </c>
      <c r="B25" s="8" t="s">
        <v>43</v>
      </c>
      <c r="C25" s="16">
        <v>74</v>
      </c>
      <c r="D25" s="9" t="s">
        <v>44</v>
      </c>
      <c r="E25" s="9" t="s">
        <v>45</v>
      </c>
    </row>
    <row r="26" ht="17.4" spans="1:5">
      <c r="A26" s="6" t="s">
        <v>46</v>
      </c>
      <c r="B26" s="8" t="s">
        <v>47</v>
      </c>
      <c r="C26" s="16">
        <v>330</v>
      </c>
      <c r="D26" s="9" t="s">
        <v>48</v>
      </c>
      <c r="E26" s="9" t="s">
        <v>49</v>
      </c>
    </row>
    <row r="27" ht="17.4" spans="1:5">
      <c r="A27" s="6" t="s">
        <v>50</v>
      </c>
      <c r="B27" s="8" t="s">
        <v>51</v>
      </c>
      <c r="C27" s="8">
        <f>Pout/Vout</f>
        <v>4.45945945945946</v>
      </c>
      <c r="D27" s="9" t="s">
        <v>52</v>
      </c>
      <c r="E27" s="9"/>
    </row>
    <row r="28" ht="17.4" spans="1:5">
      <c r="A28" s="6" t="s">
        <v>53</v>
      </c>
      <c r="B28" s="8" t="s">
        <v>54</v>
      </c>
      <c r="C28" s="16">
        <v>250</v>
      </c>
      <c r="D28" s="9" t="s">
        <v>55</v>
      </c>
      <c r="E28" s="9" t="s">
        <v>56</v>
      </c>
    </row>
    <row r="29" ht="15.75" spans="1:5">
      <c r="A29" s="96" t="s">
        <v>57</v>
      </c>
      <c r="B29" s="97" t="s">
        <v>58</v>
      </c>
      <c r="C29" s="98">
        <v>0.92</v>
      </c>
      <c r="D29" s="99"/>
      <c r="E29" s="100" t="s">
        <v>59</v>
      </c>
    </row>
    <row r="30" ht="15.75" spans="1:5">
      <c r="A30" s="101"/>
      <c r="B30" s="102"/>
      <c r="C30" s="102"/>
      <c r="D30" s="102"/>
      <c r="E30" s="103"/>
    </row>
    <row r="31" ht="15.75" customHeight="1" spans="1:5">
      <c r="A31" s="104" t="s">
        <v>60</v>
      </c>
      <c r="B31" s="105"/>
      <c r="C31" s="105"/>
      <c r="D31" s="106"/>
      <c r="E31" s="4"/>
    </row>
    <row r="32" ht="17.4" spans="1:5">
      <c r="A32" s="107" t="s">
        <v>61</v>
      </c>
      <c r="B32" s="7" t="s">
        <v>62</v>
      </c>
      <c r="C32" s="108">
        <v>390</v>
      </c>
      <c r="D32" s="109" t="s">
        <v>44</v>
      </c>
      <c r="E32" s="9" t="s">
        <v>63</v>
      </c>
    </row>
    <row r="33" ht="17.4" spans="1:5">
      <c r="A33" s="6" t="s">
        <v>64</v>
      </c>
      <c r="B33" s="8" t="s">
        <v>65</v>
      </c>
      <c r="C33" s="16">
        <v>10</v>
      </c>
      <c r="D33" s="9" t="s">
        <v>66</v>
      </c>
      <c r="E33" s="9" t="s">
        <v>67</v>
      </c>
    </row>
    <row r="34" ht="17.4" spans="1:5">
      <c r="A34" s="6" t="s">
        <v>68</v>
      </c>
      <c r="B34" s="8" t="s">
        <v>69</v>
      </c>
      <c r="C34" s="110">
        <v>410</v>
      </c>
      <c r="D34" s="9" t="s">
        <v>44</v>
      </c>
      <c r="E34" s="9" t="s">
        <v>70</v>
      </c>
    </row>
    <row r="35" ht="18.15" spans="1:5">
      <c r="A35" s="6" t="s">
        <v>71</v>
      </c>
      <c r="B35" s="8" t="s">
        <v>72</v>
      </c>
      <c r="C35" s="110">
        <v>365</v>
      </c>
      <c r="D35" s="9" t="s">
        <v>44</v>
      </c>
      <c r="E35" s="100" t="s">
        <v>73</v>
      </c>
    </row>
    <row r="36" ht="15.75" spans="1:5">
      <c r="A36" s="111"/>
      <c r="B36" s="111"/>
      <c r="C36" s="111"/>
      <c r="D36" s="111"/>
      <c r="E36" s="112"/>
    </row>
    <row r="37" ht="16.35" spans="1:5">
      <c r="A37" s="113" t="s">
        <v>74</v>
      </c>
      <c r="B37" s="114"/>
      <c r="C37" s="114"/>
      <c r="D37" s="115"/>
      <c r="E37" s="116"/>
    </row>
    <row r="38" ht="18" customHeight="1" spans="1:5">
      <c r="A38" s="117" t="s">
        <v>75</v>
      </c>
      <c r="B38" s="118" t="s">
        <v>76</v>
      </c>
      <c r="C38" s="119">
        <v>100</v>
      </c>
      <c r="D38" s="120" t="s">
        <v>77</v>
      </c>
      <c r="E38" s="121" t="s">
        <v>78</v>
      </c>
    </row>
    <row r="39" s="48" customFormat="1" spans="1:8">
      <c r="A39" s="122" t="s">
        <v>79</v>
      </c>
      <c r="B39" s="123"/>
      <c r="C39" s="123"/>
      <c r="D39" s="124"/>
      <c r="E39" s="125"/>
      <c r="F39" s="50"/>
      <c r="G39" s="50"/>
      <c r="H39" s="50"/>
    </row>
    <row r="40" s="48" customFormat="1" ht="17.4" spans="1:5">
      <c r="A40" s="126" t="s">
        <v>80</v>
      </c>
      <c r="B40" s="8" t="s">
        <v>81</v>
      </c>
      <c r="C40" s="127">
        <f>Vblk/2/Vout</f>
        <v>2.63513513513513</v>
      </c>
      <c r="D40" s="128"/>
      <c r="E40" s="9"/>
    </row>
    <row r="41" ht="18" customHeight="1" spans="1:5">
      <c r="A41" s="6" t="s">
        <v>82</v>
      </c>
      <c r="B41" s="8" t="s">
        <v>83</v>
      </c>
      <c r="C41" s="129">
        <v>2.7</v>
      </c>
      <c r="D41" s="130"/>
      <c r="E41" s="9" t="s">
        <v>84</v>
      </c>
    </row>
    <row r="42" ht="18" customHeight="1" spans="1:5">
      <c r="A42" s="126" t="s">
        <v>85</v>
      </c>
      <c r="B42" s="8" t="s">
        <v>86</v>
      </c>
      <c r="C42" s="131">
        <f>Vblk/2/15</f>
        <v>13</v>
      </c>
      <c r="D42" s="130"/>
      <c r="E42" s="9"/>
    </row>
    <row r="43" ht="18" customHeight="1" spans="1:5">
      <c r="A43" s="6" t="s">
        <v>87</v>
      </c>
      <c r="B43" s="8" t="s">
        <v>88</v>
      </c>
      <c r="C43" s="129">
        <v>9</v>
      </c>
      <c r="D43" s="130"/>
      <c r="E43" s="9" t="s">
        <v>89</v>
      </c>
    </row>
    <row r="44" ht="18" customHeight="1" spans="1:5">
      <c r="A44" s="6" t="s">
        <v>90</v>
      </c>
      <c r="B44" s="8" t="s">
        <v>91</v>
      </c>
      <c r="C44" s="18">
        <f>(8*Nps^2*Vout)/(PI()^2*Iout*1.1)</f>
        <v>89.1404011867652</v>
      </c>
      <c r="D44" s="11" t="s">
        <v>92</v>
      </c>
      <c r="E44" s="9"/>
    </row>
    <row r="45" ht="18.15" spans="1:5">
      <c r="A45" s="96" t="s">
        <v>93</v>
      </c>
      <c r="B45" s="132" t="s">
        <v>94</v>
      </c>
      <c r="C45" s="133">
        <f>(8*Nps^2*Vout)/(PI()^2*Iout)</f>
        <v>98.0544413054417</v>
      </c>
      <c r="D45" s="134" t="s">
        <v>92</v>
      </c>
      <c r="E45" s="100"/>
    </row>
    <row r="46" ht="15.75" spans="1:5">
      <c r="A46" s="135" t="s">
        <v>95</v>
      </c>
      <c r="B46" s="136"/>
      <c r="C46" s="136"/>
      <c r="D46" s="137"/>
      <c r="E46" s="125"/>
    </row>
    <row r="47" ht="17.4" spans="1:5">
      <c r="A47" s="107" t="s">
        <v>96</v>
      </c>
      <c r="B47" s="12" t="s">
        <v>97</v>
      </c>
      <c r="C47" s="138">
        <f>Nps*(Vout+0.5)/(Vblk_max/2)</f>
        <v>0.981219512195122</v>
      </c>
      <c r="D47" s="109"/>
      <c r="E47" s="126"/>
    </row>
    <row r="48" ht="18" customHeight="1" spans="1:5">
      <c r="A48" s="6" t="s">
        <v>98</v>
      </c>
      <c r="B48" s="8" t="s">
        <v>99</v>
      </c>
      <c r="C48" s="139">
        <f>1*Nps*(Vout+0.5+Vloss)/(Vblk_hu/2)</f>
        <v>1.10958904109589</v>
      </c>
      <c r="D48" s="9"/>
      <c r="E48" s="126"/>
    </row>
    <row r="49" ht="18.15" spans="1:5">
      <c r="A49" s="140" t="s">
        <v>100</v>
      </c>
      <c r="B49" s="141" t="s">
        <v>101</v>
      </c>
      <c r="C49" s="142">
        <v>0.5</v>
      </c>
      <c r="D49" s="143" t="s">
        <v>44</v>
      </c>
      <c r="E49" s="126" t="s">
        <v>102</v>
      </c>
    </row>
    <row r="50" ht="18.15" spans="1:5">
      <c r="A50" s="144" t="s">
        <v>103</v>
      </c>
      <c r="B50" s="145"/>
      <c r="C50" s="145"/>
      <c r="D50" s="146"/>
      <c r="E50" s="125"/>
    </row>
    <row r="51" ht="49.5" customHeight="1" spans="1:5">
      <c r="A51" s="147" t="s">
        <v>104</v>
      </c>
      <c r="B51" s="148"/>
      <c r="C51" s="148"/>
      <c r="D51" s="149"/>
      <c r="E51" s="9"/>
    </row>
    <row r="52" ht="15.75" customHeight="1" spans="1:5">
      <c r="A52" s="150" t="s">
        <v>105</v>
      </c>
      <c r="B52" s="151"/>
      <c r="C52" s="151"/>
      <c r="D52" s="152"/>
      <c r="E52" s="9"/>
    </row>
    <row r="53" customHeight="1" spans="1:5">
      <c r="A53" s="153"/>
      <c r="B53" s="154"/>
      <c r="C53" s="154"/>
      <c r="D53" s="155"/>
      <c r="E53" s="9"/>
    </row>
    <row r="54" customHeight="1" spans="1:5">
      <c r="A54" s="153"/>
      <c r="B54" s="154"/>
      <c r="C54" s="154"/>
      <c r="D54" s="155"/>
      <c r="E54" s="9"/>
    </row>
    <row r="55" customHeight="1" spans="1:5">
      <c r="A55" s="153"/>
      <c r="B55" s="154"/>
      <c r="C55" s="154"/>
      <c r="D55" s="155"/>
      <c r="E55" s="9"/>
    </row>
    <row r="56" customHeight="1" spans="1:5">
      <c r="A56" s="6" t="s">
        <v>106</v>
      </c>
      <c r="B56" s="8" t="s">
        <v>107</v>
      </c>
      <c r="C56" s="156">
        <v>5.56</v>
      </c>
      <c r="D56" s="9"/>
      <c r="E56" s="100"/>
    </row>
    <row r="57" ht="17.4" spans="1:5">
      <c r="A57" s="6" t="s">
        <v>108</v>
      </c>
      <c r="B57" s="8" t="s">
        <v>109</v>
      </c>
      <c r="C57" s="156">
        <v>0.35</v>
      </c>
      <c r="D57" s="9"/>
      <c r="E57" s="157"/>
    </row>
    <row r="58" ht="17.4" spans="1:5">
      <c r="A58" s="6" t="s">
        <v>110</v>
      </c>
      <c r="B58" s="8" t="s">
        <v>111</v>
      </c>
      <c r="C58" s="158">
        <f>Ln_selected/(Ln_selected+1)</f>
        <v>0.847560975609756</v>
      </c>
      <c r="D58" s="9"/>
      <c r="E58" s="159"/>
    </row>
    <row r="59" ht="18.15" spans="1:5">
      <c r="A59" s="140" t="s">
        <v>112</v>
      </c>
      <c r="B59" s="141" t="s">
        <v>113</v>
      </c>
      <c r="C59" s="160">
        <f>350/fllc</f>
        <v>3.5</v>
      </c>
      <c r="D59" s="143"/>
      <c r="E59" s="159"/>
    </row>
    <row r="60" ht="16.5" customHeight="1" spans="1:5">
      <c r="A60" s="150" t="s">
        <v>114</v>
      </c>
      <c r="B60" s="151"/>
      <c r="C60" s="151"/>
      <c r="D60" s="152"/>
      <c r="E60" s="159"/>
    </row>
    <row r="61" ht="37.5" customHeight="1" spans="1:5">
      <c r="A61" s="161"/>
      <c r="B61" s="162"/>
      <c r="C61" s="162"/>
      <c r="D61" s="163"/>
      <c r="E61" s="159"/>
    </row>
    <row r="62" spans="1:5">
      <c r="A62" s="164"/>
      <c r="B62" s="165"/>
      <c r="C62" s="166"/>
      <c r="D62" s="167"/>
      <c r="E62" s="159"/>
    </row>
    <row r="63" spans="1:5">
      <c r="A63" s="164"/>
      <c r="B63" s="165"/>
      <c r="C63" s="166"/>
      <c r="D63" s="167"/>
      <c r="E63" s="159"/>
    </row>
    <row r="64" spans="1:5">
      <c r="A64" s="164"/>
      <c r="B64" s="165"/>
      <c r="C64" s="166"/>
      <c r="D64" s="167"/>
      <c r="E64" s="159"/>
    </row>
    <row r="65" spans="1:5">
      <c r="A65" s="164"/>
      <c r="B65" s="165"/>
      <c r="C65" s="166"/>
      <c r="D65" s="167"/>
      <c r="E65" s="159"/>
    </row>
    <row r="66" spans="1:5">
      <c r="A66" s="164"/>
      <c r="B66" s="165"/>
      <c r="C66" s="166"/>
      <c r="D66" s="167"/>
      <c r="E66" s="159"/>
    </row>
    <row r="67" spans="1:5">
      <c r="A67" s="164"/>
      <c r="B67" s="165"/>
      <c r="C67" s="166"/>
      <c r="D67" s="167"/>
      <c r="E67" s="159"/>
    </row>
    <row r="68" spans="1:5">
      <c r="A68" s="164"/>
      <c r="B68" s="165"/>
      <c r="C68" s="166"/>
      <c r="D68" s="167"/>
      <c r="E68" s="159"/>
    </row>
    <row r="69" spans="1:5">
      <c r="A69" s="164"/>
      <c r="B69" s="165"/>
      <c r="C69" s="166"/>
      <c r="D69" s="167"/>
      <c r="E69" s="159"/>
    </row>
    <row r="70" spans="1:5">
      <c r="A70" s="164"/>
      <c r="B70" s="165"/>
      <c r="C70" s="166"/>
      <c r="D70" s="167"/>
      <c r="E70" s="159"/>
    </row>
    <row r="71" spans="1:5">
      <c r="A71" s="164"/>
      <c r="B71" s="165"/>
      <c r="C71" s="165"/>
      <c r="D71" s="167"/>
      <c r="E71" s="159"/>
    </row>
    <row r="72" spans="1:5">
      <c r="A72" s="164"/>
      <c r="B72" s="165"/>
      <c r="C72" s="165"/>
      <c r="D72" s="167"/>
      <c r="E72" s="159"/>
    </row>
    <row r="73" spans="1:5">
      <c r="A73" s="164"/>
      <c r="B73" s="165"/>
      <c r="C73" s="165"/>
      <c r="D73" s="167"/>
      <c r="E73" s="159"/>
    </row>
    <row r="74" spans="1:5">
      <c r="A74" s="164"/>
      <c r="B74" s="165"/>
      <c r="C74" s="165"/>
      <c r="D74" s="167"/>
      <c r="E74" s="159"/>
    </row>
    <row r="75" spans="1:5">
      <c r="A75" s="164"/>
      <c r="B75" s="165"/>
      <c r="C75" s="165"/>
      <c r="D75" s="167"/>
      <c r="E75" s="159"/>
    </row>
    <row r="76" spans="1:5">
      <c r="A76" s="164"/>
      <c r="B76" s="165"/>
      <c r="C76" s="165"/>
      <c r="D76" s="167"/>
      <c r="E76" s="159"/>
    </row>
    <row r="77" spans="1:5">
      <c r="A77" s="164"/>
      <c r="B77" s="165"/>
      <c r="C77" s="165"/>
      <c r="D77" s="167"/>
      <c r="E77" s="159"/>
    </row>
    <row r="78" spans="1:5">
      <c r="A78" s="164"/>
      <c r="B78" s="165"/>
      <c r="C78" s="165"/>
      <c r="D78" s="167"/>
      <c r="E78" s="159"/>
    </row>
    <row r="79" spans="1:5">
      <c r="A79" s="164"/>
      <c r="B79" s="165"/>
      <c r="C79" s="165"/>
      <c r="D79" s="167"/>
      <c r="E79" s="159"/>
    </row>
    <row r="80" spans="1:5">
      <c r="A80" s="164"/>
      <c r="B80" s="165"/>
      <c r="C80" s="165"/>
      <c r="D80" s="167"/>
      <c r="E80" s="159"/>
    </row>
    <row r="81" spans="1:5">
      <c r="A81" s="164"/>
      <c r="B81" s="165"/>
      <c r="C81" s="165"/>
      <c r="D81" s="167"/>
      <c r="E81" s="159"/>
    </row>
    <row r="82" spans="1:5">
      <c r="A82" s="164"/>
      <c r="B82" s="165"/>
      <c r="C82" s="165"/>
      <c r="D82" s="167"/>
      <c r="E82" s="159"/>
    </row>
    <row r="83" spans="1:5">
      <c r="A83" s="164"/>
      <c r="B83" s="165"/>
      <c r="C83" s="165"/>
      <c r="D83" s="167"/>
      <c r="E83" s="159"/>
    </row>
    <row r="84" spans="1:5">
      <c r="A84" s="164"/>
      <c r="B84" s="165"/>
      <c r="C84" s="165"/>
      <c r="D84" s="167"/>
      <c r="E84" s="159"/>
    </row>
    <row r="85" spans="1:5">
      <c r="A85" s="164"/>
      <c r="B85" s="165"/>
      <c r="C85" s="165"/>
      <c r="D85" s="167"/>
      <c r="E85" s="159"/>
    </row>
    <row r="86" spans="1:5">
      <c r="A86" s="164"/>
      <c r="B86" s="165"/>
      <c r="C86" s="165"/>
      <c r="D86" s="167"/>
      <c r="E86" s="159"/>
    </row>
    <row r="87" spans="1:5">
      <c r="A87" s="164"/>
      <c r="B87" s="165"/>
      <c r="C87" s="165"/>
      <c r="D87" s="167"/>
      <c r="E87" s="159"/>
    </row>
    <row r="88" spans="1:5">
      <c r="A88" s="164"/>
      <c r="B88" s="165"/>
      <c r="C88" s="165"/>
      <c r="D88" s="167"/>
      <c r="E88" s="159"/>
    </row>
    <row r="89" ht="15.75" spans="1:5">
      <c r="A89" s="164"/>
      <c r="B89" s="165"/>
      <c r="C89" s="165"/>
      <c r="D89" s="167"/>
      <c r="E89" s="168"/>
    </row>
    <row r="90" spans="1:5">
      <c r="A90" s="122" t="s">
        <v>115</v>
      </c>
      <c r="B90" s="123"/>
      <c r="C90" s="123"/>
      <c r="D90" s="124"/>
      <c r="E90" s="125"/>
    </row>
    <row r="91" ht="17.4" spans="1:5">
      <c r="A91" s="6" t="s">
        <v>116</v>
      </c>
      <c r="B91" s="8" t="s">
        <v>117</v>
      </c>
      <c r="C91" s="169">
        <f>(1/(2*PI()*fllc*1000*Re_fl*Qe_selected))/10^-6</f>
        <v>0.0463750955877152</v>
      </c>
      <c r="D91" s="9" t="s">
        <v>20</v>
      </c>
      <c r="E91" s="9"/>
    </row>
    <row r="92" ht="17.4" spans="1:5">
      <c r="A92" s="6" t="s">
        <v>118</v>
      </c>
      <c r="B92" s="8" t="s">
        <v>119</v>
      </c>
      <c r="C92" s="16">
        <v>0.044</v>
      </c>
      <c r="D92" s="9" t="s">
        <v>20</v>
      </c>
      <c r="E92" s="9" t="s">
        <v>120</v>
      </c>
    </row>
    <row r="93" ht="17.4" spans="1:5">
      <c r="A93" s="6" t="s">
        <v>121</v>
      </c>
      <c r="B93" s="8" t="s">
        <v>122</v>
      </c>
      <c r="C93" s="169">
        <f>IF($D92="uF",1/((2*PI()*fllc*kHz)^2*Cr*uF),1/((2*PI()*fllc*kHz)^2*Cr*picoF))*10^6</f>
        <v>57.5688543422374</v>
      </c>
      <c r="D93" s="9" t="s">
        <v>17</v>
      </c>
      <c r="E93" s="9"/>
    </row>
    <row r="94" ht="17.4" spans="1:5">
      <c r="A94" s="6" t="s">
        <v>123</v>
      </c>
      <c r="B94" s="8" t="s">
        <v>124</v>
      </c>
      <c r="C94" s="16">
        <v>54</v>
      </c>
      <c r="D94" s="9" t="s">
        <v>17</v>
      </c>
      <c r="E94" s="9" t="s">
        <v>125</v>
      </c>
    </row>
    <row r="95" ht="17.4" spans="1:5">
      <c r="A95" s="6" t="s">
        <v>126</v>
      </c>
      <c r="B95" s="8" t="s">
        <v>127</v>
      </c>
      <c r="C95" s="170">
        <f>Ln_selected*Lr</f>
        <v>300.24</v>
      </c>
      <c r="D95" s="9" t="s">
        <v>17</v>
      </c>
      <c r="E95" s="9"/>
    </row>
    <row r="96" ht="17.4" spans="1:5">
      <c r="A96" s="6" t="s">
        <v>128</v>
      </c>
      <c r="B96" s="8" t="s">
        <v>129</v>
      </c>
      <c r="C96" s="16">
        <v>300</v>
      </c>
      <c r="D96" s="9" t="s">
        <v>17</v>
      </c>
      <c r="E96" s="9" t="s">
        <v>130</v>
      </c>
    </row>
    <row r="97" ht="17.4" spans="1:5">
      <c r="A97" s="6" t="s">
        <v>131</v>
      </c>
      <c r="B97" s="8" t="s">
        <v>132</v>
      </c>
      <c r="C97" s="171">
        <f>IF($D91="uF",1/(2*PI()*SQRT(Lr*uH*Cr*uF)),1/(2*PI()*SQRT(Lr*uH*Cr*picoF)))/kHz</f>
        <v>103.25162929594</v>
      </c>
      <c r="D97" s="9" t="s">
        <v>77</v>
      </c>
      <c r="E97" s="9"/>
    </row>
    <row r="98" ht="17.4" spans="1:5">
      <c r="A98" s="6" t="s">
        <v>133</v>
      </c>
      <c r="B98" s="8" t="s">
        <v>134</v>
      </c>
      <c r="C98" s="171">
        <f>(1/(2*PI()*SQRT(((Lr*uH)+(Lm*uH))*(Cr*uF))))/kHz</f>
        <v>40.3266515251024</v>
      </c>
      <c r="D98" s="9" t="s">
        <v>77</v>
      </c>
      <c r="E98" s="9"/>
    </row>
    <row r="99" ht="18" customHeight="1" spans="1:8">
      <c r="A99" s="6" t="s">
        <v>135</v>
      </c>
      <c r="B99" s="8" t="s">
        <v>136</v>
      </c>
      <c r="C99" s="172">
        <f>Lm/Lr</f>
        <v>5.55555555555556</v>
      </c>
      <c r="D99" s="9"/>
      <c r="E99" s="9" t="s">
        <v>137</v>
      </c>
      <c r="F99" s="173"/>
      <c r="G99" s="173"/>
      <c r="H99" s="173"/>
    </row>
    <row r="100" ht="17.4" spans="1:8">
      <c r="A100" s="6" t="s">
        <v>138</v>
      </c>
      <c r="B100" s="8" t="s">
        <v>139</v>
      </c>
      <c r="C100" s="174">
        <f>IF(D$91="uF",SQRT((Lr*uH)/(Cr*uF))/(Re_fl),SQRT((Lr*uH)/(Cr*picoF))/Re_fl)</f>
        <v>0.357275530010331</v>
      </c>
      <c r="D100" s="130"/>
      <c r="E100" s="9" t="s">
        <v>140</v>
      </c>
      <c r="F100" s="173"/>
      <c r="G100" s="173"/>
      <c r="H100" s="173"/>
    </row>
    <row r="101" ht="64.5" customHeight="1" spans="1:8">
      <c r="A101" s="6" t="s">
        <v>141</v>
      </c>
      <c r="B101" s="8"/>
      <c r="C101" s="175" t="str">
        <f>IF(AND(ROUND(C99,2)=C56,ROUND(C100,2)=C57),"Yes",IF(AND(ROUND(C99,2)&lt;&gt;C56,ROUND(C100,2)=C57),"CAUTION. Update Cell C56 with new Ln",IF(AND(ROUND(C99,2)=C56,ROUND(C100,2)&lt;&gt;C57),"CAUTION. Update Cell C57 with new Qe","CAUTION. Update Cells C56 and C57 with new Ln and Qe")))</f>
        <v>CAUTION. Update Cell C57 with new Qe</v>
      </c>
      <c r="D101" s="130"/>
      <c r="E101" s="9"/>
      <c r="F101" s="173"/>
      <c r="G101" s="173"/>
      <c r="H101" s="173"/>
    </row>
    <row r="102" ht="17.4" spans="1:5">
      <c r="A102" s="6" t="s">
        <v>142</v>
      </c>
      <c r="B102" s="8" t="s">
        <v>143</v>
      </c>
      <c r="C102" s="16">
        <v>0.78</v>
      </c>
      <c r="D102" s="9"/>
      <c r="E102" s="9" t="s">
        <v>144</v>
      </c>
    </row>
    <row r="103" ht="17.4" spans="1:5">
      <c r="A103" s="6" t="s">
        <v>145</v>
      </c>
      <c r="B103" s="8" t="s">
        <v>146</v>
      </c>
      <c r="C103" s="16">
        <v>1</v>
      </c>
      <c r="D103" s="9"/>
      <c r="E103" s="9" t="s">
        <v>147</v>
      </c>
    </row>
    <row r="104" ht="17.4" spans="1:5">
      <c r="A104" s="6" t="s">
        <v>148</v>
      </c>
      <c r="B104" s="8" t="s">
        <v>149</v>
      </c>
      <c r="C104" s="18">
        <f>fn_Mgmin*f0</f>
        <v>103.25162929594</v>
      </c>
      <c r="D104" s="9" t="s">
        <v>77</v>
      </c>
      <c r="E104" s="9"/>
    </row>
    <row r="105" ht="18.15" spans="1:5">
      <c r="A105" s="6" t="s">
        <v>150</v>
      </c>
      <c r="B105" s="8" t="s">
        <v>151</v>
      </c>
      <c r="C105" s="18">
        <f>fn_Mgmax*f0</f>
        <v>80.5362708508332</v>
      </c>
      <c r="D105" s="9" t="s">
        <v>77</v>
      </c>
      <c r="E105" s="100"/>
    </row>
    <row r="106" s="48" customFormat="1" spans="1:5">
      <c r="A106" s="176" t="s">
        <v>152</v>
      </c>
      <c r="B106" s="177"/>
      <c r="C106" s="177"/>
      <c r="D106" s="178"/>
      <c r="E106" s="125"/>
    </row>
    <row r="107" s="48" customFormat="1" ht="17.4" spans="1:5">
      <c r="A107" s="6" t="s">
        <v>153</v>
      </c>
      <c r="B107" s="8" t="s">
        <v>154</v>
      </c>
      <c r="C107" s="179">
        <f>PI()*Iout*1.1/(2*SQRT(2)*Nps)</f>
        <v>2.01797610929866</v>
      </c>
      <c r="D107" s="9" t="s">
        <v>52</v>
      </c>
      <c r="E107" s="9"/>
    </row>
    <row r="108" s="48" customFormat="1" ht="17.4" spans="1:5">
      <c r="A108" s="6" t="s">
        <v>155</v>
      </c>
      <c r="B108" s="8" t="s">
        <v>156</v>
      </c>
      <c r="C108" s="179">
        <f>(2*SQRT(2)*Nps*Vout)/(PI()*2*PI()*fsw_min*kHz*Lm*uH)</f>
        <v>1.18494437978765</v>
      </c>
      <c r="D108" s="9" t="s">
        <v>52</v>
      </c>
      <c r="E108" s="9"/>
    </row>
    <row r="109" s="48" customFormat="1" ht="18.15" spans="1:5">
      <c r="A109" s="6" t="s">
        <v>157</v>
      </c>
      <c r="B109" s="8" t="s">
        <v>158</v>
      </c>
      <c r="C109" s="179">
        <f>SQRT(Im^2+Ioe^2)</f>
        <v>2.34015400366952</v>
      </c>
      <c r="D109" s="9" t="s">
        <v>52</v>
      </c>
      <c r="E109" s="100"/>
    </row>
    <row r="110" s="48" customFormat="1" spans="1:5">
      <c r="A110" s="176" t="s">
        <v>159</v>
      </c>
      <c r="B110" s="177"/>
      <c r="C110" s="177"/>
      <c r="D110" s="178"/>
      <c r="E110" s="125"/>
    </row>
    <row r="111" s="48" customFormat="1" ht="17.4" spans="1:5">
      <c r="A111" s="6" t="s">
        <v>160</v>
      </c>
      <c r="B111" s="8" t="s">
        <v>161</v>
      </c>
      <c r="C111" s="179">
        <f>Nps*Ioe</f>
        <v>5.44853549510638</v>
      </c>
      <c r="D111" s="9" t="s">
        <v>52</v>
      </c>
      <c r="E111" s="9"/>
    </row>
    <row r="112" s="48" customFormat="1" ht="18.15" spans="1:5">
      <c r="A112" s="96" t="s">
        <v>162</v>
      </c>
      <c r="B112" s="132" t="s">
        <v>163</v>
      </c>
      <c r="C112" s="180">
        <f>SQRT(2)*$C111/2</f>
        <v>3.85269639612532</v>
      </c>
      <c r="D112" s="99" t="s">
        <v>52</v>
      </c>
      <c r="E112" s="100"/>
    </row>
    <row r="113" s="48" customFormat="1" ht="15.75" spans="1:5">
      <c r="A113" s="101"/>
      <c r="B113" s="102"/>
      <c r="C113" s="102"/>
      <c r="D113" s="102"/>
      <c r="E113" s="181"/>
    </row>
    <row r="114" s="48" customFormat="1" spans="1:5">
      <c r="A114" s="122" t="s">
        <v>164</v>
      </c>
      <c r="B114" s="123"/>
      <c r="C114" s="123"/>
      <c r="D114" s="124"/>
      <c r="E114" s="125"/>
    </row>
    <row r="115" s="48" customFormat="1" ht="17.4" spans="1:5">
      <c r="A115" s="6" t="s">
        <v>165</v>
      </c>
      <c r="B115" s="8" t="s">
        <v>166</v>
      </c>
      <c r="C115" s="182">
        <f>2*PI()*fsw_min*kHz*Lr*uH*Ir</f>
        <v>63.9454404782263</v>
      </c>
      <c r="D115" s="9" t="s">
        <v>44</v>
      </c>
      <c r="E115" s="9"/>
    </row>
    <row r="116" s="48" customFormat="1" ht="17.4" spans="1:5">
      <c r="A116" s="6" t="s">
        <v>167</v>
      </c>
      <c r="B116" s="8" t="s">
        <v>124</v>
      </c>
      <c r="C116" s="182">
        <f>Lr</f>
        <v>54</v>
      </c>
      <c r="D116" s="9" t="str">
        <f>D94</f>
        <v>uH</v>
      </c>
      <c r="E116" s="9"/>
    </row>
    <row r="117" s="48" customFormat="1" ht="18.15" spans="1:5">
      <c r="A117" s="96" t="s">
        <v>168</v>
      </c>
      <c r="B117" s="132" t="s">
        <v>158</v>
      </c>
      <c r="C117" s="183">
        <f>Ir</f>
        <v>2.34015400366952</v>
      </c>
      <c r="D117" s="99" t="str">
        <f>D112</f>
        <v>A</v>
      </c>
      <c r="E117" s="100"/>
    </row>
    <row r="118" s="48" customFormat="1" ht="15.75" spans="1:5">
      <c r="A118" s="184"/>
      <c r="B118" s="111"/>
      <c r="C118" s="111"/>
      <c r="D118" s="111"/>
      <c r="E118" s="111"/>
    </row>
    <row r="119" s="49" customFormat="1" spans="1:5">
      <c r="A119" s="122" t="s">
        <v>169</v>
      </c>
      <c r="B119" s="123"/>
      <c r="C119" s="123"/>
      <c r="D119" s="124"/>
      <c r="E119" s="125"/>
    </row>
    <row r="120" s="48" customFormat="1" ht="17.4" spans="1:5">
      <c r="A120" s="6" t="s">
        <v>170</v>
      </c>
      <c r="B120" s="8" t="s">
        <v>171</v>
      </c>
      <c r="C120" s="185">
        <f>IF($D91="uF",Ir/(2*PI()*fsw_min*kHz*Cr*uF),Ir/(2*PI()*fsw_min*kHz*Cr*picoF))</f>
        <v>105.104274290312</v>
      </c>
      <c r="D120" s="9" t="s">
        <v>44</v>
      </c>
      <c r="E120" s="9"/>
    </row>
    <row r="121" s="48" customFormat="1" ht="17.4" spans="1:5">
      <c r="A121" s="6" t="s">
        <v>172</v>
      </c>
      <c r="B121" s="8" t="s">
        <v>173</v>
      </c>
      <c r="C121" s="185">
        <f>SQRT((Vblk_max/2)^2+Vcr^2)</f>
        <v>230.373410952942</v>
      </c>
      <c r="D121" s="9" t="s">
        <v>44</v>
      </c>
      <c r="E121" s="9"/>
    </row>
    <row r="122" s="48" customFormat="1" ht="17.4" spans="1:5">
      <c r="A122" s="6" t="s">
        <v>174</v>
      </c>
      <c r="B122" s="8" t="s">
        <v>175</v>
      </c>
      <c r="C122" s="185">
        <f>(Vblk_max/2)+(SQRT(2)*Vcr)</f>
        <v>353.639890164742</v>
      </c>
      <c r="D122" s="9" t="s">
        <v>44</v>
      </c>
      <c r="E122" s="9"/>
    </row>
    <row r="123" s="48" customFormat="1" ht="17.4" spans="1:5">
      <c r="A123" s="14" t="s">
        <v>176</v>
      </c>
      <c r="B123" s="14" t="s">
        <v>177</v>
      </c>
      <c r="C123" s="186">
        <f>Vblk_max/2-(Vcr*SQRT(2))</f>
        <v>56.3601098352583</v>
      </c>
      <c r="D123" s="9" t="s">
        <v>44</v>
      </c>
      <c r="E123" s="9"/>
    </row>
    <row r="124" s="48" customFormat="1" ht="18.15" spans="1:5">
      <c r="A124" s="6" t="s">
        <v>178</v>
      </c>
      <c r="B124" s="8" t="s">
        <v>158</v>
      </c>
      <c r="C124" s="182">
        <f>Ir</f>
        <v>2.34015400366952</v>
      </c>
      <c r="D124" s="9" t="s">
        <v>52</v>
      </c>
      <c r="E124" s="100"/>
    </row>
    <row r="125" s="48" customFormat="1" spans="1:5">
      <c r="A125" s="187" t="s">
        <v>179</v>
      </c>
      <c r="B125" s="188"/>
      <c r="C125" s="188"/>
      <c r="D125" s="189"/>
      <c r="E125" s="125"/>
    </row>
    <row r="126" s="48" customFormat="1" ht="18.15" spans="1:5">
      <c r="A126" s="96" t="s">
        <v>180</v>
      </c>
      <c r="B126" s="132" t="s">
        <v>181</v>
      </c>
      <c r="C126" s="183">
        <f>Cr/2</f>
        <v>0.022</v>
      </c>
      <c r="D126" s="99" t="str">
        <f>IF(D92="uF","uF","pF")</f>
        <v>uF</v>
      </c>
      <c r="E126" s="96"/>
    </row>
    <row r="127" s="48" customFormat="1" ht="15.75" spans="1:4">
      <c r="A127" s="184"/>
      <c r="B127" s="111"/>
      <c r="C127" s="111"/>
      <c r="D127" s="190"/>
    </row>
    <row r="128" s="48" customFormat="1" spans="1:5">
      <c r="A128" s="122" t="s">
        <v>182</v>
      </c>
      <c r="B128" s="123"/>
      <c r="C128" s="123"/>
      <c r="D128" s="124"/>
      <c r="E128" s="125"/>
    </row>
    <row r="129" s="48" customFormat="1" ht="17.4" spans="1:5">
      <c r="A129" s="6" t="s">
        <v>183</v>
      </c>
      <c r="B129" s="8" t="s">
        <v>184</v>
      </c>
      <c r="C129" s="185">
        <f>Vblk_max*1.5</f>
        <v>615</v>
      </c>
      <c r="D129" s="9" t="s">
        <v>44</v>
      </c>
      <c r="E129" s="9"/>
    </row>
    <row r="130" s="48" customFormat="1" ht="18.15" spans="1:5">
      <c r="A130" s="96" t="s">
        <v>185</v>
      </c>
      <c r="B130" s="132" t="s">
        <v>186</v>
      </c>
      <c r="C130" s="183">
        <f>1.1*Ir</f>
        <v>2.57416940403648</v>
      </c>
      <c r="D130" s="99" t="s">
        <v>52</v>
      </c>
      <c r="E130" s="100"/>
    </row>
    <row r="131" ht="15.75" spans="1:5">
      <c r="A131" s="164"/>
      <c r="B131" s="165"/>
      <c r="C131" s="165"/>
      <c r="D131" s="165"/>
      <c r="E131" s="191"/>
    </row>
    <row r="132" s="48" customFormat="1" spans="1:5">
      <c r="A132" s="122" t="s">
        <v>187</v>
      </c>
      <c r="B132" s="123"/>
      <c r="C132" s="123"/>
      <c r="D132" s="124"/>
      <c r="E132" s="125"/>
    </row>
    <row r="133" s="48" customFormat="1" ht="17.4" spans="1:5">
      <c r="A133" s="6" t="s">
        <v>188</v>
      </c>
      <c r="B133" s="8" t="s">
        <v>189</v>
      </c>
      <c r="C133" s="182">
        <f>(Vblk_max/Nps)*1.2</f>
        <v>182.222222222222</v>
      </c>
      <c r="D133" s="9" t="s">
        <v>44</v>
      </c>
      <c r="E133" s="9"/>
    </row>
    <row r="134" s="48" customFormat="1" ht="18.15" spans="1:5">
      <c r="A134" s="96" t="s">
        <v>190</v>
      </c>
      <c r="B134" s="132" t="s">
        <v>191</v>
      </c>
      <c r="C134" s="183">
        <f>SQRT(2)*C111/PI()</f>
        <v>2.4527027027027</v>
      </c>
      <c r="D134" s="99" t="s">
        <v>52</v>
      </c>
      <c r="E134" s="100"/>
    </row>
    <row r="135" s="48" customFormat="1" ht="15.75" spans="1:4">
      <c r="A135" s="184"/>
      <c r="B135" s="111"/>
      <c r="C135" s="111"/>
      <c r="D135" s="190"/>
    </row>
    <row r="136" s="48" customFormat="1" ht="17.4" spans="1:5">
      <c r="A136" s="122" t="s">
        <v>192</v>
      </c>
      <c r="B136" s="123"/>
      <c r="C136" s="123"/>
      <c r="D136" s="124"/>
      <c r="E136" s="125"/>
    </row>
    <row r="137" ht="17.4" spans="1:5">
      <c r="A137" s="6" t="s">
        <v>193</v>
      </c>
      <c r="B137" s="8" t="s">
        <v>194</v>
      </c>
      <c r="C137" s="182">
        <f>PI()*Iout/(2*SQRT(2))</f>
        <v>4.95321408646034</v>
      </c>
      <c r="D137" s="9" t="s">
        <v>52</v>
      </c>
      <c r="E137" s="9"/>
    </row>
    <row r="138" ht="17.4" spans="1:5">
      <c r="A138" s="6" t="s">
        <v>195</v>
      </c>
      <c r="B138" s="8" t="s">
        <v>196</v>
      </c>
      <c r="C138" s="192">
        <f>MROUND(Vout*1.25,10)</f>
        <v>90</v>
      </c>
      <c r="D138" s="9" t="s">
        <v>44</v>
      </c>
      <c r="E138" s="9"/>
    </row>
    <row r="139" ht="17.4" spans="1:5">
      <c r="A139" s="6" t="s">
        <v>197</v>
      </c>
      <c r="B139" s="8" t="s">
        <v>198</v>
      </c>
      <c r="C139" s="182">
        <f>SQRT((PI()*Iout/(2*SQRT(2)))^2-Iout^2)</f>
        <v>2.15581796906573</v>
      </c>
      <c r="D139" s="9" t="s">
        <v>52</v>
      </c>
      <c r="E139" s="9" t="s">
        <v>199</v>
      </c>
    </row>
    <row r="140" ht="18.15" spans="1:5">
      <c r="A140" s="96" t="s">
        <v>200</v>
      </c>
      <c r="B140" s="132" t="s">
        <v>201</v>
      </c>
      <c r="C140" s="183">
        <f>Vout_pp*mV/((2*PI()*Iout)/4)/mOhm</f>
        <v>35.6892902690917</v>
      </c>
      <c r="D140" s="99" t="s">
        <v>202</v>
      </c>
      <c r="E140" s="100"/>
    </row>
    <row r="141" ht="15.75" spans="1:5">
      <c r="A141" s="184"/>
      <c r="B141" s="111"/>
      <c r="C141" s="193"/>
      <c r="D141" s="111"/>
      <c r="E141" s="191"/>
    </row>
    <row r="142" spans="1:5">
      <c r="A142" s="122" t="s">
        <v>203</v>
      </c>
      <c r="B142" s="123"/>
      <c r="C142" s="123"/>
      <c r="D142" s="124"/>
      <c r="E142" s="125"/>
    </row>
    <row r="143" ht="17.4" spans="1:5">
      <c r="A143" s="194" t="s">
        <v>204</v>
      </c>
      <c r="B143" s="38" t="s">
        <v>205</v>
      </c>
      <c r="C143" s="195">
        <f>IF($C$22="UCC256404",1,IF($C$22="UCC256404A",1,3))</f>
        <v>3</v>
      </c>
      <c r="D143" s="196" t="s">
        <v>44</v>
      </c>
      <c r="E143" s="9"/>
    </row>
    <row r="144" ht="17.4" spans="1:5">
      <c r="A144" s="194" t="s">
        <v>206</v>
      </c>
      <c r="B144" s="38" t="s">
        <v>207</v>
      </c>
      <c r="C144" s="195">
        <f>IF($C$22="UCC256404",0.9,IF($C$22="UCC256404A",0.9,2.2))</f>
        <v>2.2</v>
      </c>
      <c r="D144" s="196" t="s">
        <v>44</v>
      </c>
      <c r="E144" s="9"/>
    </row>
    <row r="145" ht="17.4" spans="1:5">
      <c r="A145" s="194" t="s">
        <v>208</v>
      </c>
      <c r="B145" s="197" t="s">
        <v>209</v>
      </c>
      <c r="C145" s="198">
        <f>Vblk_hu</f>
        <v>365</v>
      </c>
      <c r="D145" s="196" t="s">
        <v>44</v>
      </c>
      <c r="E145" s="9"/>
    </row>
    <row r="146" ht="17.4" spans="1:5">
      <c r="A146" s="194" t="s">
        <v>210</v>
      </c>
      <c r="B146" s="38" t="s">
        <v>62</v>
      </c>
      <c r="C146" s="199">
        <f>Vblk</f>
        <v>390</v>
      </c>
      <c r="D146" s="196" t="s">
        <v>44</v>
      </c>
      <c r="E146" s="9"/>
    </row>
    <row r="147" ht="17.4" spans="1:5">
      <c r="A147" s="194" t="s">
        <v>211</v>
      </c>
      <c r="B147" s="38" t="s">
        <v>212</v>
      </c>
      <c r="C147" s="200">
        <f>C145/C143</f>
        <v>121.666666666667</v>
      </c>
      <c r="D147" s="196"/>
      <c r="E147" s="9"/>
    </row>
    <row r="148" ht="17.4" spans="1:5">
      <c r="A148" s="194" t="s">
        <v>213</v>
      </c>
      <c r="B148" s="38" t="s">
        <v>214</v>
      </c>
      <c r="C148" s="201">
        <v>21</v>
      </c>
      <c r="D148" s="196" t="s">
        <v>215</v>
      </c>
      <c r="E148" s="9" t="s">
        <v>216</v>
      </c>
    </row>
    <row r="149" ht="17.4" spans="1:5">
      <c r="A149" s="194" t="s">
        <v>217</v>
      </c>
      <c r="B149" s="38" t="s">
        <v>218</v>
      </c>
      <c r="C149" s="38">
        <f>C146^2/C148/10^3</f>
        <v>7.24285714285714</v>
      </c>
      <c r="D149" s="202" t="s">
        <v>4</v>
      </c>
      <c r="E149" s="9"/>
    </row>
    <row r="150" ht="17.4" spans="1:5">
      <c r="A150" s="194" t="s">
        <v>219</v>
      </c>
      <c r="B150" s="38" t="s">
        <v>5</v>
      </c>
      <c r="C150" s="203">
        <f>C149/C147*1000</f>
        <v>59.5303326810176</v>
      </c>
      <c r="D150" s="202" t="s">
        <v>6</v>
      </c>
      <c r="E150" s="9"/>
    </row>
    <row r="151" ht="17.4" spans="1:5">
      <c r="A151" s="194" t="s">
        <v>220</v>
      </c>
      <c r="B151" s="38" t="s">
        <v>5</v>
      </c>
      <c r="C151" s="201">
        <v>63</v>
      </c>
      <c r="D151" s="202" t="s">
        <v>6</v>
      </c>
      <c r="E151" s="9" t="s">
        <v>221</v>
      </c>
    </row>
    <row r="152" ht="17.4" spans="1:5">
      <c r="A152" s="194" t="s">
        <v>222</v>
      </c>
      <c r="B152" s="38" t="s">
        <v>3</v>
      </c>
      <c r="C152" s="203">
        <f>C149-C150/1000</f>
        <v>7.18332681017612</v>
      </c>
      <c r="D152" s="202" t="s">
        <v>4</v>
      </c>
      <c r="E152" s="9"/>
    </row>
    <row r="153" ht="17.4" spans="1:5">
      <c r="A153" s="194" t="s">
        <v>223</v>
      </c>
      <c r="B153" s="38" t="s">
        <v>3</v>
      </c>
      <c r="C153" s="201">
        <v>7.2</v>
      </c>
      <c r="D153" s="202" t="s">
        <v>4</v>
      </c>
      <c r="E153" s="9" t="s">
        <v>224</v>
      </c>
    </row>
    <row r="154" ht="17.4" spans="1:5">
      <c r="A154" s="194" t="s">
        <v>225</v>
      </c>
      <c r="B154" s="197" t="s">
        <v>209</v>
      </c>
      <c r="C154" s="204">
        <f>$C143*($C153*1000+$C151)/$C151</f>
        <v>345.857142857143</v>
      </c>
      <c r="D154" s="196" t="s">
        <v>44</v>
      </c>
      <c r="E154" s="9"/>
    </row>
    <row r="155" ht="17.4" spans="1:5">
      <c r="A155" s="194" t="s">
        <v>226</v>
      </c>
      <c r="B155" s="38" t="s">
        <v>227</v>
      </c>
      <c r="C155" s="204">
        <f>$C144*($C153*1000+$C151)/$C151</f>
        <v>253.628571428571</v>
      </c>
      <c r="D155" s="196" t="s">
        <v>44</v>
      </c>
      <c r="E155" s="9"/>
    </row>
    <row r="156" ht="17.4" spans="1:5">
      <c r="A156" s="205" t="s">
        <v>228</v>
      </c>
      <c r="B156" s="38" t="s">
        <v>229</v>
      </c>
      <c r="C156" s="206" t="str">
        <f>IF($C$22="UCC256402A",'tables and calculations'!B334,"Not Applicable")</f>
        <v>Not Applicable</v>
      </c>
      <c r="D156" s="207" t="s">
        <v>44</v>
      </c>
      <c r="E156" s="208" t="s">
        <v>230</v>
      </c>
    </row>
    <row r="157" ht="17.4" spans="1:5">
      <c r="A157" s="205" t="s">
        <v>231</v>
      </c>
      <c r="B157" s="38" t="s">
        <v>232</v>
      </c>
      <c r="C157" s="206" t="str">
        <f>IF($C$22="UCC256402A",'tables and calculations'!B335,"Not Applicable")</f>
        <v>Not Applicable</v>
      </c>
      <c r="D157" s="207" t="s">
        <v>44</v>
      </c>
      <c r="E157" s="208" t="s">
        <v>230</v>
      </c>
    </row>
    <row r="158" ht="18.15" spans="1:5">
      <c r="A158" s="96" t="s">
        <v>233</v>
      </c>
      <c r="B158" s="209" t="s">
        <v>214</v>
      </c>
      <c r="C158" s="183">
        <f>1000*(C146^2)/(C151*1000+C153*1000000)</f>
        <v>20.9417596034696</v>
      </c>
      <c r="D158" s="99" t="s">
        <v>215</v>
      </c>
      <c r="E158" s="100"/>
    </row>
    <row r="159" ht="15.75"/>
    <row r="160" spans="1:5">
      <c r="A160" s="210" t="s">
        <v>234</v>
      </c>
      <c r="B160" s="211"/>
      <c r="C160" s="211"/>
      <c r="D160" s="212"/>
      <c r="E160" s="125"/>
    </row>
    <row r="161" ht="17.4" spans="1:5">
      <c r="A161" s="13" t="s">
        <v>235</v>
      </c>
      <c r="B161" s="14" t="s">
        <v>236</v>
      </c>
      <c r="C161" s="213">
        <f>Ir/0.707</f>
        <v>3.30997737435576</v>
      </c>
      <c r="D161" s="15" t="s">
        <v>52</v>
      </c>
      <c r="E161" s="9"/>
    </row>
    <row r="162" ht="17.4" spans="1:5">
      <c r="A162" s="13" t="s">
        <v>237</v>
      </c>
      <c r="B162" s="14" t="s">
        <v>238</v>
      </c>
      <c r="C162" s="214">
        <f>C122-C123</f>
        <v>297.279780329483</v>
      </c>
      <c r="D162" s="15" t="s">
        <v>44</v>
      </c>
      <c r="E162" s="9"/>
    </row>
    <row r="163" ht="17.4" spans="1:5">
      <c r="A163" s="13" t="s">
        <v>239</v>
      </c>
      <c r="B163" s="14" t="s">
        <v>240</v>
      </c>
      <c r="C163" s="215">
        <v>3.02</v>
      </c>
      <c r="D163" s="15" t="s">
        <v>44</v>
      </c>
      <c r="E163" s="9"/>
    </row>
    <row r="164" ht="17.4" spans="1:5">
      <c r="A164" s="13" t="s">
        <v>241</v>
      </c>
      <c r="B164" s="14" t="s">
        <v>242</v>
      </c>
      <c r="C164" s="216">
        <v>4.25</v>
      </c>
      <c r="D164" s="15" t="s">
        <v>44</v>
      </c>
      <c r="E164" s="9" t="s">
        <v>243</v>
      </c>
    </row>
    <row r="165" ht="17.4" spans="1:5">
      <c r="A165" s="13" t="s">
        <v>244</v>
      </c>
      <c r="B165" s="14" t="s">
        <v>245</v>
      </c>
      <c r="C165" s="216">
        <v>1.75</v>
      </c>
      <c r="D165" s="15" t="s">
        <v>44</v>
      </c>
      <c r="E165" s="9" t="s">
        <v>246</v>
      </c>
    </row>
    <row r="166" ht="17.4" spans="1:5">
      <c r="A166" s="13" t="s">
        <v>247</v>
      </c>
      <c r="B166" s="14" t="s">
        <v>248</v>
      </c>
      <c r="C166" s="217">
        <v>2</v>
      </c>
      <c r="D166" s="15" t="s">
        <v>249</v>
      </c>
      <c r="E166" s="9"/>
    </row>
    <row r="167" ht="17.4" spans="1:5">
      <c r="A167" s="13" t="s">
        <v>250</v>
      </c>
      <c r="B167" s="14" t="s">
        <v>251</v>
      </c>
      <c r="C167" s="215">
        <f>C162/(C164-C165)</f>
        <v>118.911912131793</v>
      </c>
      <c r="D167" s="15"/>
      <c r="E167" s="9"/>
    </row>
    <row r="168" ht="17.4" spans="1:5">
      <c r="A168" s="13" t="s">
        <v>252</v>
      </c>
      <c r="B168" s="14" t="s">
        <v>15</v>
      </c>
      <c r="C168" s="218">
        <f>(1/C165)*(C166/1000)/(2*fsw_min*kHz)*1000000000000</f>
        <v>7095.29464664379</v>
      </c>
      <c r="D168" s="15" t="s">
        <v>11</v>
      </c>
      <c r="E168" s="9"/>
    </row>
    <row r="169" ht="17.4" spans="1:5">
      <c r="A169" s="13" t="s">
        <v>253</v>
      </c>
      <c r="B169" s="14" t="s">
        <v>15</v>
      </c>
      <c r="C169" s="219">
        <v>8200</v>
      </c>
      <c r="D169" s="15" t="s">
        <v>11</v>
      </c>
      <c r="E169" s="9" t="s">
        <v>254</v>
      </c>
    </row>
    <row r="170" ht="17.4" spans="1:5">
      <c r="A170" s="13" t="s">
        <v>255</v>
      </c>
      <c r="B170" s="14" t="s">
        <v>14</v>
      </c>
      <c r="C170" s="218">
        <f>C169/(C167-1)</f>
        <v>69.5434401134521</v>
      </c>
      <c r="D170" s="15" t="s">
        <v>11</v>
      </c>
      <c r="E170" s="9"/>
    </row>
    <row r="171" ht="17.4" spans="1:5">
      <c r="A171" s="13" t="s">
        <v>256</v>
      </c>
      <c r="B171" s="14" t="s">
        <v>14</v>
      </c>
      <c r="C171" s="219">
        <v>82</v>
      </c>
      <c r="D171" s="15" t="s">
        <v>11</v>
      </c>
      <c r="E171" s="9" t="s">
        <v>257</v>
      </c>
    </row>
    <row r="172" ht="17.4" spans="1:5">
      <c r="A172" s="13" t="s">
        <v>258</v>
      </c>
      <c r="B172" s="14" t="s">
        <v>251</v>
      </c>
      <c r="C172" s="220">
        <f>C169/C171+1</f>
        <v>101</v>
      </c>
      <c r="D172" s="15"/>
      <c r="E172" s="9"/>
    </row>
    <row r="173" ht="17.4" spans="1:5">
      <c r="A173" s="13" t="s">
        <v>259</v>
      </c>
      <c r="B173" s="14" t="s">
        <v>242</v>
      </c>
      <c r="C173" s="215">
        <f>(1/C169)*(C166/1000)/(2*fsw_min*kHz)*1000000000000+C162/C172</f>
        <v>4.45760387285203</v>
      </c>
      <c r="D173" s="15" t="s">
        <v>44</v>
      </c>
      <c r="E173" s="9"/>
    </row>
    <row r="174" ht="17.4" spans="1:5">
      <c r="A174" s="13" t="s">
        <v>260</v>
      </c>
      <c r="B174" s="14" t="s">
        <v>261</v>
      </c>
      <c r="C174" s="213">
        <f>C163+C173/2</f>
        <v>5.24880193642602</v>
      </c>
      <c r="D174" s="15" t="s">
        <v>44</v>
      </c>
      <c r="E174" s="9"/>
    </row>
    <row r="175" ht="18.15" spans="1:5">
      <c r="A175" s="221" t="s">
        <v>262</v>
      </c>
      <c r="B175" s="222" t="s">
        <v>263</v>
      </c>
      <c r="C175" s="223">
        <f>C163-C173/2</f>
        <v>0.791198063573983</v>
      </c>
      <c r="D175" s="224" t="s">
        <v>44</v>
      </c>
      <c r="E175" s="100"/>
    </row>
    <row r="176" ht="15.75" spans="1:4">
      <c r="A176" s="225"/>
      <c r="B176" s="226"/>
      <c r="C176" s="227"/>
      <c r="D176" s="226"/>
    </row>
    <row r="177" spans="1:5">
      <c r="A177" s="210" t="s">
        <v>264</v>
      </c>
      <c r="B177" s="211"/>
      <c r="C177" s="211"/>
      <c r="D177" s="212"/>
      <c r="E177" s="125"/>
    </row>
    <row r="178" ht="17.4" spans="1:5">
      <c r="A178" s="13" t="s">
        <v>265</v>
      </c>
      <c r="B178" s="14" t="s">
        <v>266</v>
      </c>
      <c r="C178" s="216">
        <v>300</v>
      </c>
      <c r="D178" s="15" t="s">
        <v>267</v>
      </c>
      <c r="E178" s="9" t="s">
        <v>268</v>
      </c>
    </row>
    <row r="179" ht="28.8" spans="1:5">
      <c r="A179" s="228" t="s">
        <v>269</v>
      </c>
      <c r="B179" s="14" t="s">
        <v>270</v>
      </c>
      <c r="C179" s="216">
        <v>0</v>
      </c>
      <c r="D179" s="15" t="s">
        <v>44</v>
      </c>
      <c r="E179" s="9" t="s">
        <v>271</v>
      </c>
    </row>
    <row r="180" ht="17.4" spans="1:5">
      <c r="A180" s="13" t="s">
        <v>272</v>
      </c>
      <c r="B180" s="14" t="s">
        <v>273</v>
      </c>
      <c r="C180" s="229">
        <v>-4</v>
      </c>
      <c r="D180" s="15" t="s">
        <v>44</v>
      </c>
      <c r="E180" s="9"/>
    </row>
    <row r="181" ht="17.4" spans="1:5">
      <c r="A181" s="13" t="s">
        <v>274</v>
      </c>
      <c r="B181" s="14" t="s">
        <v>275</v>
      </c>
      <c r="C181" s="213">
        <f>C180/C178*100</f>
        <v>-1.33333333333333</v>
      </c>
      <c r="D181" s="15" t="s">
        <v>44</v>
      </c>
      <c r="E181" s="9"/>
    </row>
    <row r="182" ht="17.4" spans="1:5">
      <c r="A182" s="13" t="s">
        <v>276</v>
      </c>
      <c r="B182" s="14" t="s">
        <v>277</v>
      </c>
      <c r="C182" s="230">
        <f>(Vout+C179)*Nps/C43</f>
        <v>22.2</v>
      </c>
      <c r="D182" s="15" t="s">
        <v>44</v>
      </c>
      <c r="E182" s="9"/>
    </row>
    <row r="183" ht="17.4" spans="1:5">
      <c r="A183" s="13" t="s">
        <v>278</v>
      </c>
      <c r="B183" s="14" t="s">
        <v>279</v>
      </c>
      <c r="C183" s="214">
        <f>-C182*C178/(100*C180)</f>
        <v>16.65</v>
      </c>
      <c r="D183" s="15"/>
      <c r="E183" s="9"/>
    </row>
    <row r="184" ht="32.4" spans="1:5">
      <c r="A184" s="231" t="s">
        <v>280</v>
      </c>
      <c r="B184" s="232" t="s">
        <v>281</v>
      </c>
      <c r="C184" s="233" t="s">
        <v>282</v>
      </c>
      <c r="D184" s="15"/>
      <c r="E184" s="17" t="s">
        <v>283</v>
      </c>
    </row>
    <row r="185" ht="17.4" spans="1:5">
      <c r="A185" s="231" t="s">
        <v>284</v>
      </c>
      <c r="B185" s="232" t="s">
        <v>281</v>
      </c>
      <c r="C185" s="234">
        <f>IF(C184="Option 1",0.95,IF(C184="Option 2",1,IF(C184="Option 3",0.9,IF(C184="Option 4",0.8,IF(C184="Option 5",0.6,IF(C184="Option 6",0.6,IF(C184="Option 7","Burst Disabled","")))))))</f>
        <v>0.6</v>
      </c>
      <c r="D185" s="15"/>
      <c r="E185" s="9"/>
    </row>
    <row r="186" ht="17.4" spans="1:5">
      <c r="A186" s="13" t="s">
        <v>285</v>
      </c>
      <c r="B186" s="14" t="s">
        <v>286</v>
      </c>
      <c r="C186" s="214">
        <f>IF(C184="Option 1",'tables and calculations'!D220,IF(C184="Option 2",'tables and calculations'!D221,IF(C184="Option 3",'tables and calculations'!D222,IF(C184="Option 4",'tables and calculations'!D223,IF(C184="Option 5",'tables and calculations'!D224,IF(C184="Option 6",'tables and calculations'!D225,IF(C184="Option 7",'tables and calculations'!D226,"")))))))</f>
        <v>4.591</v>
      </c>
      <c r="D186" s="15" t="s">
        <v>8</v>
      </c>
      <c r="E186" s="9"/>
    </row>
    <row r="187" ht="17.4" spans="1:5">
      <c r="A187" s="13" t="s">
        <v>287</v>
      </c>
      <c r="B187" s="14" t="s">
        <v>9</v>
      </c>
      <c r="C187" s="235">
        <f>C186*(1+(1/(C183-1)))</f>
        <v>4.88435463258786</v>
      </c>
      <c r="D187" s="15" t="s">
        <v>8</v>
      </c>
      <c r="E187" s="9"/>
    </row>
    <row r="188" ht="17.4" spans="1:5">
      <c r="A188" s="13" t="s">
        <v>288</v>
      </c>
      <c r="B188" s="14" t="s">
        <v>9</v>
      </c>
      <c r="C188" s="236">
        <v>4.3</v>
      </c>
      <c r="D188" s="15" t="s">
        <v>8</v>
      </c>
      <c r="E188" s="9" t="s">
        <v>289</v>
      </c>
    </row>
    <row r="189" ht="17.4" spans="1:5">
      <c r="A189" s="13" t="s">
        <v>290</v>
      </c>
      <c r="B189" s="14" t="s">
        <v>7</v>
      </c>
      <c r="C189" s="237">
        <f>C188*(C183-1)</f>
        <v>67.295</v>
      </c>
      <c r="D189" s="15" t="s">
        <v>8</v>
      </c>
      <c r="E189" s="9"/>
    </row>
    <row r="190" ht="17.4" spans="1:5">
      <c r="A190" s="50" t="s">
        <v>291</v>
      </c>
      <c r="B190" s="14" t="s">
        <v>7</v>
      </c>
      <c r="C190" s="238">
        <v>68</v>
      </c>
      <c r="D190" s="15" t="s">
        <v>8</v>
      </c>
      <c r="E190" s="9" t="s">
        <v>292</v>
      </c>
    </row>
    <row r="191" ht="17.4" spans="1:5">
      <c r="A191" s="239" t="s">
        <v>293</v>
      </c>
      <c r="B191" s="14" t="s">
        <v>286</v>
      </c>
      <c r="C191" s="240">
        <f>1/((1/C188)+(1/C190))</f>
        <v>4.04426002766252</v>
      </c>
      <c r="D191" s="15" t="s">
        <v>8</v>
      </c>
      <c r="E191" s="9"/>
    </row>
    <row r="192" ht="115.5" customHeight="1" spans="1:5">
      <c r="A192" s="231" t="s">
        <v>294</v>
      </c>
      <c r="B192" s="232" t="s">
        <v>281</v>
      </c>
      <c r="C192" s="241" t="str">
        <f>IF(AND(C191&gt;='tables and calculations'!B220/1000,C191&lt;='tables and calculations'!C220/1000),"Option 1",IF(AND(C191&gt;='tables and calculations'!B221/1000,C191&lt;='tables and calculations'!C221/1000),"Option 2",IF(AND(C191&gt;='tables and calculations'!B222/1000,C191&lt;='tables and calculations'!C222/1000),"Option 3",IF(AND(C191&gt;='tables and calculations'!B223/1000,C191&lt;='tables and calculations'!C223/1000),"Option 4",IF(AND(C191&gt;='tables and calculations'!B224/1000,C191&lt;='tables and calculations'!C224/1000),"Option 5",IF(AND(C191&gt;='tables and calculations'!B225/1000,C191&lt;='tables and calculations'!C225/1000),"Option 6",IF(AND(C191&gt;='tables and calculations'!B226/1000,C191&lt;='tables and calculations'!C226/1000),"Option 7","Error, BW resistance does not fall within predefined BW programming ranges")))))))</f>
        <v>Error, BW resistance does not fall within predefined BW programming ranges</v>
      </c>
      <c r="D192" s="15"/>
      <c r="E192" s="9"/>
    </row>
    <row r="193" ht="17.4" spans="1:5">
      <c r="A193" s="231" t="s">
        <v>295</v>
      </c>
      <c r="B193" s="232" t="s">
        <v>281</v>
      </c>
      <c r="C193" s="242" t="str">
        <f>IF(C192="Option 1",0.95,IF(C192="Option 2",1,IF(C192="Option 3",0.9,IF(C192="Option 4",0.8,IF(C192="Option 5",0.6,IF(C192="Option 6",0.6,IF(C192="Option 7","Burst Disabled",IF(C192="Option 8",0.4,"Error"))))))))</f>
        <v>Error</v>
      </c>
      <c r="D193" s="15"/>
      <c r="E193" s="9"/>
    </row>
    <row r="194" ht="17.4" spans="1:5">
      <c r="A194" s="13" t="s">
        <v>296</v>
      </c>
      <c r="B194" s="14" t="s">
        <v>266</v>
      </c>
      <c r="C194" s="230">
        <f>-C180*(C190+C188)/C188/(Vout+C179)*C43/Nps*100</f>
        <v>302.954116907605</v>
      </c>
      <c r="D194" s="15" t="s">
        <v>267</v>
      </c>
      <c r="E194" s="9"/>
    </row>
    <row r="195" spans="1:5">
      <c r="A195" s="13" t="s">
        <v>297</v>
      </c>
      <c r="B195" s="14"/>
      <c r="C195" s="243">
        <f>1/(50*f0*10^3)/2/3.14/(C188*C194/(C188+C194))*10^9</f>
        <v>7.27488001695239</v>
      </c>
      <c r="D195" s="15" t="s">
        <v>11</v>
      </c>
      <c r="E195" s="9"/>
    </row>
    <row r="196" ht="15.75" spans="1:5">
      <c r="A196" s="244" t="s">
        <v>298</v>
      </c>
      <c r="B196" s="245"/>
      <c r="C196" s="246">
        <v>10</v>
      </c>
      <c r="D196" s="247" t="s">
        <v>11</v>
      </c>
      <c r="E196" s="100" t="s">
        <v>299</v>
      </c>
    </row>
    <row r="197" ht="15.75" spans="1:4">
      <c r="A197" s="184"/>
      <c r="B197" s="111"/>
      <c r="C197" s="193"/>
      <c r="D197" s="111"/>
    </row>
    <row r="198" spans="1:5">
      <c r="A198" s="210" t="s">
        <v>300</v>
      </c>
      <c r="B198" s="211"/>
      <c r="C198" s="211"/>
      <c r="D198" s="212"/>
      <c r="E198" s="125"/>
    </row>
    <row r="199" ht="17.4" spans="1:5">
      <c r="A199" s="13" t="s">
        <v>301</v>
      </c>
      <c r="B199" s="14" t="s">
        <v>302</v>
      </c>
      <c r="C199" s="220">
        <v>37.5</v>
      </c>
      <c r="D199" s="15" t="s">
        <v>303</v>
      </c>
      <c r="E199" s="9"/>
    </row>
    <row r="200" ht="17.4" spans="1:5">
      <c r="A200" s="248" t="s">
        <v>304</v>
      </c>
      <c r="B200" s="249" t="s">
        <v>305</v>
      </c>
      <c r="C200" s="250">
        <v>10</v>
      </c>
      <c r="D200" s="251" t="s">
        <v>306</v>
      </c>
      <c r="E200" s="9" t="s">
        <v>307</v>
      </c>
    </row>
    <row r="201" ht="17.4" spans="1:5">
      <c r="A201" s="248" t="s">
        <v>308</v>
      </c>
      <c r="B201" s="249" t="s">
        <v>21</v>
      </c>
      <c r="C201" s="252">
        <f>1000000000*(C199/1000000)*((C200/1000)-(0.00078)-(0.000265))/(C173-C205)</f>
        <v>80.7706819287811</v>
      </c>
      <c r="D201" s="251" t="s">
        <v>22</v>
      </c>
      <c r="E201" s="9"/>
    </row>
    <row r="202" ht="16.5" customHeight="1" spans="1:6">
      <c r="A202" s="248" t="s">
        <v>309</v>
      </c>
      <c r="B202" s="249" t="s">
        <v>21</v>
      </c>
      <c r="C202" s="253">
        <v>82</v>
      </c>
      <c r="D202" s="251" t="s">
        <v>22</v>
      </c>
      <c r="E202" s="9" t="s">
        <v>310</v>
      </c>
      <c r="F202"/>
    </row>
    <row r="203" ht="17.4" spans="1:5">
      <c r="A203" s="248" t="s">
        <v>311</v>
      </c>
      <c r="B203" s="249" t="s">
        <v>312</v>
      </c>
      <c r="C203" s="254">
        <v>0.6</v>
      </c>
      <c r="D203" s="251" t="s">
        <v>44</v>
      </c>
      <c r="E203" s="9" t="s">
        <v>313</v>
      </c>
    </row>
    <row r="204" ht="34.5" customHeight="1" spans="1:5">
      <c r="A204" s="248" t="s">
        <v>314</v>
      </c>
      <c r="B204" s="249" t="s">
        <v>315</v>
      </c>
      <c r="C204" s="255">
        <f>'tables and calculations'!B253</f>
        <v>0.0893390270100338</v>
      </c>
      <c r="D204" s="251" t="s">
        <v>44</v>
      </c>
      <c r="E204" s="9"/>
    </row>
    <row r="205" ht="32.4" spans="1:5">
      <c r="A205" s="248" t="s">
        <v>316</v>
      </c>
      <c r="B205" s="249" t="s">
        <v>317</v>
      </c>
      <c r="C205" s="256">
        <v>0.3</v>
      </c>
      <c r="D205" s="251" t="s">
        <v>44</v>
      </c>
      <c r="E205" s="17" t="s">
        <v>318</v>
      </c>
    </row>
    <row r="206" ht="17.4" spans="1:6">
      <c r="A206" s="248" t="s">
        <v>319</v>
      </c>
      <c r="B206" s="249" t="s">
        <v>320</v>
      </c>
      <c r="C206" s="257">
        <f>'tables and calculations'!B257/1000</f>
        <v>462.081300813008</v>
      </c>
      <c r="D206" s="202" t="s">
        <v>6</v>
      </c>
      <c r="E206" s="258"/>
      <c r="F206"/>
    </row>
    <row r="207" ht="17.4" spans="1:5">
      <c r="A207" s="248" t="s">
        <v>321</v>
      </c>
      <c r="B207" s="249" t="s">
        <v>322</v>
      </c>
      <c r="C207" s="257">
        <f>'tables and calculations'!B258/1000</f>
        <v>242.437614567089</v>
      </c>
      <c r="D207" s="202" t="s">
        <v>6</v>
      </c>
      <c r="E207" s="259"/>
    </row>
    <row r="208" ht="17.4" spans="1:5">
      <c r="A208" s="248" t="s">
        <v>323</v>
      </c>
      <c r="B208" s="249" t="s">
        <v>320</v>
      </c>
      <c r="C208" s="260">
        <v>470</v>
      </c>
      <c r="D208" s="202" t="s">
        <v>6</v>
      </c>
      <c r="E208" s="9" t="s">
        <v>324</v>
      </c>
    </row>
    <row r="209" ht="17.4" spans="1:5">
      <c r="A209" s="248" t="s">
        <v>325</v>
      </c>
      <c r="B209" s="249" t="s">
        <v>322</v>
      </c>
      <c r="C209" s="260">
        <v>247</v>
      </c>
      <c r="D209" s="202" t="s">
        <v>6</v>
      </c>
      <c r="E209" s="9" t="s">
        <v>326</v>
      </c>
    </row>
    <row r="210" ht="17.4" spans="1:5">
      <c r="A210" s="248" t="s">
        <v>327</v>
      </c>
      <c r="B210" s="249" t="s">
        <v>317</v>
      </c>
      <c r="C210" s="261">
        <f>IF(C192="Option 5",0,IF(AND('tables and calculations'!B265&lt;0,'tables and calculations'!B268=0),0,'tables and calculations'!B265))</f>
        <v>0.287442848472725</v>
      </c>
      <c r="D210" s="251" t="s">
        <v>44</v>
      </c>
      <c r="E210" s="9"/>
    </row>
    <row r="211" ht="17.4" spans="1:5">
      <c r="A211" s="248" t="s">
        <v>328</v>
      </c>
      <c r="B211" s="249" t="s">
        <v>329</v>
      </c>
      <c r="C211" s="261">
        <f>'tables and calculations'!$B$267</f>
        <v>10.5500348675035</v>
      </c>
      <c r="D211" s="251" t="s">
        <v>44</v>
      </c>
      <c r="E211" s="9" t="s">
        <v>330</v>
      </c>
    </row>
    <row r="212" ht="17.4" spans="1:7">
      <c r="A212" s="248" t="str">
        <f>IF($C$193="Burst Disabled","ZCS Disabled Threshold","Actual Burst Mode Exit Threshold")</f>
        <v>Actual Burst Mode Exit Threshold</v>
      </c>
      <c r="B212" s="249" t="s">
        <v>312</v>
      </c>
      <c r="C212" s="261">
        <f>IF('tables and calculations'!B266&lt;0.2,0.2,'tables and calculations'!B266)</f>
        <v>0.604272547161685</v>
      </c>
      <c r="D212" s="251" t="s">
        <v>44</v>
      </c>
      <c r="E212" s="9"/>
      <c r="G212"/>
    </row>
    <row r="213" ht="17.4" spans="1:5">
      <c r="A213" s="248" t="str">
        <f>IF($C$193="Burst Disabled","Max Switching Frequency Clamp Threshold","Actual Burst Mode Entry Threshold")</f>
        <v>Actual Burst Mode Entry Threshold</v>
      </c>
      <c r="B213" s="249" t="s">
        <v>331</v>
      </c>
      <c r="C213" s="262" t="str">
        <f>IF($C$193="burst disabled",IF(C212*0.4&lt;0.2,0.2,C212*0.4),IF($C$193="Error","Error",IF($C$193*$C$212&lt;0.2,0.2,$C$212*$C$193)))</f>
        <v>Error</v>
      </c>
      <c r="D213" s="15" t="s">
        <v>44</v>
      </c>
      <c r="E213" s="9"/>
    </row>
    <row r="214" ht="17.4" spans="1:5">
      <c r="A214" s="248" t="s">
        <v>332</v>
      </c>
      <c r="B214" s="249" t="s">
        <v>333</v>
      </c>
      <c r="C214" s="263">
        <f>IF($C$22="UCC256403",40,IF($C$22="UCC256404",40,16))</f>
        <v>40</v>
      </c>
      <c r="D214" s="251"/>
      <c r="E214" s="208" t="s">
        <v>334</v>
      </c>
    </row>
    <row r="215" ht="18.15" spans="1:5">
      <c r="A215" s="221" t="s">
        <v>335</v>
      </c>
      <c r="B215" s="222" t="s">
        <v>305</v>
      </c>
      <c r="C215" s="264">
        <f>C202*0.000001*(C173-C210)/(C199*0.000001)</f>
        <v>9.11875210664275</v>
      </c>
      <c r="D215" s="224" t="s">
        <v>306</v>
      </c>
      <c r="E215" s="100"/>
    </row>
    <row r="216" ht="15.75" spans="1:4">
      <c r="A216" s="265"/>
      <c r="B216" s="226"/>
      <c r="C216" s="226"/>
      <c r="D216" s="226"/>
    </row>
    <row r="217" spans="1:5">
      <c r="A217" s="122" t="s">
        <v>336</v>
      </c>
      <c r="B217" s="123"/>
      <c r="C217" s="123"/>
      <c r="D217" s="124"/>
      <c r="E217" s="125"/>
    </row>
    <row r="218" spans="1:5">
      <c r="A218" s="13" t="s">
        <v>337</v>
      </c>
      <c r="B218" s="14"/>
      <c r="C218" s="229">
        <v>0.43</v>
      </c>
      <c r="D218" s="15" t="s">
        <v>44</v>
      </c>
      <c r="E218" s="9"/>
    </row>
    <row r="219" s="48" customFormat="1" spans="1:5">
      <c r="A219" s="13" t="s">
        <v>338</v>
      </c>
      <c r="B219" s="14"/>
      <c r="C219" s="229">
        <v>0.6</v>
      </c>
      <c r="D219" s="15" t="s">
        <v>44</v>
      </c>
      <c r="E219" s="9"/>
    </row>
    <row r="220" s="48" customFormat="1" spans="1:5">
      <c r="A220" s="13" t="s">
        <v>339</v>
      </c>
      <c r="B220" s="14"/>
      <c r="C220" s="229">
        <v>4</v>
      </c>
      <c r="D220" s="15" t="s">
        <v>44</v>
      </c>
      <c r="E220" s="9"/>
    </row>
    <row r="221" spans="1:5">
      <c r="A221" s="13" t="s">
        <v>340</v>
      </c>
      <c r="B221" s="14"/>
      <c r="C221" s="216">
        <v>130</v>
      </c>
      <c r="D221" s="15" t="s">
        <v>267</v>
      </c>
      <c r="E221" s="9" t="s">
        <v>341</v>
      </c>
    </row>
    <row r="222" spans="1:5">
      <c r="A222" s="13" t="s">
        <v>342</v>
      </c>
      <c r="B222" s="14"/>
      <c r="C222" s="230">
        <f>C221/C218*C219</f>
        <v>181.395348837209</v>
      </c>
      <c r="D222" s="15" t="s">
        <v>267</v>
      </c>
      <c r="E222" s="9"/>
    </row>
    <row r="223" spans="1:5">
      <c r="A223" s="13" t="s">
        <v>343</v>
      </c>
      <c r="B223" s="14"/>
      <c r="C223" s="213">
        <f>C218/C221*100</f>
        <v>0.330769230769231</v>
      </c>
      <c r="D223" s="15" t="s">
        <v>44</v>
      </c>
      <c r="E223" s="9"/>
    </row>
    <row r="224" ht="17.4" spans="1:5">
      <c r="A224" s="13" t="s">
        <v>344</v>
      </c>
      <c r="B224" s="14" t="s">
        <v>345</v>
      </c>
      <c r="C224" s="213">
        <f>C223/(Pout/eff/Vblk)</f>
        <v>0.359636363636364</v>
      </c>
      <c r="D224" s="15"/>
      <c r="E224" s="9"/>
    </row>
    <row r="225" ht="17.4" spans="1:5">
      <c r="A225" s="13" t="s">
        <v>346</v>
      </c>
      <c r="B225" s="14" t="s">
        <v>10</v>
      </c>
      <c r="C225" s="216">
        <v>150</v>
      </c>
      <c r="D225" s="15" t="s">
        <v>11</v>
      </c>
      <c r="E225" s="266" t="s">
        <v>347</v>
      </c>
    </row>
    <row r="226" ht="17.4" spans="1:5">
      <c r="A226" s="13" t="s">
        <v>348</v>
      </c>
      <c r="B226" s="14" t="s">
        <v>12</v>
      </c>
      <c r="C226" s="267">
        <f>Cr*10^-6/(C225*10^-12)*C224</f>
        <v>105.493333333333</v>
      </c>
      <c r="D226" s="15" t="s">
        <v>13</v>
      </c>
      <c r="E226" s="9"/>
    </row>
    <row r="227" ht="17.4" spans="1:5">
      <c r="A227" s="13" t="s">
        <v>349</v>
      </c>
      <c r="B227" s="14" t="s">
        <v>12</v>
      </c>
      <c r="C227" s="216">
        <v>100</v>
      </c>
      <c r="D227" s="15" t="s">
        <v>13</v>
      </c>
      <c r="E227" s="9" t="s">
        <v>350</v>
      </c>
    </row>
    <row r="228" ht="17.4" spans="1:5">
      <c r="A228" s="13" t="s">
        <v>351</v>
      </c>
      <c r="B228" s="14"/>
      <c r="C228" s="213">
        <f>C161*C227*C225*10^-12/(Cr*10^-6)</f>
        <v>1.12840137762128</v>
      </c>
      <c r="D228" s="15" t="s">
        <v>44</v>
      </c>
      <c r="E228" s="9"/>
    </row>
    <row r="229" spans="1:5">
      <c r="A229" s="13" t="s">
        <v>352</v>
      </c>
      <c r="B229" s="14"/>
      <c r="C229" s="213">
        <f>C220*Cr*10^-6/(C227*C225*10^-12)</f>
        <v>11.7333333333333</v>
      </c>
      <c r="D229" s="15" t="s">
        <v>52</v>
      </c>
      <c r="E229" s="9"/>
    </row>
    <row r="230" ht="15.75" spans="1:5">
      <c r="A230" s="221" t="s">
        <v>353</v>
      </c>
      <c r="B230" s="222"/>
      <c r="C230" s="223">
        <f>C229*Nps</f>
        <v>31.68</v>
      </c>
      <c r="D230" s="224" t="s">
        <v>52</v>
      </c>
      <c r="E230" s="100"/>
    </row>
    <row r="231" spans="1:4">
      <c r="A231" s="226"/>
      <c r="B231" s="226"/>
      <c r="C231" s="226"/>
      <c r="D231" s="226"/>
    </row>
    <row r="232" spans="1:4">
      <c r="A232" s="226"/>
      <c r="B232" s="226"/>
      <c r="C232" s="226"/>
      <c r="D232" s="226"/>
    </row>
    <row r="233" spans="4:4">
      <c r="D233"/>
    </row>
  </sheetData>
  <sheetProtection password="EE3D" sheet="1" objects="1" scenarios="1"/>
  <mergeCells count="37">
    <mergeCell ref="A1:D1"/>
    <mergeCell ref="B2:D2"/>
    <mergeCell ref="A3:D3"/>
    <mergeCell ref="C4:D4"/>
    <mergeCell ref="A5:D5"/>
    <mergeCell ref="A6:D6"/>
    <mergeCell ref="A17:D17"/>
    <mergeCell ref="A23:D23"/>
    <mergeCell ref="A24:D24"/>
    <mergeCell ref="A30:D30"/>
    <mergeCell ref="A31:D31"/>
    <mergeCell ref="A37:D37"/>
    <mergeCell ref="A39:D39"/>
    <mergeCell ref="A46:D46"/>
    <mergeCell ref="A50:D50"/>
    <mergeCell ref="A51:D51"/>
    <mergeCell ref="A90:D90"/>
    <mergeCell ref="A106:D106"/>
    <mergeCell ref="A110:D110"/>
    <mergeCell ref="A113:D113"/>
    <mergeCell ref="A114:D114"/>
    <mergeCell ref="A119:D119"/>
    <mergeCell ref="A125:D125"/>
    <mergeCell ref="A128:D128"/>
    <mergeCell ref="A132:D132"/>
    <mergeCell ref="A136:D136"/>
    <mergeCell ref="A142:D142"/>
    <mergeCell ref="A160:D160"/>
    <mergeCell ref="A177:D177"/>
    <mergeCell ref="A198:D198"/>
    <mergeCell ref="A217:D217"/>
    <mergeCell ref="E206:E207"/>
    <mergeCell ref="A7:D11"/>
    <mergeCell ref="A12:D16"/>
    <mergeCell ref="A18:D20"/>
    <mergeCell ref="A60:D61"/>
    <mergeCell ref="A52:D55"/>
  </mergeCells>
  <conditionalFormatting sqref="C101">
    <cfRule type="containsText" dxfId="0" priority="1" operator="between" text="Yes">
      <formula>NOT(ISERROR(SEARCH("Yes",C101)))</formula>
    </cfRule>
    <cfRule type="containsText" dxfId="1" priority="2" operator="between" text="CAUTION">
      <formula>NOT(ISERROR(SEARCH("CAUTION",C101)))</formula>
    </cfRule>
  </conditionalFormatting>
  <dataValidations count="26">
    <dataValidation type="list" allowBlank="1" showInputMessage="1" showErrorMessage="1" sqref="C22">
      <formula1>'tables and calculations'!$A$206:$A$210</formula1>
    </dataValidation>
    <dataValidation type="decimal" operator="lessThan" allowBlank="1" showInputMessage="1" showErrorMessage="1" error="Enter efficiency less than 1" sqref="C29">
      <formula1>1</formula1>
    </dataValidation>
    <dataValidation allowBlank="1" showInputMessage="1" showErrorMessage="1" promptTitle="Quality Factor Qe" prompt="Enter Qe value on selected Ln curve that would result in an Attainable MG(PEAK) &gt; MG(max)" sqref="C57" errorStyle="warning"/>
    <dataValidation allowBlank="1" showErrorMessage="1" promptTitle="LLC Output Voltage" prompt="Enter required nominal output voltage of converter" sqref="C25"/>
    <dataValidation type="decimal" operator="between" allowBlank="1" showErrorMessage="1" errorTitle="Actual LLC Turns Ratio" error="Actual LLC turns ratio should be within 10% of recommended value" promptTitle="LLC Transformer Turns Ratio" prompt="Enter the actual turns ratio of the LLC transformer used" sqref="C41:C43" errorStyle="warning">
      <formula1>0.9*Nps_rec</formula1>
      <formula2>1.1*Nps_rec</formula2>
    </dataValidation>
    <dataValidation allowBlank="1" showErrorMessage="1" promptTitle="Maximum Output Power" prompt="Enter required maximum converter output power in Watts." sqref="C26"/>
    <dataValidation allowBlank="1" showErrorMessage="1" sqref="C27"/>
    <dataValidation allowBlank="1" showErrorMessage="1" promptTitle="Maximum Output Voltage Ripple" prompt="Enter the maximum output voltage ripple" sqref="C28"/>
    <dataValidation type="decimal" operator="between" allowBlank="1" showInputMessage="1" showErrorMessage="1" errorTitle="Max Working Voltage Range of VCR" error="To properly tune this parameter, please enter a number between 3 and 5.5&#10;" sqref="C164">
      <formula1>3</formula1>
      <formula2>5.5</formula2>
    </dataValidation>
    <dataValidation type="decimal" operator="lessThan" allowBlank="1" showErrorMessage="1" errorTitle="Minimum PFC Voltage" error="Must be less than nominal PFC output voltage" promptTitle="Minimum PFC Voltage" prompt="Enter the allowable minimum voltage of PFC at end of hold-up time" sqref="C35">
      <formula1>Vblk</formula1>
    </dataValidation>
    <dataValidation type="decimal" operator="greaterThan" allowBlank="1" showInputMessage="1" showErrorMessage="1" errorTitle="Nominal PFC Stage Output Voltage" error="Must be &gt; VIN_PEAK(max)" promptTitle="Nominal PFC Stage Output Voltage" prompt="Bulk output voltage of the PFC stage." sqref="C32">
      <formula1>Vin_peak_max</formula1>
    </dataValidation>
    <dataValidation type="decimal" operator="lessThanOrEqual" allowBlank="1" showErrorMessage="1" errorTitle="Maximum Vblk Ripple" error="Enter a value &lt; 20% of Vblk" promptTitle="Maximum Vblk Ripple" prompt="Enter the maximum allowable voltage ripple on the PFC output stage rail" sqref="C33">
      <formula1>0.1*Vblk</formula1>
    </dataValidation>
    <dataValidation type="decimal" operator="between" allowBlank="1" showInputMessage="1" showErrorMessage="1" error="Initial Precharge Voltage must be greater than Vssinit_min and less than 1 V" sqref="C205">
      <formula1>C204</formula1>
      <formula2>1</formula2>
    </dataValidation>
    <dataValidation type="decimal" operator="between" showErrorMessage="1" errorTitle="LLC Switching Frequency" error="Ideally, for size, EMI, and switching loss considertions, select a switching frequency between 100 kHz and 150 kHz " promptTitle="LLC Switching Frequency" prompt="Enter desired nominal LLC switching frequency, usually between 100 kHz and 110 kHz" sqref="C38" errorStyle="warning">
      <formula1>100</formula1>
      <formula2>150</formula2>
    </dataValidation>
    <dataValidation type="list" allowBlank="1" showInputMessage="1" showErrorMessage="1" sqref="C184">
      <formula1>'tables and calculations'!$A$220:$A$226</formula1>
    </dataValidation>
    <dataValidation type="decimal" operator="between" showErrorMessage="1" errorTitle="Cr value" error="Use a capacitor that is within 10% of the recommended value" promptTitle="Resonant Capacitor Value" prompt="Enter actual value of Resonant Capacitor used" sqref="C92" errorStyle="warning">
      <formula1>C91*0.9</formula1>
      <formula2>C91*1.1</formula2>
    </dataValidation>
    <dataValidation allowBlank="1" showInputMessage="1" showErrorMessage="1" promptTitle="Ln Selected from Curves Shown" prompt="Enter Ln value to satisfy Attainable MG(PEAK) &gt; MG(max)" sqref="C56" errorStyle="warning"/>
    <dataValidation type="decimal" operator="between" allowBlank="1" showErrorMessage="1" errorTitle="Resonant Inductor Value" error="Use a Resonant Inductor value within 10% of the recommended value" promptTitle="Resonant Inductor Value" prompt="Enter the actual value of the Resonant Inductor Value used" sqref="C94" errorStyle="warning">
      <formula1>C93*0.9</formula1>
      <formula2>C93*1.1</formula2>
    </dataValidation>
    <dataValidation type="decimal" operator="between" allowBlank="1" showErrorMessage="1" errorTitle="Magnetizing Inductance" error="Use a magnetizing inductance that is within 10% of the recommended value" promptTitle="Magnetizing Inductance" prompt="Enter the actual Transformer Magnetizing Inductance that is used." sqref="C96" errorStyle="warning">
      <formula1>C95*0.9</formula1>
      <formula2>C95*1.1</formula2>
    </dataValidation>
    <dataValidation allowBlank="1" showInputMessage="1" showErrorMessage="1" promptTitle="Normalized freq at Mg(max)" prompt="Enter the corresponding normalized frequency at Mg(max) shown on the Ln_Qe Gain curve above " sqref="C102" errorStyle="warning"/>
    <dataValidation allowBlank="1" showInputMessage="1" showErrorMessage="1" promptTitle="Normalized freq at Mg(min)" prompt="Enter the corresponding normalized frequency at Mg(min) shown on the Ln_Qe Gain curve above " sqref="C103" errorStyle="warning"/>
    <dataValidation type="decimal" operator="between" allowBlank="1" showInputMessage="1" showErrorMessage="1" errorTitle="Iramp Contribution" error="To properly tune this parameter, please enter a number between 1V and 2V&#10;" sqref="C165">
      <formula1>1</formula1>
      <formula2>2.5</formula2>
    </dataValidation>
    <dataValidation allowBlank="1" showInputMessage="1" showErrorMessage="1" error="Burst Mode Threshold Voltage must be between 0.2V and 4V" sqref="C209 C201:C202"/>
    <dataValidation allowBlank="1" showInputMessage="1" showErrorMessage="1" errorTitle="Max Working Voltage Range of VCR" error="To properly tune this parameter, please enter a number between 0 and 5.4&#10;" sqref="C168 C170" errorStyle="warning"/>
    <dataValidation type="decimal" operator="greaterThan" allowBlank="1" showInputMessage="1" showErrorMessage="1" error="Lower BW Resistance must be at least &gt; RBMTProgram&#10;" sqref="C188" errorStyle="warning">
      <formula1>C186</formula1>
    </dataValidation>
    <dataValidation allowBlank="1" showInputMessage="1" showErrorMessage="1" error="Initial Precharge Voltage must be within 0V to 1V" sqref="C208"/>
  </dataValidations>
  <pageMargins left="0.7" right="0.7" top="0.75" bottom="0.75" header="0.3" footer="0.3"/>
  <pageSetup paperSize="1" orientation="portrait"/>
  <headerFooter/>
  <drawing r:id="rId1"/>
  <legacyDrawing r:id="rId2"/>
  <oleObjects>
    <mc:AlternateContent xmlns:mc="http://schemas.openxmlformats.org/markup-compatibility/2006">
      <mc:Choice Requires="x14">
        <oleObject shapeId="2051" progId="Equation.DSMT4" r:id="rId3">
          <objectPr defaultSize="0" r:id="rId4">
            <anchor moveWithCells="1">
              <from>
                <xdr:col>4</xdr:col>
                <xdr:colOff>9525</xdr:colOff>
                <xdr:row>203</xdr:row>
                <xdr:rowOff>9525</xdr:rowOff>
              </from>
              <to>
                <xdr:col>4</xdr:col>
                <xdr:colOff>2324100</xdr:colOff>
                <xdr:row>203</xdr:row>
                <xdr:rowOff>428625</xdr:rowOff>
              </to>
            </anchor>
          </objectPr>
        </oleObject>
      </mc:Choice>
      <mc:Fallback>
        <oleObject shapeId="2051" progId="Equation.DSMT4"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DG1400"/>
  <sheetViews>
    <sheetView workbookViewId="0">
      <pane ySplit="7" topLeftCell="A323" activePane="bottomLeft" state="frozen"/>
      <selection/>
      <selection pane="bottomLeft" activeCell="C335" sqref="C335"/>
    </sheetView>
  </sheetViews>
  <sheetFormatPr defaultColWidth="9" defaultRowHeight="15"/>
  <cols>
    <col min="1" max="1" width="37.8541666666667" customWidth="1"/>
    <col min="2" max="2" width="38.8541666666667" customWidth="1"/>
    <col min="3" max="3" width="10.1458333333333" customWidth="1"/>
    <col min="4" max="4" width="8.71875" customWidth="1"/>
    <col min="5" max="5" width="12.71875" customWidth="1"/>
    <col min="6" max="6" width="17.4270833333333" customWidth="1"/>
    <col min="7" max="7" width="10.1458333333333" customWidth="1"/>
    <col min="8" max="8" width="10.5729166666667" customWidth="1"/>
    <col min="9" max="10" width="12.71875" customWidth="1"/>
    <col min="11" max="11" width="46.28125" customWidth="1"/>
    <col min="12" max="12" width="41.1458333333333" customWidth="1"/>
    <col min="13" max="13" width="43" customWidth="1"/>
    <col min="14" max="14" width="53" customWidth="1"/>
    <col min="15" max="15" width="12.71875" customWidth="1"/>
    <col min="16" max="16" width="39" customWidth="1"/>
    <col min="17" max="17" width="43.28125" customWidth="1"/>
    <col min="18" max="65" width="12.71875" customWidth="1"/>
  </cols>
  <sheetData>
    <row r="7" spans="2:65">
      <c r="B7" s="23" t="s">
        <v>354</v>
      </c>
      <c r="C7" s="23" t="s">
        <v>355</v>
      </c>
      <c r="D7" s="23" t="s">
        <v>356</v>
      </c>
      <c r="F7" s="23" t="s">
        <v>354</v>
      </c>
      <c r="G7" s="23" t="s">
        <v>355</v>
      </c>
      <c r="H7" s="23" t="s">
        <v>356</v>
      </c>
      <c r="J7" s="23" t="s">
        <v>354</v>
      </c>
      <c r="K7" s="23" t="s">
        <v>355</v>
      </c>
      <c r="L7" s="23"/>
      <c r="M7" s="23" t="s">
        <v>356</v>
      </c>
      <c r="O7" s="23" t="s">
        <v>354</v>
      </c>
      <c r="P7" s="23" t="s">
        <v>355</v>
      </c>
      <c r="Q7" s="23" t="s">
        <v>356</v>
      </c>
      <c r="S7" s="23" t="s">
        <v>354</v>
      </c>
      <c r="T7" s="23" t="s">
        <v>355</v>
      </c>
      <c r="U7" s="23" t="s">
        <v>356</v>
      </c>
      <c r="W7" s="23" t="s">
        <v>354</v>
      </c>
      <c r="X7" s="23" t="s">
        <v>355</v>
      </c>
      <c r="Y7" s="23" t="s">
        <v>356</v>
      </c>
      <c r="AA7" s="23" t="s">
        <v>354</v>
      </c>
      <c r="AB7" s="23" t="s">
        <v>355</v>
      </c>
      <c r="AC7" s="23" t="s">
        <v>356</v>
      </c>
      <c r="AE7" s="23" t="s">
        <v>354</v>
      </c>
      <c r="AF7" s="23" t="s">
        <v>355</v>
      </c>
      <c r="AG7" s="23" t="s">
        <v>356</v>
      </c>
      <c r="AI7" s="23" t="s">
        <v>354</v>
      </c>
      <c r="AJ7" s="23" t="s">
        <v>355</v>
      </c>
      <c r="AK7" s="23" t="s">
        <v>356</v>
      </c>
      <c r="AM7" s="23" t="s">
        <v>354</v>
      </c>
      <c r="AN7" s="23" t="s">
        <v>355</v>
      </c>
      <c r="AO7" s="23" t="s">
        <v>356</v>
      </c>
      <c r="AQ7" s="23"/>
      <c r="AR7" s="23"/>
      <c r="AS7" s="23"/>
      <c r="AU7" s="23" t="s">
        <v>354</v>
      </c>
      <c r="AV7" s="23" t="s">
        <v>355</v>
      </c>
      <c r="AW7" s="23" t="s">
        <v>356</v>
      </c>
      <c r="AY7" s="23" t="s">
        <v>354</v>
      </c>
      <c r="AZ7" s="23" t="s">
        <v>355</v>
      </c>
      <c r="BA7" s="23" t="s">
        <v>356</v>
      </c>
      <c r="BC7" s="23" t="s">
        <v>354</v>
      </c>
      <c r="BD7" s="23" t="s">
        <v>355</v>
      </c>
      <c r="BE7" s="23" t="s">
        <v>356</v>
      </c>
      <c r="BG7" s="23" t="s">
        <v>354</v>
      </c>
      <c r="BH7" s="23" t="s">
        <v>355</v>
      </c>
      <c r="BI7" s="23" t="s">
        <v>356</v>
      </c>
      <c r="BK7" s="23" t="s">
        <v>354</v>
      </c>
      <c r="BL7" s="23" t="s">
        <v>355</v>
      </c>
      <c r="BM7" s="23" t="s">
        <v>356</v>
      </c>
    </row>
    <row r="8" spans="2:65">
      <c r="B8" s="24">
        <v>6.95</v>
      </c>
      <c r="C8" s="24">
        <v>0.15</v>
      </c>
      <c r="D8" s="24">
        <v>1.5</v>
      </c>
      <c r="E8" s="5"/>
      <c r="F8" s="24">
        <v>5.81</v>
      </c>
      <c r="G8" s="24">
        <v>0.15</v>
      </c>
      <c r="H8" s="24">
        <v>2</v>
      </c>
      <c r="I8" s="5"/>
      <c r="J8" s="24">
        <v>5.03</v>
      </c>
      <c r="K8" s="24">
        <v>0.15</v>
      </c>
      <c r="L8" s="24"/>
      <c r="M8" s="24">
        <v>2.5</v>
      </c>
      <c r="N8" s="5"/>
      <c r="O8" s="24">
        <v>4.47</v>
      </c>
      <c r="P8" s="24">
        <v>0.15</v>
      </c>
      <c r="Q8" s="24">
        <v>3</v>
      </c>
      <c r="R8" s="5"/>
      <c r="S8" s="24">
        <v>4.09</v>
      </c>
      <c r="T8" s="24">
        <v>0.15</v>
      </c>
      <c r="U8" s="24">
        <v>3.5</v>
      </c>
      <c r="V8" s="5"/>
      <c r="W8" s="24">
        <v>3.76</v>
      </c>
      <c r="X8" s="24">
        <v>0.15</v>
      </c>
      <c r="Y8" s="24">
        <v>4</v>
      </c>
      <c r="Z8" s="5"/>
      <c r="AA8" s="24">
        <v>3.51</v>
      </c>
      <c r="AB8" s="24">
        <v>0.15</v>
      </c>
      <c r="AC8" s="24">
        <v>4.5</v>
      </c>
      <c r="AD8" s="5"/>
      <c r="AE8" s="24">
        <v>3.32</v>
      </c>
      <c r="AF8" s="24">
        <v>0.15</v>
      </c>
      <c r="AG8" s="24">
        <v>5</v>
      </c>
      <c r="AH8" s="5"/>
      <c r="AI8" s="24">
        <v>3.14</v>
      </c>
      <c r="AJ8" s="24">
        <v>0.15</v>
      </c>
      <c r="AK8" s="24">
        <v>5.5</v>
      </c>
      <c r="AL8" s="5"/>
      <c r="AM8" s="24">
        <v>3</v>
      </c>
      <c r="AN8" s="24">
        <v>0.15</v>
      </c>
      <c r="AO8" s="24">
        <v>6</v>
      </c>
      <c r="AP8" s="5"/>
      <c r="AQ8" s="24">
        <v>2.86</v>
      </c>
      <c r="AR8" s="24">
        <v>0.15</v>
      </c>
      <c r="AS8" s="24">
        <v>6.5</v>
      </c>
      <c r="AT8" s="5"/>
      <c r="AU8" s="24">
        <v>2.75</v>
      </c>
      <c r="AV8" s="24">
        <v>0.15</v>
      </c>
      <c r="AW8" s="24">
        <v>7</v>
      </c>
      <c r="AX8" s="5"/>
      <c r="AY8" s="24">
        <v>2.65</v>
      </c>
      <c r="AZ8" s="24">
        <v>0.15</v>
      </c>
      <c r="BA8" s="24">
        <v>7.5</v>
      </c>
      <c r="BB8" s="5"/>
      <c r="BC8" s="24">
        <v>2.56</v>
      </c>
      <c r="BD8" s="24">
        <v>0.15</v>
      </c>
      <c r="BE8" s="24">
        <v>8</v>
      </c>
      <c r="BF8" s="5"/>
      <c r="BG8" s="24">
        <v>2.48</v>
      </c>
      <c r="BH8" s="24">
        <v>0.15</v>
      </c>
      <c r="BI8" s="24">
        <v>8.5</v>
      </c>
      <c r="BJ8" s="5"/>
      <c r="BK8" s="24">
        <v>2.41</v>
      </c>
      <c r="BL8" s="24">
        <v>0.15</v>
      </c>
      <c r="BM8" s="24">
        <v>9</v>
      </c>
    </row>
    <row r="9" spans="2:65">
      <c r="B9" s="24">
        <v>4.28</v>
      </c>
      <c r="C9" s="24">
        <v>0.25</v>
      </c>
      <c r="D9" s="24">
        <v>1.5</v>
      </c>
      <c r="E9" s="5"/>
      <c r="F9" s="24">
        <v>3.53</v>
      </c>
      <c r="G9" s="24">
        <v>0.25</v>
      </c>
      <c r="H9" s="24">
        <v>2</v>
      </c>
      <c r="I9" s="5"/>
      <c r="J9" s="24">
        <v>3.06</v>
      </c>
      <c r="K9" s="24">
        <v>0.25</v>
      </c>
      <c r="L9" s="24"/>
      <c r="M9" s="24">
        <v>2.5</v>
      </c>
      <c r="N9" s="5"/>
      <c r="O9" s="24">
        <v>2.74</v>
      </c>
      <c r="P9" s="24">
        <v>0.25</v>
      </c>
      <c r="Q9" s="24">
        <v>3</v>
      </c>
      <c r="R9" s="5"/>
      <c r="S9" s="24">
        <v>2.5</v>
      </c>
      <c r="T9" s="24">
        <v>0.25</v>
      </c>
      <c r="U9" s="24">
        <v>3.5</v>
      </c>
      <c r="V9" s="5"/>
      <c r="W9" s="24">
        <v>2.32</v>
      </c>
      <c r="X9" s="24">
        <v>0.25</v>
      </c>
      <c r="Y9" s="24">
        <v>4</v>
      </c>
      <c r="Z9" s="5"/>
      <c r="AA9" s="24">
        <v>2.17</v>
      </c>
      <c r="AB9" s="24">
        <v>0.25</v>
      </c>
      <c r="AC9" s="24">
        <v>4.5</v>
      </c>
      <c r="AD9" s="5"/>
      <c r="AE9" s="24">
        <v>2.05</v>
      </c>
      <c r="AF9" s="24">
        <v>0.25</v>
      </c>
      <c r="AG9" s="24">
        <v>5</v>
      </c>
      <c r="AH9" s="5"/>
      <c r="AI9" s="24">
        <v>1.95</v>
      </c>
      <c r="AJ9" s="24">
        <v>0.25</v>
      </c>
      <c r="AK9" s="24">
        <v>5.5</v>
      </c>
      <c r="AL9" s="5"/>
      <c r="AM9" s="24">
        <v>1.86</v>
      </c>
      <c r="AN9" s="24">
        <v>0.25</v>
      </c>
      <c r="AO9" s="24">
        <v>6</v>
      </c>
      <c r="AP9" s="5"/>
      <c r="AQ9" s="24">
        <v>1.79</v>
      </c>
      <c r="AR9" s="24">
        <v>0.25</v>
      </c>
      <c r="AS9" s="24">
        <v>6.5</v>
      </c>
      <c r="AT9" s="5"/>
      <c r="AU9" s="24">
        <v>1.72</v>
      </c>
      <c r="AV9" s="24">
        <v>0.25</v>
      </c>
      <c r="AW9" s="24">
        <v>7</v>
      </c>
      <c r="AX9" s="5"/>
      <c r="AY9" s="24">
        <v>1.66</v>
      </c>
      <c r="AZ9" s="24">
        <v>0.25</v>
      </c>
      <c r="BA9" s="24">
        <v>7.5</v>
      </c>
      <c r="BB9" s="5"/>
      <c r="BC9" s="24">
        <v>1.61</v>
      </c>
      <c r="BD9" s="24">
        <v>0.25</v>
      </c>
      <c r="BE9" s="24">
        <v>8</v>
      </c>
      <c r="BF9" s="5"/>
      <c r="BG9" s="24">
        <v>1.57</v>
      </c>
      <c r="BH9" s="24">
        <v>0.25</v>
      </c>
      <c r="BI9" s="24">
        <v>8.5</v>
      </c>
      <c r="BJ9" s="5"/>
      <c r="BK9" s="24">
        <v>1.53</v>
      </c>
      <c r="BL9" s="24">
        <v>0.25</v>
      </c>
      <c r="BM9" s="24">
        <v>9</v>
      </c>
    </row>
    <row r="10" spans="2:65">
      <c r="B10" s="24">
        <v>3.09</v>
      </c>
      <c r="C10" s="24">
        <v>0.35</v>
      </c>
      <c r="D10" s="24">
        <v>1.5</v>
      </c>
      <c r="E10" s="5"/>
      <c r="F10" s="24">
        <v>2.57</v>
      </c>
      <c r="G10" s="24">
        <v>0.35</v>
      </c>
      <c r="H10" s="24">
        <v>2</v>
      </c>
      <c r="I10" s="5"/>
      <c r="J10" s="24">
        <v>2.24</v>
      </c>
      <c r="K10" s="24">
        <v>0.35</v>
      </c>
      <c r="L10" s="24"/>
      <c r="M10" s="24">
        <v>2.5</v>
      </c>
      <c r="N10" s="5"/>
      <c r="O10" s="24">
        <v>2.01</v>
      </c>
      <c r="P10" s="24">
        <v>0.35</v>
      </c>
      <c r="Q10" s="24">
        <v>3</v>
      </c>
      <c r="R10" s="5"/>
      <c r="S10" s="24">
        <v>1.85</v>
      </c>
      <c r="T10" s="24">
        <v>0.35</v>
      </c>
      <c r="U10" s="24">
        <v>3.5</v>
      </c>
      <c r="V10" s="5"/>
      <c r="W10" s="24">
        <v>1.72</v>
      </c>
      <c r="X10" s="24">
        <v>0.35</v>
      </c>
      <c r="Y10" s="24">
        <v>4</v>
      </c>
      <c r="Z10" s="5"/>
      <c r="AA10" s="24">
        <v>1.62</v>
      </c>
      <c r="AB10" s="24">
        <v>0.35</v>
      </c>
      <c r="AC10" s="24">
        <v>4.5</v>
      </c>
      <c r="AD10" s="5"/>
      <c r="AE10" s="24">
        <v>1.54</v>
      </c>
      <c r="AF10" s="24">
        <v>0.35</v>
      </c>
      <c r="AG10" s="24">
        <v>5</v>
      </c>
      <c r="AH10" s="5"/>
      <c r="AI10" s="24">
        <v>1.47</v>
      </c>
      <c r="AJ10" s="24">
        <v>0.35</v>
      </c>
      <c r="AK10" s="24">
        <v>5.5</v>
      </c>
      <c r="AL10" s="5"/>
      <c r="AM10" s="24">
        <v>1.41</v>
      </c>
      <c r="AN10" s="24">
        <v>0.35</v>
      </c>
      <c r="AO10" s="24">
        <v>6</v>
      </c>
      <c r="AP10" s="5"/>
      <c r="AQ10" s="24">
        <v>1.36</v>
      </c>
      <c r="AR10" s="24">
        <v>0.35</v>
      </c>
      <c r="AS10" s="24">
        <v>6.5</v>
      </c>
      <c r="AT10" s="5"/>
      <c r="AU10" s="24">
        <v>1.32</v>
      </c>
      <c r="AV10" s="24">
        <v>0.35</v>
      </c>
      <c r="AW10" s="24">
        <v>7</v>
      </c>
      <c r="AX10" s="5"/>
      <c r="AY10" s="24">
        <v>1.28</v>
      </c>
      <c r="AZ10" s="24">
        <v>0.35</v>
      </c>
      <c r="BA10" s="24">
        <v>7.5</v>
      </c>
      <c r="BB10" s="5"/>
      <c r="BC10" s="24">
        <v>1.25</v>
      </c>
      <c r="BD10" s="24">
        <v>0.35</v>
      </c>
      <c r="BE10" s="24">
        <v>8</v>
      </c>
      <c r="BF10" s="5"/>
      <c r="BG10" s="24">
        <v>1.22</v>
      </c>
      <c r="BH10" s="24">
        <v>0.35</v>
      </c>
      <c r="BI10" s="24">
        <v>8.5</v>
      </c>
      <c r="BJ10" s="5"/>
      <c r="BK10" s="24">
        <v>1.2</v>
      </c>
      <c r="BL10" s="24">
        <v>0.35</v>
      </c>
      <c r="BM10" s="24">
        <v>9</v>
      </c>
    </row>
    <row r="11" spans="2:65">
      <c r="B11" s="24">
        <v>2.45</v>
      </c>
      <c r="C11" s="24">
        <v>0.45</v>
      </c>
      <c r="D11" s="24">
        <v>1.5</v>
      </c>
      <c r="E11" s="5"/>
      <c r="F11" s="24">
        <v>2.05</v>
      </c>
      <c r="G11" s="24">
        <v>0.45</v>
      </c>
      <c r="H11" s="24">
        <v>2</v>
      </c>
      <c r="I11" s="5"/>
      <c r="J11" s="24">
        <v>1.8</v>
      </c>
      <c r="K11" s="24">
        <v>0.45</v>
      </c>
      <c r="L11" s="24"/>
      <c r="M11" s="24">
        <v>2.5</v>
      </c>
      <c r="N11" s="5"/>
      <c r="O11" s="24">
        <v>1.63</v>
      </c>
      <c r="P11" s="24">
        <v>0.45</v>
      </c>
      <c r="Q11" s="24">
        <v>3</v>
      </c>
      <c r="R11" s="5"/>
      <c r="S11" s="24">
        <v>1.5</v>
      </c>
      <c r="T11" s="24">
        <v>0.45</v>
      </c>
      <c r="U11" s="24">
        <v>3.5</v>
      </c>
      <c r="V11" s="5"/>
      <c r="W11" s="24">
        <v>1.41</v>
      </c>
      <c r="X11" s="24">
        <v>0.45</v>
      </c>
      <c r="Y11" s="24">
        <v>4</v>
      </c>
      <c r="Z11" s="5"/>
      <c r="AA11" s="24">
        <v>1.34</v>
      </c>
      <c r="AB11" s="24">
        <v>0.45</v>
      </c>
      <c r="AC11" s="24">
        <v>4.5</v>
      </c>
      <c r="AD11" s="5"/>
      <c r="AE11" s="24">
        <v>1.28</v>
      </c>
      <c r="AF11" s="24">
        <v>0.45</v>
      </c>
      <c r="AG11" s="24">
        <v>5</v>
      </c>
      <c r="AH11" s="5"/>
      <c r="AI11" s="24">
        <v>1.23</v>
      </c>
      <c r="AJ11" s="24">
        <v>0.45</v>
      </c>
      <c r="AK11" s="24">
        <v>5.5</v>
      </c>
      <c r="AL11" s="5"/>
      <c r="AM11" s="24">
        <v>1.19</v>
      </c>
      <c r="AN11" s="24">
        <v>0.45</v>
      </c>
      <c r="AO11" s="24">
        <v>6</v>
      </c>
      <c r="AP11" s="5"/>
      <c r="AQ11" s="24">
        <v>1.16</v>
      </c>
      <c r="AR11" s="24">
        <v>0.45</v>
      </c>
      <c r="AS11" s="24">
        <v>6.5</v>
      </c>
      <c r="AT11" s="5"/>
      <c r="AU11" s="24">
        <v>1.14</v>
      </c>
      <c r="AV11" s="24">
        <v>0.45</v>
      </c>
      <c r="AW11" s="24">
        <v>7</v>
      </c>
      <c r="AX11" s="5"/>
      <c r="AY11" s="24">
        <v>1.11</v>
      </c>
      <c r="AZ11" s="24">
        <v>0.45</v>
      </c>
      <c r="BA11" s="24">
        <v>7.5</v>
      </c>
      <c r="BB11" s="5"/>
      <c r="BC11" s="24">
        <v>1.1</v>
      </c>
      <c r="BD11" s="24">
        <v>0.45</v>
      </c>
      <c r="BE11" s="24">
        <v>8</v>
      </c>
      <c r="BF11" s="5"/>
      <c r="BG11" s="24">
        <v>1.08</v>
      </c>
      <c r="BH11" s="24">
        <v>0.45</v>
      </c>
      <c r="BI11" s="24">
        <v>8.5</v>
      </c>
      <c r="BJ11" s="5"/>
      <c r="BK11" s="24">
        <v>1.07</v>
      </c>
      <c r="BL11" s="24">
        <v>0.45</v>
      </c>
      <c r="BM11" s="24">
        <v>9</v>
      </c>
    </row>
    <row r="12" spans="2:65">
      <c r="B12" s="24">
        <v>2.05</v>
      </c>
      <c r="C12" s="24">
        <v>0.55</v>
      </c>
      <c r="D12" s="24">
        <v>1.5</v>
      </c>
      <c r="E12" s="5"/>
      <c r="F12" s="24">
        <v>1.73</v>
      </c>
      <c r="G12" s="24">
        <v>0.55</v>
      </c>
      <c r="H12" s="24">
        <v>2</v>
      </c>
      <c r="I12" s="5"/>
      <c r="J12" s="24">
        <v>1.53</v>
      </c>
      <c r="K12" s="24">
        <v>0.55</v>
      </c>
      <c r="L12" s="24"/>
      <c r="M12" s="24">
        <v>2.5</v>
      </c>
      <c r="N12" s="5"/>
      <c r="O12" s="24">
        <v>1.4</v>
      </c>
      <c r="P12" s="24">
        <v>0.55</v>
      </c>
      <c r="Q12" s="24">
        <v>3</v>
      </c>
      <c r="R12" s="5"/>
      <c r="S12" s="24">
        <v>1.31</v>
      </c>
      <c r="T12" s="24">
        <v>0.55</v>
      </c>
      <c r="U12" s="24">
        <v>3.5</v>
      </c>
      <c r="V12" s="5"/>
      <c r="W12" s="24">
        <v>1.24</v>
      </c>
      <c r="X12" s="24">
        <v>0.55</v>
      </c>
      <c r="Y12" s="24">
        <v>4</v>
      </c>
      <c r="Z12" s="5"/>
      <c r="AA12" s="24">
        <v>1.19</v>
      </c>
      <c r="AB12" s="24">
        <v>0.55</v>
      </c>
      <c r="AC12" s="24">
        <v>4.5</v>
      </c>
      <c r="AD12" s="5"/>
      <c r="AE12" s="24">
        <v>1.15</v>
      </c>
      <c r="AF12" s="24">
        <v>0.55</v>
      </c>
      <c r="AG12" s="24">
        <v>5</v>
      </c>
      <c r="AH12" s="5"/>
      <c r="AI12" s="24">
        <v>1.12</v>
      </c>
      <c r="AJ12" s="24">
        <v>0.55</v>
      </c>
      <c r="AK12" s="24">
        <v>5.5</v>
      </c>
      <c r="AL12" s="5"/>
      <c r="AM12" s="24">
        <v>1.09</v>
      </c>
      <c r="AN12" s="24">
        <v>0.55</v>
      </c>
      <c r="AO12" s="24">
        <v>6</v>
      </c>
      <c r="AP12" s="5"/>
      <c r="AQ12" s="24">
        <v>1.08</v>
      </c>
      <c r="AR12" s="24">
        <v>0.55</v>
      </c>
      <c r="AS12" s="24">
        <v>6.5</v>
      </c>
      <c r="AT12" s="5"/>
      <c r="AU12" s="24">
        <v>1.06</v>
      </c>
      <c r="AV12" s="24">
        <v>0.55</v>
      </c>
      <c r="AW12" s="24">
        <v>7</v>
      </c>
      <c r="AX12" s="5"/>
      <c r="AY12" s="24">
        <v>1.05</v>
      </c>
      <c r="AZ12" s="24">
        <v>0.55</v>
      </c>
      <c r="BA12" s="24">
        <v>7.5</v>
      </c>
      <c r="BB12" s="5"/>
      <c r="BC12" s="24">
        <v>1.04</v>
      </c>
      <c r="BD12" s="24">
        <v>0.55</v>
      </c>
      <c r="BE12" s="24">
        <v>8</v>
      </c>
      <c r="BF12" s="5"/>
      <c r="BG12" s="24">
        <v>1.04</v>
      </c>
      <c r="BH12" s="24">
        <v>0.55</v>
      </c>
      <c r="BI12" s="24">
        <v>8.5</v>
      </c>
      <c r="BJ12" s="5"/>
      <c r="BK12" s="24">
        <v>1.03</v>
      </c>
      <c r="BL12" s="24">
        <v>0.55</v>
      </c>
      <c r="BM12" s="24">
        <v>9</v>
      </c>
    </row>
    <row r="13" spans="2:65">
      <c r="B13" s="24">
        <v>1.78</v>
      </c>
      <c r="C13" s="24">
        <v>0.65</v>
      </c>
      <c r="D13" s="24">
        <v>1.5</v>
      </c>
      <c r="E13" s="5"/>
      <c r="F13" s="24">
        <v>1.52</v>
      </c>
      <c r="G13" s="24">
        <v>0.65</v>
      </c>
      <c r="H13" s="24">
        <v>2</v>
      </c>
      <c r="I13" s="5"/>
      <c r="J13" s="24">
        <v>1.36</v>
      </c>
      <c r="K13" s="24">
        <v>0.65</v>
      </c>
      <c r="L13" s="24"/>
      <c r="M13" s="24">
        <v>2.5</v>
      </c>
      <c r="N13" s="5"/>
      <c r="O13" s="24">
        <v>1.26</v>
      </c>
      <c r="P13" s="24">
        <v>0.65</v>
      </c>
      <c r="Q13" s="24">
        <v>3</v>
      </c>
      <c r="R13" s="5"/>
      <c r="S13" s="24">
        <v>1.19</v>
      </c>
      <c r="T13" s="24">
        <v>0.65</v>
      </c>
      <c r="U13" s="24">
        <v>3.5</v>
      </c>
      <c r="V13" s="5"/>
      <c r="W13" s="24">
        <v>1.14</v>
      </c>
      <c r="X13" s="24">
        <v>0.65</v>
      </c>
      <c r="Y13" s="24">
        <v>4</v>
      </c>
      <c r="Z13" s="5"/>
      <c r="AA13" s="24">
        <v>1.11</v>
      </c>
      <c r="AB13" s="24">
        <v>0.65</v>
      </c>
      <c r="AC13" s="24">
        <v>4.5</v>
      </c>
      <c r="AD13" s="5"/>
      <c r="AE13" s="24">
        <v>1.08</v>
      </c>
      <c r="AF13" s="24">
        <v>0.65</v>
      </c>
      <c r="AG13" s="24">
        <v>5</v>
      </c>
      <c r="AH13" s="5"/>
      <c r="AI13" s="24">
        <v>1.07</v>
      </c>
      <c r="AJ13" s="24">
        <v>0.65</v>
      </c>
      <c r="AK13" s="24">
        <v>5.5</v>
      </c>
      <c r="AL13" s="5"/>
      <c r="AM13" s="24">
        <v>1.05</v>
      </c>
      <c r="AN13" s="24">
        <v>0.65</v>
      </c>
      <c r="AO13" s="24">
        <v>6</v>
      </c>
      <c r="AP13" s="5"/>
      <c r="AQ13" s="24">
        <v>1.04</v>
      </c>
      <c r="AR13" s="24">
        <v>0.65</v>
      </c>
      <c r="AS13" s="24">
        <v>6.5</v>
      </c>
      <c r="AT13" s="5"/>
      <c r="AU13" s="24">
        <v>1.04</v>
      </c>
      <c r="AV13" s="24">
        <v>0.65</v>
      </c>
      <c r="AW13" s="24">
        <v>7</v>
      </c>
      <c r="AX13" s="5"/>
      <c r="AY13" s="24">
        <v>1.03</v>
      </c>
      <c r="AZ13" s="24">
        <v>0.65</v>
      </c>
      <c r="BA13" s="24">
        <v>7.5</v>
      </c>
      <c r="BB13" s="5"/>
      <c r="BC13" s="24">
        <v>1.03</v>
      </c>
      <c r="BD13" s="24">
        <v>0.65</v>
      </c>
      <c r="BE13" s="24">
        <v>8</v>
      </c>
      <c r="BF13" s="5"/>
      <c r="BG13" s="24">
        <v>1.02</v>
      </c>
      <c r="BH13" s="24">
        <v>0.65</v>
      </c>
      <c r="BI13" s="24">
        <v>8.5</v>
      </c>
      <c r="BJ13" s="5"/>
      <c r="BK13" s="24">
        <v>1.02</v>
      </c>
      <c r="BL13" s="24">
        <v>0.65</v>
      </c>
      <c r="BM13" s="24">
        <v>9</v>
      </c>
    </row>
    <row r="14" spans="2:65">
      <c r="B14" s="24">
        <v>1.6</v>
      </c>
      <c r="C14" s="24">
        <v>0.75</v>
      </c>
      <c r="D14" s="24">
        <v>1.5</v>
      </c>
      <c r="E14" s="5"/>
      <c r="F14" s="24">
        <v>1.38</v>
      </c>
      <c r="G14" s="24">
        <v>0.75</v>
      </c>
      <c r="H14" s="24">
        <v>2</v>
      </c>
      <c r="I14" s="5"/>
      <c r="J14" s="24">
        <v>1.25</v>
      </c>
      <c r="K14" s="24">
        <v>0.75</v>
      </c>
      <c r="L14" s="24"/>
      <c r="M14" s="24">
        <v>2.5</v>
      </c>
      <c r="N14" s="5"/>
      <c r="O14" s="24">
        <v>1.17</v>
      </c>
      <c r="P14" s="24">
        <v>0.75</v>
      </c>
      <c r="Q14" s="24">
        <v>3</v>
      </c>
      <c r="R14" s="5"/>
      <c r="S14" s="24">
        <v>1.12</v>
      </c>
      <c r="T14" s="24">
        <v>0.75</v>
      </c>
      <c r="U14" s="24">
        <v>3.5</v>
      </c>
      <c r="V14" s="5"/>
      <c r="W14" s="24">
        <v>1.09</v>
      </c>
      <c r="X14" s="24">
        <v>0.75</v>
      </c>
      <c r="Y14" s="24">
        <v>4</v>
      </c>
      <c r="Z14" s="5"/>
      <c r="AA14" s="24">
        <v>1.07</v>
      </c>
      <c r="AB14" s="24">
        <v>0.75</v>
      </c>
      <c r="AC14" s="24">
        <v>4.5</v>
      </c>
      <c r="AD14" s="5"/>
      <c r="AE14" s="24">
        <v>1.05</v>
      </c>
      <c r="AF14" s="24">
        <v>0.75</v>
      </c>
      <c r="AG14" s="24">
        <v>5</v>
      </c>
      <c r="AH14" s="5"/>
      <c r="AI14" s="24">
        <v>1.04</v>
      </c>
      <c r="AJ14" s="24">
        <v>0.75</v>
      </c>
      <c r="AK14" s="24">
        <v>5.5</v>
      </c>
      <c r="AL14" s="5"/>
      <c r="AM14" s="24">
        <v>1.03</v>
      </c>
      <c r="AN14" s="24">
        <v>0.75</v>
      </c>
      <c r="AO14" s="24">
        <v>6</v>
      </c>
      <c r="AP14" s="5"/>
      <c r="AQ14" s="24">
        <v>1.03</v>
      </c>
      <c r="AR14" s="24">
        <v>0.75</v>
      </c>
      <c r="AS14" s="24">
        <v>6.5</v>
      </c>
      <c r="AT14" s="5"/>
      <c r="AU14" s="24">
        <v>1.02</v>
      </c>
      <c r="AV14" s="24">
        <v>0.75</v>
      </c>
      <c r="AW14" s="24">
        <v>7</v>
      </c>
      <c r="AX14" s="5"/>
      <c r="AY14" s="24">
        <v>1.02</v>
      </c>
      <c r="AZ14" s="24">
        <v>0.75</v>
      </c>
      <c r="BA14" s="24">
        <v>7.5</v>
      </c>
      <c r="BB14" s="5"/>
      <c r="BC14" s="24">
        <v>1.02</v>
      </c>
      <c r="BD14" s="24">
        <v>0.75</v>
      </c>
      <c r="BE14" s="24">
        <v>8</v>
      </c>
      <c r="BF14" s="5"/>
      <c r="BG14" s="24">
        <v>1.02</v>
      </c>
      <c r="BH14" s="24">
        <v>0.75</v>
      </c>
      <c r="BI14" s="24">
        <v>8.5</v>
      </c>
      <c r="BJ14" s="5"/>
      <c r="BK14" s="24">
        <v>1.01</v>
      </c>
      <c r="BL14" s="24">
        <v>0.75</v>
      </c>
      <c r="BM14" s="24">
        <v>9</v>
      </c>
    </row>
    <row r="15" spans="2:65">
      <c r="B15" s="24">
        <v>1.46</v>
      </c>
      <c r="C15" s="24">
        <v>0.85</v>
      </c>
      <c r="D15" s="24">
        <v>1.5</v>
      </c>
      <c r="E15" s="5"/>
      <c r="F15" s="24">
        <v>1.28</v>
      </c>
      <c r="G15" s="24">
        <v>0.85</v>
      </c>
      <c r="H15" s="24">
        <v>2</v>
      </c>
      <c r="I15" s="5"/>
      <c r="J15" s="24">
        <v>1.18</v>
      </c>
      <c r="K15" s="24">
        <v>0.85</v>
      </c>
      <c r="L15" s="24"/>
      <c r="M15" s="24">
        <v>2.5</v>
      </c>
      <c r="N15" s="5"/>
      <c r="O15" s="24">
        <v>1.12</v>
      </c>
      <c r="P15" s="24">
        <v>0.85</v>
      </c>
      <c r="Q15" s="24">
        <v>3</v>
      </c>
      <c r="R15" s="5"/>
      <c r="S15" s="24">
        <v>1.09</v>
      </c>
      <c r="T15" s="24">
        <v>0.85</v>
      </c>
      <c r="U15" s="24">
        <v>3.5</v>
      </c>
      <c r="V15" s="5"/>
      <c r="W15" s="24">
        <v>1.06</v>
      </c>
      <c r="X15" s="24">
        <v>0.85</v>
      </c>
      <c r="Y15" s="24">
        <v>4</v>
      </c>
      <c r="Z15" s="5"/>
      <c r="AA15" s="24">
        <v>1.05</v>
      </c>
      <c r="AB15" s="24">
        <v>0.85</v>
      </c>
      <c r="AC15" s="24">
        <v>4.5</v>
      </c>
      <c r="AD15" s="5"/>
      <c r="AE15" s="24">
        <v>1.04</v>
      </c>
      <c r="AF15" s="24">
        <v>0.85</v>
      </c>
      <c r="AG15" s="24">
        <v>5</v>
      </c>
      <c r="AH15" s="5"/>
      <c r="AI15" s="24">
        <v>1.03</v>
      </c>
      <c r="AJ15" s="24">
        <v>0.85</v>
      </c>
      <c r="AK15" s="24">
        <v>5.5</v>
      </c>
      <c r="AL15" s="5"/>
      <c r="AM15" s="24">
        <v>1.02</v>
      </c>
      <c r="AN15" s="24">
        <v>0.85</v>
      </c>
      <c r="AO15" s="24">
        <v>6</v>
      </c>
      <c r="AP15" s="5"/>
      <c r="AQ15" s="24">
        <v>1.02</v>
      </c>
      <c r="AR15" s="24">
        <v>0.85</v>
      </c>
      <c r="AS15" s="24">
        <v>6.5</v>
      </c>
      <c r="AT15" s="5"/>
      <c r="AU15" s="24">
        <v>1.02</v>
      </c>
      <c r="AV15" s="24">
        <v>0.85</v>
      </c>
      <c r="AW15" s="24">
        <v>7</v>
      </c>
      <c r="AX15" s="5"/>
      <c r="AY15" s="24">
        <v>1.02</v>
      </c>
      <c r="AZ15" s="24">
        <v>0.85</v>
      </c>
      <c r="BA15" s="24">
        <v>7.5</v>
      </c>
      <c r="BB15" s="5"/>
      <c r="BC15" s="24">
        <v>1.01</v>
      </c>
      <c r="BD15" s="24">
        <v>0.85</v>
      </c>
      <c r="BE15" s="24">
        <v>8</v>
      </c>
      <c r="BF15" s="5"/>
      <c r="BG15" s="24">
        <v>1.01</v>
      </c>
      <c r="BH15" s="24">
        <v>0.85</v>
      </c>
      <c r="BI15" s="24">
        <v>8.5</v>
      </c>
      <c r="BJ15" s="5"/>
      <c r="BK15" s="24">
        <v>1.01</v>
      </c>
      <c r="BL15" s="24">
        <v>0.85</v>
      </c>
      <c r="BM15" s="24">
        <v>9</v>
      </c>
    </row>
    <row r="16" spans="2:65">
      <c r="B16" s="24">
        <v>1.36</v>
      </c>
      <c r="C16" s="24">
        <v>0.95</v>
      </c>
      <c r="D16" s="24">
        <v>1.5</v>
      </c>
      <c r="E16" s="5"/>
      <c r="F16" s="24">
        <v>1.21</v>
      </c>
      <c r="G16" s="24">
        <v>0.95</v>
      </c>
      <c r="H16" s="24">
        <v>2</v>
      </c>
      <c r="I16" s="5"/>
      <c r="J16" s="24">
        <v>1.13</v>
      </c>
      <c r="K16" s="24">
        <v>0.95</v>
      </c>
      <c r="L16" s="24"/>
      <c r="M16" s="24">
        <v>2.5</v>
      </c>
      <c r="N16" s="5"/>
      <c r="O16" s="24">
        <v>1.09</v>
      </c>
      <c r="P16" s="24">
        <v>0.95</v>
      </c>
      <c r="Q16" s="24">
        <v>3</v>
      </c>
      <c r="R16" s="5"/>
      <c r="S16" s="24">
        <v>1.06</v>
      </c>
      <c r="T16" s="24">
        <v>0.95</v>
      </c>
      <c r="U16" s="24">
        <v>3.5</v>
      </c>
      <c r="V16" s="5"/>
      <c r="W16" s="24">
        <v>1.05</v>
      </c>
      <c r="X16" s="24">
        <v>0.95</v>
      </c>
      <c r="Y16" s="24">
        <v>4</v>
      </c>
      <c r="Z16" s="5"/>
      <c r="AA16" s="24">
        <v>1.04</v>
      </c>
      <c r="AB16" s="24">
        <v>0.95</v>
      </c>
      <c r="AC16" s="24">
        <v>4.5</v>
      </c>
      <c r="AD16" s="5"/>
      <c r="AE16" s="24">
        <v>1.03</v>
      </c>
      <c r="AF16" s="24">
        <v>0.95</v>
      </c>
      <c r="AG16" s="24">
        <v>5</v>
      </c>
      <c r="AH16" s="5"/>
      <c r="AI16" s="24">
        <v>1.02</v>
      </c>
      <c r="AJ16" s="24">
        <v>0.95</v>
      </c>
      <c r="AK16" s="24">
        <v>5.5</v>
      </c>
      <c r="AL16" s="5"/>
      <c r="AM16" s="24">
        <v>1.02</v>
      </c>
      <c r="AN16" s="24">
        <v>0.95</v>
      </c>
      <c r="AO16" s="24">
        <v>6</v>
      </c>
      <c r="AP16" s="5"/>
      <c r="AQ16" s="24">
        <v>1.02</v>
      </c>
      <c r="AR16" s="24">
        <v>0.95</v>
      </c>
      <c r="AS16" s="24">
        <v>6.5</v>
      </c>
      <c r="AT16" s="5"/>
      <c r="AU16" s="24">
        <v>1.01</v>
      </c>
      <c r="AV16" s="24">
        <v>0.95</v>
      </c>
      <c r="AW16" s="24">
        <v>7</v>
      </c>
      <c r="AX16" s="5"/>
      <c r="AY16" s="24">
        <v>1.01</v>
      </c>
      <c r="AZ16" s="24">
        <v>0.95</v>
      </c>
      <c r="BA16" s="24">
        <v>7.5</v>
      </c>
      <c r="BB16" s="5"/>
      <c r="BC16" s="24">
        <v>1.01</v>
      </c>
      <c r="BD16" s="24">
        <v>0.95</v>
      </c>
      <c r="BE16" s="24">
        <v>8</v>
      </c>
      <c r="BF16" s="5"/>
      <c r="BG16" s="24">
        <v>1.01</v>
      </c>
      <c r="BH16" s="24">
        <v>0.95</v>
      </c>
      <c r="BI16" s="24">
        <v>8.5</v>
      </c>
      <c r="BJ16" s="5"/>
      <c r="BK16" s="24">
        <v>1.01</v>
      </c>
      <c r="BL16" s="24">
        <v>0.95</v>
      </c>
      <c r="BM16" s="24">
        <v>9</v>
      </c>
    </row>
    <row r="17" spans="2:65">
      <c r="B17" s="24">
        <v>1.29</v>
      </c>
      <c r="C17" s="24">
        <v>1.05</v>
      </c>
      <c r="D17" s="24">
        <v>1.5</v>
      </c>
      <c r="E17" s="5"/>
      <c r="F17" s="24">
        <v>1.16</v>
      </c>
      <c r="G17" s="24">
        <v>1.05</v>
      </c>
      <c r="H17" s="24">
        <v>2</v>
      </c>
      <c r="I17" s="5"/>
      <c r="J17" s="24">
        <v>1.1</v>
      </c>
      <c r="K17" s="24">
        <v>1.05</v>
      </c>
      <c r="L17" s="24"/>
      <c r="M17" s="24">
        <v>2.5</v>
      </c>
      <c r="N17" s="5"/>
      <c r="O17" s="24">
        <v>1.07</v>
      </c>
      <c r="P17" s="24">
        <v>1.05</v>
      </c>
      <c r="Q17" s="24">
        <v>3</v>
      </c>
      <c r="R17" s="5"/>
      <c r="S17" s="24">
        <v>1.05</v>
      </c>
      <c r="T17" s="24">
        <v>1.05</v>
      </c>
      <c r="U17" s="24">
        <v>3.5</v>
      </c>
      <c r="V17" s="5"/>
      <c r="W17" s="24">
        <v>1.04</v>
      </c>
      <c r="X17" s="24">
        <v>1.05</v>
      </c>
      <c r="Y17" s="24">
        <v>4</v>
      </c>
      <c r="Z17" s="5"/>
      <c r="AA17" s="24">
        <v>1.03</v>
      </c>
      <c r="AB17" s="24">
        <v>1.05</v>
      </c>
      <c r="AC17" s="24">
        <v>4.5</v>
      </c>
      <c r="AD17" s="5"/>
      <c r="AE17" s="24">
        <v>1.02</v>
      </c>
      <c r="AF17" s="24">
        <v>1.05</v>
      </c>
      <c r="AG17" s="24">
        <v>5</v>
      </c>
      <c r="AH17" s="5"/>
      <c r="AI17" s="24">
        <v>1.02</v>
      </c>
      <c r="AJ17" s="24">
        <v>1.05</v>
      </c>
      <c r="AK17" s="24">
        <v>5.5</v>
      </c>
      <c r="AL17" s="5"/>
      <c r="AM17" s="24">
        <v>1.01</v>
      </c>
      <c r="AN17" s="24">
        <v>1.05</v>
      </c>
      <c r="AO17" s="24">
        <v>6</v>
      </c>
      <c r="AP17" s="5"/>
      <c r="AQ17" s="24">
        <v>1.01</v>
      </c>
      <c r="AR17" s="24">
        <v>1.05</v>
      </c>
      <c r="AS17" s="24">
        <v>6.5</v>
      </c>
      <c r="AT17" s="5"/>
      <c r="AU17" s="24">
        <v>1.01</v>
      </c>
      <c r="AV17" s="24">
        <v>1.05</v>
      </c>
      <c r="AW17" s="24">
        <v>7</v>
      </c>
      <c r="AX17" s="5"/>
      <c r="AY17" s="24">
        <v>1.01</v>
      </c>
      <c r="AZ17" s="24">
        <v>1.05</v>
      </c>
      <c r="BA17" s="24">
        <v>7.5</v>
      </c>
      <c r="BB17" s="5"/>
      <c r="BC17" s="24">
        <v>1.01</v>
      </c>
      <c r="BD17" s="24">
        <v>1.05</v>
      </c>
      <c r="BE17" s="24">
        <v>8</v>
      </c>
      <c r="BF17" s="5"/>
      <c r="BG17" s="24">
        <v>1.01</v>
      </c>
      <c r="BH17" s="24">
        <v>1.05</v>
      </c>
      <c r="BI17" s="24">
        <v>8.5</v>
      </c>
      <c r="BJ17" s="5"/>
      <c r="BK17" s="24">
        <v>1.01</v>
      </c>
      <c r="BL17" s="24">
        <v>1.05</v>
      </c>
      <c r="BM17" s="24">
        <v>9</v>
      </c>
    </row>
    <row r="18" spans="2:65">
      <c r="B18" s="24">
        <v>1.23</v>
      </c>
      <c r="C18" s="24">
        <v>1.15</v>
      </c>
      <c r="D18" s="24">
        <v>1.5</v>
      </c>
      <c r="E18" s="5"/>
      <c r="F18" s="24">
        <v>1.13</v>
      </c>
      <c r="G18" s="24">
        <v>1.15</v>
      </c>
      <c r="H18" s="24">
        <v>2</v>
      </c>
      <c r="I18" s="5"/>
      <c r="J18" s="24">
        <v>1.08</v>
      </c>
      <c r="K18" s="24">
        <v>1.15</v>
      </c>
      <c r="L18" s="24"/>
      <c r="M18" s="24">
        <v>2.5</v>
      </c>
      <c r="N18" s="5"/>
      <c r="O18" s="24">
        <v>1.05</v>
      </c>
      <c r="P18" s="24">
        <v>1.15</v>
      </c>
      <c r="Q18" s="24">
        <v>3</v>
      </c>
      <c r="R18" s="5"/>
      <c r="S18" s="24">
        <v>1.04</v>
      </c>
      <c r="T18" s="24">
        <v>1.15</v>
      </c>
      <c r="U18" s="24">
        <v>3.5</v>
      </c>
      <c r="V18" s="5"/>
      <c r="W18" s="24">
        <v>1.03</v>
      </c>
      <c r="X18" s="24">
        <v>1.15</v>
      </c>
      <c r="Y18" s="24">
        <v>4</v>
      </c>
      <c r="Z18" s="5"/>
      <c r="AA18" s="24">
        <v>1.02</v>
      </c>
      <c r="AB18" s="24">
        <v>1.15</v>
      </c>
      <c r="AC18" s="24">
        <v>4.5</v>
      </c>
      <c r="AD18" s="5"/>
      <c r="AE18" s="24">
        <v>1.02</v>
      </c>
      <c r="AF18" s="24">
        <v>1.15</v>
      </c>
      <c r="AG18" s="24">
        <v>5</v>
      </c>
      <c r="AH18" s="5"/>
      <c r="AI18" s="24">
        <v>1.01</v>
      </c>
      <c r="AJ18" s="24">
        <v>1.15</v>
      </c>
      <c r="AK18" s="24">
        <v>5.5</v>
      </c>
      <c r="AL18" s="5"/>
      <c r="AM18" s="24">
        <v>1.01</v>
      </c>
      <c r="AN18" s="24">
        <v>1.15</v>
      </c>
      <c r="AO18" s="24">
        <v>6</v>
      </c>
      <c r="AP18" s="5"/>
      <c r="AQ18" s="24">
        <v>1.01</v>
      </c>
      <c r="AR18" s="24">
        <v>1.15</v>
      </c>
      <c r="AS18" s="24">
        <v>6.5</v>
      </c>
      <c r="AT18" s="5"/>
      <c r="AU18" s="24">
        <v>1.01</v>
      </c>
      <c r="AV18" s="24">
        <v>1.15</v>
      </c>
      <c r="AW18" s="24">
        <v>7</v>
      </c>
      <c r="AX18" s="5"/>
      <c r="AY18" s="24">
        <v>1.01</v>
      </c>
      <c r="AZ18" s="24">
        <v>1.15</v>
      </c>
      <c r="BA18" s="24">
        <v>7.5</v>
      </c>
      <c r="BB18" s="5"/>
      <c r="BC18" s="24">
        <v>1.01</v>
      </c>
      <c r="BD18" s="24">
        <v>1.15</v>
      </c>
      <c r="BE18" s="24">
        <v>8</v>
      </c>
      <c r="BF18" s="5"/>
      <c r="BG18" s="24">
        <v>1.01</v>
      </c>
      <c r="BH18" s="24">
        <v>1.15</v>
      </c>
      <c r="BI18" s="24">
        <v>8.5</v>
      </c>
      <c r="BJ18" s="5"/>
      <c r="BK18" s="24">
        <v>1.01</v>
      </c>
      <c r="BL18" s="24">
        <v>1.15</v>
      </c>
      <c r="BM18" s="24">
        <v>9</v>
      </c>
    </row>
    <row r="19" spans="2:65">
      <c r="B19" s="24">
        <v>1.19</v>
      </c>
      <c r="C19" s="24">
        <v>1.25</v>
      </c>
      <c r="D19" s="24">
        <v>1.5</v>
      </c>
      <c r="E19" s="5"/>
      <c r="F19" s="24">
        <v>1.11</v>
      </c>
      <c r="G19" s="24">
        <v>1.25</v>
      </c>
      <c r="H19" s="24">
        <v>2</v>
      </c>
      <c r="I19" s="5"/>
      <c r="J19" s="24">
        <v>1.07</v>
      </c>
      <c r="K19" s="24">
        <v>1.25</v>
      </c>
      <c r="L19" s="24"/>
      <c r="M19" s="24">
        <v>2.5</v>
      </c>
      <c r="N19" s="5"/>
      <c r="O19" s="24">
        <v>1.04</v>
      </c>
      <c r="P19" s="24">
        <v>1.25</v>
      </c>
      <c r="Q19" s="24">
        <v>3</v>
      </c>
      <c r="R19" s="5"/>
      <c r="S19" s="24">
        <v>1.03</v>
      </c>
      <c r="T19" s="24">
        <v>1.25</v>
      </c>
      <c r="U19" s="24">
        <v>3.5</v>
      </c>
      <c r="V19" s="5"/>
      <c r="W19" s="24">
        <v>1.02</v>
      </c>
      <c r="X19" s="24">
        <v>1.25</v>
      </c>
      <c r="Y19" s="24">
        <v>4</v>
      </c>
      <c r="Z19" s="5"/>
      <c r="AA19" s="24">
        <v>1.02</v>
      </c>
      <c r="AB19" s="24">
        <v>1.25</v>
      </c>
      <c r="AC19" s="24">
        <v>4.5</v>
      </c>
      <c r="AD19" s="5"/>
      <c r="AE19" s="24">
        <v>1.01</v>
      </c>
      <c r="AF19" s="24">
        <v>1.25</v>
      </c>
      <c r="AG19" s="24">
        <v>5</v>
      </c>
      <c r="AH19" s="5"/>
      <c r="AI19" s="24">
        <v>1.01</v>
      </c>
      <c r="AJ19" s="24">
        <v>1.25</v>
      </c>
      <c r="AK19" s="24">
        <v>5.5</v>
      </c>
      <c r="AL19" s="5"/>
      <c r="AM19" s="24">
        <v>1.01</v>
      </c>
      <c r="AN19" s="24">
        <v>1.25</v>
      </c>
      <c r="AO19" s="24">
        <v>6</v>
      </c>
      <c r="AP19" s="5"/>
      <c r="AQ19" s="24">
        <v>1.01</v>
      </c>
      <c r="AR19" s="24">
        <v>1.25</v>
      </c>
      <c r="AS19" s="24">
        <v>6.5</v>
      </c>
      <c r="AT19" s="5"/>
      <c r="AU19" s="24">
        <v>1.01</v>
      </c>
      <c r="AV19" s="24">
        <v>1.25</v>
      </c>
      <c r="AW19" s="24">
        <v>7</v>
      </c>
      <c r="AX19" s="5"/>
      <c r="AY19" s="24">
        <v>1.01</v>
      </c>
      <c r="AZ19" s="24">
        <v>1.25</v>
      </c>
      <c r="BA19" s="24">
        <v>7.5</v>
      </c>
      <c r="BB19" s="5"/>
      <c r="BC19" s="24">
        <v>1.01</v>
      </c>
      <c r="BD19" s="24">
        <v>1.25</v>
      </c>
      <c r="BE19" s="24">
        <v>8</v>
      </c>
      <c r="BF19" s="5"/>
      <c r="BG19" s="24">
        <v>1</v>
      </c>
      <c r="BH19" s="24">
        <v>1.25</v>
      </c>
      <c r="BI19" s="24">
        <v>8.5</v>
      </c>
      <c r="BJ19" s="5"/>
      <c r="BK19" s="24">
        <v>1</v>
      </c>
      <c r="BL19" s="24">
        <v>1.25</v>
      </c>
      <c r="BM19" s="24">
        <v>9</v>
      </c>
    </row>
    <row r="20" spans="2:65">
      <c r="B20" s="24">
        <v>1.16</v>
      </c>
      <c r="C20" s="24">
        <v>1.35</v>
      </c>
      <c r="D20" s="24">
        <v>1.5</v>
      </c>
      <c r="E20" s="5"/>
      <c r="F20" s="24">
        <v>1.09</v>
      </c>
      <c r="G20" s="24">
        <v>1.35</v>
      </c>
      <c r="H20" s="24">
        <v>2</v>
      </c>
      <c r="I20" s="5"/>
      <c r="J20" s="24">
        <v>1.05</v>
      </c>
      <c r="K20" s="24">
        <v>1.35</v>
      </c>
      <c r="L20" s="24"/>
      <c r="M20" s="24">
        <v>2.5</v>
      </c>
      <c r="N20" s="5"/>
      <c r="O20" s="24">
        <v>1.04</v>
      </c>
      <c r="P20" s="24">
        <v>1.35</v>
      </c>
      <c r="Q20" s="24">
        <v>3</v>
      </c>
      <c r="R20" s="5"/>
      <c r="S20" s="24">
        <v>1.03</v>
      </c>
      <c r="T20" s="24">
        <v>1.35</v>
      </c>
      <c r="U20" s="24">
        <v>3.5</v>
      </c>
      <c r="V20" s="5"/>
      <c r="W20" s="24">
        <v>1.02</v>
      </c>
      <c r="X20" s="24">
        <v>1.35</v>
      </c>
      <c r="Y20" s="24">
        <v>4</v>
      </c>
      <c r="Z20" s="5"/>
      <c r="AA20" s="24">
        <v>1.02</v>
      </c>
      <c r="AB20" s="24">
        <v>1.35</v>
      </c>
      <c r="AC20" s="24">
        <v>4.5</v>
      </c>
      <c r="AD20" s="5"/>
      <c r="AE20" s="24">
        <v>1.01</v>
      </c>
      <c r="AF20" s="24">
        <v>1.35</v>
      </c>
      <c r="AG20" s="24">
        <v>5</v>
      </c>
      <c r="AH20" s="5"/>
      <c r="AI20" s="24">
        <v>1.01</v>
      </c>
      <c r="AJ20" s="24">
        <v>1.35</v>
      </c>
      <c r="AK20" s="24">
        <v>5.5</v>
      </c>
      <c r="AL20" s="5"/>
      <c r="AM20" s="24">
        <v>1.01</v>
      </c>
      <c r="AN20" s="24">
        <v>1.35</v>
      </c>
      <c r="AO20" s="24">
        <v>6</v>
      </c>
      <c r="AP20" s="5"/>
      <c r="AQ20" s="24">
        <v>1.01</v>
      </c>
      <c r="AR20" s="24">
        <v>1.35</v>
      </c>
      <c r="AS20" s="24">
        <v>6.5</v>
      </c>
      <c r="AT20" s="5"/>
      <c r="AU20" s="24">
        <v>1.01</v>
      </c>
      <c r="AV20" s="24">
        <v>1.35</v>
      </c>
      <c r="AW20" s="24">
        <v>7</v>
      </c>
      <c r="AX20" s="5"/>
      <c r="AY20" s="24">
        <v>1.01</v>
      </c>
      <c r="AZ20" s="24">
        <v>1.35</v>
      </c>
      <c r="BA20" s="24">
        <v>7.5</v>
      </c>
      <c r="BB20" s="5"/>
      <c r="BC20" s="24">
        <v>1</v>
      </c>
      <c r="BD20" s="24">
        <v>1.35</v>
      </c>
      <c r="BE20" s="24">
        <v>8</v>
      </c>
      <c r="BF20" s="5"/>
      <c r="BG20" s="24">
        <v>1</v>
      </c>
      <c r="BH20" s="24">
        <v>1.35</v>
      </c>
      <c r="BI20" s="24">
        <v>8.5</v>
      </c>
      <c r="BJ20" s="5"/>
      <c r="BK20" s="24">
        <v>1</v>
      </c>
      <c r="BL20" s="24">
        <v>1.35</v>
      </c>
      <c r="BM20" s="24">
        <v>9</v>
      </c>
    </row>
    <row r="21" spans="2:65">
      <c r="B21" s="24">
        <v>1.13</v>
      </c>
      <c r="C21" s="24">
        <v>1.45</v>
      </c>
      <c r="D21" s="24">
        <v>1.5</v>
      </c>
      <c r="E21" s="5"/>
      <c r="F21" s="24">
        <v>1.07</v>
      </c>
      <c r="G21" s="24">
        <v>1.45</v>
      </c>
      <c r="H21" s="24">
        <v>2</v>
      </c>
      <c r="I21" s="5"/>
      <c r="J21" s="24">
        <v>1.05</v>
      </c>
      <c r="K21" s="24">
        <v>1.45</v>
      </c>
      <c r="L21" s="24"/>
      <c r="M21" s="24">
        <v>2.5</v>
      </c>
      <c r="N21" s="5"/>
      <c r="O21" s="24">
        <v>1.03</v>
      </c>
      <c r="P21" s="24">
        <v>1.45</v>
      </c>
      <c r="Q21" s="24">
        <v>3</v>
      </c>
      <c r="R21" s="5"/>
      <c r="S21" s="24">
        <v>1.02</v>
      </c>
      <c r="T21" s="24">
        <v>1.45</v>
      </c>
      <c r="U21" s="24">
        <v>3.5</v>
      </c>
      <c r="V21" s="5"/>
      <c r="W21" s="24">
        <v>1.02</v>
      </c>
      <c r="X21" s="24">
        <v>1.45</v>
      </c>
      <c r="Y21" s="24">
        <v>4</v>
      </c>
      <c r="Z21" s="5"/>
      <c r="AA21" s="24">
        <v>1.01</v>
      </c>
      <c r="AB21" s="24">
        <v>1.45</v>
      </c>
      <c r="AC21" s="24">
        <v>4.5</v>
      </c>
      <c r="AD21" s="5"/>
      <c r="AE21" s="24">
        <v>1.01</v>
      </c>
      <c r="AF21" s="24">
        <v>1.45</v>
      </c>
      <c r="AG21" s="24">
        <v>5</v>
      </c>
      <c r="AH21" s="5"/>
      <c r="AI21" s="24">
        <v>1.01</v>
      </c>
      <c r="AJ21" s="24">
        <v>1.45</v>
      </c>
      <c r="AK21" s="24">
        <v>5.5</v>
      </c>
      <c r="AL21" s="5"/>
      <c r="AM21" s="24">
        <v>1.01</v>
      </c>
      <c r="AN21" s="24">
        <v>1.45</v>
      </c>
      <c r="AO21" s="24">
        <v>6</v>
      </c>
      <c r="AP21" s="5"/>
      <c r="AQ21" s="24">
        <v>1.01</v>
      </c>
      <c r="AR21" s="24">
        <v>1.45</v>
      </c>
      <c r="AS21" s="24">
        <v>6.5</v>
      </c>
      <c r="AT21" s="5"/>
      <c r="AU21" s="24">
        <v>1.01</v>
      </c>
      <c r="AV21" s="24">
        <v>1.45</v>
      </c>
      <c r="AW21" s="24">
        <v>7</v>
      </c>
      <c r="AX21" s="5"/>
      <c r="AY21" s="24">
        <v>1</v>
      </c>
      <c r="AZ21" s="24">
        <v>1.45</v>
      </c>
      <c r="BA21" s="24">
        <v>7.5</v>
      </c>
      <c r="BB21" s="5"/>
      <c r="BC21" s="24">
        <v>1</v>
      </c>
      <c r="BD21" s="24">
        <v>1.45</v>
      </c>
      <c r="BE21" s="24">
        <v>8</v>
      </c>
      <c r="BF21" s="5"/>
      <c r="BG21" s="24">
        <v>1</v>
      </c>
      <c r="BH21" s="24">
        <v>1.45</v>
      </c>
      <c r="BI21" s="24">
        <v>8.5</v>
      </c>
      <c r="BJ21" s="5"/>
      <c r="BK21" s="24">
        <v>1</v>
      </c>
      <c r="BL21" s="24">
        <v>1.45</v>
      </c>
      <c r="BM21" s="24">
        <v>9</v>
      </c>
    </row>
    <row r="22" spans="2:65">
      <c r="B22" s="24">
        <v>1.11</v>
      </c>
      <c r="C22" s="24">
        <v>1.55</v>
      </c>
      <c r="D22" s="24">
        <v>1.5</v>
      </c>
      <c r="E22" s="5"/>
      <c r="F22" s="24">
        <v>1.06</v>
      </c>
      <c r="G22" s="24">
        <v>1.55</v>
      </c>
      <c r="H22" s="24">
        <v>2</v>
      </c>
      <c r="I22" s="5"/>
      <c r="J22" s="24">
        <v>1.04</v>
      </c>
      <c r="K22" s="24">
        <v>1.55</v>
      </c>
      <c r="L22" s="24"/>
      <c r="M22" s="24">
        <v>2.5</v>
      </c>
      <c r="N22" s="5"/>
      <c r="O22" s="24">
        <v>1.03</v>
      </c>
      <c r="P22" s="24">
        <v>1.55</v>
      </c>
      <c r="Q22" s="24">
        <v>3</v>
      </c>
      <c r="R22" s="5"/>
      <c r="S22" s="24">
        <v>1.02</v>
      </c>
      <c r="T22" s="24">
        <v>1.55</v>
      </c>
      <c r="U22" s="24">
        <v>3.5</v>
      </c>
      <c r="V22" s="5"/>
      <c r="W22" s="24">
        <v>1.01</v>
      </c>
      <c r="X22" s="24">
        <v>1.55</v>
      </c>
      <c r="Y22" s="24">
        <v>4</v>
      </c>
      <c r="Z22" s="5"/>
      <c r="AA22" s="24">
        <v>1.01</v>
      </c>
      <c r="AB22" s="24">
        <v>1.55</v>
      </c>
      <c r="AC22" s="24">
        <v>4.5</v>
      </c>
      <c r="AD22" s="5"/>
      <c r="AE22" s="24">
        <v>1.01</v>
      </c>
      <c r="AF22" s="24">
        <v>1.55</v>
      </c>
      <c r="AG22" s="24">
        <v>5</v>
      </c>
      <c r="AH22" s="5"/>
      <c r="AI22" s="24">
        <v>1.01</v>
      </c>
      <c r="AJ22" s="24">
        <v>1.55</v>
      </c>
      <c r="AK22" s="24">
        <v>5.5</v>
      </c>
      <c r="AL22" s="5"/>
      <c r="AM22" s="24">
        <v>1.01</v>
      </c>
      <c r="AN22" s="24">
        <v>1.55</v>
      </c>
      <c r="AO22" s="24">
        <v>6</v>
      </c>
      <c r="AP22" s="5"/>
      <c r="AQ22" s="24">
        <v>1.01</v>
      </c>
      <c r="AR22" s="24">
        <v>1.55</v>
      </c>
      <c r="AS22" s="24">
        <v>6.5</v>
      </c>
      <c r="AT22" s="5"/>
      <c r="AU22" s="24">
        <v>1</v>
      </c>
      <c r="AV22" s="24">
        <v>1.55</v>
      </c>
      <c r="AW22" s="24">
        <v>7</v>
      </c>
      <c r="AX22" s="5"/>
      <c r="AY22" s="24">
        <v>1</v>
      </c>
      <c r="AZ22" s="24">
        <v>1.55</v>
      </c>
      <c r="BA22" s="24">
        <v>7.5</v>
      </c>
      <c r="BB22" s="5"/>
      <c r="BC22" s="24">
        <v>1</v>
      </c>
      <c r="BD22" s="24">
        <v>1.55</v>
      </c>
      <c r="BE22" s="24">
        <v>8</v>
      </c>
      <c r="BF22" s="5"/>
      <c r="BG22" s="24">
        <v>1</v>
      </c>
      <c r="BH22" s="24">
        <v>1.55</v>
      </c>
      <c r="BI22" s="24">
        <v>8.5</v>
      </c>
      <c r="BJ22" s="5"/>
      <c r="BK22" s="24">
        <v>1</v>
      </c>
      <c r="BL22" s="24">
        <v>1.55</v>
      </c>
      <c r="BM22" s="24">
        <v>9</v>
      </c>
    </row>
    <row r="23" spans="19:81">
      <c r="S23" s="26"/>
      <c r="T23" s="26"/>
      <c r="U23" s="26"/>
      <c r="W23" s="27"/>
      <c r="X23" s="27"/>
      <c r="Y23" s="27"/>
      <c r="AA23" s="26"/>
      <c r="AB23" s="26"/>
      <c r="AC23" s="26"/>
      <c r="AE23" s="26"/>
      <c r="AF23" s="26"/>
      <c r="AG23" s="26"/>
      <c r="AI23" s="26"/>
      <c r="AJ23" s="26"/>
      <c r="AK23" s="26"/>
      <c r="AM23" s="26"/>
      <c r="AN23" s="26"/>
      <c r="AO23" s="26"/>
      <c r="AQ23" s="26"/>
      <c r="AR23" s="26"/>
      <c r="AS23" s="26"/>
      <c r="AU23" s="26"/>
      <c r="AV23" s="26"/>
      <c r="AW23" s="26"/>
      <c r="AY23" s="26"/>
      <c r="AZ23" s="26"/>
      <c r="BA23" s="26"/>
      <c r="BC23" s="26"/>
      <c r="BD23" s="26"/>
      <c r="BE23" s="26"/>
      <c r="BG23" s="26"/>
      <c r="BH23" s="26"/>
      <c r="BI23" s="26"/>
      <c r="BK23" s="26"/>
      <c r="BL23" s="26"/>
      <c r="BM23" s="26"/>
      <c r="BO23" s="26"/>
      <c r="BP23" s="26"/>
      <c r="BQ23" s="26"/>
      <c r="BS23" s="26"/>
      <c r="BT23" s="26"/>
      <c r="BU23" s="26"/>
      <c r="BW23" s="26"/>
      <c r="BX23" s="26"/>
      <c r="BY23" s="26"/>
      <c r="CA23" s="26"/>
      <c r="CB23" s="26"/>
      <c r="CC23" s="26"/>
    </row>
    <row r="24" spans="19:81">
      <c r="S24" s="26"/>
      <c r="T24" s="26"/>
      <c r="U24" s="26"/>
      <c r="W24" s="27"/>
      <c r="X24" s="27"/>
      <c r="Y24" s="27"/>
      <c r="AA24" s="26"/>
      <c r="AB24" s="26"/>
      <c r="AC24" s="26"/>
      <c r="AE24" s="26"/>
      <c r="AF24" s="26"/>
      <c r="AG24" s="26"/>
      <c r="AI24" s="26"/>
      <c r="AJ24" s="26"/>
      <c r="AK24" s="26"/>
      <c r="AM24" s="26"/>
      <c r="AN24" s="26"/>
      <c r="AO24" s="26"/>
      <c r="AQ24" s="26"/>
      <c r="AR24" s="26"/>
      <c r="AS24" s="26"/>
      <c r="AU24" s="26"/>
      <c r="AV24" s="26"/>
      <c r="AW24" s="26"/>
      <c r="AY24" s="26"/>
      <c r="AZ24" s="26"/>
      <c r="BA24" s="26"/>
      <c r="BC24" s="26"/>
      <c r="BD24" s="26"/>
      <c r="BE24" s="26"/>
      <c r="BG24" s="26"/>
      <c r="BH24" s="26"/>
      <c r="BI24" s="26"/>
      <c r="BK24" s="26"/>
      <c r="BL24" s="26"/>
      <c r="BM24" s="26"/>
      <c r="BO24" s="26"/>
      <c r="BP24" s="26"/>
      <c r="BQ24" s="26"/>
      <c r="BS24" s="26"/>
      <c r="BT24" s="26"/>
      <c r="BU24" s="26"/>
      <c r="BW24" s="26"/>
      <c r="BX24" s="26"/>
      <c r="BY24" s="26"/>
      <c r="CA24" s="26"/>
      <c r="CB24" s="26"/>
      <c r="CC24" s="26"/>
    </row>
    <row r="25" spans="19:81">
      <c r="S25" s="26"/>
      <c r="T25" s="26"/>
      <c r="U25" s="26"/>
      <c r="W25" s="27"/>
      <c r="X25" s="27"/>
      <c r="Y25" s="27"/>
      <c r="AA25" s="26"/>
      <c r="AB25" s="26"/>
      <c r="AC25" s="26"/>
      <c r="AE25" s="26"/>
      <c r="AF25" s="26"/>
      <c r="AG25" s="26"/>
      <c r="AI25" s="26"/>
      <c r="AJ25" s="26"/>
      <c r="AK25" s="26"/>
      <c r="AM25" s="26"/>
      <c r="AN25" s="26"/>
      <c r="AO25" s="26"/>
      <c r="AQ25" s="26"/>
      <c r="AR25" s="26"/>
      <c r="AS25" s="26"/>
      <c r="AU25" s="26"/>
      <c r="AV25" s="26"/>
      <c r="AW25" s="26"/>
      <c r="AY25" s="26"/>
      <c r="AZ25" s="26"/>
      <c r="BA25" s="26"/>
      <c r="BC25" s="26"/>
      <c r="BD25" s="26"/>
      <c r="BE25" s="26"/>
      <c r="BG25" s="26"/>
      <c r="BH25" s="26"/>
      <c r="BI25" s="26"/>
      <c r="BK25" s="26"/>
      <c r="BL25" s="26"/>
      <c r="BM25" s="26"/>
      <c r="BO25" s="26"/>
      <c r="BP25" s="26"/>
      <c r="BQ25" s="26"/>
      <c r="BS25" s="26"/>
      <c r="BT25" s="26"/>
      <c r="BU25" s="26"/>
      <c r="BW25" s="26"/>
      <c r="BX25" s="26"/>
      <c r="BY25" s="26"/>
      <c r="CA25" s="26"/>
      <c r="CB25" s="26"/>
      <c r="CC25" s="26"/>
    </row>
    <row r="26" spans="19:81">
      <c r="S26" s="26"/>
      <c r="T26" s="26"/>
      <c r="U26" s="26"/>
      <c r="W26" s="27"/>
      <c r="X26" s="27"/>
      <c r="Y26" s="27"/>
      <c r="AA26" s="26"/>
      <c r="AB26" s="26"/>
      <c r="AC26" s="26"/>
      <c r="AE26" s="26"/>
      <c r="AF26" s="26"/>
      <c r="AG26" s="26"/>
      <c r="AI26" s="26"/>
      <c r="AJ26" s="26"/>
      <c r="AK26" s="26"/>
      <c r="AM26" s="26"/>
      <c r="AN26" s="26"/>
      <c r="AO26" s="26"/>
      <c r="AQ26" s="26"/>
      <c r="AR26" s="26"/>
      <c r="AS26" s="26"/>
      <c r="AU26" s="26"/>
      <c r="AV26" s="26"/>
      <c r="AW26" s="26"/>
      <c r="AY26" s="26"/>
      <c r="AZ26" s="26"/>
      <c r="BA26" s="26"/>
      <c r="BC26" s="26"/>
      <c r="BD26" s="26"/>
      <c r="BE26" s="26"/>
      <c r="BG26" s="26"/>
      <c r="BH26" s="26"/>
      <c r="BI26" s="26"/>
      <c r="BK26" s="26"/>
      <c r="BL26" s="26"/>
      <c r="BM26" s="26"/>
      <c r="BO26" s="26"/>
      <c r="BP26" s="26"/>
      <c r="BQ26" s="26"/>
      <c r="BS26" s="26"/>
      <c r="BT26" s="26"/>
      <c r="BU26" s="26"/>
      <c r="BW26" s="26"/>
      <c r="BX26" s="26"/>
      <c r="BY26" s="26"/>
      <c r="CA26" s="26"/>
      <c r="CB26" s="26"/>
      <c r="CC26" s="26"/>
    </row>
    <row r="27" spans="19:81">
      <c r="S27" s="26"/>
      <c r="T27" s="26"/>
      <c r="U27" s="26"/>
      <c r="W27" s="27"/>
      <c r="X27" s="27"/>
      <c r="Y27" s="27"/>
      <c r="AA27" s="26"/>
      <c r="AB27" s="26"/>
      <c r="AC27" s="26"/>
      <c r="AE27" s="26"/>
      <c r="AF27" s="26"/>
      <c r="AG27" s="26"/>
      <c r="AI27" s="26"/>
      <c r="AJ27" s="26"/>
      <c r="AK27" s="26"/>
      <c r="AM27" s="26"/>
      <c r="AN27" s="26"/>
      <c r="AO27" s="26"/>
      <c r="AQ27" s="26"/>
      <c r="AR27" s="26"/>
      <c r="AS27" s="26"/>
      <c r="AU27" s="26"/>
      <c r="AV27" s="26"/>
      <c r="AW27" s="26"/>
      <c r="AY27" s="26"/>
      <c r="AZ27" s="26"/>
      <c r="BA27" s="26"/>
      <c r="BC27" s="26"/>
      <c r="BD27" s="26"/>
      <c r="BE27" s="26"/>
      <c r="BG27" s="26"/>
      <c r="BH27" s="26"/>
      <c r="BI27" s="26"/>
      <c r="BK27" s="26"/>
      <c r="BL27" s="26"/>
      <c r="BM27" s="26"/>
      <c r="BO27" s="26"/>
      <c r="BP27" s="26"/>
      <c r="BQ27" s="26"/>
      <c r="BS27" s="26"/>
      <c r="BT27" s="26"/>
      <c r="BU27" s="26"/>
      <c r="BW27" s="26"/>
      <c r="BX27" s="26"/>
      <c r="BY27" s="26"/>
      <c r="CA27" s="26"/>
      <c r="CB27" s="26"/>
      <c r="CC27" s="26"/>
    </row>
    <row r="28" spans="19:81">
      <c r="S28" s="26"/>
      <c r="T28" s="26"/>
      <c r="U28" s="26"/>
      <c r="W28" s="27"/>
      <c r="X28" s="27"/>
      <c r="Y28" s="27"/>
      <c r="AA28" s="26"/>
      <c r="AB28" s="26"/>
      <c r="AC28" s="26"/>
      <c r="AE28" s="26"/>
      <c r="AF28" s="26"/>
      <c r="AG28" s="26"/>
      <c r="AI28" s="26"/>
      <c r="AJ28" s="26"/>
      <c r="AK28" s="26"/>
      <c r="AM28" s="26"/>
      <c r="AN28" s="26"/>
      <c r="AO28" s="26"/>
      <c r="AQ28" s="26"/>
      <c r="AR28" s="26"/>
      <c r="AS28" s="26"/>
      <c r="AU28" s="26"/>
      <c r="AV28" s="26"/>
      <c r="AW28" s="26"/>
      <c r="AY28" s="26"/>
      <c r="AZ28" s="26"/>
      <c r="BA28" s="26"/>
      <c r="BC28" s="26"/>
      <c r="BD28" s="26"/>
      <c r="BE28" s="26"/>
      <c r="BG28" s="26"/>
      <c r="BH28" s="26"/>
      <c r="BI28" s="26"/>
      <c r="BK28" s="26"/>
      <c r="BL28" s="26"/>
      <c r="BM28" s="26"/>
      <c r="BO28" s="26"/>
      <c r="BP28" s="26"/>
      <c r="BQ28" s="26"/>
      <c r="BS28" s="26"/>
      <c r="BT28" s="26"/>
      <c r="BU28" s="26"/>
      <c r="BW28" s="26"/>
      <c r="BX28" s="26"/>
      <c r="BY28" s="26"/>
      <c r="CA28" s="26"/>
      <c r="CB28" s="26"/>
      <c r="CC28" s="26"/>
    </row>
    <row r="29" spans="19:81">
      <c r="S29" s="26"/>
      <c r="T29" s="26"/>
      <c r="U29" s="26"/>
      <c r="W29" s="27"/>
      <c r="X29" s="27"/>
      <c r="Y29" s="27"/>
      <c r="AA29" s="26"/>
      <c r="AB29" s="26"/>
      <c r="AC29" s="26"/>
      <c r="AE29" s="26"/>
      <c r="AF29" s="26"/>
      <c r="AG29" s="26"/>
      <c r="AI29" s="26"/>
      <c r="AJ29" s="26"/>
      <c r="AK29" s="26"/>
      <c r="AM29" s="26"/>
      <c r="AN29" s="26"/>
      <c r="AO29" s="26"/>
      <c r="AQ29" s="26"/>
      <c r="AR29" s="26"/>
      <c r="AS29" s="26"/>
      <c r="AU29" s="26"/>
      <c r="AV29" s="26"/>
      <c r="AW29" s="26"/>
      <c r="AY29" s="26"/>
      <c r="AZ29" s="26"/>
      <c r="BA29" s="26"/>
      <c r="BC29" s="26"/>
      <c r="BD29" s="26"/>
      <c r="BE29" s="26"/>
      <c r="BG29" s="26"/>
      <c r="BH29" s="26"/>
      <c r="BI29" s="26"/>
      <c r="BK29" s="26"/>
      <c r="BL29" s="26"/>
      <c r="BM29" s="26"/>
      <c r="BO29" s="26"/>
      <c r="BP29" s="26"/>
      <c r="BQ29" s="26"/>
      <c r="BS29" s="26"/>
      <c r="BT29" s="26"/>
      <c r="BU29" s="26"/>
      <c r="BW29" s="26"/>
      <c r="BX29" s="26"/>
      <c r="BY29" s="26"/>
      <c r="CA29" s="26"/>
      <c r="CB29" s="26"/>
      <c r="CC29" s="26"/>
    </row>
    <row r="30" spans="19:81">
      <c r="S30" s="26"/>
      <c r="T30" s="26"/>
      <c r="U30" s="26"/>
      <c r="W30" s="27"/>
      <c r="X30" s="27"/>
      <c r="Y30" s="27"/>
      <c r="AA30" s="26"/>
      <c r="AB30" s="26"/>
      <c r="AC30" s="26"/>
      <c r="AE30" s="26"/>
      <c r="AF30" s="26"/>
      <c r="AG30" s="26"/>
      <c r="AI30" s="26"/>
      <c r="AJ30" s="26"/>
      <c r="AK30" s="26"/>
      <c r="AM30" s="26"/>
      <c r="AN30" s="26"/>
      <c r="AO30" s="26"/>
      <c r="AQ30" s="26"/>
      <c r="AR30" s="26"/>
      <c r="AS30" s="26"/>
      <c r="AU30" s="26"/>
      <c r="AV30" s="26"/>
      <c r="AW30" s="26"/>
      <c r="AY30" s="26"/>
      <c r="AZ30" s="26"/>
      <c r="BA30" s="26"/>
      <c r="BC30" s="26"/>
      <c r="BD30" s="26"/>
      <c r="BE30" s="26"/>
      <c r="BG30" s="26"/>
      <c r="BH30" s="26"/>
      <c r="BI30" s="26"/>
      <c r="BK30" s="26"/>
      <c r="BL30" s="26"/>
      <c r="BM30" s="26"/>
      <c r="BO30" s="26"/>
      <c r="BP30" s="26"/>
      <c r="BQ30" s="26"/>
      <c r="BS30" s="26"/>
      <c r="BT30" s="26"/>
      <c r="BU30" s="26"/>
      <c r="BW30" s="26"/>
      <c r="BX30" s="26"/>
      <c r="BY30" s="26"/>
      <c r="CA30" s="26"/>
      <c r="CB30" s="26"/>
      <c r="CC30" s="26"/>
    </row>
    <row r="31" spans="19:81">
      <c r="S31" s="26"/>
      <c r="T31" s="26"/>
      <c r="U31" s="26"/>
      <c r="W31" s="27"/>
      <c r="X31" s="27"/>
      <c r="Y31" s="27"/>
      <c r="AA31" s="26"/>
      <c r="AB31" s="26"/>
      <c r="AC31" s="26"/>
      <c r="AE31" s="26"/>
      <c r="AF31" s="26"/>
      <c r="AG31" s="26"/>
      <c r="AI31" s="26"/>
      <c r="AJ31" s="26"/>
      <c r="AK31" s="26"/>
      <c r="AM31" s="26"/>
      <c r="AN31" s="26"/>
      <c r="AO31" s="26"/>
      <c r="AQ31" s="26"/>
      <c r="AR31" s="26"/>
      <c r="AS31" s="26"/>
      <c r="AU31" s="26"/>
      <c r="AV31" s="26"/>
      <c r="AW31" s="26"/>
      <c r="AY31" s="26"/>
      <c r="AZ31" s="26"/>
      <c r="BA31" s="26"/>
      <c r="BC31" s="26"/>
      <c r="BD31" s="26"/>
      <c r="BE31" s="26"/>
      <c r="BG31" s="26"/>
      <c r="BH31" s="26"/>
      <c r="BI31" s="26"/>
      <c r="BK31" s="26"/>
      <c r="BL31" s="26"/>
      <c r="BM31" s="26"/>
      <c r="BO31" s="26"/>
      <c r="BP31" s="26"/>
      <c r="BQ31" s="26"/>
      <c r="BS31" s="26"/>
      <c r="BT31" s="26"/>
      <c r="BU31" s="26"/>
      <c r="BW31" s="26"/>
      <c r="BX31" s="26"/>
      <c r="BY31" s="26"/>
      <c r="CA31" s="26"/>
      <c r="CB31" s="26"/>
      <c r="CC31" s="26"/>
    </row>
    <row r="32" spans="19:81">
      <c r="S32" s="26"/>
      <c r="T32" s="26"/>
      <c r="U32" s="26"/>
      <c r="W32" s="27"/>
      <c r="X32" s="27"/>
      <c r="Y32" s="27"/>
      <c r="AA32" s="26"/>
      <c r="AB32" s="26"/>
      <c r="AC32" s="26"/>
      <c r="AE32" s="26"/>
      <c r="AF32" s="26"/>
      <c r="AG32" s="26"/>
      <c r="AI32" s="26"/>
      <c r="AJ32" s="26"/>
      <c r="AK32" s="26"/>
      <c r="AM32" s="26"/>
      <c r="AN32" s="26"/>
      <c r="AO32" s="26"/>
      <c r="AQ32" s="26"/>
      <c r="AR32" s="26"/>
      <c r="AS32" s="26"/>
      <c r="AU32" s="26"/>
      <c r="AV32" s="26"/>
      <c r="AW32" s="26"/>
      <c r="AY32" s="26"/>
      <c r="AZ32" s="26"/>
      <c r="BA32" s="26"/>
      <c r="BC32" s="26"/>
      <c r="BD32" s="26"/>
      <c r="BE32" s="26"/>
      <c r="BG32" s="26"/>
      <c r="BH32" s="26"/>
      <c r="BI32" s="26"/>
      <c r="BK32" s="26"/>
      <c r="BL32" s="26"/>
      <c r="BM32" s="26"/>
      <c r="BO32" s="26"/>
      <c r="BP32" s="26"/>
      <c r="BQ32" s="26"/>
      <c r="BS32" s="26"/>
      <c r="BT32" s="26"/>
      <c r="BU32" s="26"/>
      <c r="BW32" s="26"/>
      <c r="BX32" s="26"/>
      <c r="BY32" s="26"/>
      <c r="CA32" s="26"/>
      <c r="CB32" s="26"/>
      <c r="CC32" s="26"/>
    </row>
    <row r="33" spans="19:81">
      <c r="S33" s="26"/>
      <c r="T33" s="26"/>
      <c r="U33" s="26"/>
      <c r="W33" s="27"/>
      <c r="X33" s="27"/>
      <c r="Y33" s="27"/>
      <c r="AA33" s="26"/>
      <c r="AB33" s="26"/>
      <c r="AC33" s="26"/>
      <c r="AE33" s="26"/>
      <c r="AF33" s="26"/>
      <c r="AG33" s="26"/>
      <c r="AI33" s="26"/>
      <c r="AJ33" s="26"/>
      <c r="AK33" s="26"/>
      <c r="AM33" s="26"/>
      <c r="AN33" s="26"/>
      <c r="AO33" s="26"/>
      <c r="AQ33" s="26"/>
      <c r="AR33" s="26"/>
      <c r="AS33" s="26"/>
      <c r="AU33" s="26"/>
      <c r="AV33" s="26"/>
      <c r="AW33" s="26"/>
      <c r="AY33" s="26"/>
      <c r="AZ33" s="26"/>
      <c r="BA33" s="26"/>
      <c r="BC33" s="26"/>
      <c r="BD33" s="26"/>
      <c r="BE33" s="26"/>
      <c r="BG33" s="26"/>
      <c r="BH33" s="26"/>
      <c r="BI33" s="26"/>
      <c r="BK33" s="26"/>
      <c r="BL33" s="26"/>
      <c r="BM33" s="26"/>
      <c r="BO33" s="26"/>
      <c r="BP33" s="26"/>
      <c r="BQ33" s="26"/>
      <c r="BS33" s="26"/>
      <c r="BT33" s="26"/>
      <c r="BU33" s="26"/>
      <c r="BW33" s="26"/>
      <c r="BX33" s="26"/>
      <c r="BY33" s="26"/>
      <c r="CA33" s="26"/>
      <c r="CB33" s="26"/>
      <c r="CC33" s="26"/>
    </row>
    <row r="34" spans="19:81">
      <c r="S34" s="26"/>
      <c r="T34" s="26"/>
      <c r="U34" s="26"/>
      <c r="W34" s="27"/>
      <c r="X34" s="27"/>
      <c r="Y34" s="27"/>
      <c r="AA34" s="26"/>
      <c r="AB34" s="26"/>
      <c r="AC34" s="26"/>
      <c r="AE34" s="26"/>
      <c r="AF34" s="26"/>
      <c r="AG34" s="26"/>
      <c r="AI34" s="26"/>
      <c r="AJ34" s="26"/>
      <c r="AK34" s="26"/>
      <c r="AM34" s="26"/>
      <c r="AN34" s="26"/>
      <c r="AO34" s="26"/>
      <c r="AQ34" s="26"/>
      <c r="AR34" s="26"/>
      <c r="AS34" s="26"/>
      <c r="AU34" s="26"/>
      <c r="AV34" s="26"/>
      <c r="AW34" s="26"/>
      <c r="AY34" s="26"/>
      <c r="AZ34" s="26"/>
      <c r="BA34" s="26"/>
      <c r="BC34" s="26"/>
      <c r="BD34" s="26"/>
      <c r="BE34" s="26"/>
      <c r="BG34" s="26"/>
      <c r="BH34" s="26"/>
      <c r="BI34" s="26"/>
      <c r="BK34" s="26"/>
      <c r="BL34" s="26"/>
      <c r="BM34" s="26"/>
      <c r="BO34" s="26"/>
      <c r="BP34" s="26"/>
      <c r="BQ34" s="26"/>
      <c r="BS34" s="26"/>
      <c r="BT34" s="26"/>
      <c r="BU34" s="26"/>
      <c r="BW34" s="26"/>
      <c r="BX34" s="26"/>
      <c r="BY34" s="26"/>
      <c r="CA34" s="26"/>
      <c r="CB34" s="26"/>
      <c r="CC34" s="26"/>
    </row>
    <row r="35" spans="19:81">
      <c r="S35" s="26"/>
      <c r="T35" s="26"/>
      <c r="U35" s="26"/>
      <c r="W35" s="27"/>
      <c r="X35" s="27"/>
      <c r="Y35" s="27"/>
      <c r="AA35" s="26"/>
      <c r="AB35" s="26"/>
      <c r="AC35" s="26"/>
      <c r="AE35" s="26"/>
      <c r="AF35" s="26"/>
      <c r="AG35" s="26"/>
      <c r="AI35" s="26"/>
      <c r="AJ35" s="26"/>
      <c r="AK35" s="26"/>
      <c r="AM35" s="26"/>
      <c r="AN35" s="26"/>
      <c r="AO35" s="26"/>
      <c r="AQ35" s="26"/>
      <c r="AR35" s="26"/>
      <c r="AS35" s="26"/>
      <c r="AU35" s="26"/>
      <c r="AV35" s="26"/>
      <c r="AW35" s="26"/>
      <c r="AY35" s="26"/>
      <c r="AZ35" s="26"/>
      <c r="BA35" s="26"/>
      <c r="BC35" s="26"/>
      <c r="BD35" s="26"/>
      <c r="BE35" s="26"/>
      <c r="BG35" s="26"/>
      <c r="BH35" s="26"/>
      <c r="BI35" s="26"/>
      <c r="BK35" s="26"/>
      <c r="BL35" s="26"/>
      <c r="BM35" s="26"/>
      <c r="BO35" s="26"/>
      <c r="BP35" s="26"/>
      <c r="BQ35" s="26"/>
      <c r="BS35" s="26"/>
      <c r="BT35" s="26"/>
      <c r="BU35" s="26"/>
      <c r="BW35" s="26"/>
      <c r="BX35" s="26"/>
      <c r="BY35" s="26"/>
      <c r="CA35" s="26"/>
      <c r="CB35" s="26"/>
      <c r="CC35" s="26"/>
    </row>
    <row r="36" spans="19:81">
      <c r="S36" s="26"/>
      <c r="T36" s="26"/>
      <c r="U36" s="26"/>
      <c r="W36" s="27"/>
      <c r="X36" s="27"/>
      <c r="Y36" s="27"/>
      <c r="AA36" s="26"/>
      <c r="AB36" s="26"/>
      <c r="AC36" s="26"/>
      <c r="AE36" s="26"/>
      <c r="AF36" s="26"/>
      <c r="AG36" s="26"/>
      <c r="AI36" s="26"/>
      <c r="AJ36" s="26"/>
      <c r="AK36" s="26"/>
      <c r="AM36" s="26"/>
      <c r="AN36" s="26"/>
      <c r="AO36" s="26"/>
      <c r="AQ36" s="26"/>
      <c r="AR36" s="26"/>
      <c r="AS36" s="26"/>
      <c r="AU36" s="26"/>
      <c r="AV36" s="26"/>
      <c r="AW36" s="26"/>
      <c r="AY36" s="26"/>
      <c r="AZ36" s="26"/>
      <c r="BA36" s="26"/>
      <c r="BC36" s="26"/>
      <c r="BD36" s="26"/>
      <c r="BE36" s="26"/>
      <c r="BG36" s="26"/>
      <c r="BH36" s="26"/>
      <c r="BI36" s="26"/>
      <c r="BK36" s="26"/>
      <c r="BL36" s="26"/>
      <c r="BM36" s="26"/>
      <c r="BO36" s="26"/>
      <c r="BP36" s="26"/>
      <c r="BQ36" s="26"/>
      <c r="BS36" s="26"/>
      <c r="BT36" s="26"/>
      <c r="BU36" s="26"/>
      <c r="BW36" s="26"/>
      <c r="BX36" s="26"/>
      <c r="BY36" s="26"/>
      <c r="CA36" s="26"/>
      <c r="CB36" s="26"/>
      <c r="CC36" s="26"/>
    </row>
    <row r="37" spans="19:81">
      <c r="S37" s="26"/>
      <c r="T37" s="26"/>
      <c r="U37" s="26"/>
      <c r="W37" s="27"/>
      <c r="X37" s="27"/>
      <c r="Y37" s="27"/>
      <c r="AA37" s="26"/>
      <c r="AB37" s="26"/>
      <c r="AC37" s="26"/>
      <c r="AE37" s="26"/>
      <c r="AF37" s="26"/>
      <c r="AG37" s="26"/>
      <c r="AI37" s="26"/>
      <c r="AJ37" s="26"/>
      <c r="AK37" s="26"/>
      <c r="AM37" s="26"/>
      <c r="AN37" s="26"/>
      <c r="AO37" s="26"/>
      <c r="AQ37" s="26"/>
      <c r="AR37" s="26"/>
      <c r="AS37" s="26"/>
      <c r="AU37" s="26"/>
      <c r="AV37" s="26"/>
      <c r="AW37" s="26"/>
      <c r="AY37" s="26"/>
      <c r="AZ37" s="26"/>
      <c r="BA37" s="26"/>
      <c r="BC37" s="26"/>
      <c r="BD37" s="26"/>
      <c r="BE37" s="26"/>
      <c r="BG37" s="26"/>
      <c r="BH37" s="26"/>
      <c r="BI37" s="26"/>
      <c r="BK37" s="26"/>
      <c r="BL37" s="26"/>
      <c r="BM37" s="26"/>
      <c r="BO37" s="26"/>
      <c r="BP37" s="26"/>
      <c r="BQ37" s="26"/>
      <c r="BS37" s="26"/>
      <c r="BT37" s="26"/>
      <c r="BU37" s="26"/>
      <c r="BW37" s="26"/>
      <c r="BX37" s="26"/>
      <c r="BY37" s="26"/>
      <c r="CA37" s="26"/>
      <c r="CB37" s="26"/>
      <c r="CC37" s="26"/>
    </row>
    <row r="38" spans="49:111">
      <c r="AW38" s="26"/>
      <c r="AX38" s="26"/>
      <c r="AY38" s="26"/>
      <c r="BA38" s="27"/>
      <c r="BB38" s="27"/>
      <c r="BC38" s="27"/>
      <c r="BE38" s="26"/>
      <c r="BF38" s="26"/>
      <c r="BG38" s="26"/>
      <c r="BI38" s="26"/>
      <c r="BJ38" s="26"/>
      <c r="BK38" s="26"/>
      <c r="BM38" s="26"/>
      <c r="BN38" s="26"/>
      <c r="BO38" s="26"/>
      <c r="BQ38" s="26"/>
      <c r="BR38" s="26"/>
      <c r="BS38" s="26"/>
      <c r="BU38" s="26"/>
      <c r="BV38" s="26"/>
      <c r="BW38" s="26"/>
      <c r="BY38" s="26"/>
      <c r="BZ38" s="26"/>
      <c r="CA38" s="26"/>
      <c r="CC38" s="26"/>
      <c r="CD38" s="26"/>
      <c r="CE38" s="26"/>
      <c r="CG38" s="26"/>
      <c r="CH38" s="26"/>
      <c r="CI38" s="26"/>
      <c r="CK38" s="26"/>
      <c r="CL38" s="26"/>
      <c r="CM38" s="26"/>
      <c r="CO38" s="26"/>
      <c r="CP38" s="26"/>
      <c r="CQ38" s="26"/>
      <c r="CS38" s="26"/>
      <c r="CT38" s="26"/>
      <c r="CU38" s="26"/>
      <c r="CW38" s="26"/>
      <c r="CX38" s="26"/>
      <c r="CY38" s="26"/>
      <c r="DA38" s="26"/>
      <c r="DB38" s="26"/>
      <c r="DC38" s="26"/>
      <c r="DE38" s="26"/>
      <c r="DF38" s="26"/>
      <c r="DG38" s="26"/>
    </row>
    <row r="39" spans="49:111">
      <c r="AW39" s="26"/>
      <c r="AX39" s="26"/>
      <c r="AY39" s="26"/>
      <c r="BA39" s="27"/>
      <c r="BB39" s="27"/>
      <c r="BC39" s="27"/>
      <c r="BE39" s="26"/>
      <c r="BF39" s="26"/>
      <c r="BG39" s="26"/>
      <c r="BI39" s="26"/>
      <c r="BJ39" s="26"/>
      <c r="BK39" s="26"/>
      <c r="BM39" s="26"/>
      <c r="BN39" s="26"/>
      <c r="BO39" s="26"/>
      <c r="BQ39" s="26"/>
      <c r="BR39" s="26"/>
      <c r="BS39" s="26"/>
      <c r="BU39" s="26"/>
      <c r="BV39" s="26"/>
      <c r="BW39" s="26"/>
      <c r="BY39" s="26"/>
      <c r="BZ39" s="26"/>
      <c r="CA39" s="26"/>
      <c r="CC39" s="26"/>
      <c r="CD39" s="26"/>
      <c r="CE39" s="26"/>
      <c r="CG39" s="26"/>
      <c r="CH39" s="26"/>
      <c r="CI39" s="26"/>
      <c r="CK39" s="26"/>
      <c r="CL39" s="26"/>
      <c r="CM39" s="26"/>
      <c r="CO39" s="26"/>
      <c r="CP39" s="26"/>
      <c r="CQ39" s="26"/>
      <c r="CS39" s="26"/>
      <c r="CT39" s="26"/>
      <c r="CU39" s="26"/>
      <c r="CW39" s="26"/>
      <c r="CX39" s="26"/>
      <c r="CY39" s="26"/>
      <c r="DA39" s="26"/>
      <c r="DB39" s="26"/>
      <c r="DC39" s="26"/>
      <c r="DE39" s="26"/>
      <c r="DF39" s="26"/>
      <c r="DG39" s="26"/>
    </row>
    <row r="40" spans="49:111">
      <c r="AW40" s="26"/>
      <c r="AX40" s="26"/>
      <c r="AY40" s="26"/>
      <c r="BA40" s="27"/>
      <c r="BB40" s="27"/>
      <c r="BC40" s="27"/>
      <c r="BE40" s="26"/>
      <c r="BF40" s="26"/>
      <c r="BG40" s="26"/>
      <c r="BI40" s="26"/>
      <c r="BJ40" s="26"/>
      <c r="BK40" s="26"/>
      <c r="BM40" s="26"/>
      <c r="BN40" s="26"/>
      <c r="BO40" s="26"/>
      <c r="BQ40" s="26"/>
      <c r="BR40" s="26"/>
      <c r="BS40" s="26"/>
      <c r="BU40" s="26"/>
      <c r="BV40" s="26"/>
      <c r="BW40" s="26"/>
      <c r="BY40" s="26"/>
      <c r="BZ40" s="26"/>
      <c r="CA40" s="26"/>
      <c r="CC40" s="26"/>
      <c r="CD40" s="26"/>
      <c r="CE40" s="26"/>
      <c r="CG40" s="26"/>
      <c r="CH40" s="26"/>
      <c r="CI40" s="26"/>
      <c r="CK40" s="26"/>
      <c r="CL40" s="26"/>
      <c r="CM40" s="26"/>
      <c r="CO40" s="26"/>
      <c r="CP40" s="26"/>
      <c r="CQ40" s="26"/>
      <c r="CS40" s="26"/>
      <c r="CT40" s="26"/>
      <c r="CU40" s="26"/>
      <c r="CW40" s="26"/>
      <c r="CX40" s="26"/>
      <c r="CY40" s="26"/>
      <c r="DA40" s="26"/>
      <c r="DB40" s="26"/>
      <c r="DC40" s="26"/>
      <c r="DE40" s="26"/>
      <c r="DF40" s="26"/>
      <c r="DG40" s="26"/>
    </row>
    <row r="41" spans="49:111">
      <c r="AW41" s="26"/>
      <c r="AX41" s="26"/>
      <c r="AY41" s="26"/>
      <c r="BA41" s="27"/>
      <c r="BB41" s="27"/>
      <c r="BC41" s="27"/>
      <c r="BE41" s="26"/>
      <c r="BF41" s="26"/>
      <c r="BG41" s="26"/>
      <c r="BI41" s="26"/>
      <c r="BJ41" s="26"/>
      <c r="BK41" s="26"/>
      <c r="BM41" s="26"/>
      <c r="BN41" s="26"/>
      <c r="BO41" s="26"/>
      <c r="BQ41" s="26"/>
      <c r="BR41" s="26"/>
      <c r="BS41" s="26"/>
      <c r="BU41" s="26"/>
      <c r="BV41" s="26"/>
      <c r="BW41" s="26"/>
      <c r="BY41" s="26"/>
      <c r="BZ41" s="26"/>
      <c r="CA41" s="26"/>
      <c r="CC41" s="26"/>
      <c r="CD41" s="26"/>
      <c r="CE41" s="26"/>
      <c r="CG41" s="26"/>
      <c r="CH41" s="26"/>
      <c r="CI41" s="26"/>
      <c r="CK41" s="26"/>
      <c r="CL41" s="26"/>
      <c r="CM41" s="26"/>
      <c r="CO41" s="26"/>
      <c r="CP41" s="26"/>
      <c r="CQ41" s="26"/>
      <c r="CS41" s="26"/>
      <c r="CT41" s="26"/>
      <c r="CU41" s="26"/>
      <c r="CW41" s="26"/>
      <c r="CX41" s="26"/>
      <c r="CY41" s="26"/>
      <c r="DA41" s="26"/>
      <c r="DB41" s="26"/>
      <c r="DC41" s="26"/>
      <c r="DE41" s="26"/>
      <c r="DF41" s="26"/>
      <c r="DG41" s="26"/>
    </row>
    <row r="42" spans="49:111">
      <c r="AW42" s="26"/>
      <c r="AX42" s="26"/>
      <c r="AY42" s="26"/>
      <c r="BA42" s="27"/>
      <c r="BB42" s="27"/>
      <c r="BC42" s="27"/>
      <c r="BE42" s="26"/>
      <c r="BF42" s="26"/>
      <c r="BG42" s="26"/>
      <c r="BI42" s="26"/>
      <c r="BJ42" s="26"/>
      <c r="BK42" s="26"/>
      <c r="BM42" s="26"/>
      <c r="BN42" s="26"/>
      <c r="BO42" s="26"/>
      <c r="BQ42" s="26"/>
      <c r="BR42" s="26"/>
      <c r="BS42" s="26"/>
      <c r="BU42" s="26"/>
      <c r="BV42" s="26"/>
      <c r="BW42" s="26"/>
      <c r="BY42" s="26"/>
      <c r="BZ42" s="26"/>
      <c r="CA42" s="26"/>
      <c r="CC42" s="26"/>
      <c r="CD42" s="26"/>
      <c r="CE42" s="26"/>
      <c r="CG42" s="26"/>
      <c r="CH42" s="26"/>
      <c r="CI42" s="26"/>
      <c r="CK42" s="26"/>
      <c r="CL42" s="26"/>
      <c r="CM42" s="26"/>
      <c r="CO42" s="26"/>
      <c r="CP42" s="26"/>
      <c r="CQ42" s="26"/>
      <c r="CS42" s="26"/>
      <c r="CT42" s="26"/>
      <c r="CU42" s="26"/>
      <c r="CW42" s="26"/>
      <c r="CX42" s="26"/>
      <c r="CY42" s="26"/>
      <c r="DA42" s="26"/>
      <c r="DB42" s="26"/>
      <c r="DC42" s="26"/>
      <c r="DE42" s="26"/>
      <c r="DF42" s="26"/>
      <c r="DG42" s="26"/>
    </row>
    <row r="43" spans="2:111">
      <c r="B43" s="25"/>
      <c r="C43" s="25"/>
      <c r="D43" s="25"/>
      <c r="E43" s="25"/>
      <c r="H43" s="25"/>
      <c r="I43" s="25"/>
      <c r="J43" s="25"/>
      <c r="AW43" s="26"/>
      <c r="AX43" s="26"/>
      <c r="AY43" s="26"/>
      <c r="BA43" s="27"/>
      <c r="BB43" s="27"/>
      <c r="BC43" s="27"/>
      <c r="BE43" s="26"/>
      <c r="BF43" s="26"/>
      <c r="BG43" s="26"/>
      <c r="BI43" s="26"/>
      <c r="BJ43" s="26"/>
      <c r="BK43" s="26"/>
      <c r="BM43" s="26"/>
      <c r="BN43" s="26"/>
      <c r="BO43" s="26"/>
      <c r="BQ43" s="26"/>
      <c r="BR43" s="26"/>
      <c r="BS43" s="26"/>
      <c r="BU43" s="26"/>
      <c r="BV43" s="26"/>
      <c r="BW43" s="26"/>
      <c r="BY43" s="26"/>
      <c r="BZ43" s="26"/>
      <c r="CA43" s="26"/>
      <c r="CC43" s="26"/>
      <c r="CD43" s="26"/>
      <c r="CE43" s="26"/>
      <c r="CG43" s="26"/>
      <c r="CH43" s="26"/>
      <c r="CI43" s="26"/>
      <c r="CK43" s="26"/>
      <c r="CL43" s="26"/>
      <c r="CM43" s="26"/>
      <c r="CO43" s="26"/>
      <c r="CP43" s="26"/>
      <c r="CQ43" s="26"/>
      <c r="CS43" s="26"/>
      <c r="CT43" s="26"/>
      <c r="CU43" s="26"/>
      <c r="CW43" s="26"/>
      <c r="CX43" s="26"/>
      <c r="CY43" s="26"/>
      <c r="DA43" s="26"/>
      <c r="DB43" s="26"/>
      <c r="DC43" s="26"/>
      <c r="DE43" s="26"/>
      <c r="DF43" s="26"/>
      <c r="DG43" s="26"/>
    </row>
    <row r="44" spans="49:111">
      <c r="AW44" s="26"/>
      <c r="AX44" s="26"/>
      <c r="AY44" s="26"/>
      <c r="BA44" s="27"/>
      <c r="BB44" s="27"/>
      <c r="BC44" s="27"/>
      <c r="BE44" s="26"/>
      <c r="BF44" s="26"/>
      <c r="BG44" s="26"/>
      <c r="BI44" s="26"/>
      <c r="BJ44" s="26"/>
      <c r="BK44" s="26"/>
      <c r="BM44" s="26"/>
      <c r="BN44" s="26"/>
      <c r="BO44" s="26"/>
      <c r="BQ44" s="26"/>
      <c r="BR44" s="26"/>
      <c r="BS44" s="26"/>
      <c r="BU44" s="26"/>
      <c r="BV44" s="26"/>
      <c r="BW44" s="26"/>
      <c r="BY44" s="26"/>
      <c r="BZ44" s="26"/>
      <c r="CA44" s="26"/>
      <c r="CC44" s="26"/>
      <c r="CD44" s="26"/>
      <c r="CE44" s="26"/>
      <c r="CG44" s="26"/>
      <c r="CH44" s="26"/>
      <c r="CI44" s="26"/>
      <c r="CK44" s="26"/>
      <c r="CL44" s="26"/>
      <c r="CM44" s="26"/>
      <c r="CO44" s="26"/>
      <c r="CP44" s="26"/>
      <c r="CQ44" s="26"/>
      <c r="CS44" s="26"/>
      <c r="CT44" s="26"/>
      <c r="CU44" s="26"/>
      <c r="CW44" s="26"/>
      <c r="CX44" s="26"/>
      <c r="CY44" s="26"/>
      <c r="DA44" s="26"/>
      <c r="DB44" s="26"/>
      <c r="DC44" s="26"/>
      <c r="DE44" s="26"/>
      <c r="DF44" s="26"/>
      <c r="DG44" s="26"/>
    </row>
    <row r="45" spans="49:111">
      <c r="AW45" s="26"/>
      <c r="AX45" s="26"/>
      <c r="AY45" s="26"/>
      <c r="BA45" s="27"/>
      <c r="BB45" s="27"/>
      <c r="BC45" s="27"/>
      <c r="BE45" s="26"/>
      <c r="BF45" s="26"/>
      <c r="BG45" s="26"/>
      <c r="BI45" s="26"/>
      <c r="BJ45" s="26"/>
      <c r="BK45" s="26"/>
      <c r="BM45" s="26"/>
      <c r="BN45" s="26"/>
      <c r="BO45" s="26"/>
      <c r="BQ45" s="26"/>
      <c r="BR45" s="26"/>
      <c r="BS45" s="26"/>
      <c r="BU45" s="26"/>
      <c r="BV45" s="26"/>
      <c r="BW45" s="26"/>
      <c r="BY45" s="26"/>
      <c r="BZ45" s="26"/>
      <c r="CA45" s="26"/>
      <c r="CC45" s="26"/>
      <c r="CD45" s="26"/>
      <c r="CE45" s="26"/>
      <c r="CG45" s="26"/>
      <c r="CH45" s="26"/>
      <c r="CI45" s="26"/>
      <c r="CK45" s="26"/>
      <c r="CL45" s="26"/>
      <c r="CM45" s="26"/>
      <c r="CO45" s="26"/>
      <c r="CP45" s="26"/>
      <c r="CQ45" s="26"/>
      <c r="CS45" s="26"/>
      <c r="CT45" s="26"/>
      <c r="CU45" s="26"/>
      <c r="CW45" s="26"/>
      <c r="CX45" s="26"/>
      <c r="CY45" s="26"/>
      <c r="DA45" s="26"/>
      <c r="DB45" s="26"/>
      <c r="DC45" s="26"/>
      <c r="DE45" s="26"/>
      <c r="DF45" s="26"/>
      <c r="DG45" s="26"/>
    </row>
    <row r="46" spans="49:111">
      <c r="AW46" s="26"/>
      <c r="AX46" s="26"/>
      <c r="AY46" s="26"/>
      <c r="BA46" s="27"/>
      <c r="BB46" s="27"/>
      <c r="BC46" s="27"/>
      <c r="BE46" s="26"/>
      <c r="BF46" s="26"/>
      <c r="BG46" s="26"/>
      <c r="BI46" s="26"/>
      <c r="BJ46" s="26"/>
      <c r="BK46" s="26"/>
      <c r="BM46" s="26"/>
      <c r="BN46" s="26"/>
      <c r="BO46" s="26"/>
      <c r="BQ46" s="26"/>
      <c r="BR46" s="26"/>
      <c r="BS46" s="26"/>
      <c r="BU46" s="26"/>
      <c r="BV46" s="26"/>
      <c r="BW46" s="26"/>
      <c r="BY46" s="26"/>
      <c r="BZ46" s="26"/>
      <c r="CA46" s="26"/>
      <c r="CC46" s="26"/>
      <c r="CD46" s="26"/>
      <c r="CE46" s="26"/>
      <c r="CG46" s="26"/>
      <c r="CH46" s="26"/>
      <c r="CI46" s="26"/>
      <c r="CK46" s="26"/>
      <c r="CL46" s="26"/>
      <c r="CM46" s="26"/>
      <c r="CO46" s="26"/>
      <c r="CP46" s="26"/>
      <c r="CQ46" s="26"/>
      <c r="CS46" s="26"/>
      <c r="CT46" s="26"/>
      <c r="CU46" s="26"/>
      <c r="CW46" s="26"/>
      <c r="CX46" s="26"/>
      <c r="CY46" s="26"/>
      <c r="DA46" s="26"/>
      <c r="DB46" s="26"/>
      <c r="DC46" s="26"/>
      <c r="DE46" s="26"/>
      <c r="DF46" s="26"/>
      <c r="DG46" s="26"/>
    </row>
    <row r="47" spans="49:111">
      <c r="AW47" s="26"/>
      <c r="AX47" s="26"/>
      <c r="AY47" s="26"/>
      <c r="BA47" s="27"/>
      <c r="BB47" s="27"/>
      <c r="BC47" s="27"/>
      <c r="BE47" s="26"/>
      <c r="BF47" s="26"/>
      <c r="BG47" s="26"/>
      <c r="BI47" s="26"/>
      <c r="BJ47" s="26"/>
      <c r="BK47" s="26"/>
      <c r="BM47" s="26"/>
      <c r="BN47" s="26"/>
      <c r="BO47" s="26"/>
      <c r="BQ47" s="26"/>
      <c r="BR47" s="26"/>
      <c r="BS47" s="26"/>
      <c r="BU47" s="26"/>
      <c r="BV47" s="26"/>
      <c r="BW47" s="26"/>
      <c r="BY47" s="26"/>
      <c r="BZ47" s="26"/>
      <c r="CA47" s="26"/>
      <c r="CC47" s="26"/>
      <c r="CD47" s="26"/>
      <c r="CE47" s="26"/>
      <c r="CG47" s="26"/>
      <c r="CH47" s="26"/>
      <c r="CI47" s="26"/>
      <c r="CK47" s="26"/>
      <c r="CL47" s="26"/>
      <c r="CM47" s="26"/>
      <c r="CO47" s="26"/>
      <c r="CP47" s="26"/>
      <c r="CQ47" s="26"/>
      <c r="CS47" s="26"/>
      <c r="CT47" s="26"/>
      <c r="CU47" s="26"/>
      <c r="CW47" s="26"/>
      <c r="CX47" s="26"/>
      <c r="CY47" s="26"/>
      <c r="DA47" s="26"/>
      <c r="DB47" s="26"/>
      <c r="DC47" s="26"/>
      <c r="DE47" s="26"/>
      <c r="DF47" s="26"/>
      <c r="DG47" s="26"/>
    </row>
    <row r="48" spans="49:111">
      <c r="AW48" s="26"/>
      <c r="AX48" s="26"/>
      <c r="AY48" s="26"/>
      <c r="BA48" s="27"/>
      <c r="BB48" s="27"/>
      <c r="BC48" s="27"/>
      <c r="BE48" s="26"/>
      <c r="BF48" s="26"/>
      <c r="BG48" s="26"/>
      <c r="BI48" s="26"/>
      <c r="BJ48" s="26"/>
      <c r="BK48" s="26"/>
      <c r="BM48" s="26"/>
      <c r="BN48" s="26"/>
      <c r="BO48" s="26"/>
      <c r="BQ48" s="26"/>
      <c r="BR48" s="26"/>
      <c r="BS48" s="26"/>
      <c r="BU48" s="26"/>
      <c r="BV48" s="26"/>
      <c r="BW48" s="26"/>
      <c r="BY48" s="26"/>
      <c r="BZ48" s="26"/>
      <c r="CA48" s="26"/>
      <c r="CC48" s="26"/>
      <c r="CD48" s="26"/>
      <c r="CE48" s="26"/>
      <c r="CG48" s="26"/>
      <c r="CH48" s="26"/>
      <c r="CI48" s="26"/>
      <c r="CK48" s="26"/>
      <c r="CL48" s="26"/>
      <c r="CM48" s="26"/>
      <c r="CO48" s="26"/>
      <c r="CP48" s="26"/>
      <c r="CQ48" s="26"/>
      <c r="CS48" s="26"/>
      <c r="CT48" s="26"/>
      <c r="CU48" s="26"/>
      <c r="CW48" s="26"/>
      <c r="CX48" s="26"/>
      <c r="CY48" s="26"/>
      <c r="DA48" s="26"/>
      <c r="DB48" s="26"/>
      <c r="DC48" s="26"/>
      <c r="DE48" s="26"/>
      <c r="DF48" s="26"/>
      <c r="DG48" s="26"/>
    </row>
    <row r="49" spans="49:111">
      <c r="AW49" s="26"/>
      <c r="AX49" s="26"/>
      <c r="AY49" s="26"/>
      <c r="BA49" s="27"/>
      <c r="BB49" s="27"/>
      <c r="BC49" s="27"/>
      <c r="BE49" s="26"/>
      <c r="BF49" s="26"/>
      <c r="BG49" s="26"/>
      <c r="BI49" s="26"/>
      <c r="BJ49" s="26"/>
      <c r="BK49" s="26"/>
      <c r="BM49" s="26"/>
      <c r="BN49" s="26"/>
      <c r="BO49" s="26"/>
      <c r="BQ49" s="26"/>
      <c r="BR49" s="26"/>
      <c r="BS49" s="26"/>
      <c r="BU49" s="26"/>
      <c r="BV49" s="26"/>
      <c r="BW49" s="26"/>
      <c r="BY49" s="26"/>
      <c r="BZ49" s="26"/>
      <c r="CA49" s="26"/>
      <c r="CC49" s="26"/>
      <c r="CD49" s="26"/>
      <c r="CE49" s="26"/>
      <c r="CG49" s="26"/>
      <c r="CH49" s="26"/>
      <c r="CI49" s="26"/>
      <c r="CK49" s="26"/>
      <c r="CL49" s="26"/>
      <c r="CM49" s="26"/>
      <c r="CO49" s="26"/>
      <c r="CP49" s="26"/>
      <c r="CQ49" s="26"/>
      <c r="CS49" s="26"/>
      <c r="CT49" s="26"/>
      <c r="CU49" s="26"/>
      <c r="CW49" s="26"/>
      <c r="CX49" s="26"/>
      <c r="CY49" s="26"/>
      <c r="DA49" s="26"/>
      <c r="DB49" s="26"/>
      <c r="DC49" s="26"/>
      <c r="DE49" s="26"/>
      <c r="DF49" s="26"/>
      <c r="DG49" s="26"/>
    </row>
    <row r="50" spans="49:111">
      <c r="AW50" s="26"/>
      <c r="AX50" s="26"/>
      <c r="AY50" s="26"/>
      <c r="BA50" s="27"/>
      <c r="BB50" s="27"/>
      <c r="BC50" s="27"/>
      <c r="BE50" s="26"/>
      <c r="BF50" s="26"/>
      <c r="BG50" s="26"/>
      <c r="BI50" s="26"/>
      <c r="BJ50" s="26"/>
      <c r="BK50" s="26"/>
      <c r="BM50" s="26"/>
      <c r="BN50" s="26"/>
      <c r="BO50" s="26"/>
      <c r="BQ50" s="26"/>
      <c r="BR50" s="26"/>
      <c r="BS50" s="26"/>
      <c r="BU50" s="26"/>
      <c r="BV50" s="26"/>
      <c r="BW50" s="26"/>
      <c r="BY50" s="26"/>
      <c r="BZ50" s="26"/>
      <c r="CA50" s="26"/>
      <c r="CC50" s="26"/>
      <c r="CD50" s="26"/>
      <c r="CE50" s="26"/>
      <c r="CG50" s="26"/>
      <c r="CH50" s="26"/>
      <c r="CI50" s="26"/>
      <c r="CK50" s="26"/>
      <c r="CL50" s="26"/>
      <c r="CM50" s="26"/>
      <c r="CO50" s="26"/>
      <c r="CP50" s="26"/>
      <c r="CQ50" s="26"/>
      <c r="CS50" s="26"/>
      <c r="CT50" s="26"/>
      <c r="CU50" s="26"/>
      <c r="CW50" s="26"/>
      <c r="CX50" s="26"/>
      <c r="CY50" s="26"/>
      <c r="DA50" s="26"/>
      <c r="DB50" s="26"/>
      <c r="DC50" s="26"/>
      <c r="DE50" s="26"/>
      <c r="DF50" s="26"/>
      <c r="DG50" s="26"/>
    </row>
    <row r="51" spans="49:111">
      <c r="AW51" s="26"/>
      <c r="AX51" s="26"/>
      <c r="AY51" s="26"/>
      <c r="BA51" s="27"/>
      <c r="BB51" s="27"/>
      <c r="BC51" s="27"/>
      <c r="BE51" s="26"/>
      <c r="BF51" s="26"/>
      <c r="BG51" s="26"/>
      <c r="BI51" s="26"/>
      <c r="BJ51" s="26"/>
      <c r="BK51" s="26"/>
      <c r="BM51" s="26"/>
      <c r="BN51" s="26"/>
      <c r="BO51" s="26"/>
      <c r="BQ51" s="26"/>
      <c r="BR51" s="26"/>
      <c r="BS51" s="26"/>
      <c r="BU51" s="26"/>
      <c r="BV51" s="26"/>
      <c r="BW51" s="26"/>
      <c r="BY51" s="26"/>
      <c r="BZ51" s="26"/>
      <c r="CA51" s="26"/>
      <c r="CC51" s="26"/>
      <c r="CD51" s="26"/>
      <c r="CE51" s="26"/>
      <c r="CG51" s="26"/>
      <c r="CH51" s="26"/>
      <c r="CI51" s="26"/>
      <c r="CK51" s="26"/>
      <c r="CL51" s="26"/>
      <c r="CM51" s="26"/>
      <c r="CO51" s="26"/>
      <c r="CP51" s="26"/>
      <c r="CQ51" s="26"/>
      <c r="CS51" s="26"/>
      <c r="CT51" s="26"/>
      <c r="CU51" s="26"/>
      <c r="CW51" s="26"/>
      <c r="CX51" s="26"/>
      <c r="CY51" s="26"/>
      <c r="DA51" s="26"/>
      <c r="DB51" s="26"/>
      <c r="DC51" s="26"/>
      <c r="DE51" s="26"/>
      <c r="DF51" s="26"/>
      <c r="DG51" s="26"/>
    </row>
    <row r="52" spans="49:111">
      <c r="AW52" s="26"/>
      <c r="AX52" s="26"/>
      <c r="AY52" s="26"/>
      <c r="BA52" s="27"/>
      <c r="BB52" s="27"/>
      <c r="BC52" s="27"/>
      <c r="BE52" s="26"/>
      <c r="BF52" s="26"/>
      <c r="BG52" s="26"/>
      <c r="BI52" s="26"/>
      <c r="BJ52" s="26"/>
      <c r="BK52" s="26"/>
      <c r="BM52" s="26"/>
      <c r="BN52" s="26"/>
      <c r="BO52" s="26"/>
      <c r="BQ52" s="26"/>
      <c r="BR52" s="26"/>
      <c r="BS52" s="26"/>
      <c r="BU52" s="26"/>
      <c r="BV52" s="26"/>
      <c r="BW52" s="26"/>
      <c r="BY52" s="26"/>
      <c r="BZ52" s="26"/>
      <c r="CA52" s="26"/>
      <c r="CC52" s="26"/>
      <c r="CD52" s="26"/>
      <c r="CE52" s="26"/>
      <c r="CG52" s="26"/>
      <c r="CH52" s="26"/>
      <c r="CI52" s="26"/>
      <c r="CK52" s="26"/>
      <c r="CL52" s="26"/>
      <c r="CM52" s="26"/>
      <c r="CO52" s="26"/>
      <c r="CP52" s="26"/>
      <c r="CQ52" s="26"/>
      <c r="CS52" s="26"/>
      <c r="CT52" s="26"/>
      <c r="CU52" s="26"/>
      <c r="CW52" s="26"/>
      <c r="CX52" s="26"/>
      <c r="CY52" s="26"/>
      <c r="DA52" s="26"/>
      <c r="DB52" s="26"/>
      <c r="DC52" s="26"/>
      <c r="DE52" s="26"/>
      <c r="DF52" s="26"/>
      <c r="DG52" s="26"/>
    </row>
    <row r="53" spans="49:111">
      <c r="AW53" s="26"/>
      <c r="AX53" s="26"/>
      <c r="AY53" s="26"/>
      <c r="BA53" s="27"/>
      <c r="BB53" s="27"/>
      <c r="BC53" s="27"/>
      <c r="BE53" s="26"/>
      <c r="BF53" s="26"/>
      <c r="BG53" s="26"/>
      <c r="BI53" s="26"/>
      <c r="BJ53" s="26"/>
      <c r="BK53" s="26"/>
      <c r="BM53" s="26"/>
      <c r="BN53" s="26"/>
      <c r="BO53" s="26"/>
      <c r="BQ53" s="26"/>
      <c r="BR53" s="26"/>
      <c r="BS53" s="26"/>
      <c r="BU53" s="26"/>
      <c r="BV53" s="26"/>
      <c r="BW53" s="26"/>
      <c r="BY53" s="26"/>
      <c r="BZ53" s="26"/>
      <c r="CA53" s="26"/>
      <c r="CC53" s="26"/>
      <c r="CD53" s="26"/>
      <c r="CE53" s="26"/>
      <c r="CG53" s="26"/>
      <c r="CH53" s="26"/>
      <c r="CI53" s="26"/>
      <c r="CK53" s="26"/>
      <c r="CL53" s="26"/>
      <c r="CM53" s="26"/>
      <c r="CO53" s="26"/>
      <c r="CP53" s="26"/>
      <c r="CQ53" s="26"/>
      <c r="CS53" s="26"/>
      <c r="CT53" s="26"/>
      <c r="CU53" s="26"/>
      <c r="CW53" s="26"/>
      <c r="CX53" s="26"/>
      <c r="CY53" s="26"/>
      <c r="DA53" s="26"/>
      <c r="DB53" s="26"/>
      <c r="DC53" s="26"/>
      <c r="DE53" s="26"/>
      <c r="DF53" s="26"/>
      <c r="DG53" s="26"/>
    </row>
    <row r="54" spans="49:111">
      <c r="AW54" s="26"/>
      <c r="AX54" s="26"/>
      <c r="AY54" s="26"/>
      <c r="BA54" s="27"/>
      <c r="BB54" s="27"/>
      <c r="BC54" s="27"/>
      <c r="BE54" s="26"/>
      <c r="BF54" s="26"/>
      <c r="BG54" s="26"/>
      <c r="BI54" s="26"/>
      <c r="BJ54" s="26"/>
      <c r="BK54" s="26"/>
      <c r="BM54" s="26"/>
      <c r="BN54" s="26"/>
      <c r="BO54" s="26"/>
      <c r="BQ54" s="26"/>
      <c r="BR54" s="26"/>
      <c r="BS54" s="26"/>
      <c r="BU54" s="26"/>
      <c r="BV54" s="26"/>
      <c r="BW54" s="26"/>
      <c r="BY54" s="26"/>
      <c r="BZ54" s="26"/>
      <c r="CA54" s="26"/>
      <c r="CC54" s="26"/>
      <c r="CD54" s="26"/>
      <c r="CE54" s="26"/>
      <c r="CG54" s="26"/>
      <c r="CH54" s="26"/>
      <c r="CI54" s="26"/>
      <c r="CK54" s="26"/>
      <c r="CL54" s="26"/>
      <c r="CM54" s="26"/>
      <c r="CO54" s="26"/>
      <c r="CP54" s="26"/>
      <c r="CQ54" s="26"/>
      <c r="CS54" s="26"/>
      <c r="CT54" s="26"/>
      <c r="CU54" s="26"/>
      <c r="CW54" s="26"/>
      <c r="CX54" s="26"/>
      <c r="CY54" s="26"/>
      <c r="DA54" s="26"/>
      <c r="DB54" s="26"/>
      <c r="DC54" s="26"/>
      <c r="DE54" s="26"/>
      <c r="DF54" s="26"/>
      <c r="DG54" s="26"/>
    </row>
    <row r="55" spans="49:111">
      <c r="AW55" s="26"/>
      <c r="AX55" s="26"/>
      <c r="AY55" s="26"/>
      <c r="BA55" s="27"/>
      <c r="BB55" s="27"/>
      <c r="BC55" s="27"/>
      <c r="BE55" s="26"/>
      <c r="BF55" s="26"/>
      <c r="BG55" s="26"/>
      <c r="BI55" s="26"/>
      <c r="BJ55" s="26"/>
      <c r="BK55" s="26"/>
      <c r="BM55" s="26"/>
      <c r="BN55" s="26"/>
      <c r="BO55" s="26"/>
      <c r="BQ55" s="26"/>
      <c r="BR55" s="26"/>
      <c r="BS55" s="26"/>
      <c r="BU55" s="26"/>
      <c r="BV55" s="26"/>
      <c r="BW55" s="26"/>
      <c r="BY55" s="26"/>
      <c r="BZ55" s="26"/>
      <c r="CA55" s="26"/>
      <c r="CC55" s="26"/>
      <c r="CD55" s="26"/>
      <c r="CE55" s="26"/>
      <c r="CG55" s="26"/>
      <c r="CH55" s="26"/>
      <c r="CI55" s="26"/>
      <c r="CK55" s="26"/>
      <c r="CL55" s="26"/>
      <c r="CM55" s="26"/>
      <c r="CO55" s="26"/>
      <c r="CP55" s="26"/>
      <c r="CQ55" s="26"/>
      <c r="CS55" s="26"/>
      <c r="CT55" s="26"/>
      <c r="CU55" s="26"/>
      <c r="CW55" s="26"/>
      <c r="CX55" s="26"/>
      <c r="CY55" s="26"/>
      <c r="DA55" s="26"/>
      <c r="DB55" s="26"/>
      <c r="DC55" s="26"/>
      <c r="DE55" s="26"/>
      <c r="DF55" s="26"/>
      <c r="DG55" s="26"/>
    </row>
    <row r="56" spans="49:111">
      <c r="AW56" s="26"/>
      <c r="AX56" s="26"/>
      <c r="AY56" s="26"/>
      <c r="BA56" s="27"/>
      <c r="BB56" s="27"/>
      <c r="BC56" s="27"/>
      <c r="BE56" s="26"/>
      <c r="BF56" s="26"/>
      <c r="BG56" s="26"/>
      <c r="BI56" s="26"/>
      <c r="BJ56" s="26"/>
      <c r="BK56" s="26"/>
      <c r="BM56" s="26"/>
      <c r="BN56" s="26"/>
      <c r="BO56" s="26"/>
      <c r="BQ56" s="26"/>
      <c r="BR56" s="26"/>
      <c r="BS56" s="26"/>
      <c r="BU56" s="26"/>
      <c r="BV56" s="26"/>
      <c r="BW56" s="26"/>
      <c r="BY56" s="26"/>
      <c r="BZ56" s="26"/>
      <c r="CA56" s="26"/>
      <c r="CC56" s="26"/>
      <c r="CD56" s="26"/>
      <c r="CE56" s="26"/>
      <c r="CG56" s="26"/>
      <c r="CH56" s="26"/>
      <c r="CI56" s="26"/>
      <c r="CK56" s="26"/>
      <c r="CL56" s="26"/>
      <c r="CM56" s="26"/>
      <c r="CO56" s="26"/>
      <c r="CP56" s="26"/>
      <c r="CQ56" s="26"/>
      <c r="CS56" s="26"/>
      <c r="CT56" s="26"/>
      <c r="CU56" s="26"/>
      <c r="CW56" s="26"/>
      <c r="CX56" s="26"/>
      <c r="CY56" s="26"/>
      <c r="DA56" s="26"/>
      <c r="DB56" s="26"/>
      <c r="DC56" s="26"/>
      <c r="DE56" s="26"/>
      <c r="DF56" s="26"/>
      <c r="DG56" s="26"/>
    </row>
    <row r="57" spans="49:111">
      <c r="AW57" s="26"/>
      <c r="AX57" s="26"/>
      <c r="AY57" s="26"/>
      <c r="BA57" s="27"/>
      <c r="BB57" s="27"/>
      <c r="BC57" s="27"/>
      <c r="BE57" s="26"/>
      <c r="BF57" s="26"/>
      <c r="BG57" s="26"/>
      <c r="BI57" s="26"/>
      <c r="BJ57" s="26"/>
      <c r="BK57" s="26"/>
      <c r="BM57" s="26"/>
      <c r="BN57" s="26"/>
      <c r="BO57" s="26"/>
      <c r="BQ57" s="26"/>
      <c r="BR57" s="26"/>
      <c r="BS57" s="26"/>
      <c r="BU57" s="26"/>
      <c r="BV57" s="26"/>
      <c r="BW57" s="26"/>
      <c r="BY57" s="26"/>
      <c r="BZ57" s="26"/>
      <c r="CA57" s="26"/>
      <c r="CC57" s="26"/>
      <c r="CD57" s="26"/>
      <c r="CE57" s="26"/>
      <c r="CG57" s="26"/>
      <c r="CH57" s="26"/>
      <c r="CI57" s="26"/>
      <c r="CK57" s="26"/>
      <c r="CL57" s="26"/>
      <c r="CM57" s="26"/>
      <c r="CO57" s="26"/>
      <c r="CP57" s="26"/>
      <c r="CQ57" s="26"/>
      <c r="CS57" s="26"/>
      <c r="CT57" s="26"/>
      <c r="CU57" s="26"/>
      <c r="CW57" s="26"/>
      <c r="CX57" s="26"/>
      <c r="CY57" s="26"/>
      <c r="DA57" s="26"/>
      <c r="DB57" s="26"/>
      <c r="DC57" s="26"/>
      <c r="DE57" s="26"/>
      <c r="DF57" s="26"/>
      <c r="DG57" s="26"/>
    </row>
    <row r="58" spans="49:111">
      <c r="AW58" s="26"/>
      <c r="AX58" s="26"/>
      <c r="AY58" s="26"/>
      <c r="BA58" s="27"/>
      <c r="BB58" s="27"/>
      <c r="BC58" s="27"/>
      <c r="BE58" s="26"/>
      <c r="BF58" s="26"/>
      <c r="BG58" s="26"/>
      <c r="BI58" s="26"/>
      <c r="BJ58" s="26"/>
      <c r="BK58" s="26"/>
      <c r="BM58" s="26"/>
      <c r="BN58" s="26"/>
      <c r="BO58" s="26"/>
      <c r="BQ58" s="26"/>
      <c r="BR58" s="26"/>
      <c r="BS58" s="26"/>
      <c r="BU58" s="26"/>
      <c r="BV58" s="26"/>
      <c r="BW58" s="26"/>
      <c r="BY58" s="26"/>
      <c r="BZ58" s="26"/>
      <c r="CA58" s="26"/>
      <c r="CC58" s="26"/>
      <c r="CD58" s="26"/>
      <c r="CE58" s="26"/>
      <c r="CG58" s="26"/>
      <c r="CH58" s="26"/>
      <c r="CI58" s="26"/>
      <c r="CK58" s="26"/>
      <c r="CL58" s="26"/>
      <c r="CM58" s="26"/>
      <c r="CO58" s="26"/>
      <c r="CP58" s="26"/>
      <c r="CQ58" s="26"/>
      <c r="CS58" s="26"/>
      <c r="CT58" s="26"/>
      <c r="CU58" s="26"/>
      <c r="CW58" s="26"/>
      <c r="CX58" s="26"/>
      <c r="CY58" s="26"/>
      <c r="DA58" s="26"/>
      <c r="DB58" s="26"/>
      <c r="DC58" s="26"/>
      <c r="DE58" s="26"/>
      <c r="DF58" s="26"/>
      <c r="DG58" s="26"/>
    </row>
    <row r="59" spans="49:111">
      <c r="AW59" s="26"/>
      <c r="AX59" s="26"/>
      <c r="AY59" s="26"/>
      <c r="BA59" s="27"/>
      <c r="BB59" s="27"/>
      <c r="BC59" s="27"/>
      <c r="BE59" s="26"/>
      <c r="BF59" s="26"/>
      <c r="BG59" s="26"/>
      <c r="BI59" s="26"/>
      <c r="BJ59" s="26"/>
      <c r="BK59" s="26"/>
      <c r="BM59" s="26"/>
      <c r="BN59" s="26"/>
      <c r="BO59" s="26"/>
      <c r="BQ59" s="26"/>
      <c r="BR59" s="26"/>
      <c r="BS59" s="26"/>
      <c r="BU59" s="26"/>
      <c r="BV59" s="26"/>
      <c r="BW59" s="26"/>
      <c r="BY59" s="26"/>
      <c r="BZ59" s="26"/>
      <c r="CA59" s="26"/>
      <c r="CC59" s="26"/>
      <c r="CD59" s="26"/>
      <c r="CE59" s="26"/>
      <c r="CG59" s="26"/>
      <c r="CH59" s="26"/>
      <c r="CI59" s="26"/>
      <c r="CK59" s="26"/>
      <c r="CL59" s="26"/>
      <c r="CM59" s="26"/>
      <c r="CO59" s="26"/>
      <c r="CP59" s="26"/>
      <c r="CQ59" s="26"/>
      <c r="CS59" s="26"/>
      <c r="CT59" s="26"/>
      <c r="CU59" s="26"/>
      <c r="CW59" s="26"/>
      <c r="CX59" s="26"/>
      <c r="CY59" s="26"/>
      <c r="DA59" s="26"/>
      <c r="DB59" s="26"/>
      <c r="DC59" s="26"/>
      <c r="DE59" s="26"/>
      <c r="DF59" s="26"/>
      <c r="DG59" s="26"/>
    </row>
    <row r="60" spans="18:111">
      <c r="R60" t="s">
        <v>357</v>
      </c>
      <c r="S60" s="28">
        <f>Compensation!C16</f>
        <v>1.03153846153846</v>
      </c>
      <c r="T60" t="e">
        <f>MIN(ABS(S66:S137-S60))</f>
        <v>#VALUE!</v>
      </c>
      <c r="AW60" s="26"/>
      <c r="AX60" s="26"/>
      <c r="AY60" s="26"/>
      <c r="BA60" s="27"/>
      <c r="BB60" s="27"/>
      <c r="BC60" s="27"/>
      <c r="BE60" s="26"/>
      <c r="BF60" s="26"/>
      <c r="BG60" s="26"/>
      <c r="BI60" s="26"/>
      <c r="BJ60" s="26"/>
      <c r="BK60" s="26"/>
      <c r="BM60" s="26"/>
      <c r="BN60" s="26"/>
      <c r="BO60" s="26"/>
      <c r="BQ60" s="26"/>
      <c r="BR60" s="26"/>
      <c r="BS60" s="26"/>
      <c r="BU60" s="26"/>
      <c r="BV60" s="26"/>
      <c r="BW60" s="26"/>
      <c r="BY60" s="26"/>
      <c r="BZ60" s="26"/>
      <c r="CA60" s="26"/>
      <c r="CC60" s="26"/>
      <c r="CD60" s="26"/>
      <c r="CE60" s="26"/>
      <c r="CG60" s="26"/>
      <c r="CH60" s="26"/>
      <c r="CI60" s="26"/>
      <c r="CK60" s="26"/>
      <c r="CL60" s="26"/>
      <c r="CM60" s="26"/>
      <c r="CO60" s="26"/>
      <c r="CP60" s="26"/>
      <c r="CQ60" s="26"/>
      <c r="CS60" s="26"/>
      <c r="CT60" s="26"/>
      <c r="CU60" s="26"/>
      <c r="CW60" s="26"/>
      <c r="CX60" s="26"/>
      <c r="CY60" s="26"/>
      <c r="DA60" s="26"/>
      <c r="DB60" s="26"/>
      <c r="DC60" s="26"/>
      <c r="DE60" s="26"/>
      <c r="DF60" s="26"/>
      <c r="DG60" s="26"/>
    </row>
    <row r="61" spans="18:111">
      <c r="R61" t="s">
        <v>358</v>
      </c>
      <c r="S61" t="e">
        <f>INDEX(S66:S137,MATCH(MIN(ABS(S66:S137-S60)),ABS(S66:S137-S60),0))</f>
        <v>#VALUE!</v>
      </c>
      <c r="AW61" s="26"/>
      <c r="AX61" s="26"/>
      <c r="AY61" s="26"/>
      <c r="BA61" s="27"/>
      <c r="BB61" s="27"/>
      <c r="BC61" s="27"/>
      <c r="BE61" s="26"/>
      <c r="BF61" s="26"/>
      <c r="BG61" s="26"/>
      <c r="BI61" s="26"/>
      <c r="BJ61" s="26"/>
      <c r="BK61" s="26"/>
      <c r="BM61" s="26"/>
      <c r="BN61" s="26"/>
      <c r="BO61" s="26"/>
      <c r="BQ61" s="26"/>
      <c r="BR61" s="26"/>
      <c r="BS61" s="26"/>
      <c r="BU61" s="26"/>
      <c r="BV61" s="26"/>
      <c r="BW61" s="26"/>
      <c r="BY61" s="26"/>
      <c r="BZ61" s="26"/>
      <c r="CA61" s="26"/>
      <c r="CC61" s="26"/>
      <c r="CD61" s="26"/>
      <c r="CE61" s="26"/>
      <c r="CG61" s="26"/>
      <c r="CH61" s="26"/>
      <c r="CI61" s="26"/>
      <c r="CK61" s="26"/>
      <c r="CL61" s="26"/>
      <c r="CM61" s="26"/>
      <c r="CO61" s="26"/>
      <c r="CP61" s="26"/>
      <c r="CQ61" s="26"/>
      <c r="CS61" s="26"/>
      <c r="CT61" s="26"/>
      <c r="CU61" s="26"/>
      <c r="CW61" s="26"/>
      <c r="CX61" s="26"/>
      <c r="CY61" s="26"/>
      <c r="DA61" s="26"/>
      <c r="DB61" s="26"/>
      <c r="DC61" s="26"/>
      <c r="DE61" s="26"/>
      <c r="DF61" s="26"/>
      <c r="DG61" s="26"/>
    </row>
    <row r="62" spans="49:111">
      <c r="AW62" s="26"/>
      <c r="AX62" s="26"/>
      <c r="AY62" s="26"/>
      <c r="BA62" s="26"/>
      <c r="BB62" s="26"/>
      <c r="BC62" s="26"/>
      <c r="BE62" s="26"/>
      <c r="BF62" s="26"/>
      <c r="BG62" s="26"/>
      <c r="BI62" s="26"/>
      <c r="BJ62" s="26"/>
      <c r="BK62" s="26"/>
      <c r="BM62" s="26"/>
      <c r="BN62" s="26"/>
      <c r="BO62" s="26"/>
      <c r="BQ62" s="26"/>
      <c r="BR62" s="26"/>
      <c r="BS62" s="26"/>
      <c r="BU62" s="26"/>
      <c r="BV62" s="26"/>
      <c r="BW62" s="26"/>
      <c r="BY62" s="26"/>
      <c r="BZ62" s="26"/>
      <c r="CA62" s="26"/>
      <c r="CC62" s="26"/>
      <c r="CD62" s="26"/>
      <c r="CE62" s="26"/>
      <c r="CG62" s="26"/>
      <c r="CH62" s="26"/>
      <c r="CI62" s="26"/>
      <c r="CK62" s="26"/>
      <c r="CL62" s="26"/>
      <c r="CM62" s="26"/>
      <c r="CO62" s="26"/>
      <c r="CP62" s="26"/>
      <c r="CQ62" s="26"/>
      <c r="CS62" s="26"/>
      <c r="CT62" s="26"/>
      <c r="CU62" s="26"/>
      <c r="CW62" s="26"/>
      <c r="CX62" s="26"/>
      <c r="CY62" s="26"/>
      <c r="DA62" s="26"/>
      <c r="DB62" s="26"/>
      <c r="DC62" s="26"/>
      <c r="DE62" s="26"/>
      <c r="DF62" s="26"/>
      <c r="DG62" s="26"/>
    </row>
    <row r="63" spans="1:111">
      <c r="A63" t="s">
        <v>359</v>
      </c>
      <c r="AW63" s="26"/>
      <c r="AX63" s="26"/>
      <c r="AY63" s="26"/>
      <c r="BA63" s="26"/>
      <c r="BB63" s="26"/>
      <c r="BC63" s="26"/>
      <c r="BE63" s="26"/>
      <c r="BF63" s="26"/>
      <c r="BG63" s="26"/>
      <c r="BI63" s="26"/>
      <c r="BJ63" s="26"/>
      <c r="BK63" s="26"/>
      <c r="BM63" s="26"/>
      <c r="BN63" s="26"/>
      <c r="BO63" s="26"/>
      <c r="BQ63" s="26"/>
      <c r="BR63" s="26"/>
      <c r="BS63" s="26"/>
      <c r="BU63" s="26"/>
      <c r="BV63" s="26"/>
      <c r="BW63" s="26"/>
      <c r="BY63" s="26"/>
      <c r="BZ63" s="26"/>
      <c r="CA63" s="26"/>
      <c r="CC63" s="26"/>
      <c r="CD63" s="26"/>
      <c r="CE63" s="26"/>
      <c r="CG63" s="26"/>
      <c r="CH63" s="26"/>
      <c r="CI63" s="26"/>
      <c r="CK63" s="26"/>
      <c r="CL63" s="26"/>
      <c r="CM63" s="26"/>
      <c r="CO63" s="26"/>
      <c r="CP63" s="26"/>
      <c r="CQ63" s="26"/>
      <c r="CS63" s="26"/>
      <c r="CT63" s="26"/>
      <c r="CU63" s="26"/>
      <c r="CW63" s="26"/>
      <c r="CX63" s="26"/>
      <c r="CY63" s="26"/>
      <c r="DA63" s="26"/>
      <c r="DB63" s="26"/>
      <c r="DC63" s="26"/>
      <c r="DE63" s="26"/>
      <c r="DF63" s="26"/>
      <c r="DG63" s="26"/>
    </row>
    <row r="64" spans="24:111">
      <c r="X64" t="s">
        <v>360</v>
      </c>
      <c r="AW64" s="26"/>
      <c r="AX64" s="26"/>
      <c r="AY64" s="26"/>
      <c r="BA64" s="26"/>
      <c r="BB64" s="26"/>
      <c r="BC64" s="26"/>
      <c r="BE64" s="26"/>
      <c r="BF64" s="26"/>
      <c r="BG64" s="26"/>
      <c r="BI64" s="26"/>
      <c r="BJ64" s="26"/>
      <c r="BK64" s="26"/>
      <c r="BM64" s="26"/>
      <c r="BN64" s="26"/>
      <c r="BO64" s="26"/>
      <c r="BQ64" s="26"/>
      <c r="BR64" s="26"/>
      <c r="BS64" s="26"/>
      <c r="BU64" s="26"/>
      <c r="BV64" s="26"/>
      <c r="BW64" s="26"/>
      <c r="BY64" s="26"/>
      <c r="BZ64" s="26"/>
      <c r="CA64" s="26"/>
      <c r="CC64" s="26"/>
      <c r="CD64" s="26"/>
      <c r="CE64" s="26"/>
      <c r="CG64" s="26"/>
      <c r="CH64" s="26"/>
      <c r="CI64" s="26"/>
      <c r="CK64" s="26"/>
      <c r="CL64" s="26"/>
      <c r="CM64" s="26"/>
      <c r="CO64" s="26"/>
      <c r="CP64" s="26"/>
      <c r="CQ64" s="26"/>
      <c r="CS64" s="26"/>
      <c r="CT64" s="26"/>
      <c r="CU64" s="26"/>
      <c r="CW64" s="26"/>
      <c r="CX64" s="26"/>
      <c r="CY64" s="26"/>
      <c r="DA64" s="26"/>
      <c r="DB64" s="26"/>
      <c r="DC64" s="26"/>
      <c r="DE64" s="26"/>
      <c r="DF64" s="26"/>
      <c r="DG64" s="26"/>
    </row>
    <row r="65" s="21" customFormat="1" spans="1:111">
      <c r="A65" s="21" t="s">
        <v>361</v>
      </c>
      <c r="B65" s="21" t="s">
        <v>356</v>
      </c>
      <c r="C65" s="21" t="s">
        <v>362</v>
      </c>
      <c r="D65" s="21" t="s">
        <v>363</v>
      </c>
      <c r="E65" s="21" t="s">
        <v>364</v>
      </c>
      <c r="F65" s="21" t="s">
        <v>365</v>
      </c>
      <c r="G65" s="21" t="s">
        <v>366</v>
      </c>
      <c r="H65" s="21" t="s">
        <v>367</v>
      </c>
      <c r="I65" s="21" t="s">
        <v>368</v>
      </c>
      <c r="K65" s="21" t="s">
        <v>369</v>
      </c>
      <c r="M65" s="21" t="s">
        <v>370</v>
      </c>
      <c r="O65" s="21" t="s">
        <v>371</v>
      </c>
      <c r="S65" s="21" t="s">
        <v>372</v>
      </c>
      <c r="U65" s="29" t="s">
        <v>354</v>
      </c>
      <c r="V65" s="29" t="s">
        <v>373</v>
      </c>
      <c r="X65" s="21" t="s">
        <v>361</v>
      </c>
      <c r="Y65" s="21" t="s">
        <v>356</v>
      </c>
      <c r="Z65" s="21" t="s">
        <v>362</v>
      </c>
      <c r="AA65" s="21" t="s">
        <v>363</v>
      </c>
      <c r="AB65" s="21" t="s">
        <v>364</v>
      </c>
      <c r="AC65" s="21" t="s">
        <v>365</v>
      </c>
      <c r="AD65" s="21" t="s">
        <v>366</v>
      </c>
      <c r="AE65" s="21" t="s">
        <v>367</v>
      </c>
      <c r="AF65" s="21" t="s">
        <v>368</v>
      </c>
      <c r="AH65" s="21" t="s">
        <v>369</v>
      </c>
      <c r="AI65" s="21" t="s">
        <v>370</v>
      </c>
      <c r="AK65" s="21" t="s">
        <v>371</v>
      </c>
      <c r="AO65" s="21" t="s">
        <v>372</v>
      </c>
      <c r="AP65" s="21" t="s">
        <v>362</v>
      </c>
      <c r="BA65" s="30"/>
      <c r="BB65" s="30"/>
      <c r="BC65" s="30"/>
      <c r="BE65" s="30"/>
      <c r="BF65" s="30"/>
      <c r="BG65" s="30"/>
      <c r="BI65" s="30"/>
      <c r="BJ65" s="30"/>
      <c r="BK65" s="30"/>
      <c r="BM65" s="30"/>
      <c r="BN65" s="30"/>
      <c r="BO65" s="30"/>
      <c r="BQ65" s="30"/>
      <c r="BR65" s="30"/>
      <c r="BS65" s="30"/>
      <c r="BU65" s="30"/>
      <c r="BV65" s="30"/>
      <c r="BW65" s="30"/>
      <c r="BY65" s="30"/>
      <c r="BZ65" s="30"/>
      <c r="CA65" s="30"/>
      <c r="CC65" s="30"/>
      <c r="CD65" s="30"/>
      <c r="CE65" s="30"/>
      <c r="CG65" s="30"/>
      <c r="CH65" s="30"/>
      <c r="CI65" s="30"/>
      <c r="CK65" s="30"/>
      <c r="CL65" s="30"/>
      <c r="CM65" s="30"/>
      <c r="CO65" s="30"/>
      <c r="CP65" s="30"/>
      <c r="CQ65" s="30"/>
      <c r="CS65" s="30"/>
      <c r="CT65" s="30"/>
      <c r="CU65" s="30"/>
      <c r="CW65" s="30"/>
      <c r="CX65" s="30"/>
      <c r="CY65" s="30"/>
      <c r="DA65" s="30"/>
      <c r="DB65" s="30"/>
      <c r="DC65" s="30"/>
      <c r="DE65" s="30"/>
      <c r="DF65" s="30"/>
      <c r="DG65" s="30"/>
    </row>
    <row r="66" s="21" customFormat="1" spans="1:111">
      <c r="A66" s="21">
        <f t="shared" ref="A66:A137" si="0">Qe_selected</f>
        <v>0.35</v>
      </c>
      <c r="B66" s="21">
        <f t="shared" ref="B66:B137" si="1">Ln_selected</f>
        <v>5.56</v>
      </c>
      <c r="C66" s="21">
        <v>0</v>
      </c>
      <c r="D66" s="21">
        <f>C66^2</f>
        <v>0</v>
      </c>
      <c r="E66" s="21">
        <f>B66*D66</f>
        <v>0</v>
      </c>
      <c r="F66" s="21">
        <f>C66^2-1</f>
        <v>-1</v>
      </c>
      <c r="G66" s="21">
        <f t="shared" ref="G66:G129" si="2">1</f>
        <v>1</v>
      </c>
      <c r="H66" s="21">
        <f>C66*B66*A66</f>
        <v>0</v>
      </c>
      <c r="I66" s="21" t="str">
        <f>COMPLEX(G66,H66,"j")</f>
        <v>1</v>
      </c>
      <c r="K66" s="21" t="str">
        <f>IMPRODUCT(I66,F66)</f>
        <v>-1</v>
      </c>
      <c r="M66" s="21" t="str">
        <f t="shared" ref="M66:M97" si="3">IMSUM(K66,E66)</f>
        <v>-1</v>
      </c>
      <c r="O66" s="21" t="str">
        <f t="shared" ref="O66:O97" si="4">IMDIV(E66,M66)</f>
        <v>0</v>
      </c>
      <c r="S66" s="21">
        <f>IMABS(O66)</f>
        <v>0</v>
      </c>
      <c r="U66" s="21">
        <f t="shared" ref="U66:U137" si="5">Mg_max</f>
        <v>1.10958904109589</v>
      </c>
      <c r="V66" s="21">
        <f t="shared" ref="V66:V137" si="6">Mg_min</f>
        <v>0.981219512195122</v>
      </c>
      <c r="X66" s="21">
        <v>0.001</v>
      </c>
      <c r="Y66" s="21">
        <f t="shared" ref="Y66:Y137" si="7">Ln_selected</f>
        <v>5.56</v>
      </c>
      <c r="Z66" s="21">
        <v>0</v>
      </c>
      <c r="AA66" s="21">
        <f>Z66^2</f>
        <v>0</v>
      </c>
      <c r="AB66" s="21">
        <f>Y66*AA66</f>
        <v>0</v>
      </c>
      <c r="AC66" s="21">
        <f>Z66^2-1</f>
        <v>-1</v>
      </c>
      <c r="AD66" s="21">
        <v>1</v>
      </c>
      <c r="AE66" s="21">
        <f>Z66*Y66*X66</f>
        <v>0</v>
      </c>
      <c r="AF66" s="21" t="str">
        <f>COMPLEX(AD66,AE66,"j")</f>
        <v>1</v>
      </c>
      <c r="AH66" s="21" t="str">
        <f>IMPRODUCT(AF66,AC66)</f>
        <v>-1</v>
      </c>
      <c r="AI66" s="21" t="str">
        <f>IMSUM(AH66,AB66)</f>
        <v>-1</v>
      </c>
      <c r="AK66" s="21" t="str">
        <f>IMDIV(AB66,AI66)</f>
        <v>0</v>
      </c>
      <c r="AO66" s="21">
        <f>IMABS(AK66)</f>
        <v>0</v>
      </c>
      <c r="AP66" s="21">
        <v>0</v>
      </c>
      <c r="AR66" s="21">
        <f>Compensation!$C$16</f>
        <v>1.03153846153846</v>
      </c>
      <c r="BA66" s="30"/>
      <c r="BB66" s="30"/>
      <c r="BC66" s="30"/>
      <c r="BE66" s="30"/>
      <c r="BF66" s="30"/>
      <c r="BG66" s="30"/>
      <c r="BI66" s="30"/>
      <c r="BJ66" s="30"/>
      <c r="BK66" s="30"/>
      <c r="BM66" s="30"/>
      <c r="BN66" s="30"/>
      <c r="BO66" s="30"/>
      <c r="BQ66" s="30"/>
      <c r="BR66" s="30"/>
      <c r="BS66" s="30"/>
      <c r="BU66" s="30"/>
      <c r="BV66" s="30"/>
      <c r="BW66" s="30"/>
      <c r="BY66" s="30"/>
      <c r="BZ66" s="30"/>
      <c r="CA66" s="30"/>
      <c r="CC66" s="30"/>
      <c r="CD66" s="30"/>
      <c r="CE66" s="30"/>
      <c r="CG66" s="30"/>
      <c r="CH66" s="30"/>
      <c r="CI66" s="30"/>
      <c r="CK66" s="30"/>
      <c r="CL66" s="30"/>
      <c r="CM66" s="30"/>
      <c r="CO66" s="30"/>
      <c r="CP66" s="30"/>
      <c r="CQ66" s="30"/>
      <c r="CS66" s="30"/>
      <c r="CT66" s="30"/>
      <c r="CU66" s="30"/>
      <c r="CW66" s="30"/>
      <c r="CX66" s="30"/>
      <c r="CY66" s="30"/>
      <c r="DA66" s="30"/>
      <c r="DB66" s="30"/>
      <c r="DC66" s="30"/>
      <c r="DE66" s="30"/>
      <c r="DF66" s="30"/>
      <c r="DG66" s="30"/>
    </row>
    <row r="67" s="21" customFormat="1" spans="1:111">
      <c r="A67" s="21">
        <f t="shared" si="0"/>
        <v>0.35</v>
      </c>
      <c r="B67" s="21">
        <f t="shared" si="1"/>
        <v>5.56</v>
      </c>
      <c r="C67" s="21">
        <f>C66+0.05</f>
        <v>0.05</v>
      </c>
      <c r="D67" s="21">
        <f t="shared" ref="D67:D130" si="8">C67^2</f>
        <v>0.0025</v>
      </c>
      <c r="E67" s="21">
        <f t="shared" ref="E67:E130" si="9">B67*D67</f>
        <v>0.0139</v>
      </c>
      <c r="F67" s="21">
        <f t="shared" ref="F67:F130" si="10">C67^2-1</f>
        <v>-0.9975</v>
      </c>
      <c r="G67" s="21">
        <f t="shared" si="2"/>
        <v>1</v>
      </c>
      <c r="H67" s="21">
        <f t="shared" ref="H67:H130" si="11">C67*B67*A67</f>
        <v>0.0973</v>
      </c>
      <c r="I67" s="21" t="str">
        <f t="shared" ref="I67:I130" si="12">COMPLEX(G67,H67,"j")</f>
        <v>1+0.0973j</v>
      </c>
      <c r="K67" s="21" t="str">
        <f t="shared" ref="K67:K130" si="13">IMPRODUCT(I67,F67)</f>
        <v>-0.9975-0.09705675j</v>
      </c>
      <c r="M67" s="21" t="str">
        <f t="shared" si="3"/>
        <v>-0.9836-0.09705675j</v>
      </c>
      <c r="O67" s="21" t="str">
        <f t="shared" si="4"/>
        <v>-0.0139954901547557+0.00138100527559738j</v>
      </c>
      <c r="S67" s="21">
        <f t="shared" ref="S67:S130" si="14">IMABS(O67)</f>
        <v>0.0140634604647324</v>
      </c>
      <c r="U67" s="21">
        <f t="shared" si="5"/>
        <v>1.10958904109589</v>
      </c>
      <c r="V67" s="21">
        <f t="shared" si="6"/>
        <v>0.981219512195122</v>
      </c>
      <c r="X67" s="21">
        <f>X66</f>
        <v>0.001</v>
      </c>
      <c r="Y67" s="21">
        <f t="shared" si="7"/>
        <v>5.56</v>
      </c>
      <c r="Z67" s="21">
        <f>Z66+0.05</f>
        <v>0.05</v>
      </c>
      <c r="AA67" s="21">
        <f t="shared" ref="AA67:AA130" si="15">Z67^2</f>
        <v>0.0025</v>
      </c>
      <c r="AB67" s="21">
        <f t="shared" ref="AB67:AB130" si="16">Y67*AA67</f>
        <v>0.0139</v>
      </c>
      <c r="AC67" s="21">
        <f t="shared" ref="AC67:AC130" si="17">Z67^2-1</f>
        <v>-0.9975</v>
      </c>
      <c r="AD67" s="21">
        <v>1</v>
      </c>
      <c r="AE67" s="21">
        <f t="shared" ref="AE67:AE130" si="18">Z67*Y67*X67</f>
        <v>0.000278</v>
      </c>
      <c r="AF67" s="21" t="str">
        <f t="shared" ref="AF67:AF130" si="19">COMPLEX(AD67,AE67,"j")</f>
        <v>1+0.000278j</v>
      </c>
      <c r="AH67" s="21" t="str">
        <f t="shared" ref="AH67:AH130" si="20">IMPRODUCT(AF67,AC67)</f>
        <v>-0.9975-0.000277305j</v>
      </c>
      <c r="AI67" s="21" t="str">
        <f t="shared" ref="AI67:AI130" si="21">IMSUM(AH67,AB67)</f>
        <v>-0.9836-0.000277305j</v>
      </c>
      <c r="AK67" s="21" t="str">
        <f t="shared" ref="AK67:AK130" si="22">IMDIV(AB67,AI67)</f>
        <v>-0.0141317597551606+3.98414766053762E-06j</v>
      </c>
      <c r="AO67" s="21">
        <f t="shared" ref="AO67:AO130" si="23">IMABS(AK67)</f>
        <v>0.0141317603167832</v>
      </c>
      <c r="AP67" s="21">
        <v>1</v>
      </c>
      <c r="AR67" s="21">
        <f>Compensation!$C$16</f>
        <v>1.03153846153846</v>
      </c>
      <c r="BA67" s="30"/>
      <c r="BB67" s="30"/>
      <c r="BC67" s="30"/>
      <c r="BE67" s="30"/>
      <c r="BF67" s="30"/>
      <c r="BG67" s="30"/>
      <c r="BI67" s="30"/>
      <c r="BJ67" s="30"/>
      <c r="BK67" s="30"/>
      <c r="BM67" s="30"/>
      <c r="BN67" s="30"/>
      <c r="BO67" s="30"/>
      <c r="BQ67" s="30"/>
      <c r="BR67" s="30"/>
      <c r="BS67" s="30"/>
      <c r="BU67" s="30"/>
      <c r="BV67" s="30"/>
      <c r="BW67" s="30"/>
      <c r="BY67" s="30"/>
      <c r="BZ67" s="30"/>
      <c r="CA67" s="30"/>
      <c r="CC67" s="30"/>
      <c r="CD67" s="30"/>
      <c r="CE67" s="30"/>
      <c r="CG67" s="30"/>
      <c r="CH67" s="30"/>
      <c r="CI67" s="30"/>
      <c r="CK67" s="30"/>
      <c r="CL67" s="30"/>
      <c r="CM67" s="30"/>
      <c r="CO67" s="30"/>
      <c r="CP67" s="30"/>
      <c r="CQ67" s="30"/>
      <c r="CS67" s="30"/>
      <c r="CT67" s="30"/>
      <c r="CU67" s="30"/>
      <c r="CW67" s="30"/>
      <c r="CX67" s="30"/>
      <c r="CY67" s="30"/>
      <c r="DA67" s="30"/>
      <c r="DB67" s="30"/>
      <c r="DC67" s="30"/>
      <c r="DE67" s="30"/>
      <c r="DF67" s="30"/>
      <c r="DG67" s="30"/>
    </row>
    <row r="68" s="21" customFormat="1" spans="1:111">
      <c r="A68" s="21">
        <f t="shared" si="0"/>
        <v>0.35</v>
      </c>
      <c r="B68" s="21">
        <f t="shared" si="1"/>
        <v>5.56</v>
      </c>
      <c r="C68" s="21">
        <f t="shared" ref="C68:C131" si="24">C67+0.05</f>
        <v>0.1</v>
      </c>
      <c r="D68" s="21">
        <f t="shared" si="8"/>
        <v>0.01</v>
      </c>
      <c r="E68" s="21">
        <f t="shared" si="9"/>
        <v>0.0556</v>
      </c>
      <c r="F68" s="21">
        <f t="shared" si="10"/>
        <v>-0.99</v>
      </c>
      <c r="G68" s="21">
        <f t="shared" si="2"/>
        <v>1</v>
      </c>
      <c r="H68" s="21">
        <f t="shared" si="11"/>
        <v>0.1946</v>
      </c>
      <c r="I68" s="21" t="str">
        <f t="shared" si="12"/>
        <v>1+0.1946j</v>
      </c>
      <c r="K68" s="21" t="str">
        <f t="shared" si="13"/>
        <v>-0.99-0.192654j</v>
      </c>
      <c r="M68" s="21" t="str">
        <f t="shared" si="3"/>
        <v>-0.9344-0.192654j</v>
      </c>
      <c r="O68" s="21" t="str">
        <f t="shared" si="4"/>
        <v>-0.0570770818386214+0.0117681165716372j</v>
      </c>
      <c r="S68" s="21">
        <f t="shared" si="14"/>
        <v>0.0582776272582912</v>
      </c>
      <c r="U68" s="21">
        <f t="shared" si="5"/>
        <v>1.10958904109589</v>
      </c>
      <c r="V68" s="21">
        <f t="shared" si="6"/>
        <v>0.981219512195122</v>
      </c>
      <c r="X68" s="21">
        <f t="shared" ref="X68:X131" si="25">X67</f>
        <v>0.001</v>
      </c>
      <c r="Y68" s="21">
        <f t="shared" si="7"/>
        <v>5.56</v>
      </c>
      <c r="Z68" s="21">
        <f t="shared" ref="Z68:Z131" si="26">Z67+0.05</f>
        <v>0.1</v>
      </c>
      <c r="AA68" s="21">
        <f t="shared" si="15"/>
        <v>0.01</v>
      </c>
      <c r="AB68" s="21">
        <f t="shared" si="16"/>
        <v>0.0556</v>
      </c>
      <c r="AC68" s="21">
        <f t="shared" si="17"/>
        <v>-0.99</v>
      </c>
      <c r="AD68" s="21">
        <v>1</v>
      </c>
      <c r="AE68" s="21">
        <f t="shared" si="18"/>
        <v>0.000556</v>
      </c>
      <c r="AF68" s="21" t="str">
        <f t="shared" si="19"/>
        <v>1+0.000556j</v>
      </c>
      <c r="AH68" s="21" t="str">
        <f t="shared" si="20"/>
        <v>-0.99-0.00055044j</v>
      </c>
      <c r="AI68" s="21" t="str">
        <f t="shared" si="21"/>
        <v>-0.9344-0.00055044j</v>
      </c>
      <c r="AK68" s="21" t="str">
        <f t="shared" si="22"/>
        <v>-0.0595034040086721+0.0000350524975412388j</v>
      </c>
      <c r="AO68" s="21">
        <f t="shared" si="23"/>
        <v>0.0595034143331023</v>
      </c>
      <c r="AP68" s="21">
        <v>2</v>
      </c>
      <c r="AR68" s="21">
        <f>Compensation!$C$16</f>
        <v>1.03153846153846</v>
      </c>
      <c r="BA68" s="30"/>
      <c r="BB68" s="30"/>
      <c r="BC68" s="30"/>
      <c r="BE68" s="30"/>
      <c r="BF68" s="30"/>
      <c r="BG68" s="30"/>
      <c r="BI68" s="30"/>
      <c r="BJ68" s="30"/>
      <c r="BK68" s="30"/>
      <c r="BM68" s="30"/>
      <c r="BN68" s="30"/>
      <c r="BO68" s="30"/>
      <c r="BQ68" s="30"/>
      <c r="BR68" s="30"/>
      <c r="BS68" s="30"/>
      <c r="BU68" s="30"/>
      <c r="BV68" s="30"/>
      <c r="BW68" s="30"/>
      <c r="BY68" s="30"/>
      <c r="BZ68" s="30"/>
      <c r="CA68" s="30"/>
      <c r="CC68" s="30"/>
      <c r="CD68" s="30"/>
      <c r="CE68" s="30"/>
      <c r="CG68" s="30"/>
      <c r="CH68" s="30"/>
      <c r="CI68" s="30"/>
      <c r="CK68" s="30"/>
      <c r="CL68" s="30"/>
      <c r="CM68" s="30"/>
      <c r="CO68" s="30"/>
      <c r="CP68" s="30"/>
      <c r="CQ68" s="30"/>
      <c r="CS68" s="30"/>
      <c r="CT68" s="30"/>
      <c r="CU68" s="30"/>
      <c r="CW68" s="30"/>
      <c r="CX68" s="30"/>
      <c r="CY68" s="30"/>
      <c r="DA68" s="30"/>
      <c r="DB68" s="30"/>
      <c r="DC68" s="30"/>
      <c r="DE68" s="30"/>
      <c r="DF68" s="30"/>
      <c r="DG68" s="30"/>
    </row>
    <row r="69" s="21" customFormat="1" spans="1:111">
      <c r="A69" s="21">
        <f t="shared" si="0"/>
        <v>0.35</v>
      </c>
      <c r="B69" s="21">
        <f t="shared" si="1"/>
        <v>5.56</v>
      </c>
      <c r="C69" s="21">
        <f t="shared" si="24"/>
        <v>0.15</v>
      </c>
      <c r="D69" s="21">
        <f t="shared" si="8"/>
        <v>0.0225</v>
      </c>
      <c r="E69" s="21">
        <f t="shared" si="9"/>
        <v>0.1251</v>
      </c>
      <c r="F69" s="21">
        <f t="shared" si="10"/>
        <v>-0.9775</v>
      </c>
      <c r="G69" s="21">
        <f t="shared" si="2"/>
        <v>1</v>
      </c>
      <c r="H69" s="21">
        <f t="shared" si="11"/>
        <v>0.2919</v>
      </c>
      <c r="I69" s="21" t="str">
        <f t="shared" si="12"/>
        <v>1+0.2919j</v>
      </c>
      <c r="K69" s="21" t="str">
        <f t="shared" si="13"/>
        <v>-0.9775-0.28533225j</v>
      </c>
      <c r="M69" s="21" t="str">
        <f t="shared" si="3"/>
        <v>-0.8524-0.28533225j</v>
      </c>
      <c r="O69" s="21" t="str">
        <f t="shared" si="4"/>
        <v>-0.131974265625024+0.0441770461671585j</v>
      </c>
      <c r="S69" s="21">
        <f t="shared" si="14"/>
        <v>0.139171901601292</v>
      </c>
      <c r="U69" s="21">
        <f t="shared" si="5"/>
        <v>1.10958904109589</v>
      </c>
      <c r="V69" s="21">
        <f t="shared" si="6"/>
        <v>0.981219512195122</v>
      </c>
      <c r="X69" s="21">
        <f t="shared" si="25"/>
        <v>0.001</v>
      </c>
      <c r="Y69" s="21">
        <f t="shared" si="7"/>
        <v>5.56</v>
      </c>
      <c r="Z69" s="21">
        <f t="shared" si="26"/>
        <v>0.15</v>
      </c>
      <c r="AA69" s="21">
        <f t="shared" si="15"/>
        <v>0.0225</v>
      </c>
      <c r="AB69" s="21">
        <f t="shared" si="16"/>
        <v>0.1251</v>
      </c>
      <c r="AC69" s="21">
        <f t="shared" si="17"/>
        <v>-0.9775</v>
      </c>
      <c r="AD69" s="21">
        <v>1</v>
      </c>
      <c r="AE69" s="21">
        <f t="shared" si="18"/>
        <v>0.000834</v>
      </c>
      <c r="AF69" s="21" t="str">
        <f t="shared" si="19"/>
        <v>1+0.000834j</v>
      </c>
      <c r="AH69" s="21" t="str">
        <f t="shared" si="20"/>
        <v>-0.9775-0.000815235j</v>
      </c>
      <c r="AI69" s="21" t="str">
        <f t="shared" si="21"/>
        <v>-0.8524-0.000815235j</v>
      </c>
      <c r="AK69" s="21" t="str">
        <f t="shared" si="22"/>
        <v>-0.146761949285682+0.000140363066313835j</v>
      </c>
      <c r="AO69" s="21">
        <f t="shared" si="23"/>
        <v>0.146762016407255</v>
      </c>
      <c r="AP69" s="21">
        <v>3</v>
      </c>
      <c r="AR69" s="21">
        <f>Compensation!$C$16</f>
        <v>1.03153846153846</v>
      </c>
      <c r="BA69" s="30"/>
      <c r="BB69" s="30"/>
      <c r="BC69" s="30"/>
      <c r="BE69" s="30"/>
      <c r="BF69" s="30"/>
      <c r="BG69" s="30"/>
      <c r="BI69" s="30"/>
      <c r="BJ69" s="30"/>
      <c r="BK69" s="30"/>
      <c r="BM69" s="30"/>
      <c r="BN69" s="30"/>
      <c r="BO69" s="30"/>
      <c r="BQ69" s="30"/>
      <c r="BR69" s="30"/>
      <c r="BS69" s="30"/>
      <c r="BU69" s="30"/>
      <c r="BV69" s="30"/>
      <c r="BW69" s="30"/>
      <c r="BY69" s="30"/>
      <c r="BZ69" s="30"/>
      <c r="CA69" s="30"/>
      <c r="CC69" s="30"/>
      <c r="CD69" s="30"/>
      <c r="CE69" s="30"/>
      <c r="CG69" s="30"/>
      <c r="CH69" s="30"/>
      <c r="CI69" s="30"/>
      <c r="CK69" s="30"/>
      <c r="CL69" s="30"/>
      <c r="CM69" s="30"/>
      <c r="CO69" s="30"/>
      <c r="CP69" s="30"/>
      <c r="CQ69" s="30"/>
      <c r="CS69" s="30"/>
      <c r="CT69" s="30"/>
      <c r="CU69" s="30"/>
      <c r="CW69" s="30"/>
      <c r="CX69" s="30"/>
      <c r="CY69" s="30"/>
      <c r="DA69" s="30"/>
      <c r="DB69" s="30"/>
      <c r="DC69" s="30"/>
      <c r="DE69" s="30"/>
      <c r="DF69" s="30"/>
      <c r="DG69" s="30"/>
    </row>
    <row r="70" s="21" customFormat="1" spans="1:111">
      <c r="A70" s="21">
        <f t="shared" si="0"/>
        <v>0.35</v>
      </c>
      <c r="B70" s="21">
        <f t="shared" si="1"/>
        <v>5.56</v>
      </c>
      <c r="C70" s="21">
        <f t="shared" si="24"/>
        <v>0.2</v>
      </c>
      <c r="D70" s="21">
        <f t="shared" si="8"/>
        <v>0.04</v>
      </c>
      <c r="E70" s="21">
        <f t="shared" si="9"/>
        <v>0.2224</v>
      </c>
      <c r="F70" s="21">
        <f t="shared" si="10"/>
        <v>-0.96</v>
      </c>
      <c r="G70" s="21">
        <f t="shared" si="2"/>
        <v>1</v>
      </c>
      <c r="H70" s="21">
        <f t="shared" si="11"/>
        <v>0.3892</v>
      </c>
      <c r="I70" s="21" t="str">
        <f t="shared" si="12"/>
        <v>1+0.3892j</v>
      </c>
      <c r="K70" s="21" t="str">
        <f t="shared" si="13"/>
        <v>-0.96-0.373632j</v>
      </c>
      <c r="M70" s="21" t="str">
        <f t="shared" si="3"/>
        <v>-0.7376-0.373632j</v>
      </c>
      <c r="O70" s="21" t="str">
        <f t="shared" si="4"/>
        <v>-0.239948992458828+0.121546396353548j</v>
      </c>
      <c r="S70" s="21">
        <f t="shared" si="14"/>
        <v>0.268977778726311</v>
      </c>
      <c r="U70" s="21">
        <f t="shared" si="5"/>
        <v>1.10958904109589</v>
      </c>
      <c r="V70" s="21">
        <f t="shared" si="6"/>
        <v>0.981219512195122</v>
      </c>
      <c r="X70" s="21">
        <f t="shared" si="25"/>
        <v>0.001</v>
      </c>
      <c r="Y70" s="21">
        <f t="shared" si="7"/>
        <v>5.56</v>
      </c>
      <c r="Z70" s="21">
        <f t="shared" si="26"/>
        <v>0.2</v>
      </c>
      <c r="AA70" s="21">
        <f t="shared" si="15"/>
        <v>0.04</v>
      </c>
      <c r="AB70" s="21">
        <f t="shared" si="16"/>
        <v>0.2224</v>
      </c>
      <c r="AC70" s="21">
        <f t="shared" si="17"/>
        <v>-0.96</v>
      </c>
      <c r="AD70" s="21">
        <v>1</v>
      </c>
      <c r="AE70" s="21">
        <f t="shared" si="18"/>
        <v>0.001112</v>
      </c>
      <c r="AF70" s="21" t="str">
        <f t="shared" si="19"/>
        <v>1+0.001112j</v>
      </c>
      <c r="AH70" s="21" t="str">
        <f t="shared" si="20"/>
        <v>-0.96-0.00106752j</v>
      </c>
      <c r="AI70" s="21" t="str">
        <f t="shared" si="21"/>
        <v>-0.7376-0.00106752j</v>
      </c>
      <c r="AK70" s="21" t="str">
        <f t="shared" si="22"/>
        <v>-0.301517806605406+0.000436383255026306j</v>
      </c>
      <c r="AO70" s="21">
        <f t="shared" si="23"/>
        <v>0.301518122391475</v>
      </c>
      <c r="AP70" s="21">
        <v>4</v>
      </c>
      <c r="AR70" s="21">
        <f>Compensation!$C$16</f>
        <v>1.03153846153846</v>
      </c>
      <c r="BA70" s="30"/>
      <c r="BB70" s="30"/>
      <c r="BC70" s="30"/>
      <c r="BE70" s="30"/>
      <c r="BF70" s="30"/>
      <c r="BG70" s="30"/>
      <c r="BI70" s="30"/>
      <c r="BJ70" s="30"/>
      <c r="BK70" s="30"/>
      <c r="BM70" s="30"/>
      <c r="BN70" s="30"/>
      <c r="BO70" s="30"/>
      <c r="BQ70" s="30"/>
      <c r="BR70" s="30"/>
      <c r="BS70" s="30"/>
      <c r="BU70" s="30"/>
      <c r="BV70" s="30"/>
      <c r="BW70" s="30"/>
      <c r="BY70" s="30"/>
      <c r="BZ70" s="30"/>
      <c r="CA70" s="30"/>
      <c r="CC70" s="30"/>
      <c r="CD70" s="30"/>
      <c r="CE70" s="30"/>
      <c r="CG70" s="30"/>
      <c r="CH70" s="30"/>
      <c r="CI70" s="30"/>
      <c r="CK70" s="30"/>
      <c r="CL70" s="30"/>
      <c r="CM70" s="30"/>
      <c r="CO70" s="30"/>
      <c r="CP70" s="30"/>
      <c r="CQ70" s="30"/>
      <c r="CS70" s="30"/>
      <c r="CT70" s="30"/>
      <c r="CU70" s="30"/>
      <c r="CW70" s="30"/>
      <c r="CX70" s="30"/>
      <c r="CY70" s="30"/>
      <c r="DA70" s="30"/>
      <c r="DB70" s="30"/>
      <c r="DC70" s="30"/>
      <c r="DE70" s="30"/>
      <c r="DF70" s="30"/>
      <c r="DG70" s="30"/>
    </row>
    <row r="71" s="21" customFormat="1" spans="1:111">
      <c r="A71" s="21">
        <f t="shared" si="0"/>
        <v>0.35</v>
      </c>
      <c r="B71" s="21">
        <f t="shared" si="1"/>
        <v>5.56</v>
      </c>
      <c r="C71" s="21">
        <f t="shared" si="24"/>
        <v>0.25</v>
      </c>
      <c r="D71" s="21">
        <f t="shared" si="8"/>
        <v>0.0625</v>
      </c>
      <c r="E71" s="21">
        <f t="shared" si="9"/>
        <v>0.3475</v>
      </c>
      <c r="F71" s="21">
        <f t="shared" si="10"/>
        <v>-0.9375</v>
      </c>
      <c r="G71" s="21">
        <f t="shared" si="2"/>
        <v>1</v>
      </c>
      <c r="H71" s="21">
        <f t="shared" si="11"/>
        <v>0.4865</v>
      </c>
      <c r="I71" s="21" t="str">
        <f t="shared" si="12"/>
        <v>1+0.4865j</v>
      </c>
      <c r="K71" s="21" t="str">
        <f t="shared" si="13"/>
        <v>-0.9375-0.45609375j</v>
      </c>
      <c r="M71" s="21" t="str">
        <f t="shared" si="3"/>
        <v>-0.59-0.45609375j</v>
      </c>
      <c r="O71" s="21" t="str">
        <f t="shared" si="4"/>
        <v>-0.368669430618563+0.28499631037489j</v>
      </c>
      <c r="S71" s="21">
        <f t="shared" si="14"/>
        <v>0.465982881659741</v>
      </c>
      <c r="U71" s="21">
        <f t="shared" si="5"/>
        <v>1.10958904109589</v>
      </c>
      <c r="V71" s="21">
        <f t="shared" si="6"/>
        <v>0.981219512195122</v>
      </c>
      <c r="X71" s="21">
        <f t="shared" si="25"/>
        <v>0.001</v>
      </c>
      <c r="Y71" s="21">
        <f t="shared" si="7"/>
        <v>5.56</v>
      </c>
      <c r="Z71" s="21">
        <f t="shared" si="26"/>
        <v>0.25</v>
      </c>
      <c r="AA71" s="21">
        <f t="shared" si="15"/>
        <v>0.0625</v>
      </c>
      <c r="AB71" s="21">
        <f t="shared" si="16"/>
        <v>0.3475</v>
      </c>
      <c r="AC71" s="21">
        <f t="shared" si="17"/>
        <v>-0.9375</v>
      </c>
      <c r="AD71" s="21">
        <v>1</v>
      </c>
      <c r="AE71" s="21">
        <f t="shared" si="18"/>
        <v>0.00139</v>
      </c>
      <c r="AF71" s="21" t="str">
        <f t="shared" si="19"/>
        <v>1+0.00139j</v>
      </c>
      <c r="AH71" s="21" t="str">
        <f t="shared" si="20"/>
        <v>-0.9375-0.001303125j</v>
      </c>
      <c r="AI71" s="21" t="str">
        <f t="shared" si="21"/>
        <v>-0.59-0.001303125j</v>
      </c>
      <c r="AK71" s="21" t="str">
        <f t="shared" si="22"/>
        <v>-0.588980177627935+0.00130087253215492j</v>
      </c>
      <c r="AO71" s="21">
        <f t="shared" si="23"/>
        <v>0.588981614235944</v>
      </c>
      <c r="AP71" s="21">
        <v>5</v>
      </c>
      <c r="AR71" s="21">
        <f>Compensation!$C$16</f>
        <v>1.03153846153846</v>
      </c>
      <c r="BA71" s="30"/>
      <c r="BB71" s="30"/>
      <c r="BC71" s="30"/>
      <c r="BE71" s="30"/>
      <c r="BF71" s="30"/>
      <c r="BG71" s="30"/>
      <c r="BI71" s="30"/>
      <c r="BJ71" s="30"/>
      <c r="BK71" s="30"/>
      <c r="BM71" s="30"/>
      <c r="BN71" s="30"/>
      <c r="BO71" s="30"/>
      <c r="BQ71" s="30"/>
      <c r="BR71" s="30"/>
      <c r="BS71" s="30"/>
      <c r="BU71" s="30"/>
      <c r="BV71" s="30"/>
      <c r="BW71" s="30"/>
      <c r="BY71" s="30"/>
      <c r="BZ71" s="30"/>
      <c r="CA71" s="30"/>
      <c r="CC71" s="30"/>
      <c r="CD71" s="30"/>
      <c r="CE71" s="30"/>
      <c r="CG71" s="30"/>
      <c r="CH71" s="30"/>
      <c r="CI71" s="30"/>
      <c r="CK71" s="30"/>
      <c r="CL71" s="30"/>
      <c r="CM71" s="30"/>
      <c r="CO71" s="30"/>
      <c r="CP71" s="30"/>
      <c r="CQ71" s="30"/>
      <c r="CS71" s="30"/>
      <c r="CT71" s="30"/>
      <c r="CU71" s="30"/>
      <c r="CW71" s="30"/>
      <c r="CX71" s="30"/>
      <c r="CY71" s="30"/>
      <c r="DA71" s="30"/>
      <c r="DB71" s="30"/>
      <c r="DC71" s="30"/>
      <c r="DE71" s="30"/>
      <c r="DF71" s="30"/>
      <c r="DG71" s="30"/>
    </row>
    <row r="72" s="21" customFormat="1" spans="1:111">
      <c r="A72" s="21">
        <f t="shared" si="0"/>
        <v>0.35</v>
      </c>
      <c r="B72" s="21">
        <f t="shared" si="1"/>
        <v>5.56</v>
      </c>
      <c r="C72" s="21">
        <f t="shared" si="24"/>
        <v>0.3</v>
      </c>
      <c r="D72" s="21">
        <f t="shared" si="8"/>
        <v>0.09</v>
      </c>
      <c r="E72" s="21">
        <f t="shared" si="9"/>
        <v>0.5004</v>
      </c>
      <c r="F72" s="21">
        <f t="shared" si="10"/>
        <v>-0.91</v>
      </c>
      <c r="G72" s="21">
        <f t="shared" si="2"/>
        <v>1</v>
      </c>
      <c r="H72" s="21">
        <f t="shared" si="11"/>
        <v>0.5838</v>
      </c>
      <c r="I72" s="21" t="str">
        <f t="shared" si="12"/>
        <v>1+0.5838j</v>
      </c>
      <c r="K72" s="21" t="str">
        <f t="shared" si="13"/>
        <v>-0.91-0.531258j</v>
      </c>
      <c r="M72" s="21" t="str">
        <f t="shared" si="3"/>
        <v>-0.4096-0.531258j</v>
      </c>
      <c r="O72" s="21" t="str">
        <f t="shared" si="4"/>
        <v>-0.455467889675593+0.590749414387881j</v>
      </c>
      <c r="S72" s="21">
        <f t="shared" si="14"/>
        <v>0.745946291045919</v>
      </c>
      <c r="U72" s="21">
        <f t="shared" si="5"/>
        <v>1.10958904109589</v>
      </c>
      <c r="V72" s="21">
        <f t="shared" si="6"/>
        <v>0.981219512195122</v>
      </c>
      <c r="X72" s="21">
        <f t="shared" si="25"/>
        <v>0.001</v>
      </c>
      <c r="Y72" s="21">
        <f t="shared" si="7"/>
        <v>5.56</v>
      </c>
      <c r="Z72" s="21">
        <f t="shared" si="26"/>
        <v>0.3</v>
      </c>
      <c r="AA72" s="21">
        <f t="shared" si="15"/>
        <v>0.09</v>
      </c>
      <c r="AB72" s="21">
        <f t="shared" si="16"/>
        <v>0.5004</v>
      </c>
      <c r="AC72" s="21">
        <f t="shared" si="17"/>
        <v>-0.91</v>
      </c>
      <c r="AD72" s="21">
        <v>1</v>
      </c>
      <c r="AE72" s="21">
        <f t="shared" si="18"/>
        <v>0.001668</v>
      </c>
      <c r="AF72" s="21" t="str">
        <f t="shared" si="19"/>
        <v>1+0.001668j</v>
      </c>
      <c r="AH72" s="21" t="str">
        <f t="shared" si="20"/>
        <v>-0.91-0.00151788j</v>
      </c>
      <c r="AI72" s="21" t="str">
        <f t="shared" si="21"/>
        <v>-0.4096-0.00151788j</v>
      </c>
      <c r="AK72" s="21" t="str">
        <f t="shared" si="22"/>
        <v>-1.2216629108065+0.00452719164808341j</v>
      </c>
      <c r="AO72" s="21">
        <f t="shared" si="23"/>
        <v>1.22167129912445</v>
      </c>
      <c r="AP72" s="21">
        <v>6</v>
      </c>
      <c r="AR72" s="21">
        <f>Compensation!$C$16</f>
        <v>1.03153846153846</v>
      </c>
      <c r="BA72" s="30"/>
      <c r="BB72" s="30"/>
      <c r="BC72" s="30"/>
      <c r="BE72" s="30"/>
      <c r="BF72" s="30"/>
      <c r="BG72" s="30"/>
      <c r="BI72" s="30"/>
      <c r="BJ72" s="30"/>
      <c r="BK72" s="30"/>
      <c r="BM72" s="30"/>
      <c r="BN72" s="30"/>
      <c r="BO72" s="30"/>
      <c r="BQ72" s="30"/>
      <c r="BR72" s="30"/>
      <c r="BS72" s="30"/>
      <c r="BU72" s="30"/>
      <c r="BV72" s="30"/>
      <c r="BW72" s="30"/>
      <c r="BY72" s="30"/>
      <c r="BZ72" s="30"/>
      <c r="CA72" s="30"/>
      <c r="CC72" s="30"/>
      <c r="CD72" s="30"/>
      <c r="CE72" s="30"/>
      <c r="CG72" s="30"/>
      <c r="CH72" s="30"/>
      <c r="CI72" s="30"/>
      <c r="CK72" s="30"/>
      <c r="CL72" s="30"/>
      <c r="CM72" s="30"/>
      <c r="CO72" s="30"/>
      <c r="CP72" s="30"/>
      <c r="CQ72" s="30"/>
      <c r="CS72" s="30"/>
      <c r="CT72" s="30"/>
      <c r="CU72" s="30"/>
      <c r="CW72" s="30"/>
      <c r="CX72" s="30"/>
      <c r="CY72" s="30"/>
      <c r="DA72" s="30"/>
      <c r="DB72" s="30"/>
      <c r="DC72" s="30"/>
      <c r="DE72" s="30"/>
      <c r="DF72" s="30"/>
      <c r="DG72" s="30"/>
    </row>
    <row r="73" s="21" customFormat="1" spans="1:111">
      <c r="A73" s="21">
        <f t="shared" si="0"/>
        <v>0.35</v>
      </c>
      <c r="B73" s="21">
        <f t="shared" si="1"/>
        <v>5.56</v>
      </c>
      <c r="C73" s="21">
        <f t="shared" si="24"/>
        <v>0.35</v>
      </c>
      <c r="D73" s="21">
        <f t="shared" si="8"/>
        <v>0.1225</v>
      </c>
      <c r="E73" s="21">
        <f t="shared" si="9"/>
        <v>0.6811</v>
      </c>
      <c r="F73" s="21">
        <f t="shared" si="10"/>
        <v>-0.8775</v>
      </c>
      <c r="G73" s="21">
        <f t="shared" si="2"/>
        <v>1</v>
      </c>
      <c r="H73" s="21">
        <f t="shared" si="11"/>
        <v>0.6811</v>
      </c>
      <c r="I73" s="21" t="str">
        <f t="shared" si="12"/>
        <v>1+0.6811j</v>
      </c>
      <c r="K73" s="21" t="str">
        <f t="shared" si="13"/>
        <v>-0.8775-0.59766525j</v>
      </c>
      <c r="M73" s="21" t="str">
        <f t="shared" si="3"/>
        <v>-0.1964-0.59766525j</v>
      </c>
      <c r="O73" s="21" t="str">
        <f t="shared" si="4"/>
        <v>-0.337988659419994+1.02853399505812j</v>
      </c>
      <c r="S73" s="21">
        <f t="shared" si="14"/>
        <v>1.08264422267278</v>
      </c>
      <c r="U73" s="21">
        <f t="shared" si="5"/>
        <v>1.10958904109589</v>
      </c>
      <c r="V73" s="21">
        <f t="shared" si="6"/>
        <v>0.981219512195122</v>
      </c>
      <c r="X73" s="21">
        <f t="shared" si="25"/>
        <v>0.001</v>
      </c>
      <c r="Y73" s="21">
        <f t="shared" si="7"/>
        <v>5.56</v>
      </c>
      <c r="Z73" s="21">
        <f t="shared" si="26"/>
        <v>0.35</v>
      </c>
      <c r="AA73" s="21">
        <f t="shared" si="15"/>
        <v>0.1225</v>
      </c>
      <c r="AB73" s="21">
        <f t="shared" si="16"/>
        <v>0.6811</v>
      </c>
      <c r="AC73" s="21">
        <f t="shared" si="17"/>
        <v>-0.8775</v>
      </c>
      <c r="AD73" s="21">
        <v>1</v>
      </c>
      <c r="AE73" s="21">
        <f t="shared" si="18"/>
        <v>0.001946</v>
      </c>
      <c r="AF73" s="21" t="str">
        <f t="shared" si="19"/>
        <v>1+0.001946j</v>
      </c>
      <c r="AH73" s="21" t="str">
        <f t="shared" si="20"/>
        <v>-0.8775-0.001707615j</v>
      </c>
      <c r="AI73" s="21" t="str">
        <f t="shared" si="21"/>
        <v>-0.1964-0.001707615j</v>
      </c>
      <c r="AK73" s="21" t="str">
        <f t="shared" si="22"/>
        <v>-3.46766046678736+0.0301498423013906j</v>
      </c>
      <c r="AO73" s="21">
        <f t="shared" si="23"/>
        <v>3.46779153437901</v>
      </c>
      <c r="AP73" s="21">
        <v>7</v>
      </c>
      <c r="AR73" s="21">
        <f>Compensation!$C$16</f>
        <v>1.03153846153846</v>
      </c>
      <c r="BA73" s="30"/>
      <c r="BB73" s="30"/>
      <c r="BC73" s="30"/>
      <c r="BE73" s="30"/>
      <c r="BF73" s="30"/>
      <c r="BG73" s="30"/>
      <c r="BI73" s="30"/>
      <c r="BJ73" s="30"/>
      <c r="BK73" s="30"/>
      <c r="BM73" s="30"/>
      <c r="BN73" s="30"/>
      <c r="BO73" s="30"/>
      <c r="BQ73" s="30"/>
      <c r="BR73" s="30"/>
      <c r="BS73" s="30"/>
      <c r="BU73" s="30"/>
      <c r="BV73" s="30"/>
      <c r="BW73" s="30"/>
      <c r="BY73" s="30"/>
      <c r="BZ73" s="30"/>
      <c r="CA73" s="30"/>
      <c r="CC73" s="30"/>
      <c r="CD73" s="30"/>
      <c r="CE73" s="30"/>
      <c r="CG73" s="30"/>
      <c r="CH73" s="30"/>
      <c r="CI73" s="30"/>
      <c r="CK73" s="30"/>
      <c r="CL73" s="30"/>
      <c r="CM73" s="30"/>
      <c r="CO73" s="30"/>
      <c r="CP73" s="30"/>
      <c r="CQ73" s="30"/>
      <c r="CS73" s="30"/>
      <c r="CT73" s="30"/>
      <c r="CU73" s="30"/>
      <c r="CW73" s="30"/>
      <c r="CX73" s="30"/>
      <c r="CY73" s="30"/>
      <c r="DA73" s="30"/>
      <c r="DB73" s="30"/>
      <c r="DC73" s="30"/>
      <c r="DE73" s="30"/>
      <c r="DF73" s="30"/>
      <c r="DG73" s="30"/>
    </row>
    <row r="74" s="21" customFormat="1" spans="1:111">
      <c r="A74" s="21">
        <f t="shared" si="0"/>
        <v>0.35</v>
      </c>
      <c r="B74" s="21">
        <f t="shared" si="1"/>
        <v>5.56</v>
      </c>
      <c r="C74" s="21">
        <f t="shared" si="24"/>
        <v>0.4</v>
      </c>
      <c r="D74" s="21">
        <f t="shared" si="8"/>
        <v>0.16</v>
      </c>
      <c r="E74" s="21">
        <f t="shared" si="9"/>
        <v>0.8896</v>
      </c>
      <c r="F74" s="21">
        <f t="shared" si="10"/>
        <v>-0.84</v>
      </c>
      <c r="G74" s="21">
        <f t="shared" si="2"/>
        <v>1</v>
      </c>
      <c r="H74" s="21">
        <f t="shared" si="11"/>
        <v>0.7784</v>
      </c>
      <c r="I74" s="21" t="str">
        <f t="shared" si="12"/>
        <v>1+0.7784j</v>
      </c>
      <c r="K74" s="21" t="str">
        <f t="shared" si="13"/>
        <v>-0.84-0.653856j</v>
      </c>
      <c r="M74" s="21" t="str">
        <f t="shared" si="3"/>
        <v>0.0496-0.653856j</v>
      </c>
      <c r="O74" s="21" t="str">
        <f t="shared" si="4"/>
        <v>0.102617230189301+1.35275991255354j</v>
      </c>
      <c r="S74" s="21">
        <f t="shared" si="14"/>
        <v>1.35664648193388</v>
      </c>
      <c r="U74" s="21">
        <f t="shared" si="5"/>
        <v>1.10958904109589</v>
      </c>
      <c r="V74" s="21">
        <f t="shared" si="6"/>
        <v>0.981219512195122</v>
      </c>
      <c r="X74" s="21">
        <f t="shared" si="25"/>
        <v>0.001</v>
      </c>
      <c r="Y74" s="21">
        <f t="shared" si="7"/>
        <v>5.56</v>
      </c>
      <c r="Z74" s="21">
        <f t="shared" si="26"/>
        <v>0.4</v>
      </c>
      <c r="AA74" s="21">
        <f t="shared" si="15"/>
        <v>0.16</v>
      </c>
      <c r="AB74" s="21">
        <f t="shared" si="16"/>
        <v>0.8896</v>
      </c>
      <c r="AC74" s="21">
        <f t="shared" si="17"/>
        <v>-0.84</v>
      </c>
      <c r="AD74" s="21">
        <v>1</v>
      </c>
      <c r="AE74" s="21">
        <f t="shared" si="18"/>
        <v>0.002224</v>
      </c>
      <c r="AF74" s="21" t="str">
        <f t="shared" si="19"/>
        <v>1+0.002224j</v>
      </c>
      <c r="AH74" s="21" t="str">
        <f t="shared" si="20"/>
        <v>-0.84-0.00186816j</v>
      </c>
      <c r="AI74" s="21" t="str">
        <f t="shared" si="21"/>
        <v>0.0496-0.00186816j</v>
      </c>
      <c r="AK74" s="21" t="str">
        <f t="shared" si="22"/>
        <v>17.9100763541161+0.674574359711807j</v>
      </c>
      <c r="AO74" s="21">
        <f t="shared" si="23"/>
        <v>17.9227756102968</v>
      </c>
      <c r="AP74" s="21">
        <v>8</v>
      </c>
      <c r="AR74" s="21">
        <f>Compensation!$C$16</f>
        <v>1.03153846153846</v>
      </c>
      <c r="BA74" s="30"/>
      <c r="BB74" s="30"/>
      <c r="BC74" s="30"/>
      <c r="BE74" s="30"/>
      <c r="BF74" s="30"/>
      <c r="BG74" s="30"/>
      <c r="BI74" s="30"/>
      <c r="BJ74" s="30"/>
      <c r="BK74" s="30"/>
      <c r="BM74" s="30"/>
      <c r="BN74" s="30"/>
      <c r="BO74" s="30"/>
      <c r="BQ74" s="30"/>
      <c r="BR74" s="30"/>
      <c r="BS74" s="30"/>
      <c r="BU74" s="30"/>
      <c r="BV74" s="30"/>
      <c r="BW74" s="30"/>
      <c r="BY74" s="30"/>
      <c r="BZ74" s="30"/>
      <c r="CA74" s="30"/>
      <c r="CC74" s="30"/>
      <c r="CD74" s="30"/>
      <c r="CE74" s="30"/>
      <c r="CG74" s="30"/>
      <c r="CH74" s="30"/>
      <c r="CI74" s="30"/>
      <c r="CK74" s="30"/>
      <c r="CL74" s="30"/>
      <c r="CM74" s="30"/>
      <c r="CO74" s="30"/>
      <c r="CP74" s="30"/>
      <c r="CQ74" s="30"/>
      <c r="CS74" s="30"/>
      <c r="CT74" s="30"/>
      <c r="CU74" s="30"/>
      <c r="CW74" s="30"/>
      <c r="CX74" s="30"/>
      <c r="CY74" s="30"/>
      <c r="DA74" s="30"/>
      <c r="DB74" s="30"/>
      <c r="DC74" s="30"/>
      <c r="DE74" s="30"/>
      <c r="DF74" s="30"/>
      <c r="DG74" s="30"/>
    </row>
    <row r="75" s="21" customFormat="1" spans="1:111">
      <c r="A75" s="21">
        <f t="shared" si="0"/>
        <v>0.35</v>
      </c>
      <c r="B75" s="21">
        <f t="shared" si="1"/>
        <v>5.56</v>
      </c>
      <c r="C75" s="21">
        <f t="shared" si="24"/>
        <v>0.45</v>
      </c>
      <c r="D75" s="21">
        <f t="shared" si="8"/>
        <v>0.2025</v>
      </c>
      <c r="E75" s="21">
        <f t="shared" si="9"/>
        <v>1.1259</v>
      </c>
      <c r="F75" s="21">
        <f t="shared" si="10"/>
        <v>-0.7975</v>
      </c>
      <c r="G75" s="21">
        <f t="shared" si="2"/>
        <v>1</v>
      </c>
      <c r="H75" s="21">
        <f t="shared" si="11"/>
        <v>0.8757</v>
      </c>
      <c r="I75" s="21" t="str">
        <f t="shared" si="12"/>
        <v>1+0.8757j</v>
      </c>
      <c r="K75" s="21" t="str">
        <f t="shared" si="13"/>
        <v>-0.7975-0.69837075j</v>
      </c>
      <c r="M75" s="21" t="str">
        <f t="shared" si="3"/>
        <v>0.3284-0.69837075j</v>
      </c>
      <c r="O75" s="21" t="str">
        <f t="shared" si="4"/>
        <v>0.620828177166226+1.3202443352884j</v>
      </c>
      <c r="S75" s="21">
        <f t="shared" si="14"/>
        <v>1.45892862417071</v>
      </c>
      <c r="U75" s="21">
        <f t="shared" si="5"/>
        <v>1.10958904109589</v>
      </c>
      <c r="V75" s="21">
        <f t="shared" si="6"/>
        <v>0.981219512195122</v>
      </c>
      <c r="X75" s="21">
        <f t="shared" si="25"/>
        <v>0.001</v>
      </c>
      <c r="Y75" s="21">
        <f t="shared" si="7"/>
        <v>5.56</v>
      </c>
      <c r="Z75" s="21">
        <f t="shared" si="26"/>
        <v>0.45</v>
      </c>
      <c r="AA75" s="21">
        <f t="shared" si="15"/>
        <v>0.2025</v>
      </c>
      <c r="AB75" s="21">
        <f t="shared" si="16"/>
        <v>1.1259</v>
      </c>
      <c r="AC75" s="21">
        <f t="shared" si="17"/>
        <v>-0.7975</v>
      </c>
      <c r="AD75" s="21">
        <v>1</v>
      </c>
      <c r="AE75" s="21">
        <f t="shared" si="18"/>
        <v>0.002502</v>
      </c>
      <c r="AF75" s="21" t="str">
        <f t="shared" si="19"/>
        <v>1+0.002502j</v>
      </c>
      <c r="AH75" s="21" t="str">
        <f t="shared" si="20"/>
        <v>-0.7975-0.001995345j</v>
      </c>
      <c r="AI75" s="21" t="str">
        <f t="shared" si="21"/>
        <v>0.3284-0.001995345j</v>
      </c>
      <c r="AK75" s="21" t="str">
        <f t="shared" si="22"/>
        <v>3.42831436165862+0.0208302981728493j</v>
      </c>
      <c r="AO75" s="21">
        <f t="shared" si="23"/>
        <v>3.42837764309545</v>
      </c>
      <c r="AP75" s="21">
        <v>9</v>
      </c>
      <c r="AR75" s="21">
        <f>Compensation!$C$16</f>
        <v>1.03153846153846</v>
      </c>
      <c r="BA75" s="30"/>
      <c r="BB75" s="30"/>
      <c r="BC75" s="30"/>
      <c r="BE75" s="30"/>
      <c r="BF75" s="30"/>
      <c r="BG75" s="30"/>
      <c r="BI75" s="30"/>
      <c r="BJ75" s="30"/>
      <c r="BK75" s="30"/>
      <c r="BM75" s="30"/>
      <c r="BN75" s="30"/>
      <c r="BO75" s="30"/>
      <c r="BQ75" s="30"/>
      <c r="BR75" s="30"/>
      <c r="BS75" s="30"/>
      <c r="BU75" s="30"/>
      <c r="BV75" s="30"/>
      <c r="BW75" s="30"/>
      <c r="BY75" s="30"/>
      <c r="BZ75" s="30"/>
      <c r="CA75" s="30"/>
      <c r="CC75" s="30"/>
      <c r="CD75" s="30"/>
      <c r="CE75" s="30"/>
      <c r="CG75" s="30"/>
      <c r="CH75" s="30"/>
      <c r="CI75" s="30"/>
      <c r="CK75" s="30"/>
      <c r="CL75" s="30"/>
      <c r="CM75" s="30"/>
      <c r="CO75" s="30"/>
      <c r="CP75" s="30"/>
      <c r="CQ75" s="30"/>
      <c r="CS75" s="30"/>
      <c r="CT75" s="30"/>
      <c r="CU75" s="30"/>
      <c r="CW75" s="30"/>
      <c r="CX75" s="30"/>
      <c r="CY75" s="30"/>
      <c r="DA75" s="30"/>
      <c r="DB75" s="30"/>
      <c r="DC75" s="30"/>
      <c r="DE75" s="30"/>
      <c r="DF75" s="30"/>
      <c r="DG75" s="30"/>
    </row>
    <row r="76" s="21" customFormat="1" spans="1:111">
      <c r="A76" s="21">
        <f t="shared" si="0"/>
        <v>0.35</v>
      </c>
      <c r="B76" s="21">
        <f t="shared" si="1"/>
        <v>5.56</v>
      </c>
      <c r="C76" s="21">
        <f t="shared" si="24"/>
        <v>0.5</v>
      </c>
      <c r="D76" s="21">
        <f t="shared" si="8"/>
        <v>0.25</v>
      </c>
      <c r="E76" s="21">
        <f t="shared" si="9"/>
        <v>1.39</v>
      </c>
      <c r="F76" s="21">
        <f t="shared" si="10"/>
        <v>-0.75</v>
      </c>
      <c r="G76" s="21">
        <f t="shared" si="2"/>
        <v>1</v>
      </c>
      <c r="H76" s="21">
        <f t="shared" si="11"/>
        <v>0.973</v>
      </c>
      <c r="I76" s="21" t="str">
        <f t="shared" si="12"/>
        <v>1+0.973j</v>
      </c>
      <c r="K76" s="21" t="str">
        <f t="shared" si="13"/>
        <v>-0.75-0.72975j</v>
      </c>
      <c r="M76" s="21" t="str">
        <f t="shared" si="3"/>
        <v>0.64-0.72975j</v>
      </c>
      <c r="O76" s="21" t="str">
        <f t="shared" si="4"/>
        <v>0.944238289613598+1.07665295600863j</v>
      </c>
      <c r="S76" s="21">
        <f t="shared" si="14"/>
        <v>1.43205011618118</v>
      </c>
      <c r="U76" s="21">
        <f t="shared" si="5"/>
        <v>1.10958904109589</v>
      </c>
      <c r="V76" s="21">
        <f t="shared" si="6"/>
        <v>0.981219512195122</v>
      </c>
      <c r="X76" s="21">
        <f t="shared" si="25"/>
        <v>0.001</v>
      </c>
      <c r="Y76" s="21">
        <f t="shared" si="7"/>
        <v>5.56</v>
      </c>
      <c r="Z76" s="21">
        <f t="shared" si="26"/>
        <v>0.5</v>
      </c>
      <c r="AA76" s="21">
        <f t="shared" si="15"/>
        <v>0.25</v>
      </c>
      <c r="AB76" s="21">
        <f t="shared" si="16"/>
        <v>1.39</v>
      </c>
      <c r="AC76" s="21">
        <f t="shared" si="17"/>
        <v>-0.75</v>
      </c>
      <c r="AD76" s="21">
        <v>1</v>
      </c>
      <c r="AE76" s="21">
        <f t="shared" si="18"/>
        <v>0.00278</v>
      </c>
      <c r="AF76" s="21" t="str">
        <f t="shared" si="19"/>
        <v>1+0.00278j</v>
      </c>
      <c r="AH76" s="21" t="str">
        <f t="shared" si="20"/>
        <v>-0.75-0.002085j</v>
      </c>
      <c r="AI76" s="21" t="str">
        <f t="shared" si="21"/>
        <v>0.64-0.002085j</v>
      </c>
      <c r="AK76" s="21" t="str">
        <f t="shared" si="22"/>
        <v>2.17185194939187+0.0070754864288782j</v>
      </c>
      <c r="AO76" s="21">
        <f t="shared" si="23"/>
        <v>2.17186347466536</v>
      </c>
      <c r="AP76" s="21">
        <v>10</v>
      </c>
      <c r="AR76" s="21">
        <f>Compensation!$C$16</f>
        <v>1.03153846153846</v>
      </c>
      <c r="BA76" s="30"/>
      <c r="BB76" s="30"/>
      <c r="BC76" s="30"/>
      <c r="BE76" s="30"/>
      <c r="BF76" s="30"/>
      <c r="BG76" s="30"/>
      <c r="BI76" s="30"/>
      <c r="BJ76" s="30"/>
      <c r="BK76" s="30"/>
      <c r="BM76" s="30"/>
      <c r="BN76" s="30"/>
      <c r="BO76" s="30"/>
      <c r="BQ76" s="30"/>
      <c r="BR76" s="30"/>
      <c r="BS76" s="30"/>
      <c r="BU76" s="30"/>
      <c r="BV76" s="30"/>
      <c r="BW76" s="30"/>
      <c r="BY76" s="30"/>
      <c r="BZ76" s="30"/>
      <c r="CA76" s="30"/>
      <c r="CC76" s="30"/>
      <c r="CD76" s="30"/>
      <c r="CE76" s="30"/>
      <c r="CG76" s="30"/>
      <c r="CH76" s="30"/>
      <c r="CI76" s="30"/>
      <c r="CK76" s="30"/>
      <c r="CL76" s="30"/>
      <c r="CM76" s="30"/>
      <c r="CO76" s="30"/>
      <c r="CP76" s="30"/>
      <c r="CQ76" s="30"/>
      <c r="CS76" s="30"/>
      <c r="CT76" s="30"/>
      <c r="CU76" s="30"/>
      <c r="CW76" s="30"/>
      <c r="CX76" s="30"/>
      <c r="CY76" s="30"/>
      <c r="DA76" s="30"/>
      <c r="DB76" s="30"/>
      <c r="DC76" s="30"/>
      <c r="DE76" s="30"/>
      <c r="DF76" s="30"/>
      <c r="DG76" s="30"/>
    </row>
    <row r="77" s="21" customFormat="1" spans="1:111">
      <c r="A77" s="21">
        <f t="shared" si="0"/>
        <v>0.35</v>
      </c>
      <c r="B77" s="21">
        <f t="shared" si="1"/>
        <v>5.56</v>
      </c>
      <c r="C77" s="21">
        <f t="shared" si="24"/>
        <v>0.55</v>
      </c>
      <c r="D77" s="21">
        <f t="shared" si="8"/>
        <v>0.3025</v>
      </c>
      <c r="E77" s="21">
        <f t="shared" si="9"/>
        <v>1.6819</v>
      </c>
      <c r="F77" s="21">
        <f t="shared" si="10"/>
        <v>-0.6975</v>
      </c>
      <c r="G77" s="21">
        <f t="shared" si="2"/>
        <v>1</v>
      </c>
      <c r="H77" s="21">
        <f t="shared" si="11"/>
        <v>1.0703</v>
      </c>
      <c r="I77" s="21" t="str">
        <f t="shared" si="12"/>
        <v>1+1.0703j</v>
      </c>
      <c r="K77" s="21" t="str">
        <f t="shared" si="13"/>
        <v>-0.6975-0.74653425j</v>
      </c>
      <c r="M77" s="21" t="str">
        <f t="shared" si="3"/>
        <v>0.9844-0.74653425j</v>
      </c>
      <c r="O77" s="21" t="str">
        <f t="shared" si="4"/>
        <v>1.08471519772816+0.822609758837456j</v>
      </c>
      <c r="S77" s="21">
        <f t="shared" si="14"/>
        <v>1.36135736510185</v>
      </c>
      <c r="U77" s="21">
        <f t="shared" si="5"/>
        <v>1.10958904109589</v>
      </c>
      <c r="V77" s="21">
        <f t="shared" si="6"/>
        <v>0.981219512195122</v>
      </c>
      <c r="X77" s="21">
        <f t="shared" si="25"/>
        <v>0.001</v>
      </c>
      <c r="Y77" s="21">
        <f t="shared" si="7"/>
        <v>5.56</v>
      </c>
      <c r="Z77" s="21">
        <f t="shared" si="26"/>
        <v>0.55</v>
      </c>
      <c r="AA77" s="21">
        <f t="shared" si="15"/>
        <v>0.3025</v>
      </c>
      <c r="AB77" s="21">
        <f t="shared" si="16"/>
        <v>1.6819</v>
      </c>
      <c r="AC77" s="21">
        <f t="shared" si="17"/>
        <v>-0.6975</v>
      </c>
      <c r="AD77" s="21">
        <v>1</v>
      </c>
      <c r="AE77" s="21">
        <f t="shared" si="18"/>
        <v>0.003058</v>
      </c>
      <c r="AF77" s="21" t="str">
        <f t="shared" si="19"/>
        <v>1+0.003058j</v>
      </c>
      <c r="AH77" s="21" t="str">
        <f t="shared" si="20"/>
        <v>-0.6975-0.002132955j</v>
      </c>
      <c r="AI77" s="21" t="str">
        <f t="shared" si="21"/>
        <v>0.9844-0.002132955j</v>
      </c>
      <c r="AK77" s="21" t="str">
        <f t="shared" si="22"/>
        <v>1.7085454122277+0.00370200170635731j</v>
      </c>
      <c r="AO77" s="21">
        <f t="shared" si="23"/>
        <v>1.70854942289094</v>
      </c>
      <c r="AP77" s="21">
        <v>11</v>
      </c>
      <c r="AR77" s="21">
        <f>Compensation!$C$16</f>
        <v>1.03153846153846</v>
      </c>
      <c r="BA77" s="30"/>
      <c r="BB77" s="30"/>
      <c r="BC77" s="30"/>
      <c r="BE77" s="30"/>
      <c r="BF77" s="30"/>
      <c r="BG77" s="30"/>
      <c r="BI77" s="30"/>
      <c r="BJ77" s="30"/>
      <c r="BK77" s="30"/>
      <c r="BM77" s="30"/>
      <c r="BN77" s="30"/>
      <c r="BO77" s="30"/>
      <c r="BQ77" s="30"/>
      <c r="BR77" s="30"/>
      <c r="BS77" s="30"/>
      <c r="BU77" s="30"/>
      <c r="BV77" s="30"/>
      <c r="BW77" s="30"/>
      <c r="BY77" s="30"/>
      <c r="BZ77" s="30"/>
      <c r="CA77" s="30"/>
      <c r="CC77" s="30"/>
      <c r="CD77" s="30"/>
      <c r="CE77" s="30"/>
      <c r="CG77" s="30"/>
      <c r="CH77" s="30"/>
      <c r="CI77" s="30"/>
      <c r="CK77" s="30"/>
      <c r="CL77" s="30"/>
      <c r="CM77" s="30"/>
      <c r="CO77" s="30"/>
      <c r="CP77" s="30"/>
      <c r="CQ77" s="30"/>
      <c r="CS77" s="30"/>
      <c r="CT77" s="30"/>
      <c r="CU77" s="30"/>
      <c r="CW77" s="30"/>
      <c r="CX77" s="30"/>
      <c r="CY77" s="30"/>
      <c r="DA77" s="30"/>
      <c r="DB77" s="30"/>
      <c r="DC77" s="30"/>
      <c r="DE77" s="30"/>
      <c r="DF77" s="30"/>
      <c r="DG77" s="30"/>
    </row>
    <row r="78" s="21" customFormat="1" spans="1:111">
      <c r="A78" s="21">
        <f t="shared" si="0"/>
        <v>0.35</v>
      </c>
      <c r="B78" s="21">
        <f t="shared" si="1"/>
        <v>5.56</v>
      </c>
      <c r="C78" s="21">
        <f t="shared" si="24"/>
        <v>0.6</v>
      </c>
      <c r="D78" s="21">
        <f t="shared" si="8"/>
        <v>0.36</v>
      </c>
      <c r="E78" s="21">
        <f t="shared" si="9"/>
        <v>2.0016</v>
      </c>
      <c r="F78" s="21">
        <f t="shared" si="10"/>
        <v>-0.64</v>
      </c>
      <c r="G78" s="21">
        <f t="shared" si="2"/>
        <v>1</v>
      </c>
      <c r="H78" s="21">
        <f t="shared" si="11"/>
        <v>1.1676</v>
      </c>
      <c r="I78" s="21" t="str">
        <f t="shared" si="12"/>
        <v>1+1.1676j</v>
      </c>
      <c r="K78" s="21" t="str">
        <f t="shared" si="13"/>
        <v>-0.64-0.747264j</v>
      </c>
      <c r="M78" s="21" t="str">
        <f t="shared" si="3"/>
        <v>1.3616-0.747264j</v>
      </c>
      <c r="O78" s="21" t="str">
        <f t="shared" si="4"/>
        <v>1.12975707103781+0.620025549303757j</v>
      </c>
      <c r="S78" s="21">
        <f t="shared" si="14"/>
        <v>1.28871359166781</v>
      </c>
      <c r="U78" s="21">
        <f t="shared" si="5"/>
        <v>1.10958904109589</v>
      </c>
      <c r="V78" s="21">
        <f t="shared" si="6"/>
        <v>0.981219512195122</v>
      </c>
      <c r="X78" s="21">
        <f t="shared" si="25"/>
        <v>0.001</v>
      </c>
      <c r="Y78" s="21">
        <f t="shared" si="7"/>
        <v>5.56</v>
      </c>
      <c r="Z78" s="21">
        <f t="shared" si="26"/>
        <v>0.6</v>
      </c>
      <c r="AA78" s="21">
        <f t="shared" si="15"/>
        <v>0.36</v>
      </c>
      <c r="AB78" s="21">
        <f t="shared" si="16"/>
        <v>2.0016</v>
      </c>
      <c r="AC78" s="21">
        <f t="shared" si="17"/>
        <v>-0.64</v>
      </c>
      <c r="AD78" s="21">
        <v>1</v>
      </c>
      <c r="AE78" s="21">
        <f t="shared" si="18"/>
        <v>0.003336</v>
      </c>
      <c r="AF78" s="21" t="str">
        <f t="shared" si="19"/>
        <v>1+0.003336j</v>
      </c>
      <c r="AH78" s="21" t="str">
        <f t="shared" si="20"/>
        <v>-0.64-0.00213504j</v>
      </c>
      <c r="AI78" s="21" t="str">
        <f t="shared" si="21"/>
        <v>1.3616-0.00213504j</v>
      </c>
      <c r="AK78" s="21" t="str">
        <f t="shared" si="22"/>
        <v>1.47003163821553+0.00230506488605735j</v>
      </c>
      <c r="AO78" s="21">
        <f t="shared" si="23"/>
        <v>1.47003344542863</v>
      </c>
      <c r="AP78" s="21">
        <v>12</v>
      </c>
      <c r="AR78" s="21">
        <f>Compensation!$C$16</f>
        <v>1.03153846153846</v>
      </c>
      <c r="BA78" s="30"/>
      <c r="BB78" s="30"/>
      <c r="BC78" s="30"/>
      <c r="BE78" s="30"/>
      <c r="BF78" s="30"/>
      <c r="BG78" s="30"/>
      <c r="BI78" s="30"/>
      <c r="BJ78" s="30"/>
      <c r="BK78" s="30"/>
      <c r="BM78" s="30"/>
      <c r="BN78" s="30"/>
      <c r="BO78" s="30"/>
      <c r="BQ78" s="30"/>
      <c r="BR78" s="30"/>
      <c r="BS78" s="30"/>
      <c r="BU78" s="30"/>
      <c r="BV78" s="30"/>
      <c r="BW78" s="30"/>
      <c r="BY78" s="30"/>
      <c r="BZ78" s="30"/>
      <c r="CA78" s="30"/>
      <c r="CC78" s="30"/>
      <c r="CD78" s="30"/>
      <c r="CE78" s="30"/>
      <c r="CG78" s="30"/>
      <c r="CH78" s="30"/>
      <c r="CI78" s="30"/>
      <c r="CK78" s="30"/>
      <c r="CL78" s="30"/>
      <c r="CM78" s="30"/>
      <c r="CO78" s="30"/>
      <c r="CP78" s="30"/>
      <c r="CQ78" s="30"/>
      <c r="CS78" s="30"/>
      <c r="CT78" s="30"/>
      <c r="CU78" s="30"/>
      <c r="CW78" s="30"/>
      <c r="CX78" s="30"/>
      <c r="CY78" s="30"/>
      <c r="DA78" s="30"/>
      <c r="DB78" s="30"/>
      <c r="DC78" s="30"/>
      <c r="DE78" s="30"/>
      <c r="DF78" s="30"/>
      <c r="DG78" s="30"/>
    </row>
    <row r="79" s="21" customFormat="1" spans="1:111">
      <c r="A79" s="21">
        <f t="shared" si="0"/>
        <v>0.35</v>
      </c>
      <c r="B79" s="21">
        <f t="shared" si="1"/>
        <v>5.56</v>
      </c>
      <c r="C79" s="21">
        <f t="shared" si="24"/>
        <v>0.65</v>
      </c>
      <c r="D79" s="21">
        <f t="shared" si="8"/>
        <v>0.4225</v>
      </c>
      <c r="E79" s="21">
        <f t="shared" si="9"/>
        <v>2.3491</v>
      </c>
      <c r="F79" s="21">
        <f t="shared" si="10"/>
        <v>-0.5775</v>
      </c>
      <c r="G79" s="21">
        <f t="shared" si="2"/>
        <v>1</v>
      </c>
      <c r="H79" s="21">
        <f t="shared" si="11"/>
        <v>1.2649</v>
      </c>
      <c r="I79" s="21" t="str">
        <f t="shared" si="12"/>
        <v>1+1.2649j</v>
      </c>
      <c r="K79" s="21" t="str">
        <f t="shared" si="13"/>
        <v>-0.5775-0.73047975j</v>
      </c>
      <c r="M79" s="21" t="str">
        <f t="shared" si="3"/>
        <v>1.7716-0.73047975j</v>
      </c>
      <c r="O79" s="21" t="str">
        <f t="shared" si="4"/>
        <v>1.13329957619743+0.467290805540645j</v>
      </c>
      <c r="S79" s="21">
        <f t="shared" si="14"/>
        <v>1.22585832229997</v>
      </c>
      <c r="U79" s="21">
        <f t="shared" si="5"/>
        <v>1.10958904109589</v>
      </c>
      <c r="V79" s="21">
        <f t="shared" si="6"/>
        <v>0.981219512195122</v>
      </c>
      <c r="X79" s="21">
        <f t="shared" si="25"/>
        <v>0.001</v>
      </c>
      <c r="Y79" s="21">
        <f t="shared" si="7"/>
        <v>5.56</v>
      </c>
      <c r="Z79" s="21">
        <f t="shared" si="26"/>
        <v>0.65</v>
      </c>
      <c r="AA79" s="21">
        <f t="shared" si="15"/>
        <v>0.4225</v>
      </c>
      <c r="AB79" s="21">
        <f t="shared" si="16"/>
        <v>2.3491</v>
      </c>
      <c r="AC79" s="21">
        <f t="shared" si="17"/>
        <v>-0.5775</v>
      </c>
      <c r="AD79" s="21">
        <v>1</v>
      </c>
      <c r="AE79" s="21">
        <f t="shared" si="18"/>
        <v>0.003614</v>
      </c>
      <c r="AF79" s="21" t="str">
        <f t="shared" si="19"/>
        <v>1+0.003614j</v>
      </c>
      <c r="AH79" s="21" t="str">
        <f t="shared" si="20"/>
        <v>-0.5775-0.002087085j</v>
      </c>
      <c r="AI79" s="21" t="str">
        <f t="shared" si="21"/>
        <v>1.7716-0.002087085j</v>
      </c>
      <c r="AK79" s="21" t="str">
        <f t="shared" si="22"/>
        <v>1.32597467812037+0.00156210310515062j</v>
      </c>
      <c r="AO79" s="21">
        <f t="shared" si="23"/>
        <v>1.32597559826059</v>
      </c>
      <c r="AP79" s="21">
        <v>13</v>
      </c>
      <c r="AR79" s="21">
        <f>Compensation!$C$16</f>
        <v>1.03153846153846</v>
      </c>
      <c r="BA79" s="30"/>
      <c r="BB79" s="30"/>
      <c r="BC79" s="30"/>
      <c r="BE79" s="30"/>
      <c r="BF79" s="30"/>
      <c r="BG79" s="30"/>
      <c r="BI79" s="30"/>
      <c r="BJ79" s="30"/>
      <c r="BK79" s="30"/>
      <c r="BM79" s="30"/>
      <c r="BN79" s="30"/>
      <c r="BO79" s="30"/>
      <c r="BQ79" s="30"/>
      <c r="BR79" s="30"/>
      <c r="BS79" s="30"/>
      <c r="BU79" s="30"/>
      <c r="BV79" s="30"/>
      <c r="BW79" s="30"/>
      <c r="BY79" s="30"/>
      <c r="BZ79" s="30"/>
      <c r="CA79" s="30"/>
      <c r="CC79" s="30"/>
      <c r="CD79" s="30"/>
      <c r="CE79" s="30"/>
      <c r="CG79" s="30"/>
      <c r="CH79" s="30"/>
      <c r="CI79" s="30"/>
      <c r="CK79" s="30"/>
      <c r="CL79" s="30"/>
      <c r="CM79" s="30"/>
      <c r="CO79" s="30"/>
      <c r="CP79" s="30"/>
      <c r="CQ79" s="30"/>
      <c r="CS79" s="30"/>
      <c r="CT79" s="30"/>
      <c r="CU79" s="30"/>
      <c r="CW79" s="30"/>
      <c r="CX79" s="30"/>
      <c r="CY79" s="30"/>
      <c r="DA79" s="30"/>
      <c r="DB79" s="30"/>
      <c r="DC79" s="30"/>
      <c r="DE79" s="30"/>
      <c r="DF79" s="30"/>
      <c r="DG79" s="30"/>
    </row>
    <row r="80" s="21" customFormat="1" spans="1:111">
      <c r="A80" s="21">
        <f t="shared" si="0"/>
        <v>0.35</v>
      </c>
      <c r="B80" s="21">
        <f t="shared" si="1"/>
        <v>5.56</v>
      </c>
      <c r="C80" s="21">
        <f t="shared" si="24"/>
        <v>0.7</v>
      </c>
      <c r="D80" s="21">
        <f t="shared" si="8"/>
        <v>0.49</v>
      </c>
      <c r="E80" s="21">
        <f t="shared" si="9"/>
        <v>2.7244</v>
      </c>
      <c r="F80" s="21">
        <f t="shared" si="10"/>
        <v>-0.51</v>
      </c>
      <c r="G80" s="21">
        <f t="shared" si="2"/>
        <v>1</v>
      </c>
      <c r="H80" s="21">
        <f t="shared" si="11"/>
        <v>1.3622</v>
      </c>
      <c r="I80" s="21" t="str">
        <f t="shared" si="12"/>
        <v>1+1.3622j</v>
      </c>
      <c r="K80" s="21" t="str">
        <f t="shared" si="13"/>
        <v>-0.51-0.694722j</v>
      </c>
      <c r="M80" s="21" t="str">
        <f t="shared" si="3"/>
        <v>2.2144-0.694722j</v>
      </c>
      <c r="O80" s="21" t="str">
        <f t="shared" si="4"/>
        <v>1.12006695262691+0.351397739099923j</v>
      </c>
      <c r="S80" s="21">
        <f t="shared" si="14"/>
        <v>1.17389537413326</v>
      </c>
      <c r="U80" s="21">
        <f t="shared" si="5"/>
        <v>1.10958904109589</v>
      </c>
      <c r="V80" s="21">
        <f t="shared" si="6"/>
        <v>0.981219512195122</v>
      </c>
      <c r="X80" s="21">
        <f t="shared" si="25"/>
        <v>0.001</v>
      </c>
      <c r="Y80" s="21">
        <f t="shared" si="7"/>
        <v>5.56</v>
      </c>
      <c r="Z80" s="21">
        <f t="shared" si="26"/>
        <v>0.7</v>
      </c>
      <c r="AA80" s="21">
        <f t="shared" si="15"/>
        <v>0.49</v>
      </c>
      <c r="AB80" s="21">
        <f t="shared" si="16"/>
        <v>2.7244</v>
      </c>
      <c r="AC80" s="21">
        <f t="shared" si="17"/>
        <v>-0.51</v>
      </c>
      <c r="AD80" s="21">
        <v>1</v>
      </c>
      <c r="AE80" s="21">
        <f t="shared" si="18"/>
        <v>0.003892</v>
      </c>
      <c r="AF80" s="21" t="str">
        <f t="shared" si="19"/>
        <v>1+0.003892j</v>
      </c>
      <c r="AH80" s="21" t="str">
        <f t="shared" si="20"/>
        <v>-0.51-0.00198492j</v>
      </c>
      <c r="AI80" s="21" t="str">
        <f t="shared" si="21"/>
        <v>2.2144-0.00198492j</v>
      </c>
      <c r="AK80" s="21" t="str">
        <f t="shared" si="22"/>
        <v>1.23030970511511+0.00110281175030576j</v>
      </c>
      <c r="AO80" s="21">
        <f t="shared" si="23"/>
        <v>1.23031019937826</v>
      </c>
      <c r="AP80" s="21">
        <v>14</v>
      </c>
      <c r="AR80" s="21">
        <f>Compensation!$C$16</f>
        <v>1.03153846153846</v>
      </c>
      <c r="BA80" s="30"/>
      <c r="BB80" s="30"/>
      <c r="BC80" s="30"/>
      <c r="BE80" s="30"/>
      <c r="BF80" s="30"/>
      <c r="BG80" s="30"/>
      <c r="BI80" s="30"/>
      <c r="BJ80" s="30"/>
      <c r="BK80" s="30"/>
      <c r="BM80" s="30"/>
      <c r="BN80" s="30"/>
      <c r="BO80" s="30"/>
      <c r="BQ80" s="30"/>
      <c r="BR80" s="30"/>
      <c r="BS80" s="30"/>
      <c r="BU80" s="30"/>
      <c r="BV80" s="30"/>
      <c r="BW80" s="30"/>
      <c r="BY80" s="30"/>
      <c r="BZ80" s="30"/>
      <c r="CA80" s="30"/>
      <c r="CC80" s="30"/>
      <c r="CD80" s="30"/>
      <c r="CE80" s="30"/>
      <c r="CG80" s="30"/>
      <c r="CH80" s="30"/>
      <c r="CI80" s="30"/>
      <c r="CK80" s="30"/>
      <c r="CL80" s="30"/>
      <c r="CM80" s="30"/>
      <c r="CO80" s="30"/>
      <c r="CP80" s="30"/>
      <c r="CQ80" s="30"/>
      <c r="CS80" s="30"/>
      <c r="CT80" s="30"/>
      <c r="CU80" s="30"/>
      <c r="CW80" s="30"/>
      <c r="CX80" s="30"/>
      <c r="CY80" s="30"/>
      <c r="DA80" s="30"/>
      <c r="DB80" s="30"/>
      <c r="DC80" s="30"/>
      <c r="DE80" s="30"/>
      <c r="DF80" s="30"/>
      <c r="DG80" s="30"/>
    </row>
    <row r="81" s="21" customFormat="1" spans="1:111">
      <c r="A81" s="21">
        <f t="shared" si="0"/>
        <v>0.35</v>
      </c>
      <c r="B81" s="21">
        <f t="shared" si="1"/>
        <v>5.56</v>
      </c>
      <c r="C81" s="21">
        <f t="shared" si="24"/>
        <v>0.75</v>
      </c>
      <c r="D81" s="21">
        <f t="shared" si="8"/>
        <v>0.5625</v>
      </c>
      <c r="E81" s="21">
        <f t="shared" si="9"/>
        <v>3.1275</v>
      </c>
      <c r="F81" s="21">
        <f t="shared" si="10"/>
        <v>-0.4375</v>
      </c>
      <c r="G81" s="21">
        <f t="shared" si="2"/>
        <v>1</v>
      </c>
      <c r="H81" s="21">
        <f t="shared" si="11"/>
        <v>1.4595</v>
      </c>
      <c r="I81" s="21" t="str">
        <f t="shared" si="12"/>
        <v>1+1.4595j</v>
      </c>
      <c r="K81" s="21" t="str">
        <f t="shared" si="13"/>
        <v>-0.4375-0.63853125j</v>
      </c>
      <c r="M81" s="21" t="str">
        <f t="shared" si="3"/>
        <v>2.69-0.63853125j</v>
      </c>
      <c r="O81" s="21" t="str">
        <f t="shared" si="4"/>
        <v>1.10062411539053+0.26125758073623j</v>
      </c>
      <c r="S81" s="21">
        <f t="shared" si="14"/>
        <v>1.13120686298808</v>
      </c>
      <c r="U81" s="21">
        <f t="shared" si="5"/>
        <v>1.10958904109589</v>
      </c>
      <c r="V81" s="21">
        <f t="shared" si="6"/>
        <v>0.981219512195122</v>
      </c>
      <c r="X81" s="21">
        <f t="shared" si="25"/>
        <v>0.001</v>
      </c>
      <c r="Y81" s="21">
        <f t="shared" si="7"/>
        <v>5.56</v>
      </c>
      <c r="Z81" s="21">
        <f t="shared" si="26"/>
        <v>0.75</v>
      </c>
      <c r="AA81" s="21">
        <f t="shared" si="15"/>
        <v>0.5625</v>
      </c>
      <c r="AB81" s="21">
        <f t="shared" si="16"/>
        <v>3.1275</v>
      </c>
      <c r="AC81" s="21">
        <f t="shared" si="17"/>
        <v>-0.4375</v>
      </c>
      <c r="AD81" s="21">
        <v>1</v>
      </c>
      <c r="AE81" s="21">
        <f t="shared" si="18"/>
        <v>0.00417</v>
      </c>
      <c r="AF81" s="21" t="str">
        <f t="shared" si="19"/>
        <v>1+0.00417j</v>
      </c>
      <c r="AH81" s="21" t="str">
        <f t="shared" si="20"/>
        <v>-0.4375-0.001824375j</v>
      </c>
      <c r="AI81" s="21" t="str">
        <f t="shared" si="21"/>
        <v>2.69-0.001824375j</v>
      </c>
      <c r="AK81" s="21" t="str">
        <f t="shared" si="22"/>
        <v>1.16263887043265+0.000788509029459321j</v>
      </c>
      <c r="AO81" s="21">
        <f t="shared" si="23"/>
        <v>1.16263913781852</v>
      </c>
      <c r="AP81" s="21">
        <v>15</v>
      </c>
      <c r="AR81" s="21">
        <f>Compensation!$C$16</f>
        <v>1.03153846153846</v>
      </c>
      <c r="BA81" s="30"/>
      <c r="BB81" s="30"/>
      <c r="BC81" s="30"/>
      <c r="BE81" s="30"/>
      <c r="BF81" s="30"/>
      <c r="BG81" s="30"/>
      <c r="BI81" s="30"/>
      <c r="BJ81" s="30"/>
      <c r="BK81" s="30"/>
      <c r="BM81" s="30"/>
      <c r="BN81" s="30"/>
      <c r="BO81" s="30"/>
      <c r="BQ81" s="30"/>
      <c r="BR81" s="30"/>
      <c r="BS81" s="30"/>
      <c r="BU81" s="30"/>
      <c r="BV81" s="30"/>
      <c r="BW81" s="30"/>
      <c r="BY81" s="30"/>
      <c r="BZ81" s="30"/>
      <c r="CA81" s="30"/>
      <c r="CC81" s="30"/>
      <c r="CD81" s="30"/>
      <c r="CE81" s="30"/>
      <c r="CG81" s="30"/>
      <c r="CH81" s="30"/>
      <c r="CI81" s="30"/>
      <c r="CK81" s="30"/>
      <c r="CL81" s="30"/>
      <c r="CM81" s="30"/>
      <c r="CO81" s="30"/>
      <c r="CP81" s="30"/>
      <c r="CQ81" s="30"/>
      <c r="CS81" s="30"/>
      <c r="CT81" s="30"/>
      <c r="CU81" s="30"/>
      <c r="CW81" s="30"/>
      <c r="CX81" s="30"/>
      <c r="CY81" s="30"/>
      <c r="DA81" s="30"/>
      <c r="DB81" s="30"/>
      <c r="DC81" s="30"/>
      <c r="DE81" s="30"/>
      <c r="DF81" s="30"/>
      <c r="DG81" s="30"/>
    </row>
    <row r="82" s="21" customFormat="1" spans="1:111">
      <c r="A82" s="21">
        <f t="shared" si="0"/>
        <v>0.35</v>
      </c>
      <c r="B82" s="21">
        <f t="shared" si="1"/>
        <v>5.56</v>
      </c>
      <c r="C82" s="21">
        <f t="shared" si="24"/>
        <v>0.8</v>
      </c>
      <c r="D82" s="21">
        <f t="shared" si="8"/>
        <v>0.64</v>
      </c>
      <c r="E82" s="21">
        <f t="shared" si="9"/>
        <v>3.5584</v>
      </c>
      <c r="F82" s="21">
        <f t="shared" si="10"/>
        <v>-0.36</v>
      </c>
      <c r="G82" s="21">
        <f t="shared" si="2"/>
        <v>1</v>
      </c>
      <c r="H82" s="21">
        <f t="shared" si="11"/>
        <v>1.5568</v>
      </c>
      <c r="I82" s="21" t="str">
        <f t="shared" si="12"/>
        <v>1+1.5568j</v>
      </c>
      <c r="K82" s="21" t="str">
        <f t="shared" si="13"/>
        <v>-0.36-0.560448j</v>
      </c>
      <c r="M82" s="21" t="str">
        <f t="shared" si="3"/>
        <v>3.1984-0.560448j</v>
      </c>
      <c r="O82" s="21" t="str">
        <f t="shared" si="4"/>
        <v>1.0794132016446+0.189142999635853j</v>
      </c>
      <c r="S82" s="21">
        <f t="shared" si="14"/>
        <v>1.09585945001898</v>
      </c>
      <c r="U82" s="21">
        <f t="shared" si="5"/>
        <v>1.10958904109589</v>
      </c>
      <c r="V82" s="21">
        <f t="shared" si="6"/>
        <v>0.981219512195122</v>
      </c>
      <c r="X82" s="21">
        <f t="shared" si="25"/>
        <v>0.001</v>
      </c>
      <c r="Y82" s="21">
        <f t="shared" si="7"/>
        <v>5.56</v>
      </c>
      <c r="Z82" s="21">
        <f t="shared" si="26"/>
        <v>0.8</v>
      </c>
      <c r="AA82" s="21">
        <f t="shared" si="15"/>
        <v>0.64</v>
      </c>
      <c r="AB82" s="21">
        <f t="shared" si="16"/>
        <v>3.5584</v>
      </c>
      <c r="AC82" s="21">
        <f t="shared" si="17"/>
        <v>-0.36</v>
      </c>
      <c r="AD82" s="21">
        <v>1</v>
      </c>
      <c r="AE82" s="21">
        <f t="shared" si="18"/>
        <v>0.004448</v>
      </c>
      <c r="AF82" s="21" t="str">
        <f t="shared" si="19"/>
        <v>1+0.004448j</v>
      </c>
      <c r="AH82" s="21" t="str">
        <f t="shared" si="20"/>
        <v>-0.36-0.00160128j</v>
      </c>
      <c r="AI82" s="21" t="str">
        <f t="shared" si="21"/>
        <v>3.1984-0.00160128j</v>
      </c>
      <c r="AK82" s="21" t="str">
        <f t="shared" si="22"/>
        <v>1.11255599927608+0.000557001522799148j</v>
      </c>
      <c r="AO82" s="21">
        <f t="shared" si="23"/>
        <v>1.11255613870757</v>
      </c>
      <c r="AP82" s="21">
        <v>16</v>
      </c>
      <c r="AR82" s="21">
        <f>Compensation!$C$16</f>
        <v>1.03153846153846</v>
      </c>
      <c r="BA82" s="30"/>
      <c r="BB82" s="30"/>
      <c r="BC82" s="30"/>
      <c r="BE82" s="30"/>
      <c r="BF82" s="30"/>
      <c r="BG82" s="30"/>
      <c r="BI82" s="30"/>
      <c r="BJ82" s="30"/>
      <c r="BK82" s="30"/>
      <c r="BM82" s="30"/>
      <c r="BN82" s="30"/>
      <c r="BO82" s="30"/>
      <c r="BQ82" s="30"/>
      <c r="BR82" s="30"/>
      <c r="BS82" s="30"/>
      <c r="BU82" s="30"/>
      <c r="BV82" s="30"/>
      <c r="BW82" s="30"/>
      <c r="BY82" s="30"/>
      <c r="BZ82" s="30"/>
      <c r="CA82" s="30"/>
      <c r="CC82" s="30"/>
      <c r="CD82" s="30"/>
      <c r="CE82" s="30"/>
      <c r="CG82" s="30"/>
      <c r="CH82" s="30"/>
      <c r="CI82" s="30"/>
      <c r="CK82" s="30"/>
      <c r="CL82" s="30"/>
      <c r="CM82" s="30"/>
      <c r="CO82" s="30"/>
      <c r="CP82" s="30"/>
      <c r="CQ82" s="30"/>
      <c r="CS82" s="30"/>
      <c r="CT82" s="30"/>
      <c r="CU82" s="30"/>
      <c r="CW82" s="30"/>
      <c r="CX82" s="30"/>
      <c r="CY82" s="30"/>
      <c r="DA82" s="30"/>
      <c r="DB82" s="30"/>
      <c r="DC82" s="30"/>
      <c r="DE82" s="30"/>
      <c r="DF82" s="30"/>
      <c r="DG82" s="30"/>
    </row>
    <row r="83" s="21" customFormat="1" spans="1:111">
      <c r="A83" s="21">
        <f t="shared" si="0"/>
        <v>0.35</v>
      </c>
      <c r="B83" s="21">
        <f t="shared" si="1"/>
        <v>5.56</v>
      </c>
      <c r="C83" s="21">
        <f t="shared" si="24"/>
        <v>0.85</v>
      </c>
      <c r="D83" s="21">
        <f t="shared" si="8"/>
        <v>0.7225</v>
      </c>
      <c r="E83" s="21">
        <f t="shared" si="9"/>
        <v>4.0171</v>
      </c>
      <c r="F83" s="21">
        <f t="shared" si="10"/>
        <v>-0.2775</v>
      </c>
      <c r="G83" s="21">
        <f t="shared" si="2"/>
        <v>1</v>
      </c>
      <c r="H83" s="21">
        <f t="shared" si="11"/>
        <v>1.6541</v>
      </c>
      <c r="I83" s="21" t="str">
        <f t="shared" si="12"/>
        <v>1+1.6541j</v>
      </c>
      <c r="K83" s="21" t="str">
        <f t="shared" si="13"/>
        <v>-0.2775-0.45901275j</v>
      </c>
      <c r="M83" s="21" t="str">
        <f t="shared" si="3"/>
        <v>3.7396-0.45901275j</v>
      </c>
      <c r="O83" s="21" t="str">
        <f t="shared" si="4"/>
        <v>1.05826197720094+0.129895106528891j</v>
      </c>
      <c r="S83" s="21">
        <f t="shared" si="14"/>
        <v>1.06620408510256</v>
      </c>
      <c r="U83" s="21">
        <f t="shared" si="5"/>
        <v>1.10958904109589</v>
      </c>
      <c r="V83" s="21">
        <f t="shared" si="6"/>
        <v>0.981219512195122</v>
      </c>
      <c r="X83" s="21">
        <f t="shared" si="25"/>
        <v>0.001</v>
      </c>
      <c r="Y83" s="21">
        <f t="shared" si="7"/>
        <v>5.56</v>
      </c>
      <c r="Z83" s="21">
        <f t="shared" si="26"/>
        <v>0.85</v>
      </c>
      <c r="AA83" s="21">
        <f t="shared" si="15"/>
        <v>0.7225</v>
      </c>
      <c r="AB83" s="21">
        <f t="shared" si="16"/>
        <v>4.0171</v>
      </c>
      <c r="AC83" s="21">
        <f t="shared" si="17"/>
        <v>-0.2775</v>
      </c>
      <c r="AD83" s="21">
        <v>1</v>
      </c>
      <c r="AE83" s="21">
        <f t="shared" si="18"/>
        <v>0.004726</v>
      </c>
      <c r="AF83" s="21" t="str">
        <f t="shared" si="19"/>
        <v>1+0.004726j</v>
      </c>
      <c r="AH83" s="21" t="str">
        <f t="shared" si="20"/>
        <v>-0.2775-0.001311465j</v>
      </c>
      <c r="AI83" s="21" t="str">
        <f t="shared" si="21"/>
        <v>3.7396-0.001311465j</v>
      </c>
      <c r="AK83" s="21" t="str">
        <f t="shared" si="22"/>
        <v>1.07420566529697+0.000376720272980717j</v>
      </c>
      <c r="AO83" s="21">
        <f t="shared" si="23"/>
        <v>1.07420573135423</v>
      </c>
      <c r="AP83" s="21">
        <v>17</v>
      </c>
      <c r="AR83" s="21">
        <f>Compensation!$C$16</f>
        <v>1.03153846153846</v>
      </c>
      <c r="BA83" s="30"/>
      <c r="BB83" s="30"/>
      <c r="BC83" s="30"/>
      <c r="BE83" s="30"/>
      <c r="BF83" s="30"/>
      <c r="BG83" s="30"/>
      <c r="BI83" s="30"/>
      <c r="BJ83" s="30"/>
      <c r="BK83" s="30"/>
      <c r="BM83" s="30"/>
      <c r="BN83" s="30"/>
      <c r="BO83" s="30"/>
      <c r="BQ83" s="30"/>
      <c r="BR83" s="30"/>
      <c r="BS83" s="30"/>
      <c r="BU83" s="30"/>
      <c r="BV83" s="30"/>
      <c r="BW83" s="30"/>
      <c r="BY83" s="30"/>
      <c r="BZ83" s="30"/>
      <c r="CA83" s="30"/>
      <c r="CC83" s="30"/>
      <c r="CD83" s="30"/>
      <c r="CE83" s="30"/>
      <c r="CG83" s="30"/>
      <c r="CH83" s="30"/>
      <c r="CI83" s="30"/>
      <c r="CK83" s="30"/>
      <c r="CL83" s="30"/>
      <c r="CM83" s="30"/>
      <c r="CO83" s="30"/>
      <c r="CP83" s="30"/>
      <c r="CQ83" s="30"/>
      <c r="CS83" s="30"/>
      <c r="CT83" s="30"/>
      <c r="CU83" s="30"/>
      <c r="CW83" s="30"/>
      <c r="CX83" s="30"/>
      <c r="CY83" s="30"/>
      <c r="DA83" s="30"/>
      <c r="DB83" s="30"/>
      <c r="DC83" s="30"/>
      <c r="DE83" s="30"/>
      <c r="DF83" s="30"/>
      <c r="DG83" s="30"/>
    </row>
    <row r="84" s="21" customFormat="1" spans="1:111">
      <c r="A84" s="21">
        <f t="shared" si="0"/>
        <v>0.35</v>
      </c>
      <c r="B84" s="21">
        <f t="shared" si="1"/>
        <v>5.56</v>
      </c>
      <c r="C84" s="21">
        <f t="shared" si="24"/>
        <v>0.9</v>
      </c>
      <c r="D84" s="21">
        <f t="shared" si="8"/>
        <v>0.81</v>
      </c>
      <c r="E84" s="21">
        <f t="shared" si="9"/>
        <v>4.5036</v>
      </c>
      <c r="F84" s="21">
        <f t="shared" si="10"/>
        <v>-0.19</v>
      </c>
      <c r="G84" s="21">
        <f t="shared" si="2"/>
        <v>1</v>
      </c>
      <c r="H84" s="21">
        <f t="shared" si="11"/>
        <v>1.7514</v>
      </c>
      <c r="I84" s="21" t="str">
        <f t="shared" si="12"/>
        <v>1+1.7514j</v>
      </c>
      <c r="K84" s="21" t="str">
        <f t="shared" si="13"/>
        <v>-0.19-0.332766j</v>
      </c>
      <c r="M84" s="21" t="str">
        <f t="shared" si="3"/>
        <v>4.3136-0.332766j</v>
      </c>
      <c r="O84" s="21" t="str">
        <f t="shared" si="4"/>
        <v>1.0378702533897+0.0800648953865624j</v>
      </c>
      <c r="S84" s="21">
        <f t="shared" si="14"/>
        <v>1.04095391365058</v>
      </c>
      <c r="U84" s="21">
        <f t="shared" si="5"/>
        <v>1.10958904109589</v>
      </c>
      <c r="V84" s="21">
        <f t="shared" si="6"/>
        <v>0.981219512195122</v>
      </c>
      <c r="X84" s="21">
        <f t="shared" si="25"/>
        <v>0.001</v>
      </c>
      <c r="Y84" s="21">
        <f t="shared" si="7"/>
        <v>5.56</v>
      </c>
      <c r="Z84" s="21">
        <f t="shared" si="26"/>
        <v>0.9</v>
      </c>
      <c r="AA84" s="21">
        <f t="shared" si="15"/>
        <v>0.81</v>
      </c>
      <c r="AB84" s="21">
        <f t="shared" si="16"/>
        <v>4.5036</v>
      </c>
      <c r="AC84" s="21">
        <f t="shared" si="17"/>
        <v>-0.19</v>
      </c>
      <c r="AD84" s="21">
        <v>1</v>
      </c>
      <c r="AE84" s="21">
        <f t="shared" si="18"/>
        <v>0.005004</v>
      </c>
      <c r="AF84" s="21" t="str">
        <f t="shared" si="19"/>
        <v>1+0.005004j</v>
      </c>
      <c r="AH84" s="21" t="str">
        <f t="shared" si="20"/>
        <v>-0.19-0.00095076j</v>
      </c>
      <c r="AI84" s="21" t="str">
        <f t="shared" si="21"/>
        <v>4.3136-0.00095076j</v>
      </c>
      <c r="AK84" s="21" t="str">
        <f t="shared" si="22"/>
        <v>1.04404668518472+0.000230118190468803j</v>
      </c>
      <c r="AO84" s="21">
        <f t="shared" si="23"/>
        <v>1.04404671054488</v>
      </c>
      <c r="AP84" s="21">
        <v>18</v>
      </c>
      <c r="AR84" s="21">
        <f>Compensation!$C$16</f>
        <v>1.03153846153846</v>
      </c>
      <c r="BE84" s="30"/>
      <c r="BF84" s="30"/>
      <c r="BG84" s="30"/>
      <c r="BI84" s="30"/>
      <c r="BJ84" s="30"/>
      <c r="BK84" s="30"/>
      <c r="BM84" s="30"/>
      <c r="BN84" s="30"/>
      <c r="BO84" s="30"/>
      <c r="BQ84" s="30"/>
      <c r="BR84" s="30"/>
      <c r="BS84" s="30"/>
      <c r="BU84" s="30"/>
      <c r="BV84" s="30"/>
      <c r="BW84" s="30"/>
      <c r="BY84" s="30"/>
      <c r="BZ84" s="30"/>
      <c r="CA84" s="30"/>
      <c r="CC84" s="30"/>
      <c r="CD84" s="30"/>
      <c r="CE84" s="30"/>
      <c r="CG84" s="30"/>
      <c r="CH84" s="30"/>
      <c r="CI84" s="30"/>
      <c r="CK84" s="30"/>
      <c r="CL84" s="30"/>
      <c r="CM84" s="30"/>
      <c r="CO84" s="30"/>
      <c r="CP84" s="30"/>
      <c r="CQ84" s="30"/>
      <c r="CS84" s="30"/>
      <c r="CT84" s="30"/>
      <c r="CU84" s="30"/>
      <c r="CW84" s="30"/>
      <c r="CX84" s="30"/>
      <c r="CY84" s="30"/>
      <c r="DA84" s="30"/>
      <c r="DB84" s="30"/>
      <c r="DC84" s="30"/>
      <c r="DE84" s="30"/>
      <c r="DF84" s="30"/>
      <c r="DG84" s="30"/>
    </row>
    <row r="85" s="21" customFormat="1" spans="1:83">
      <c r="A85" s="21">
        <f t="shared" si="0"/>
        <v>0.35</v>
      </c>
      <c r="B85" s="21">
        <f t="shared" si="1"/>
        <v>5.56</v>
      </c>
      <c r="C85" s="21">
        <f t="shared" si="24"/>
        <v>0.95</v>
      </c>
      <c r="D85" s="21">
        <f t="shared" si="8"/>
        <v>0.902500000000001</v>
      </c>
      <c r="E85" s="21">
        <f t="shared" si="9"/>
        <v>5.01790000000001</v>
      </c>
      <c r="F85" s="21">
        <f t="shared" si="10"/>
        <v>-0.0974999999999995</v>
      </c>
      <c r="G85" s="21">
        <f t="shared" si="2"/>
        <v>1</v>
      </c>
      <c r="H85" s="21">
        <f t="shared" si="11"/>
        <v>1.8487</v>
      </c>
      <c r="I85" s="21" t="str">
        <f t="shared" si="12"/>
        <v>1+1.8487j</v>
      </c>
      <c r="K85" s="21" t="str">
        <f t="shared" si="13"/>
        <v>-0.0974999999999995-0.180248249999999j</v>
      </c>
      <c r="M85" s="21" t="str">
        <f t="shared" si="3"/>
        <v>4.92040000000001-0.180248249999999j</v>
      </c>
      <c r="O85" s="21" t="str">
        <f t="shared" si="4"/>
        <v>1.01844873926439+0.0373086746945595j</v>
      </c>
      <c r="S85" s="21">
        <f t="shared" si="14"/>
        <v>1.01913187160283</v>
      </c>
      <c r="U85" s="21">
        <f t="shared" si="5"/>
        <v>1.10958904109589</v>
      </c>
      <c r="V85" s="21">
        <f t="shared" si="6"/>
        <v>0.981219512195122</v>
      </c>
      <c r="X85" s="21">
        <f t="shared" si="25"/>
        <v>0.001</v>
      </c>
      <c r="Y85" s="21">
        <f t="shared" si="7"/>
        <v>5.56</v>
      </c>
      <c r="Z85" s="21">
        <f t="shared" si="26"/>
        <v>0.95</v>
      </c>
      <c r="AA85" s="21">
        <f t="shared" si="15"/>
        <v>0.902500000000001</v>
      </c>
      <c r="AB85" s="21">
        <f t="shared" si="16"/>
        <v>5.01790000000001</v>
      </c>
      <c r="AC85" s="21">
        <f t="shared" si="17"/>
        <v>-0.0974999999999995</v>
      </c>
      <c r="AD85" s="21">
        <v>1</v>
      </c>
      <c r="AE85" s="21">
        <f t="shared" si="18"/>
        <v>0.005282</v>
      </c>
      <c r="AF85" s="21" t="str">
        <f t="shared" si="19"/>
        <v>1+0.005282j</v>
      </c>
      <c r="AH85" s="21" t="str">
        <f t="shared" si="20"/>
        <v>-0.0974999999999995-0.000514994999999997j</v>
      </c>
      <c r="AI85" s="21" t="str">
        <f t="shared" si="21"/>
        <v>4.92040000000001-0.000514994999999997j</v>
      </c>
      <c r="AK85" s="21" t="str">
        <f t="shared" si="22"/>
        <v>1.01981545098565+0.000106739260665871j</v>
      </c>
      <c r="AO85" s="21">
        <f t="shared" si="23"/>
        <v>1.0198154565716</v>
      </c>
      <c r="AP85" s="21">
        <v>19</v>
      </c>
      <c r="AR85" s="21">
        <f>Compensation!$C$16</f>
        <v>1.03153846153846</v>
      </c>
      <c r="CC85" s="30"/>
      <c r="CD85" s="30"/>
      <c r="CE85" s="30"/>
    </row>
    <row r="86" s="21" customFormat="1" spans="1:83">
      <c r="A86" s="21">
        <f t="shared" si="0"/>
        <v>0.35</v>
      </c>
      <c r="B86" s="21">
        <f t="shared" si="1"/>
        <v>5.56</v>
      </c>
      <c r="C86" s="21">
        <f t="shared" si="24"/>
        <v>1</v>
      </c>
      <c r="D86" s="21">
        <f t="shared" si="8"/>
        <v>1</v>
      </c>
      <c r="E86" s="21">
        <f t="shared" si="9"/>
        <v>5.56</v>
      </c>
      <c r="F86" s="21">
        <f t="shared" si="10"/>
        <v>0</v>
      </c>
      <c r="G86" s="21">
        <f t="shared" si="2"/>
        <v>1</v>
      </c>
      <c r="H86" s="21">
        <f t="shared" si="11"/>
        <v>1.946</v>
      </c>
      <c r="I86" s="21" t="str">
        <f t="shared" si="12"/>
        <v>1+1.946j</v>
      </c>
      <c r="K86" s="21" t="str">
        <f t="shared" si="13"/>
        <v>0</v>
      </c>
      <c r="M86" s="21" t="str">
        <f t="shared" si="3"/>
        <v>5.56</v>
      </c>
      <c r="O86" s="21" t="str">
        <f t="shared" si="4"/>
        <v>1</v>
      </c>
      <c r="S86" s="21">
        <f t="shared" si="14"/>
        <v>1</v>
      </c>
      <c r="U86" s="21">
        <f t="shared" si="5"/>
        <v>1.10958904109589</v>
      </c>
      <c r="V86" s="21">
        <f t="shared" si="6"/>
        <v>0.981219512195122</v>
      </c>
      <c r="X86" s="21">
        <f t="shared" si="25"/>
        <v>0.001</v>
      </c>
      <c r="Y86" s="21">
        <f t="shared" si="7"/>
        <v>5.56</v>
      </c>
      <c r="Z86" s="21">
        <f t="shared" si="26"/>
        <v>1</v>
      </c>
      <c r="AA86" s="21">
        <f t="shared" si="15"/>
        <v>1</v>
      </c>
      <c r="AB86" s="21">
        <f t="shared" si="16"/>
        <v>5.56</v>
      </c>
      <c r="AC86" s="21">
        <f t="shared" si="17"/>
        <v>0</v>
      </c>
      <c r="AD86" s="21">
        <v>1</v>
      </c>
      <c r="AE86" s="21">
        <f t="shared" si="18"/>
        <v>0.00556</v>
      </c>
      <c r="AF86" s="21" t="str">
        <f t="shared" si="19"/>
        <v>1+0.00556j</v>
      </c>
      <c r="AH86" s="21" t="str">
        <f t="shared" si="20"/>
        <v>0</v>
      </c>
      <c r="AI86" s="21" t="str">
        <f t="shared" si="21"/>
        <v>5.56</v>
      </c>
      <c r="AK86" s="21" t="str">
        <f t="shared" si="22"/>
        <v>1</v>
      </c>
      <c r="AO86" s="21">
        <f t="shared" si="23"/>
        <v>1</v>
      </c>
      <c r="AP86" s="21">
        <v>20</v>
      </c>
      <c r="AR86" s="21">
        <f>Compensation!$C$16</f>
        <v>1.03153846153846</v>
      </c>
      <c r="CC86" s="30"/>
      <c r="CD86" s="30"/>
      <c r="CE86" s="30"/>
    </row>
    <row r="87" s="21" customFormat="1" spans="1:83">
      <c r="A87" s="21">
        <f t="shared" si="0"/>
        <v>0.35</v>
      </c>
      <c r="B87" s="21">
        <f t="shared" si="1"/>
        <v>5.56</v>
      </c>
      <c r="C87" s="21">
        <f t="shared" si="24"/>
        <v>1.05</v>
      </c>
      <c r="D87" s="21">
        <f t="shared" si="8"/>
        <v>1.1025</v>
      </c>
      <c r="E87" s="21">
        <f t="shared" si="9"/>
        <v>6.1299</v>
      </c>
      <c r="F87" s="21">
        <f t="shared" si="10"/>
        <v>0.1025</v>
      </c>
      <c r="G87" s="21">
        <f t="shared" si="2"/>
        <v>1</v>
      </c>
      <c r="H87" s="21">
        <f t="shared" si="11"/>
        <v>2.0433</v>
      </c>
      <c r="I87" s="21" t="str">
        <f t="shared" si="12"/>
        <v>1+2.0433j</v>
      </c>
      <c r="K87" s="21" t="str">
        <f t="shared" si="13"/>
        <v>0.1025+0.20943825j</v>
      </c>
      <c r="M87" s="21" t="str">
        <f t="shared" si="3"/>
        <v>6.2324+0.20943825j</v>
      </c>
      <c r="O87" s="21" t="str">
        <f t="shared" si="4"/>
        <v>0.982444233258536-0.0330147938091681j</v>
      </c>
      <c r="S87" s="21">
        <f t="shared" si="14"/>
        <v>0.982998803698771</v>
      </c>
      <c r="U87" s="21">
        <f t="shared" si="5"/>
        <v>1.10958904109589</v>
      </c>
      <c r="V87" s="21">
        <f t="shared" si="6"/>
        <v>0.981219512195122</v>
      </c>
      <c r="X87" s="21">
        <f t="shared" si="25"/>
        <v>0.001</v>
      </c>
      <c r="Y87" s="21">
        <f t="shared" si="7"/>
        <v>5.56</v>
      </c>
      <c r="Z87" s="21">
        <f t="shared" si="26"/>
        <v>1.05</v>
      </c>
      <c r="AA87" s="21">
        <f t="shared" si="15"/>
        <v>1.1025</v>
      </c>
      <c r="AB87" s="21">
        <f t="shared" si="16"/>
        <v>6.1299</v>
      </c>
      <c r="AC87" s="21">
        <f t="shared" si="17"/>
        <v>0.1025</v>
      </c>
      <c r="AD87" s="21">
        <v>1</v>
      </c>
      <c r="AE87" s="21">
        <f t="shared" si="18"/>
        <v>0.005838</v>
      </c>
      <c r="AF87" s="21" t="str">
        <f t="shared" si="19"/>
        <v>1+0.005838j</v>
      </c>
      <c r="AH87" s="21" t="str">
        <f t="shared" si="20"/>
        <v>0.1025+0.000598395j</v>
      </c>
      <c r="AI87" s="21" t="str">
        <f t="shared" si="21"/>
        <v>6.2324+0.000598395j</v>
      </c>
      <c r="AK87" s="21" t="str">
        <f t="shared" si="22"/>
        <v>0.983553678116113-0.0000944345040780906j</v>
      </c>
      <c r="AO87" s="21">
        <f t="shared" si="23"/>
        <v>0.98355368264961</v>
      </c>
      <c r="AP87" s="21">
        <v>21</v>
      </c>
      <c r="AR87" s="21">
        <f>Compensation!$C$16</f>
        <v>1.03153846153846</v>
      </c>
      <c r="CC87" s="30"/>
      <c r="CD87" s="30"/>
      <c r="CE87" s="30"/>
    </row>
    <row r="88" s="21" customFormat="1" spans="1:83">
      <c r="A88" s="21">
        <f t="shared" si="0"/>
        <v>0.35</v>
      </c>
      <c r="B88" s="21">
        <f t="shared" si="1"/>
        <v>5.56</v>
      </c>
      <c r="C88" s="21">
        <f t="shared" si="24"/>
        <v>1.1</v>
      </c>
      <c r="D88" s="21">
        <f t="shared" si="8"/>
        <v>1.21</v>
      </c>
      <c r="E88" s="21">
        <f t="shared" si="9"/>
        <v>6.7276</v>
      </c>
      <c r="F88" s="21">
        <f t="shared" si="10"/>
        <v>0.210000000000001</v>
      </c>
      <c r="G88" s="21">
        <f t="shared" si="2"/>
        <v>1</v>
      </c>
      <c r="H88" s="21">
        <f t="shared" si="11"/>
        <v>2.1406</v>
      </c>
      <c r="I88" s="21" t="str">
        <f t="shared" si="12"/>
        <v>1+2.1406j</v>
      </c>
      <c r="K88" s="21" t="str">
        <f t="shared" si="13"/>
        <v>0.210000000000001+0.449526000000002j</v>
      </c>
      <c r="M88" s="21" t="str">
        <f t="shared" si="3"/>
        <v>6.9376+0.449526000000002j</v>
      </c>
      <c r="O88" s="21" t="str">
        <f t="shared" si="4"/>
        <v>0.965675804549934-0.0625715494862943j</v>
      </c>
      <c r="S88" s="21">
        <f t="shared" si="14"/>
        <v>0.967700861991079</v>
      </c>
      <c r="U88" s="21">
        <f t="shared" si="5"/>
        <v>1.10958904109589</v>
      </c>
      <c r="V88" s="21">
        <f t="shared" si="6"/>
        <v>0.981219512195122</v>
      </c>
      <c r="X88" s="21">
        <f t="shared" si="25"/>
        <v>0.001</v>
      </c>
      <c r="Y88" s="21">
        <f t="shared" si="7"/>
        <v>5.56</v>
      </c>
      <c r="Z88" s="21">
        <f t="shared" si="26"/>
        <v>1.1</v>
      </c>
      <c r="AA88" s="21">
        <f t="shared" si="15"/>
        <v>1.21</v>
      </c>
      <c r="AB88" s="21">
        <f t="shared" si="16"/>
        <v>6.7276</v>
      </c>
      <c r="AC88" s="21">
        <f t="shared" si="17"/>
        <v>0.210000000000001</v>
      </c>
      <c r="AD88" s="21">
        <v>1</v>
      </c>
      <c r="AE88" s="21">
        <f t="shared" si="18"/>
        <v>0.006116</v>
      </c>
      <c r="AF88" s="21" t="str">
        <f t="shared" si="19"/>
        <v>1+0.006116j</v>
      </c>
      <c r="AH88" s="21" t="str">
        <f t="shared" si="20"/>
        <v>0.210000000000001+0.00128436000000001j</v>
      </c>
      <c r="AI88" s="21" t="str">
        <f t="shared" si="21"/>
        <v>6.9376+0.00128436000000001j</v>
      </c>
      <c r="AK88" s="21" t="str">
        <f t="shared" si="22"/>
        <v>0.969730132815877-0.000179526434701253j</v>
      </c>
      <c r="AO88" s="21">
        <f t="shared" si="23"/>
        <v>0.969730149433769</v>
      </c>
      <c r="AP88" s="21">
        <v>22</v>
      </c>
      <c r="AR88" s="21">
        <f>Compensation!$C$16</f>
        <v>1.03153846153846</v>
      </c>
      <c r="CC88" s="30"/>
      <c r="CD88" s="30"/>
      <c r="CE88" s="30"/>
    </row>
    <row r="89" s="21" customFormat="1" spans="1:83">
      <c r="A89" s="21">
        <f t="shared" si="0"/>
        <v>0.35</v>
      </c>
      <c r="B89" s="21">
        <f t="shared" si="1"/>
        <v>5.56</v>
      </c>
      <c r="C89" s="21">
        <f t="shared" si="24"/>
        <v>1.15</v>
      </c>
      <c r="D89" s="21">
        <f t="shared" si="8"/>
        <v>1.3225</v>
      </c>
      <c r="E89" s="21">
        <f t="shared" si="9"/>
        <v>7.3531</v>
      </c>
      <c r="F89" s="21">
        <f t="shared" si="10"/>
        <v>0.322500000000001</v>
      </c>
      <c r="G89" s="21">
        <f t="shared" si="2"/>
        <v>1</v>
      </c>
      <c r="H89" s="21">
        <f t="shared" si="11"/>
        <v>2.2379</v>
      </c>
      <c r="I89" s="21" t="str">
        <f t="shared" si="12"/>
        <v>1+2.2379j</v>
      </c>
      <c r="K89" s="21" t="str">
        <f t="shared" si="13"/>
        <v>0.322500000000001+0.721722750000002j</v>
      </c>
      <c r="M89" s="21" t="str">
        <f t="shared" si="3"/>
        <v>7.6756+0.721722750000002j</v>
      </c>
      <c r="O89" s="21" t="str">
        <f t="shared" si="4"/>
        <v>0.949588147096563-0.0892880516037753j</v>
      </c>
      <c r="S89" s="21">
        <f t="shared" si="14"/>
        <v>0.953776706187293</v>
      </c>
      <c r="U89" s="21">
        <f t="shared" si="5"/>
        <v>1.10958904109589</v>
      </c>
      <c r="V89" s="21">
        <f t="shared" si="6"/>
        <v>0.981219512195122</v>
      </c>
      <c r="X89" s="21">
        <f t="shared" si="25"/>
        <v>0.001</v>
      </c>
      <c r="Y89" s="21">
        <f t="shared" si="7"/>
        <v>5.56</v>
      </c>
      <c r="Z89" s="21">
        <f t="shared" si="26"/>
        <v>1.15</v>
      </c>
      <c r="AA89" s="21">
        <f t="shared" si="15"/>
        <v>1.3225</v>
      </c>
      <c r="AB89" s="21">
        <f t="shared" si="16"/>
        <v>7.3531</v>
      </c>
      <c r="AC89" s="21">
        <f t="shared" si="17"/>
        <v>0.322500000000001</v>
      </c>
      <c r="AD89" s="21">
        <v>1</v>
      </c>
      <c r="AE89" s="21">
        <f t="shared" si="18"/>
        <v>0.006394</v>
      </c>
      <c r="AF89" s="21" t="str">
        <f t="shared" si="19"/>
        <v>1+0.006394j</v>
      </c>
      <c r="AH89" s="21" t="str">
        <f t="shared" si="20"/>
        <v>0.322500000000001+0.00206206500000001j</v>
      </c>
      <c r="AI89" s="21" t="str">
        <f t="shared" si="21"/>
        <v>7.6756+0.00206206500000001j</v>
      </c>
      <c r="AK89" s="21" t="str">
        <f t="shared" si="22"/>
        <v>0.957983671543372-0.000257364192983101j</v>
      </c>
      <c r="AO89" s="21">
        <f t="shared" si="23"/>
        <v>0.957983706114069</v>
      </c>
      <c r="AP89" s="21">
        <v>23</v>
      </c>
      <c r="AR89" s="21">
        <f>Compensation!$C$16</f>
        <v>1.03153846153846</v>
      </c>
      <c r="CC89" s="30"/>
      <c r="CD89" s="30"/>
      <c r="CE89" s="30"/>
    </row>
    <row r="90" s="21" customFormat="1" spans="1:83">
      <c r="A90" s="21">
        <f t="shared" si="0"/>
        <v>0.35</v>
      </c>
      <c r="B90" s="21">
        <f t="shared" si="1"/>
        <v>5.56</v>
      </c>
      <c r="C90" s="21">
        <f t="shared" si="24"/>
        <v>1.2</v>
      </c>
      <c r="D90" s="21">
        <f t="shared" si="8"/>
        <v>1.44</v>
      </c>
      <c r="E90" s="21">
        <f t="shared" si="9"/>
        <v>8.0064</v>
      </c>
      <c r="F90" s="21">
        <f t="shared" si="10"/>
        <v>0.440000000000001</v>
      </c>
      <c r="G90" s="21">
        <f t="shared" si="2"/>
        <v>1</v>
      </c>
      <c r="H90" s="21">
        <f t="shared" si="11"/>
        <v>2.3352</v>
      </c>
      <c r="I90" s="21" t="str">
        <f t="shared" si="12"/>
        <v>1+2.3352j</v>
      </c>
      <c r="K90" s="21" t="str">
        <f t="shared" si="13"/>
        <v>0.440000000000001+1.027488j</v>
      </c>
      <c r="M90" s="21" t="str">
        <f t="shared" si="3"/>
        <v>8.4464+1.027488j</v>
      </c>
      <c r="O90" s="21" t="str">
        <f t="shared" si="4"/>
        <v>0.934083996245491-0.11362948677949j</v>
      </c>
      <c r="S90" s="21">
        <f t="shared" si="14"/>
        <v>0.94097001668901</v>
      </c>
      <c r="U90" s="21">
        <f t="shared" si="5"/>
        <v>1.10958904109589</v>
      </c>
      <c r="V90" s="21">
        <f t="shared" si="6"/>
        <v>0.981219512195122</v>
      </c>
      <c r="X90" s="21">
        <f t="shared" si="25"/>
        <v>0.001</v>
      </c>
      <c r="Y90" s="21">
        <f t="shared" si="7"/>
        <v>5.56</v>
      </c>
      <c r="Z90" s="21">
        <f t="shared" si="26"/>
        <v>1.2</v>
      </c>
      <c r="AA90" s="21">
        <f t="shared" si="15"/>
        <v>1.44</v>
      </c>
      <c r="AB90" s="21">
        <f t="shared" si="16"/>
        <v>8.0064</v>
      </c>
      <c r="AC90" s="21">
        <f t="shared" si="17"/>
        <v>0.440000000000001</v>
      </c>
      <c r="AD90" s="21">
        <v>1</v>
      </c>
      <c r="AE90" s="21">
        <f t="shared" si="18"/>
        <v>0.006672</v>
      </c>
      <c r="AF90" s="21" t="str">
        <f t="shared" si="19"/>
        <v>1+0.006672j</v>
      </c>
      <c r="AH90" s="21" t="str">
        <f t="shared" si="20"/>
        <v>0.440000000000001+0.00293568000000001j</v>
      </c>
      <c r="AI90" s="21" t="str">
        <f t="shared" si="21"/>
        <v>8.4464+0.00293568000000001j</v>
      </c>
      <c r="AK90" s="21" t="str">
        <f t="shared" si="22"/>
        <v>0.947906686021376-0.000329459971114231j</v>
      </c>
      <c r="AO90" s="21">
        <f t="shared" si="23"/>
        <v>0.947906743275888</v>
      </c>
      <c r="AP90" s="21">
        <v>24</v>
      </c>
      <c r="AR90" s="21">
        <f>Compensation!$C$16</f>
        <v>1.03153846153846</v>
      </c>
      <c r="CC90" s="30"/>
      <c r="CD90" s="30"/>
      <c r="CE90" s="30"/>
    </row>
    <row r="91" s="21" customFormat="1" spans="1:83">
      <c r="A91" s="21">
        <f t="shared" si="0"/>
        <v>0.35</v>
      </c>
      <c r="B91" s="21">
        <f t="shared" si="1"/>
        <v>5.56</v>
      </c>
      <c r="C91" s="21">
        <f t="shared" si="24"/>
        <v>1.25</v>
      </c>
      <c r="D91" s="21">
        <f t="shared" si="8"/>
        <v>1.5625</v>
      </c>
      <c r="E91" s="21">
        <f t="shared" si="9"/>
        <v>8.6875</v>
      </c>
      <c r="F91" s="21">
        <f t="shared" si="10"/>
        <v>0.562500000000001</v>
      </c>
      <c r="G91" s="21">
        <f t="shared" si="2"/>
        <v>1</v>
      </c>
      <c r="H91" s="21">
        <f t="shared" si="11"/>
        <v>2.4325</v>
      </c>
      <c r="I91" s="21" t="str">
        <f t="shared" si="12"/>
        <v>1+2.4325j</v>
      </c>
      <c r="K91" s="21" t="str">
        <f t="shared" si="13"/>
        <v>0.562500000000001+1.36828125j</v>
      </c>
      <c r="M91" s="21" t="str">
        <f t="shared" si="3"/>
        <v>9.25+1.36828125j</v>
      </c>
      <c r="O91" s="21" t="str">
        <f t="shared" si="4"/>
        <v>0.919078819980074-0.135952250448742j</v>
      </c>
      <c r="S91" s="21">
        <f t="shared" si="14"/>
        <v>0.929079593865909</v>
      </c>
      <c r="U91" s="21">
        <f t="shared" si="5"/>
        <v>1.10958904109589</v>
      </c>
      <c r="V91" s="21">
        <f t="shared" si="6"/>
        <v>0.981219512195122</v>
      </c>
      <c r="X91" s="21">
        <f t="shared" si="25"/>
        <v>0.001</v>
      </c>
      <c r="Y91" s="21">
        <f t="shared" si="7"/>
        <v>5.56</v>
      </c>
      <c r="Z91" s="21">
        <f t="shared" si="26"/>
        <v>1.25</v>
      </c>
      <c r="AA91" s="21">
        <f t="shared" si="15"/>
        <v>1.5625</v>
      </c>
      <c r="AB91" s="21">
        <f t="shared" si="16"/>
        <v>8.6875</v>
      </c>
      <c r="AC91" s="21">
        <f t="shared" si="17"/>
        <v>0.562500000000001</v>
      </c>
      <c r="AD91" s="21">
        <v>1</v>
      </c>
      <c r="AE91" s="21">
        <f t="shared" si="18"/>
        <v>0.00695</v>
      </c>
      <c r="AF91" s="21" t="str">
        <f t="shared" si="19"/>
        <v>1+0.00695j</v>
      </c>
      <c r="AH91" s="21" t="str">
        <f t="shared" si="20"/>
        <v>0.562500000000001+0.00390937500000001j</v>
      </c>
      <c r="AI91" s="21" t="str">
        <f t="shared" si="21"/>
        <v>9.25+0.00390937500000001j</v>
      </c>
      <c r="AK91" s="21" t="str">
        <f t="shared" si="22"/>
        <v>0.939189021430817-0.000396934278989849j</v>
      </c>
      <c r="AO91" s="21">
        <f t="shared" si="23"/>
        <v>0.93918910531</v>
      </c>
      <c r="AP91" s="21">
        <v>25</v>
      </c>
      <c r="AR91" s="21">
        <f>Compensation!$C$16</f>
        <v>1.03153846153846</v>
      </c>
      <c r="CC91" s="30"/>
      <c r="CD91" s="30"/>
      <c r="CE91" s="30"/>
    </row>
    <row r="92" s="21" customFormat="1" spans="1:83">
      <c r="A92" s="21">
        <f t="shared" si="0"/>
        <v>0.35</v>
      </c>
      <c r="B92" s="21">
        <f t="shared" si="1"/>
        <v>5.56</v>
      </c>
      <c r="C92" s="21">
        <f t="shared" si="24"/>
        <v>1.3</v>
      </c>
      <c r="D92" s="21">
        <f t="shared" si="8"/>
        <v>1.69</v>
      </c>
      <c r="E92" s="21">
        <f t="shared" si="9"/>
        <v>9.3964</v>
      </c>
      <c r="F92" s="21">
        <f t="shared" si="10"/>
        <v>0.690000000000001</v>
      </c>
      <c r="G92" s="21">
        <f t="shared" si="2"/>
        <v>1</v>
      </c>
      <c r="H92" s="21">
        <f t="shared" si="11"/>
        <v>2.5298</v>
      </c>
      <c r="I92" s="21" t="str">
        <f t="shared" si="12"/>
        <v>1+2.5298j</v>
      </c>
      <c r="K92" s="21" t="str">
        <f t="shared" si="13"/>
        <v>0.690000000000001+1.745562j</v>
      </c>
      <c r="M92" s="21" t="str">
        <f t="shared" si="3"/>
        <v>10.0864+1.745562j</v>
      </c>
      <c r="O92" s="21" t="str">
        <f t="shared" si="4"/>
        <v>0.90450115894682-0.156533832885225j</v>
      </c>
      <c r="S92" s="21">
        <f t="shared" si="14"/>
        <v>0.917946178909134</v>
      </c>
      <c r="U92" s="21">
        <f t="shared" si="5"/>
        <v>1.10958904109589</v>
      </c>
      <c r="V92" s="21">
        <f t="shared" si="6"/>
        <v>0.981219512195122</v>
      </c>
      <c r="X92" s="21">
        <f t="shared" si="25"/>
        <v>0.001</v>
      </c>
      <c r="Y92" s="21">
        <f t="shared" si="7"/>
        <v>5.56</v>
      </c>
      <c r="Z92" s="21">
        <f t="shared" si="26"/>
        <v>1.3</v>
      </c>
      <c r="AA92" s="21">
        <f t="shared" si="15"/>
        <v>1.69</v>
      </c>
      <c r="AB92" s="21">
        <f t="shared" si="16"/>
        <v>9.3964</v>
      </c>
      <c r="AC92" s="21">
        <f t="shared" si="17"/>
        <v>0.690000000000001</v>
      </c>
      <c r="AD92" s="21">
        <v>1</v>
      </c>
      <c r="AE92" s="21">
        <f t="shared" si="18"/>
        <v>0.007228</v>
      </c>
      <c r="AF92" s="21" t="str">
        <f t="shared" si="19"/>
        <v>1+0.007228j</v>
      </c>
      <c r="AH92" s="21" t="str">
        <f t="shared" si="20"/>
        <v>0.690000000000001+0.00498732000000001j</v>
      </c>
      <c r="AI92" s="21" t="str">
        <f t="shared" si="21"/>
        <v>10.0864+0.00498732000000001j</v>
      </c>
      <c r="AK92" s="21" t="str">
        <f t="shared" si="22"/>
        <v>0.93159082553433-0.000460634275460411j</v>
      </c>
      <c r="AO92" s="21">
        <f t="shared" si="23"/>
        <v>0.931590939416904</v>
      </c>
      <c r="AP92" s="21">
        <v>26</v>
      </c>
      <c r="AR92" s="21">
        <f>Compensation!$C$16</f>
        <v>1.03153846153846</v>
      </c>
      <c r="CC92" s="30"/>
      <c r="CD92" s="30"/>
      <c r="CE92" s="30"/>
    </row>
    <row r="93" s="21" customFormat="1" spans="1:83">
      <c r="A93" s="21">
        <f t="shared" si="0"/>
        <v>0.35</v>
      </c>
      <c r="B93" s="21">
        <f t="shared" si="1"/>
        <v>5.56</v>
      </c>
      <c r="C93" s="21">
        <f t="shared" si="24"/>
        <v>1.35</v>
      </c>
      <c r="D93" s="21">
        <f t="shared" si="8"/>
        <v>1.8225</v>
      </c>
      <c r="E93" s="21">
        <f t="shared" si="9"/>
        <v>10.1331</v>
      </c>
      <c r="F93" s="21">
        <f t="shared" si="10"/>
        <v>0.822500000000001</v>
      </c>
      <c r="G93" s="21">
        <f t="shared" si="2"/>
        <v>1</v>
      </c>
      <c r="H93" s="21">
        <f t="shared" si="11"/>
        <v>2.6271</v>
      </c>
      <c r="I93" s="21" t="str">
        <f t="shared" si="12"/>
        <v>1+2.6271j</v>
      </c>
      <c r="K93" s="21" t="str">
        <f t="shared" si="13"/>
        <v>0.822500000000001+2.16078975j</v>
      </c>
      <c r="M93" s="21" t="str">
        <f t="shared" si="3"/>
        <v>10.9556+2.16078975j</v>
      </c>
      <c r="O93" s="21" t="str">
        <f t="shared" si="4"/>
        <v>0.890291648436377-0.175593583961803j</v>
      </c>
      <c r="S93" s="21">
        <f t="shared" si="14"/>
        <v>0.907442739793598</v>
      </c>
      <c r="U93" s="21">
        <f t="shared" si="5"/>
        <v>1.10958904109589</v>
      </c>
      <c r="V93" s="21">
        <f t="shared" si="6"/>
        <v>0.981219512195122</v>
      </c>
      <c r="X93" s="21">
        <f t="shared" si="25"/>
        <v>0.001</v>
      </c>
      <c r="Y93" s="21">
        <f t="shared" si="7"/>
        <v>5.56</v>
      </c>
      <c r="Z93" s="21">
        <f t="shared" si="26"/>
        <v>1.35</v>
      </c>
      <c r="AA93" s="21">
        <f t="shared" si="15"/>
        <v>1.8225</v>
      </c>
      <c r="AB93" s="21">
        <f t="shared" si="16"/>
        <v>10.1331</v>
      </c>
      <c r="AC93" s="21">
        <f t="shared" si="17"/>
        <v>0.822500000000001</v>
      </c>
      <c r="AD93" s="21">
        <v>1</v>
      </c>
      <c r="AE93" s="21">
        <f t="shared" si="18"/>
        <v>0.007506</v>
      </c>
      <c r="AF93" s="21" t="str">
        <f t="shared" si="19"/>
        <v>1+0.007506j</v>
      </c>
      <c r="AH93" s="21" t="str">
        <f t="shared" si="20"/>
        <v>0.822500000000001+0.00617368500000001j</v>
      </c>
      <c r="AI93" s="21" t="str">
        <f t="shared" si="21"/>
        <v>10.9556+0.00617368500000001j</v>
      </c>
      <c r="AK93" s="21" t="str">
        <f t="shared" si="22"/>
        <v>0.924923945945627-0.000521211899962151j</v>
      </c>
      <c r="AO93" s="21">
        <f t="shared" si="23"/>
        <v>0.92492409280193</v>
      </c>
      <c r="AP93" s="21">
        <v>27</v>
      </c>
      <c r="AR93" s="21">
        <f>Compensation!$C$16</f>
        <v>1.03153846153846</v>
      </c>
      <c r="CC93" s="30"/>
      <c r="CD93" s="30"/>
      <c r="CE93" s="30"/>
    </row>
    <row r="94" s="21" customFormat="1" spans="1:83">
      <c r="A94" s="21">
        <f t="shared" si="0"/>
        <v>0.35</v>
      </c>
      <c r="B94" s="21">
        <f t="shared" si="1"/>
        <v>5.56</v>
      </c>
      <c r="C94" s="21">
        <f t="shared" si="24"/>
        <v>1.4</v>
      </c>
      <c r="D94" s="21">
        <f t="shared" si="8"/>
        <v>1.96</v>
      </c>
      <c r="E94" s="21">
        <f t="shared" si="9"/>
        <v>10.8976</v>
      </c>
      <c r="F94" s="21">
        <f t="shared" si="10"/>
        <v>0.960000000000002</v>
      </c>
      <c r="G94" s="21">
        <f t="shared" si="2"/>
        <v>1</v>
      </c>
      <c r="H94" s="21">
        <f t="shared" si="11"/>
        <v>2.7244</v>
      </c>
      <c r="I94" s="21" t="str">
        <f t="shared" si="12"/>
        <v>1+2.7244j</v>
      </c>
      <c r="K94" s="21" t="str">
        <f t="shared" si="13"/>
        <v>0.960000000000002+2.61542400000001j</v>
      </c>
      <c r="M94" s="21" t="str">
        <f t="shared" si="3"/>
        <v>11.8576+2.61542400000001j</v>
      </c>
      <c r="O94" s="21" t="str">
        <f t="shared" si="4"/>
        <v>0.876401566631604-0.193307388595155j</v>
      </c>
      <c r="S94" s="21">
        <f t="shared" si="14"/>
        <v>0.897467243123563</v>
      </c>
      <c r="U94" s="21">
        <f t="shared" si="5"/>
        <v>1.10958904109589</v>
      </c>
      <c r="V94" s="21">
        <f t="shared" si="6"/>
        <v>0.981219512195122</v>
      </c>
      <c r="X94" s="21">
        <f t="shared" si="25"/>
        <v>0.001</v>
      </c>
      <c r="Y94" s="21">
        <f t="shared" si="7"/>
        <v>5.56</v>
      </c>
      <c r="Z94" s="21">
        <f t="shared" si="26"/>
        <v>1.4</v>
      </c>
      <c r="AA94" s="21">
        <f t="shared" si="15"/>
        <v>1.96</v>
      </c>
      <c r="AB94" s="21">
        <f t="shared" si="16"/>
        <v>10.8976</v>
      </c>
      <c r="AC94" s="21">
        <f t="shared" si="17"/>
        <v>0.960000000000002</v>
      </c>
      <c r="AD94" s="21">
        <v>1</v>
      </c>
      <c r="AE94" s="21">
        <f t="shared" si="18"/>
        <v>0.007784</v>
      </c>
      <c r="AF94" s="21" t="str">
        <f t="shared" si="19"/>
        <v>1+0.007784j</v>
      </c>
      <c r="AH94" s="21" t="str">
        <f t="shared" si="20"/>
        <v>0.960000000000002+0.00747264000000002j</v>
      </c>
      <c r="AI94" s="21" t="str">
        <f t="shared" si="21"/>
        <v>11.8576+0.00747264000000002j</v>
      </c>
      <c r="AK94" s="21" t="str">
        <f t="shared" si="22"/>
        <v>0.919038900959744-0.00057917680246153j</v>
      </c>
      <c r="AO94" s="21">
        <f t="shared" si="23"/>
        <v>0.91903908345786</v>
      </c>
      <c r="AP94" s="21">
        <v>28</v>
      </c>
      <c r="AR94" s="21">
        <f>Compensation!$C$16</f>
        <v>1.03153846153846</v>
      </c>
      <c r="CC94" s="30"/>
      <c r="CD94" s="30"/>
      <c r="CE94" s="30"/>
    </row>
    <row r="95" s="21" customFormat="1" spans="1:83">
      <c r="A95" s="21">
        <f t="shared" si="0"/>
        <v>0.35</v>
      </c>
      <c r="B95" s="21">
        <f t="shared" si="1"/>
        <v>5.56</v>
      </c>
      <c r="C95" s="21">
        <f t="shared" si="24"/>
        <v>1.45</v>
      </c>
      <c r="D95" s="21">
        <f t="shared" si="8"/>
        <v>2.1025</v>
      </c>
      <c r="E95" s="21">
        <f t="shared" si="9"/>
        <v>11.6899</v>
      </c>
      <c r="F95" s="21">
        <f t="shared" si="10"/>
        <v>1.1025</v>
      </c>
      <c r="G95" s="21">
        <f t="shared" si="2"/>
        <v>1</v>
      </c>
      <c r="H95" s="21">
        <f t="shared" si="11"/>
        <v>2.8217</v>
      </c>
      <c r="I95" s="21" t="str">
        <f t="shared" si="12"/>
        <v>1+2.8217j</v>
      </c>
      <c r="K95" s="21" t="str">
        <f t="shared" si="13"/>
        <v>1.1025+3.11092425j</v>
      </c>
      <c r="M95" s="21" t="str">
        <f t="shared" si="3"/>
        <v>12.7924+3.11092425j</v>
      </c>
      <c r="O95" s="21" t="str">
        <f t="shared" si="4"/>
        <v>0.862791302849704-0.209818203521172j</v>
      </c>
      <c r="S95" s="21">
        <f t="shared" si="14"/>
        <v>0.887937222331591</v>
      </c>
      <c r="U95" s="21">
        <f t="shared" si="5"/>
        <v>1.10958904109589</v>
      </c>
      <c r="V95" s="21">
        <f t="shared" si="6"/>
        <v>0.981219512195122</v>
      </c>
      <c r="X95" s="21">
        <f t="shared" si="25"/>
        <v>0.001</v>
      </c>
      <c r="Y95" s="21">
        <f t="shared" si="7"/>
        <v>5.56</v>
      </c>
      <c r="Z95" s="21">
        <f t="shared" si="26"/>
        <v>1.45</v>
      </c>
      <c r="AA95" s="21">
        <f t="shared" si="15"/>
        <v>2.1025</v>
      </c>
      <c r="AB95" s="21">
        <f t="shared" si="16"/>
        <v>11.6899</v>
      </c>
      <c r="AC95" s="21">
        <f t="shared" si="17"/>
        <v>1.1025</v>
      </c>
      <c r="AD95" s="21">
        <v>1</v>
      </c>
      <c r="AE95" s="21">
        <f t="shared" si="18"/>
        <v>0.008062</v>
      </c>
      <c r="AF95" s="21" t="str">
        <f t="shared" si="19"/>
        <v>1+0.008062j</v>
      </c>
      <c r="AH95" s="21" t="str">
        <f t="shared" si="20"/>
        <v>1.1025+0.008888355j</v>
      </c>
      <c r="AI95" s="21" t="str">
        <f t="shared" si="21"/>
        <v>12.7924+0.008888355j</v>
      </c>
      <c r="AK95" s="21" t="str">
        <f t="shared" si="22"/>
        <v>0.913815574598189-0.000634933025199156j</v>
      </c>
      <c r="AO95" s="21">
        <f t="shared" si="23"/>
        <v>0.913815795178747</v>
      </c>
      <c r="AP95" s="21">
        <v>29</v>
      </c>
      <c r="AR95" s="21">
        <f>Compensation!$C$16</f>
        <v>1.03153846153846</v>
      </c>
      <c r="CC95" s="30"/>
      <c r="CD95" s="30"/>
      <c r="CE95" s="30"/>
    </row>
    <row r="96" s="21" customFormat="1" spans="1:83">
      <c r="A96" s="21">
        <f t="shared" si="0"/>
        <v>0.35</v>
      </c>
      <c r="B96" s="21">
        <f t="shared" si="1"/>
        <v>5.56</v>
      </c>
      <c r="C96" s="21">
        <f t="shared" si="24"/>
        <v>1.5</v>
      </c>
      <c r="D96" s="21">
        <f t="shared" si="8"/>
        <v>2.25</v>
      </c>
      <c r="E96" s="21">
        <f t="shared" si="9"/>
        <v>12.51</v>
      </c>
      <c r="F96" s="21">
        <f t="shared" si="10"/>
        <v>1.25</v>
      </c>
      <c r="G96" s="21">
        <f t="shared" si="2"/>
        <v>1</v>
      </c>
      <c r="H96" s="21">
        <f t="shared" si="11"/>
        <v>2.919</v>
      </c>
      <c r="I96" s="21" t="str">
        <f t="shared" si="12"/>
        <v>1+2.919j</v>
      </c>
      <c r="K96" s="21" t="str">
        <f t="shared" si="13"/>
        <v>1.25+3.64875j</v>
      </c>
      <c r="M96" s="21" t="str">
        <f t="shared" si="3"/>
        <v>13.76+3.64875j</v>
      </c>
      <c r="O96" s="21" t="str">
        <f t="shared" si="4"/>
        <v>0.849428919218214-0.225243733212025j</v>
      </c>
      <c r="S96" s="21">
        <f t="shared" si="14"/>
        <v>0.878785655410643</v>
      </c>
      <c r="U96" s="21">
        <f t="shared" si="5"/>
        <v>1.10958904109589</v>
      </c>
      <c r="V96" s="21">
        <f t="shared" si="6"/>
        <v>0.981219512195122</v>
      </c>
      <c r="X96" s="21">
        <f t="shared" si="25"/>
        <v>0.001</v>
      </c>
      <c r="Y96" s="21">
        <f t="shared" si="7"/>
        <v>5.56</v>
      </c>
      <c r="Z96" s="21">
        <f t="shared" si="26"/>
        <v>1.5</v>
      </c>
      <c r="AA96" s="21">
        <f t="shared" si="15"/>
        <v>2.25</v>
      </c>
      <c r="AB96" s="21">
        <f t="shared" si="16"/>
        <v>12.51</v>
      </c>
      <c r="AC96" s="21">
        <f t="shared" si="17"/>
        <v>1.25</v>
      </c>
      <c r="AD96" s="21">
        <v>1</v>
      </c>
      <c r="AE96" s="21">
        <f t="shared" si="18"/>
        <v>0.00834</v>
      </c>
      <c r="AF96" s="21" t="str">
        <f t="shared" si="19"/>
        <v>1+0.00834j</v>
      </c>
      <c r="AH96" s="21" t="str">
        <f t="shared" si="20"/>
        <v>1.25+0.010425j</v>
      </c>
      <c r="AI96" s="21" t="str">
        <f t="shared" si="21"/>
        <v>13.76+0.010425j</v>
      </c>
      <c r="AK96" s="21" t="str">
        <f t="shared" si="22"/>
        <v>0.909156454884335-0.000688804944925087j</v>
      </c>
      <c r="AO96" s="21">
        <f t="shared" si="23"/>
        <v>0.909156715814223</v>
      </c>
      <c r="AP96" s="21">
        <v>30</v>
      </c>
      <c r="AR96" s="21">
        <f>Compensation!$C$16</f>
        <v>1.03153846153846</v>
      </c>
      <c r="CC96" s="30"/>
      <c r="CD96" s="30"/>
      <c r="CE96" s="30"/>
    </row>
    <row r="97" s="21" customFormat="1" spans="1:83">
      <c r="A97" s="21">
        <f t="shared" si="0"/>
        <v>0.35</v>
      </c>
      <c r="B97" s="21">
        <f t="shared" si="1"/>
        <v>5.56</v>
      </c>
      <c r="C97" s="21">
        <f t="shared" si="24"/>
        <v>1.55</v>
      </c>
      <c r="D97" s="21">
        <f t="shared" si="8"/>
        <v>2.4025</v>
      </c>
      <c r="E97" s="21">
        <f t="shared" si="9"/>
        <v>13.3579</v>
      </c>
      <c r="F97" s="21">
        <f t="shared" si="10"/>
        <v>1.4025</v>
      </c>
      <c r="G97" s="21">
        <f t="shared" si="2"/>
        <v>1</v>
      </c>
      <c r="H97" s="21">
        <f t="shared" si="11"/>
        <v>3.0163</v>
      </c>
      <c r="I97" s="21" t="str">
        <f t="shared" si="12"/>
        <v>1+3.0163j</v>
      </c>
      <c r="K97" s="21" t="str">
        <f t="shared" si="13"/>
        <v>1.4025+4.23036075j</v>
      </c>
      <c r="M97" s="21" t="str">
        <f t="shared" si="3"/>
        <v>14.7604+4.23036075j</v>
      </c>
      <c r="O97" s="21" t="str">
        <f t="shared" si="4"/>
        <v>0.836288871967258-0.239682096666219j</v>
      </c>
      <c r="S97" s="21">
        <f t="shared" si="14"/>
        <v>0.869957806355333</v>
      </c>
      <c r="U97" s="21">
        <f t="shared" si="5"/>
        <v>1.10958904109589</v>
      </c>
      <c r="V97" s="21">
        <f t="shared" si="6"/>
        <v>0.981219512195122</v>
      </c>
      <c r="X97" s="21">
        <f t="shared" si="25"/>
        <v>0.001</v>
      </c>
      <c r="Y97" s="21">
        <f t="shared" si="7"/>
        <v>5.56</v>
      </c>
      <c r="Z97" s="21">
        <f t="shared" si="26"/>
        <v>1.55</v>
      </c>
      <c r="AA97" s="21">
        <f t="shared" si="15"/>
        <v>2.4025</v>
      </c>
      <c r="AB97" s="21">
        <f t="shared" si="16"/>
        <v>13.3579</v>
      </c>
      <c r="AC97" s="21">
        <f t="shared" si="17"/>
        <v>1.4025</v>
      </c>
      <c r="AD97" s="21">
        <v>1</v>
      </c>
      <c r="AE97" s="21">
        <f t="shared" si="18"/>
        <v>0.008618</v>
      </c>
      <c r="AF97" s="21" t="str">
        <f t="shared" si="19"/>
        <v>1+0.008618j</v>
      </c>
      <c r="AH97" s="21" t="str">
        <f t="shared" si="20"/>
        <v>1.4025+0.012086745j</v>
      </c>
      <c r="AI97" s="21" t="str">
        <f t="shared" si="21"/>
        <v>14.7604+0.012086745j</v>
      </c>
      <c r="AK97" s="21" t="str">
        <f t="shared" si="22"/>
        <v>0.904981642980245-0.000741055957046101j</v>
      </c>
      <c r="AO97" s="21">
        <f t="shared" si="23"/>
        <v>0.904981946391835</v>
      </c>
      <c r="AP97" s="21">
        <v>31</v>
      </c>
      <c r="AR97" s="21">
        <f>Compensation!$C$16</f>
        <v>1.03153846153846</v>
      </c>
      <c r="CC97" s="30"/>
      <c r="CD97" s="30"/>
      <c r="CE97" s="30"/>
    </row>
    <row r="98" s="21" customFormat="1" spans="1:83">
      <c r="A98" s="21">
        <f t="shared" si="0"/>
        <v>0.35</v>
      </c>
      <c r="B98" s="21">
        <f t="shared" si="1"/>
        <v>5.56</v>
      </c>
      <c r="C98" s="21">
        <f t="shared" si="24"/>
        <v>1.6</v>
      </c>
      <c r="D98" s="21">
        <f t="shared" si="8"/>
        <v>2.56</v>
      </c>
      <c r="E98" s="21">
        <f t="shared" si="9"/>
        <v>14.2336</v>
      </c>
      <c r="F98" s="21">
        <f t="shared" si="10"/>
        <v>1.56</v>
      </c>
      <c r="G98" s="21">
        <f t="shared" si="2"/>
        <v>1</v>
      </c>
      <c r="H98" s="21">
        <f t="shared" si="11"/>
        <v>3.1136</v>
      </c>
      <c r="I98" s="21" t="str">
        <f t="shared" si="12"/>
        <v>1+3.1136j</v>
      </c>
      <c r="K98" s="21" t="str">
        <f t="shared" si="13"/>
        <v>1.56+4.857216j</v>
      </c>
      <c r="M98" s="21" t="str">
        <f t="shared" ref="M98:M129" si="27">IMSUM(K98,E98)</f>
        <v>15.7936+4.857216j</v>
      </c>
      <c r="O98" s="21" t="str">
        <f t="shared" ref="O98:O129" si="28">IMDIV(E98,M98)</f>
        <v>0.823350907387369-0.253216062264237j</v>
      </c>
      <c r="S98" s="21">
        <f t="shared" si="14"/>
        <v>0.861408782683466</v>
      </c>
      <c r="U98" s="21">
        <f t="shared" si="5"/>
        <v>1.10958904109589</v>
      </c>
      <c r="V98" s="21">
        <f t="shared" si="6"/>
        <v>0.981219512195122</v>
      </c>
      <c r="X98" s="21">
        <f t="shared" si="25"/>
        <v>0.001</v>
      </c>
      <c r="Y98" s="21">
        <f t="shared" si="7"/>
        <v>5.56</v>
      </c>
      <c r="Z98" s="21">
        <f t="shared" si="26"/>
        <v>1.6</v>
      </c>
      <c r="AA98" s="21">
        <f t="shared" si="15"/>
        <v>2.56</v>
      </c>
      <c r="AB98" s="21">
        <f t="shared" si="16"/>
        <v>14.2336</v>
      </c>
      <c r="AC98" s="21">
        <f t="shared" si="17"/>
        <v>1.56</v>
      </c>
      <c r="AD98" s="21">
        <v>1</v>
      </c>
      <c r="AE98" s="21">
        <f t="shared" si="18"/>
        <v>0.008896</v>
      </c>
      <c r="AF98" s="21" t="str">
        <f t="shared" si="19"/>
        <v>1+0.008896j</v>
      </c>
      <c r="AH98" s="21" t="str">
        <f t="shared" si="20"/>
        <v>1.56+0.01387776j</v>
      </c>
      <c r="AI98" s="21" t="str">
        <f t="shared" si="21"/>
        <v>15.7936+0.01387776j</v>
      </c>
      <c r="AK98" s="21" t="str">
        <f t="shared" si="22"/>
        <v>0.901225117146942-0.000791902155413405j</v>
      </c>
      <c r="AO98" s="21">
        <f t="shared" si="23"/>
        <v>0.901225465067173</v>
      </c>
      <c r="AP98" s="21">
        <v>32</v>
      </c>
      <c r="AR98" s="21">
        <f>Compensation!$C$16</f>
        <v>1.03153846153846</v>
      </c>
      <c r="CC98" s="30"/>
      <c r="CD98" s="30"/>
      <c r="CE98" s="30"/>
    </row>
    <row r="99" s="21" customFormat="1" spans="1:83">
      <c r="A99" s="21">
        <f t="shared" si="0"/>
        <v>0.35</v>
      </c>
      <c r="B99" s="21">
        <f t="shared" si="1"/>
        <v>5.56</v>
      </c>
      <c r="C99" s="21">
        <f t="shared" si="24"/>
        <v>1.65</v>
      </c>
      <c r="D99" s="21">
        <f t="shared" si="8"/>
        <v>2.7225</v>
      </c>
      <c r="E99" s="21">
        <f t="shared" si="9"/>
        <v>15.1371</v>
      </c>
      <c r="F99" s="21">
        <f t="shared" si="10"/>
        <v>1.7225</v>
      </c>
      <c r="G99" s="21">
        <f t="shared" si="2"/>
        <v>1</v>
      </c>
      <c r="H99" s="21">
        <f t="shared" si="11"/>
        <v>3.2109</v>
      </c>
      <c r="I99" s="21" t="str">
        <f t="shared" si="12"/>
        <v>1+3.2109j</v>
      </c>
      <c r="K99" s="21" t="str">
        <f t="shared" si="13"/>
        <v>1.7225+5.53077525j</v>
      </c>
      <c r="M99" s="21" t="str">
        <f t="shared" si="27"/>
        <v>16.8596+5.53077525j</v>
      </c>
      <c r="O99" s="21" t="str">
        <f t="shared" si="28"/>
        <v>0.810599124357928-0.265916247993458j</v>
      </c>
      <c r="S99" s="21">
        <f t="shared" si="14"/>
        <v>0.853101630145411</v>
      </c>
      <c r="U99" s="21">
        <f t="shared" si="5"/>
        <v>1.10958904109589</v>
      </c>
      <c r="V99" s="21">
        <f t="shared" si="6"/>
        <v>0.981219512195122</v>
      </c>
      <c r="X99" s="21">
        <f t="shared" si="25"/>
        <v>0.001</v>
      </c>
      <c r="Y99" s="21">
        <f t="shared" si="7"/>
        <v>5.56</v>
      </c>
      <c r="Z99" s="21">
        <f t="shared" si="26"/>
        <v>1.65</v>
      </c>
      <c r="AA99" s="21">
        <f t="shared" si="15"/>
        <v>2.7225</v>
      </c>
      <c r="AB99" s="21">
        <f t="shared" si="16"/>
        <v>15.1371</v>
      </c>
      <c r="AC99" s="21">
        <f t="shared" si="17"/>
        <v>1.7225</v>
      </c>
      <c r="AD99" s="21">
        <v>1</v>
      </c>
      <c r="AE99" s="21">
        <f t="shared" si="18"/>
        <v>0.009174</v>
      </c>
      <c r="AF99" s="21" t="str">
        <f t="shared" si="19"/>
        <v>1+0.009174j</v>
      </c>
      <c r="AH99" s="21" t="str">
        <f t="shared" si="20"/>
        <v>1.7225+0.015802215j</v>
      </c>
      <c r="AI99" s="21" t="str">
        <f t="shared" si="21"/>
        <v>16.8596+0.015802215j</v>
      </c>
      <c r="AK99" s="21" t="str">
        <f t="shared" si="22"/>
        <v>0.897831900049856-0.000841522498662266j</v>
      </c>
      <c r="AO99" s="21">
        <f t="shared" si="23"/>
        <v>0.897832294422099</v>
      </c>
      <c r="AP99" s="21">
        <v>33</v>
      </c>
      <c r="AR99" s="21">
        <f>Compensation!$C$16</f>
        <v>1.03153846153846</v>
      </c>
      <c r="CC99" s="30"/>
      <c r="CD99" s="30"/>
      <c r="CE99" s="30"/>
    </row>
    <row r="100" s="21" customFormat="1" spans="1:83">
      <c r="A100" s="21">
        <f t="shared" si="0"/>
        <v>0.35</v>
      </c>
      <c r="B100" s="21">
        <f t="shared" si="1"/>
        <v>5.56</v>
      </c>
      <c r="C100" s="21">
        <f t="shared" si="24"/>
        <v>1.7</v>
      </c>
      <c r="D100" s="21">
        <f t="shared" si="8"/>
        <v>2.89</v>
      </c>
      <c r="E100" s="21">
        <f t="shared" si="9"/>
        <v>16.0684</v>
      </c>
      <c r="F100" s="21">
        <f t="shared" si="10"/>
        <v>1.89</v>
      </c>
      <c r="G100" s="21">
        <f t="shared" si="2"/>
        <v>1</v>
      </c>
      <c r="H100" s="21">
        <f t="shared" si="11"/>
        <v>3.3082</v>
      </c>
      <c r="I100" s="21" t="str">
        <f t="shared" si="12"/>
        <v>1+3.3082j</v>
      </c>
      <c r="K100" s="21" t="str">
        <f t="shared" si="13"/>
        <v>1.89+6.252498j</v>
      </c>
      <c r="M100" s="21" t="str">
        <f t="shared" si="27"/>
        <v>17.9584+6.252498j</v>
      </c>
      <c r="O100" s="21" t="str">
        <f t="shared" si="28"/>
        <v>0.798021186086551-0.277843564569438j</v>
      </c>
      <c r="S100" s="21">
        <f t="shared" si="14"/>
        <v>0.845005834190296</v>
      </c>
      <c r="U100" s="21">
        <f t="shared" si="5"/>
        <v>1.10958904109589</v>
      </c>
      <c r="V100" s="21">
        <f t="shared" si="6"/>
        <v>0.981219512195122</v>
      </c>
      <c r="X100" s="21">
        <f t="shared" si="25"/>
        <v>0.001</v>
      </c>
      <c r="Y100" s="21">
        <f t="shared" si="7"/>
        <v>5.56</v>
      </c>
      <c r="Z100" s="21">
        <f t="shared" si="26"/>
        <v>1.7</v>
      </c>
      <c r="AA100" s="21">
        <f t="shared" si="15"/>
        <v>2.89</v>
      </c>
      <c r="AB100" s="21">
        <f t="shared" si="16"/>
        <v>16.0684</v>
      </c>
      <c r="AC100" s="21">
        <f t="shared" si="17"/>
        <v>1.89</v>
      </c>
      <c r="AD100" s="21">
        <v>1</v>
      </c>
      <c r="AE100" s="21">
        <f t="shared" si="18"/>
        <v>0.009452</v>
      </c>
      <c r="AF100" s="21" t="str">
        <f t="shared" si="19"/>
        <v>1+0.009452j</v>
      </c>
      <c r="AH100" s="21" t="str">
        <f t="shared" si="20"/>
        <v>1.89+0.01786428j</v>
      </c>
      <c r="AI100" s="21" t="str">
        <f t="shared" si="21"/>
        <v>17.9584+0.01786428j</v>
      </c>
      <c r="AK100" s="21" t="str">
        <f t="shared" si="22"/>
        <v>0.894755885802932-0.00089006646892995j</v>
      </c>
      <c r="AO100" s="21">
        <f t="shared" si="23"/>
        <v>0.894756328503637</v>
      </c>
      <c r="AP100" s="21">
        <v>34</v>
      </c>
      <c r="AR100" s="21">
        <f>Compensation!$C$16</f>
        <v>1.03153846153846</v>
      </c>
      <c r="CC100" s="30"/>
      <c r="CD100" s="30"/>
      <c r="CE100" s="30"/>
    </row>
    <row r="101" s="21" customFormat="1" spans="1:83">
      <c r="A101" s="21">
        <f t="shared" si="0"/>
        <v>0.35</v>
      </c>
      <c r="B101" s="21">
        <f t="shared" si="1"/>
        <v>5.56</v>
      </c>
      <c r="C101" s="21">
        <f t="shared" si="24"/>
        <v>1.75</v>
      </c>
      <c r="D101" s="21">
        <f t="shared" si="8"/>
        <v>3.0625</v>
      </c>
      <c r="E101" s="21">
        <f t="shared" si="9"/>
        <v>17.0275</v>
      </c>
      <c r="F101" s="21">
        <f t="shared" si="10"/>
        <v>2.0625</v>
      </c>
      <c r="G101" s="21">
        <f t="shared" si="2"/>
        <v>1</v>
      </c>
      <c r="H101" s="21">
        <f t="shared" si="11"/>
        <v>3.4055</v>
      </c>
      <c r="I101" s="21" t="str">
        <f t="shared" si="12"/>
        <v>1+3.4055j</v>
      </c>
      <c r="K101" s="21" t="str">
        <f t="shared" si="13"/>
        <v>2.0625+7.02384375j</v>
      </c>
      <c r="M101" s="21" t="str">
        <f t="shared" si="27"/>
        <v>19.09+7.02384375j</v>
      </c>
      <c r="O101" s="21" t="str">
        <f t="shared" si="28"/>
        <v>0.785607661176075-0.289051098004384j</v>
      </c>
      <c r="S101" s="21">
        <f t="shared" si="14"/>
        <v>0.837096132207098</v>
      </c>
      <c r="U101" s="21">
        <f t="shared" si="5"/>
        <v>1.10958904109589</v>
      </c>
      <c r="V101" s="21">
        <f t="shared" si="6"/>
        <v>0.981219512195122</v>
      </c>
      <c r="X101" s="21">
        <f t="shared" si="25"/>
        <v>0.001</v>
      </c>
      <c r="Y101" s="21">
        <f t="shared" si="7"/>
        <v>5.56</v>
      </c>
      <c r="Z101" s="21">
        <f t="shared" si="26"/>
        <v>1.75</v>
      </c>
      <c r="AA101" s="21">
        <f t="shared" si="15"/>
        <v>3.0625</v>
      </c>
      <c r="AB101" s="21">
        <f t="shared" si="16"/>
        <v>17.0275</v>
      </c>
      <c r="AC101" s="21">
        <f t="shared" si="17"/>
        <v>2.0625</v>
      </c>
      <c r="AD101" s="21">
        <v>1</v>
      </c>
      <c r="AE101" s="21">
        <f t="shared" si="18"/>
        <v>0.00973</v>
      </c>
      <c r="AF101" s="21" t="str">
        <f t="shared" si="19"/>
        <v>1+0.00973j</v>
      </c>
      <c r="AH101" s="21" t="str">
        <f t="shared" si="20"/>
        <v>2.0625+0.020068125j</v>
      </c>
      <c r="AI101" s="21" t="str">
        <f t="shared" si="21"/>
        <v>19.09+0.020068125j</v>
      </c>
      <c r="AK101" s="21" t="str">
        <f t="shared" si="22"/>
        <v>0.891958155208153-0.000937659913749954j</v>
      </c>
      <c r="AO101" s="21">
        <f t="shared" si="23"/>
        <v>0.891958648059676</v>
      </c>
      <c r="AP101" s="21">
        <v>35</v>
      </c>
      <c r="AR101" s="21">
        <f>Compensation!$C$16</f>
        <v>1.03153846153846</v>
      </c>
      <c r="CC101" s="30"/>
      <c r="CD101" s="30"/>
      <c r="CE101" s="30"/>
    </row>
    <row r="102" s="21" customFormat="1" spans="1:83">
      <c r="A102" s="21">
        <f t="shared" si="0"/>
        <v>0.35</v>
      </c>
      <c r="B102" s="21">
        <f t="shared" si="1"/>
        <v>5.56</v>
      </c>
      <c r="C102" s="21">
        <f t="shared" si="24"/>
        <v>1.8</v>
      </c>
      <c r="D102" s="21">
        <f t="shared" si="8"/>
        <v>3.24</v>
      </c>
      <c r="E102" s="21">
        <f t="shared" si="9"/>
        <v>18.0144</v>
      </c>
      <c r="F102" s="21">
        <f t="shared" si="10"/>
        <v>2.24</v>
      </c>
      <c r="G102" s="21">
        <f t="shared" si="2"/>
        <v>1</v>
      </c>
      <c r="H102" s="21">
        <f t="shared" si="11"/>
        <v>3.5028</v>
      </c>
      <c r="I102" s="21" t="str">
        <f t="shared" si="12"/>
        <v>1+3.5028j</v>
      </c>
      <c r="K102" s="21" t="str">
        <f t="shared" si="13"/>
        <v>2.24+7.846272j</v>
      </c>
      <c r="M102" s="21" t="str">
        <f t="shared" si="27"/>
        <v>20.2544+7.846272j</v>
      </c>
      <c r="O102" s="21" t="str">
        <f t="shared" si="28"/>
        <v>0.77335147473328-0.299585572634017j</v>
      </c>
      <c r="S102" s="21">
        <f t="shared" si="14"/>
        <v>0.829351565262037</v>
      </c>
      <c r="U102" s="21">
        <f t="shared" si="5"/>
        <v>1.10958904109589</v>
      </c>
      <c r="V102" s="21">
        <f t="shared" si="6"/>
        <v>0.981219512195122</v>
      </c>
      <c r="X102" s="21">
        <f t="shared" si="25"/>
        <v>0.001</v>
      </c>
      <c r="Y102" s="21">
        <f t="shared" si="7"/>
        <v>5.56</v>
      </c>
      <c r="Z102" s="21">
        <f t="shared" si="26"/>
        <v>1.8</v>
      </c>
      <c r="AA102" s="21">
        <f t="shared" si="15"/>
        <v>3.24</v>
      </c>
      <c r="AB102" s="21">
        <f t="shared" si="16"/>
        <v>18.0144</v>
      </c>
      <c r="AC102" s="21">
        <f t="shared" si="17"/>
        <v>2.24</v>
      </c>
      <c r="AD102" s="21">
        <v>1</v>
      </c>
      <c r="AE102" s="21">
        <f t="shared" si="18"/>
        <v>0.010008</v>
      </c>
      <c r="AF102" s="21" t="str">
        <f t="shared" si="19"/>
        <v>1+0.010008j</v>
      </c>
      <c r="AH102" s="21" t="str">
        <f t="shared" si="20"/>
        <v>2.24+0.02241792j</v>
      </c>
      <c r="AI102" s="21" t="str">
        <f t="shared" si="21"/>
        <v>20.2544+0.02241792j</v>
      </c>
      <c r="AK102" s="21" t="str">
        <f t="shared" si="22"/>
        <v>0.889405656626974-0.000984409553371661j</v>
      </c>
      <c r="AO102" s="21">
        <f t="shared" si="23"/>
        <v>0.889406201407561</v>
      </c>
      <c r="AP102" s="21">
        <v>36</v>
      </c>
      <c r="AR102" s="21">
        <f>Compensation!$C$16</f>
        <v>1.03153846153846</v>
      </c>
      <c r="CC102" s="30"/>
      <c r="CD102" s="30"/>
      <c r="CE102" s="30"/>
    </row>
    <row r="103" s="21" customFormat="1" spans="1:83">
      <c r="A103" s="21">
        <f t="shared" si="0"/>
        <v>0.35</v>
      </c>
      <c r="B103" s="21">
        <f t="shared" si="1"/>
        <v>5.56</v>
      </c>
      <c r="C103" s="21">
        <f t="shared" si="24"/>
        <v>1.85</v>
      </c>
      <c r="D103" s="21">
        <f t="shared" si="8"/>
        <v>3.4225</v>
      </c>
      <c r="E103" s="21">
        <f t="shared" si="9"/>
        <v>19.0291</v>
      </c>
      <c r="F103" s="21">
        <f t="shared" si="10"/>
        <v>2.4225</v>
      </c>
      <c r="G103" s="21">
        <f t="shared" si="2"/>
        <v>1</v>
      </c>
      <c r="H103" s="21">
        <f t="shared" si="11"/>
        <v>3.6001</v>
      </c>
      <c r="I103" s="21" t="str">
        <f t="shared" si="12"/>
        <v>1+3.6001j</v>
      </c>
      <c r="K103" s="21" t="str">
        <f t="shared" si="13"/>
        <v>2.4225+8.72124225j</v>
      </c>
      <c r="M103" s="21" t="str">
        <f t="shared" si="27"/>
        <v>21.4516+8.72124225j</v>
      </c>
      <c r="O103" s="21" t="str">
        <f t="shared" si="28"/>
        <v>0.761247452128901-0.309488496998426j</v>
      </c>
      <c r="S103" s="21">
        <f t="shared" si="14"/>
        <v>0.821754715926284</v>
      </c>
      <c r="U103" s="21">
        <f t="shared" si="5"/>
        <v>1.10958904109589</v>
      </c>
      <c r="V103" s="21">
        <f t="shared" si="6"/>
        <v>0.981219512195122</v>
      </c>
      <c r="X103" s="21">
        <f t="shared" si="25"/>
        <v>0.001</v>
      </c>
      <c r="Y103" s="21">
        <f t="shared" si="7"/>
        <v>5.56</v>
      </c>
      <c r="Z103" s="21">
        <f t="shared" si="26"/>
        <v>1.85</v>
      </c>
      <c r="AA103" s="21">
        <f t="shared" si="15"/>
        <v>3.4225</v>
      </c>
      <c r="AB103" s="21">
        <f t="shared" si="16"/>
        <v>19.0291</v>
      </c>
      <c r="AC103" s="21">
        <f t="shared" si="17"/>
        <v>2.4225</v>
      </c>
      <c r="AD103" s="21">
        <v>1</v>
      </c>
      <c r="AE103" s="21">
        <f t="shared" si="18"/>
        <v>0.010286</v>
      </c>
      <c r="AF103" s="21" t="str">
        <f t="shared" si="19"/>
        <v>1+0.010286j</v>
      </c>
      <c r="AH103" s="21" t="str">
        <f t="shared" si="20"/>
        <v>2.4225+0.024917835j</v>
      </c>
      <c r="AI103" s="21" t="str">
        <f t="shared" si="21"/>
        <v>21.4516+0.024917835j</v>
      </c>
      <c r="AK103" s="21" t="str">
        <f t="shared" si="22"/>
        <v>0.887070163740745-0.00103040649525046j</v>
      </c>
      <c r="AO103" s="21">
        <f t="shared" si="23"/>
        <v>0.887070762192384</v>
      </c>
      <c r="AP103" s="21">
        <v>37</v>
      </c>
      <c r="AR103" s="21">
        <f>Compensation!$C$16</f>
        <v>1.03153846153846</v>
      </c>
      <c r="CC103" s="30"/>
      <c r="CD103" s="30"/>
      <c r="CE103" s="30"/>
    </row>
    <row r="104" s="21" customFormat="1" spans="1:83">
      <c r="A104" s="21">
        <f t="shared" si="0"/>
        <v>0.35</v>
      </c>
      <c r="B104" s="21">
        <f t="shared" si="1"/>
        <v>5.56</v>
      </c>
      <c r="C104" s="21">
        <f t="shared" si="24"/>
        <v>1.9</v>
      </c>
      <c r="D104" s="21">
        <f t="shared" si="8"/>
        <v>3.61</v>
      </c>
      <c r="E104" s="21">
        <f t="shared" si="9"/>
        <v>20.0716</v>
      </c>
      <c r="F104" s="21">
        <f t="shared" si="10"/>
        <v>2.61</v>
      </c>
      <c r="G104" s="21">
        <f t="shared" si="2"/>
        <v>1</v>
      </c>
      <c r="H104" s="21">
        <f t="shared" si="11"/>
        <v>3.6974</v>
      </c>
      <c r="I104" s="21" t="str">
        <f t="shared" si="12"/>
        <v>1+3.6974j</v>
      </c>
      <c r="K104" s="21" t="str">
        <f t="shared" si="13"/>
        <v>2.61+9.650214j</v>
      </c>
      <c r="M104" s="21" t="str">
        <f t="shared" si="27"/>
        <v>22.6816+9.650214j</v>
      </c>
      <c r="O104" s="21" t="str">
        <f t="shared" si="28"/>
        <v>0.74929194031203-0.318797067776802j</v>
      </c>
      <c r="S104" s="21">
        <f t="shared" si="14"/>
        <v>0.81429109183366</v>
      </c>
      <c r="U104" s="21">
        <f t="shared" si="5"/>
        <v>1.10958904109589</v>
      </c>
      <c r="V104" s="21">
        <f t="shared" si="6"/>
        <v>0.981219512195122</v>
      </c>
      <c r="X104" s="21">
        <f t="shared" si="25"/>
        <v>0.001</v>
      </c>
      <c r="Y104" s="21">
        <f t="shared" si="7"/>
        <v>5.56</v>
      </c>
      <c r="Z104" s="21">
        <f t="shared" si="26"/>
        <v>1.9</v>
      </c>
      <c r="AA104" s="21">
        <f t="shared" si="15"/>
        <v>3.61</v>
      </c>
      <c r="AB104" s="21">
        <f t="shared" si="16"/>
        <v>20.0716</v>
      </c>
      <c r="AC104" s="21">
        <f t="shared" si="17"/>
        <v>2.61</v>
      </c>
      <c r="AD104" s="21">
        <v>1</v>
      </c>
      <c r="AE104" s="21">
        <f t="shared" si="18"/>
        <v>0.010564</v>
      </c>
      <c r="AF104" s="21" t="str">
        <f t="shared" si="19"/>
        <v>1+0.010564j</v>
      </c>
      <c r="AH104" s="21" t="str">
        <f t="shared" si="20"/>
        <v>2.61+0.02757204j</v>
      </c>
      <c r="AI104" s="21" t="str">
        <f t="shared" si="21"/>
        <v>22.6816+0.02757204j</v>
      </c>
      <c r="AK104" s="21" t="str">
        <f t="shared" si="22"/>
        <v>0.884927445151883-0.00107572900125324j</v>
      </c>
      <c r="AO104" s="21">
        <f t="shared" si="23"/>
        <v>0.884928098986535</v>
      </c>
      <c r="AP104" s="21">
        <v>38</v>
      </c>
      <c r="AR104" s="21">
        <f>Compensation!$C$16</f>
        <v>1.03153846153846</v>
      </c>
      <c r="CC104" s="30"/>
      <c r="CD104" s="30"/>
      <c r="CE104" s="30"/>
    </row>
    <row r="105" s="21" customFormat="1" spans="1:83">
      <c r="A105" s="21">
        <f t="shared" si="0"/>
        <v>0.35</v>
      </c>
      <c r="B105" s="21">
        <f t="shared" si="1"/>
        <v>5.56</v>
      </c>
      <c r="C105" s="21">
        <f t="shared" si="24"/>
        <v>1.95</v>
      </c>
      <c r="D105" s="21">
        <f t="shared" si="8"/>
        <v>3.8025</v>
      </c>
      <c r="E105" s="21">
        <f t="shared" si="9"/>
        <v>21.1419</v>
      </c>
      <c r="F105" s="21">
        <f t="shared" si="10"/>
        <v>2.8025</v>
      </c>
      <c r="G105" s="21">
        <f t="shared" si="2"/>
        <v>1</v>
      </c>
      <c r="H105" s="21">
        <f t="shared" si="11"/>
        <v>3.7947</v>
      </c>
      <c r="I105" s="21" t="str">
        <f t="shared" si="12"/>
        <v>1+3.7947j</v>
      </c>
      <c r="K105" s="21" t="str">
        <f t="shared" si="13"/>
        <v>2.8025+10.63464675j</v>
      </c>
      <c r="M105" s="21" t="str">
        <f t="shared" si="27"/>
        <v>23.9444+10.63464675j</v>
      </c>
      <c r="O105" s="21" t="str">
        <f t="shared" si="28"/>
        <v>0.737482493849048-0.327544887589318j</v>
      </c>
      <c r="S105" s="21">
        <f t="shared" si="14"/>
        <v>0.806948624213283</v>
      </c>
      <c r="U105" s="21">
        <f t="shared" si="5"/>
        <v>1.10958904109589</v>
      </c>
      <c r="V105" s="21">
        <f t="shared" si="6"/>
        <v>0.981219512195122</v>
      </c>
      <c r="X105" s="21">
        <f t="shared" si="25"/>
        <v>0.001</v>
      </c>
      <c r="Y105" s="21">
        <f t="shared" si="7"/>
        <v>5.56</v>
      </c>
      <c r="Z105" s="21">
        <f t="shared" si="26"/>
        <v>1.95</v>
      </c>
      <c r="AA105" s="21">
        <f t="shared" si="15"/>
        <v>3.8025</v>
      </c>
      <c r="AB105" s="21">
        <f t="shared" si="16"/>
        <v>21.1419</v>
      </c>
      <c r="AC105" s="21">
        <f t="shared" si="17"/>
        <v>2.8025</v>
      </c>
      <c r="AD105" s="21">
        <v>1</v>
      </c>
      <c r="AE105" s="21">
        <f t="shared" si="18"/>
        <v>0.010842</v>
      </c>
      <c r="AF105" s="21" t="str">
        <f t="shared" si="19"/>
        <v>1+0.010842j</v>
      </c>
      <c r="AH105" s="21" t="str">
        <f t="shared" si="20"/>
        <v>2.8025+0.030384705j</v>
      </c>
      <c r="AI105" s="21" t="str">
        <f t="shared" si="21"/>
        <v>23.9444+0.030384705j</v>
      </c>
      <c r="AK105" s="21" t="str">
        <f t="shared" si="22"/>
        <v>0.882956597601892-0.00112044468627058j</v>
      </c>
      <c r="AO105" s="21">
        <f t="shared" si="23"/>
        <v>0.882957308506478</v>
      </c>
      <c r="AP105" s="21">
        <v>39</v>
      </c>
      <c r="AR105" s="21">
        <f>Compensation!$C$16</f>
        <v>1.03153846153846</v>
      </c>
      <c r="CC105" s="30"/>
      <c r="CD105" s="30"/>
      <c r="CE105" s="30"/>
    </row>
    <row r="106" s="21" customFormat="1" spans="1:83">
      <c r="A106" s="21">
        <f t="shared" si="0"/>
        <v>0.35</v>
      </c>
      <c r="B106" s="21">
        <f t="shared" si="1"/>
        <v>5.56</v>
      </c>
      <c r="C106" s="21">
        <f t="shared" si="24"/>
        <v>2</v>
      </c>
      <c r="D106" s="21">
        <f t="shared" si="8"/>
        <v>4</v>
      </c>
      <c r="E106" s="21">
        <f t="shared" si="9"/>
        <v>22.24</v>
      </c>
      <c r="F106" s="21">
        <f t="shared" si="10"/>
        <v>3</v>
      </c>
      <c r="G106" s="21">
        <f t="shared" si="2"/>
        <v>1</v>
      </c>
      <c r="H106" s="21">
        <f t="shared" si="11"/>
        <v>3.892</v>
      </c>
      <c r="I106" s="21" t="str">
        <f t="shared" si="12"/>
        <v>1+3.892j</v>
      </c>
      <c r="K106" s="21" t="str">
        <f t="shared" si="13"/>
        <v>3+11.676j</v>
      </c>
      <c r="M106" s="21" t="str">
        <f t="shared" si="27"/>
        <v>25.24+11.676j</v>
      </c>
      <c r="O106" s="21" t="str">
        <f t="shared" si="28"/>
        <v>0.725817614915519-0.335762538500539j</v>
      </c>
      <c r="S106" s="21">
        <f t="shared" si="14"/>
        <v>0.799717257774258</v>
      </c>
      <c r="U106" s="21">
        <f t="shared" si="5"/>
        <v>1.10958904109589</v>
      </c>
      <c r="V106" s="21">
        <f t="shared" si="6"/>
        <v>0.981219512195122</v>
      </c>
      <c r="X106" s="21">
        <f t="shared" si="25"/>
        <v>0.001</v>
      </c>
      <c r="Y106" s="21">
        <f t="shared" si="7"/>
        <v>5.56</v>
      </c>
      <c r="Z106" s="21">
        <f t="shared" si="26"/>
        <v>2</v>
      </c>
      <c r="AA106" s="21">
        <f t="shared" si="15"/>
        <v>4</v>
      </c>
      <c r="AB106" s="21">
        <f t="shared" si="16"/>
        <v>22.24</v>
      </c>
      <c r="AC106" s="21">
        <f t="shared" si="17"/>
        <v>3</v>
      </c>
      <c r="AD106" s="21">
        <v>1</v>
      </c>
      <c r="AE106" s="21">
        <f t="shared" si="18"/>
        <v>0.01112</v>
      </c>
      <c r="AF106" s="21" t="str">
        <f t="shared" si="19"/>
        <v>1+0.01112j</v>
      </c>
      <c r="AH106" s="21" t="str">
        <f t="shared" si="20"/>
        <v>3+0.03336j</v>
      </c>
      <c r="AI106" s="21" t="str">
        <f t="shared" si="21"/>
        <v>25.24+0.03336j</v>
      </c>
      <c r="AK106" s="21" t="str">
        <f t="shared" si="22"/>
        <v>0.881139506677272-0.00116461227982384j</v>
      </c>
      <c r="AO106" s="21">
        <f t="shared" si="23"/>
        <v>0.881140276317698</v>
      </c>
      <c r="AP106" s="21">
        <v>40</v>
      </c>
      <c r="AR106" s="21">
        <f>Compensation!$C$16</f>
        <v>1.03153846153846</v>
      </c>
      <c r="CC106" s="30"/>
      <c r="CD106" s="30"/>
      <c r="CE106" s="30"/>
    </row>
    <row r="107" s="21" customFormat="1" spans="1:83">
      <c r="A107" s="21">
        <f t="shared" si="0"/>
        <v>0.35</v>
      </c>
      <c r="B107" s="21">
        <f t="shared" si="1"/>
        <v>5.56</v>
      </c>
      <c r="C107" s="21">
        <f t="shared" si="24"/>
        <v>2.05</v>
      </c>
      <c r="D107" s="21">
        <f t="shared" si="8"/>
        <v>4.2025</v>
      </c>
      <c r="E107" s="21">
        <f t="shared" si="9"/>
        <v>23.3659</v>
      </c>
      <c r="F107" s="21">
        <f t="shared" si="10"/>
        <v>3.2025</v>
      </c>
      <c r="G107" s="21">
        <f t="shared" si="2"/>
        <v>1</v>
      </c>
      <c r="H107" s="21">
        <f t="shared" si="11"/>
        <v>3.9893</v>
      </c>
      <c r="I107" s="21" t="str">
        <f t="shared" si="12"/>
        <v>1+3.9893j</v>
      </c>
      <c r="K107" s="21" t="str">
        <f t="shared" si="13"/>
        <v>3.2025+12.77573325j</v>
      </c>
      <c r="M107" s="21" t="str">
        <f t="shared" si="27"/>
        <v>26.5684+12.77573325j</v>
      </c>
      <c r="O107" s="21" t="str">
        <f t="shared" si="28"/>
        <v>0.714296538258282-0.343478042869959j</v>
      </c>
      <c r="S107" s="21">
        <f t="shared" si="14"/>
        <v>0.792588613658777</v>
      </c>
      <c r="U107" s="21">
        <f t="shared" si="5"/>
        <v>1.10958904109589</v>
      </c>
      <c r="V107" s="21">
        <f t="shared" si="6"/>
        <v>0.981219512195122</v>
      </c>
      <c r="X107" s="21">
        <f t="shared" si="25"/>
        <v>0.001</v>
      </c>
      <c r="Y107" s="21">
        <f t="shared" si="7"/>
        <v>5.56</v>
      </c>
      <c r="Z107" s="21">
        <f t="shared" si="26"/>
        <v>2.05</v>
      </c>
      <c r="AA107" s="21">
        <f t="shared" si="15"/>
        <v>4.2025</v>
      </c>
      <c r="AB107" s="21">
        <f t="shared" si="16"/>
        <v>23.3659</v>
      </c>
      <c r="AC107" s="21">
        <f t="shared" si="17"/>
        <v>3.2025</v>
      </c>
      <c r="AD107" s="21">
        <v>1</v>
      </c>
      <c r="AE107" s="21">
        <f t="shared" si="18"/>
        <v>0.011398</v>
      </c>
      <c r="AF107" s="21" t="str">
        <f t="shared" si="19"/>
        <v>1+0.011398j</v>
      </c>
      <c r="AH107" s="21" t="str">
        <f t="shared" si="20"/>
        <v>3.2025+0.036502095j</v>
      </c>
      <c r="AI107" s="21" t="str">
        <f t="shared" si="21"/>
        <v>26.5684+0.036502095j</v>
      </c>
      <c r="AK107" s="21" t="str">
        <f t="shared" si="22"/>
        <v>0.879460407669915-0.00120828304864071j</v>
      </c>
      <c r="AO107" s="21">
        <f t="shared" si="23"/>
        <v>0.879461237694339</v>
      </c>
      <c r="AP107" s="21">
        <v>41</v>
      </c>
      <c r="AR107" s="21">
        <f>Compensation!$C$16</f>
        <v>1.03153846153846</v>
      </c>
      <c r="CC107" s="30"/>
      <c r="CD107" s="30"/>
      <c r="CE107" s="30"/>
    </row>
    <row r="108" s="21" customFormat="1" spans="1:83">
      <c r="A108" s="21">
        <f t="shared" si="0"/>
        <v>0.35</v>
      </c>
      <c r="B108" s="21">
        <f t="shared" si="1"/>
        <v>5.56</v>
      </c>
      <c r="C108" s="21">
        <f t="shared" si="24"/>
        <v>2.1</v>
      </c>
      <c r="D108" s="21">
        <f t="shared" si="8"/>
        <v>4.41</v>
      </c>
      <c r="E108" s="21">
        <f t="shared" si="9"/>
        <v>24.5196</v>
      </c>
      <c r="F108" s="21">
        <f t="shared" si="10"/>
        <v>3.41</v>
      </c>
      <c r="G108" s="21">
        <f t="shared" si="2"/>
        <v>1</v>
      </c>
      <c r="H108" s="21">
        <f t="shared" si="11"/>
        <v>4.0866</v>
      </c>
      <c r="I108" s="21" t="str">
        <f t="shared" si="12"/>
        <v>1+4.0866j</v>
      </c>
      <c r="K108" s="21" t="str">
        <f t="shared" si="13"/>
        <v>3.41+13.935306j</v>
      </c>
      <c r="M108" s="21" t="str">
        <f t="shared" si="27"/>
        <v>27.9296+13.935306j</v>
      </c>
      <c r="O108" s="21" t="str">
        <f t="shared" si="28"/>
        <v>0.702919053661603-0.350717235692772j</v>
      </c>
      <c r="S108" s="21">
        <f t="shared" si="14"/>
        <v>0.785555711208634</v>
      </c>
      <c r="U108" s="21">
        <f t="shared" si="5"/>
        <v>1.10958904109589</v>
      </c>
      <c r="V108" s="21">
        <f t="shared" si="6"/>
        <v>0.981219512195122</v>
      </c>
      <c r="X108" s="21">
        <f t="shared" si="25"/>
        <v>0.001</v>
      </c>
      <c r="Y108" s="21">
        <f t="shared" si="7"/>
        <v>5.56</v>
      </c>
      <c r="Z108" s="21">
        <f t="shared" si="26"/>
        <v>2.1</v>
      </c>
      <c r="AA108" s="21">
        <f t="shared" si="15"/>
        <v>4.41</v>
      </c>
      <c r="AB108" s="21">
        <f t="shared" si="16"/>
        <v>24.5196</v>
      </c>
      <c r="AC108" s="21">
        <f t="shared" si="17"/>
        <v>3.41</v>
      </c>
      <c r="AD108" s="21">
        <v>1</v>
      </c>
      <c r="AE108" s="21">
        <f t="shared" si="18"/>
        <v>0.011676</v>
      </c>
      <c r="AF108" s="21" t="str">
        <f t="shared" si="19"/>
        <v>1+0.011676j</v>
      </c>
      <c r="AH108" s="21" t="str">
        <f t="shared" si="20"/>
        <v>3.41+0.03981516j</v>
      </c>
      <c r="AI108" s="21" t="str">
        <f t="shared" si="21"/>
        <v>27.9296+0.03981516j</v>
      </c>
      <c r="AK108" s="21" t="str">
        <f t="shared" si="22"/>
        <v>0.877905525723586-0.00125150195389725j</v>
      </c>
      <c r="AO108" s="21">
        <f t="shared" si="23"/>
        <v>0.877906417765098</v>
      </c>
      <c r="AP108" s="21">
        <v>42</v>
      </c>
      <c r="AR108" s="21">
        <f>Compensation!$C$16</f>
        <v>1.03153846153846</v>
      </c>
      <c r="CC108" s="30"/>
      <c r="CD108" s="30"/>
      <c r="CE108" s="30"/>
    </row>
    <row r="109" s="21" customFormat="1" spans="1:83">
      <c r="A109" s="21">
        <f t="shared" si="0"/>
        <v>0.35</v>
      </c>
      <c r="B109" s="21">
        <f t="shared" si="1"/>
        <v>5.56</v>
      </c>
      <c r="C109" s="21">
        <f t="shared" si="24"/>
        <v>2.15</v>
      </c>
      <c r="D109" s="21">
        <f t="shared" si="8"/>
        <v>4.6225</v>
      </c>
      <c r="E109" s="21">
        <f t="shared" si="9"/>
        <v>25.7011</v>
      </c>
      <c r="F109" s="21">
        <f t="shared" si="10"/>
        <v>3.6225</v>
      </c>
      <c r="G109" s="21">
        <f t="shared" si="2"/>
        <v>1</v>
      </c>
      <c r="H109" s="21">
        <f t="shared" si="11"/>
        <v>4.1839</v>
      </c>
      <c r="I109" s="21" t="str">
        <f t="shared" si="12"/>
        <v>1+4.1839j</v>
      </c>
      <c r="K109" s="21" t="str">
        <f t="shared" si="13"/>
        <v>3.6225+15.15617775j</v>
      </c>
      <c r="M109" s="21" t="str">
        <f t="shared" si="27"/>
        <v>29.3236+15.15617775j</v>
      </c>
      <c r="O109" s="21" t="str">
        <f t="shared" si="28"/>
        <v>0.691685359718987-0.357504066996332j</v>
      </c>
      <c r="S109" s="21">
        <f t="shared" si="14"/>
        <v>0.77861273735311</v>
      </c>
      <c r="U109" s="21">
        <f t="shared" si="5"/>
        <v>1.10958904109589</v>
      </c>
      <c r="V109" s="21">
        <f t="shared" si="6"/>
        <v>0.981219512195122</v>
      </c>
      <c r="X109" s="21">
        <f t="shared" si="25"/>
        <v>0.001</v>
      </c>
      <c r="Y109" s="21">
        <f t="shared" si="7"/>
        <v>5.56</v>
      </c>
      <c r="Z109" s="21">
        <f t="shared" si="26"/>
        <v>2.15</v>
      </c>
      <c r="AA109" s="21">
        <f t="shared" si="15"/>
        <v>4.6225</v>
      </c>
      <c r="AB109" s="21">
        <f t="shared" si="16"/>
        <v>25.7011</v>
      </c>
      <c r="AC109" s="21">
        <f t="shared" si="17"/>
        <v>3.6225</v>
      </c>
      <c r="AD109" s="21">
        <v>1</v>
      </c>
      <c r="AE109" s="21">
        <f t="shared" si="18"/>
        <v>0.011954</v>
      </c>
      <c r="AF109" s="21" t="str">
        <f t="shared" si="19"/>
        <v>1+0.011954j</v>
      </c>
      <c r="AH109" s="21" t="str">
        <f t="shared" si="20"/>
        <v>3.6225+0.043303365j</v>
      </c>
      <c r="AI109" s="21" t="str">
        <f t="shared" si="21"/>
        <v>29.3236+0.043303365j</v>
      </c>
      <c r="AK109" s="21" t="str">
        <f t="shared" si="22"/>
        <v>0.876462779197722-0.00129430859909811j</v>
      </c>
      <c r="AO109" s="21">
        <f t="shared" si="23"/>
        <v>0.876463734876546</v>
      </c>
      <c r="AP109" s="21">
        <v>43</v>
      </c>
      <c r="AR109" s="21">
        <f>Compensation!$C$16</f>
        <v>1.03153846153846</v>
      </c>
      <c r="CC109" s="30"/>
      <c r="CD109" s="30"/>
      <c r="CE109" s="30"/>
    </row>
    <row r="110" s="21" customFormat="1" spans="1:83">
      <c r="A110" s="21">
        <f t="shared" si="0"/>
        <v>0.35</v>
      </c>
      <c r="B110" s="21">
        <f t="shared" si="1"/>
        <v>5.56</v>
      </c>
      <c r="C110" s="21">
        <f t="shared" si="24"/>
        <v>2.2</v>
      </c>
      <c r="D110" s="21">
        <f t="shared" si="8"/>
        <v>4.84</v>
      </c>
      <c r="E110" s="21">
        <f t="shared" si="9"/>
        <v>26.9104</v>
      </c>
      <c r="F110" s="21">
        <f t="shared" si="10"/>
        <v>3.84</v>
      </c>
      <c r="G110" s="21">
        <f t="shared" si="2"/>
        <v>1</v>
      </c>
      <c r="H110" s="21">
        <f t="shared" si="11"/>
        <v>4.2812</v>
      </c>
      <c r="I110" s="21" t="str">
        <f t="shared" si="12"/>
        <v>1+4.2812j</v>
      </c>
      <c r="K110" s="21" t="str">
        <f t="shared" si="13"/>
        <v>3.84+16.439808j</v>
      </c>
      <c r="M110" s="21" t="str">
        <f t="shared" si="27"/>
        <v>30.7504+16.439808j</v>
      </c>
      <c r="O110" s="21" t="str">
        <f t="shared" si="28"/>
        <v>0.680595943763117-0.363860848673332j</v>
      </c>
      <c r="S110" s="21">
        <f t="shared" si="14"/>
        <v>0.771754854771958</v>
      </c>
      <c r="U110" s="21">
        <f t="shared" si="5"/>
        <v>1.10958904109589</v>
      </c>
      <c r="V110" s="21">
        <f t="shared" si="6"/>
        <v>0.981219512195122</v>
      </c>
      <c r="X110" s="21">
        <f t="shared" si="25"/>
        <v>0.001</v>
      </c>
      <c r="Y110" s="21">
        <f t="shared" si="7"/>
        <v>5.56</v>
      </c>
      <c r="Z110" s="21">
        <f t="shared" si="26"/>
        <v>2.2</v>
      </c>
      <c r="AA110" s="21">
        <f t="shared" si="15"/>
        <v>4.84</v>
      </c>
      <c r="AB110" s="21">
        <f t="shared" si="16"/>
        <v>26.9104</v>
      </c>
      <c r="AC110" s="21">
        <f t="shared" si="17"/>
        <v>3.84</v>
      </c>
      <c r="AD110" s="21">
        <v>1</v>
      </c>
      <c r="AE110" s="21">
        <f t="shared" si="18"/>
        <v>0.012232</v>
      </c>
      <c r="AF110" s="21" t="str">
        <f t="shared" si="19"/>
        <v>1+0.012232j</v>
      </c>
      <c r="AH110" s="21" t="str">
        <f t="shared" si="20"/>
        <v>3.84+0.04697088j</v>
      </c>
      <c r="AI110" s="21" t="str">
        <f t="shared" si="21"/>
        <v>30.7504+0.04697088j</v>
      </c>
      <c r="AK110" s="21" t="str">
        <f t="shared" si="22"/>
        <v>0.875121533776447-0.00133673801148699j</v>
      </c>
      <c r="AO110" s="21">
        <f t="shared" si="23"/>
        <v>0.87512255470177</v>
      </c>
      <c r="AP110" s="21">
        <v>44</v>
      </c>
      <c r="AR110" s="21">
        <f>Compensation!$C$16</f>
        <v>1.03153846153846</v>
      </c>
      <c r="CC110" s="30"/>
      <c r="CD110" s="30"/>
      <c r="CE110" s="30"/>
    </row>
    <row r="111" s="21" customFormat="1" spans="1:83">
      <c r="A111" s="21">
        <f t="shared" si="0"/>
        <v>0.35</v>
      </c>
      <c r="B111" s="21">
        <f t="shared" si="1"/>
        <v>5.56</v>
      </c>
      <c r="C111" s="21">
        <f t="shared" si="24"/>
        <v>2.25</v>
      </c>
      <c r="D111" s="21">
        <f t="shared" si="8"/>
        <v>5.0625</v>
      </c>
      <c r="E111" s="21">
        <f t="shared" si="9"/>
        <v>28.1475</v>
      </c>
      <c r="F111" s="21">
        <f t="shared" si="10"/>
        <v>4.0625</v>
      </c>
      <c r="G111" s="21">
        <f t="shared" si="2"/>
        <v>1</v>
      </c>
      <c r="H111" s="21">
        <f t="shared" si="11"/>
        <v>4.3785</v>
      </c>
      <c r="I111" s="21" t="str">
        <f t="shared" si="12"/>
        <v>1+4.3785j</v>
      </c>
      <c r="K111" s="21" t="str">
        <f t="shared" si="13"/>
        <v>4.0625+17.78765625j</v>
      </c>
      <c r="M111" s="21" t="str">
        <f t="shared" si="27"/>
        <v>32.21+17.78765625j</v>
      </c>
      <c r="O111" s="21" t="str">
        <f t="shared" si="28"/>
        <v>0.669651483673878-0.369808456966577j</v>
      </c>
      <c r="S111" s="21">
        <f t="shared" si="14"/>
        <v>0.764978041796382</v>
      </c>
      <c r="U111" s="21">
        <f t="shared" si="5"/>
        <v>1.10958904109589</v>
      </c>
      <c r="V111" s="21">
        <f t="shared" si="6"/>
        <v>0.981219512195122</v>
      </c>
      <c r="X111" s="21">
        <f t="shared" si="25"/>
        <v>0.001</v>
      </c>
      <c r="Y111" s="21">
        <f t="shared" si="7"/>
        <v>5.56</v>
      </c>
      <c r="Z111" s="21">
        <f t="shared" si="26"/>
        <v>2.25</v>
      </c>
      <c r="AA111" s="21">
        <f t="shared" si="15"/>
        <v>5.0625</v>
      </c>
      <c r="AB111" s="21">
        <f t="shared" si="16"/>
        <v>28.1475</v>
      </c>
      <c r="AC111" s="21">
        <f t="shared" si="17"/>
        <v>4.0625</v>
      </c>
      <c r="AD111" s="21">
        <v>1</v>
      </c>
      <c r="AE111" s="21">
        <f t="shared" si="18"/>
        <v>0.01251</v>
      </c>
      <c r="AF111" s="21" t="str">
        <f t="shared" si="19"/>
        <v>1+0.01251j</v>
      </c>
      <c r="AH111" s="21" t="str">
        <f t="shared" si="20"/>
        <v>4.0625+0.050821875j</v>
      </c>
      <c r="AI111" s="21" t="str">
        <f t="shared" si="21"/>
        <v>32.21+0.050821875j</v>
      </c>
      <c r="AK111" s="21" t="str">
        <f t="shared" si="22"/>
        <v>0.873872397569598-0.0013788212901345j</v>
      </c>
      <c r="AO111" s="21">
        <f t="shared" si="23"/>
        <v>0.873873485341092</v>
      </c>
      <c r="AP111" s="21">
        <v>45</v>
      </c>
      <c r="AR111" s="21">
        <f>Compensation!$C$16</f>
        <v>1.03153846153846</v>
      </c>
      <c r="CC111" s="30"/>
      <c r="CD111" s="30"/>
      <c r="CE111" s="30"/>
    </row>
    <row r="112" s="21" customFormat="1" spans="1:83">
      <c r="A112" s="21">
        <f t="shared" si="0"/>
        <v>0.35</v>
      </c>
      <c r="B112" s="21">
        <f t="shared" si="1"/>
        <v>5.56</v>
      </c>
      <c r="C112" s="21">
        <f t="shared" si="24"/>
        <v>2.3</v>
      </c>
      <c r="D112" s="21">
        <f t="shared" si="8"/>
        <v>5.29</v>
      </c>
      <c r="E112" s="21">
        <f t="shared" si="9"/>
        <v>29.4124</v>
      </c>
      <c r="F112" s="21">
        <f t="shared" si="10"/>
        <v>4.29</v>
      </c>
      <c r="G112" s="21">
        <f t="shared" si="2"/>
        <v>1</v>
      </c>
      <c r="H112" s="21">
        <f t="shared" si="11"/>
        <v>4.4758</v>
      </c>
      <c r="I112" s="21" t="str">
        <f t="shared" si="12"/>
        <v>1+4.4758j</v>
      </c>
      <c r="K112" s="21" t="str">
        <f t="shared" si="13"/>
        <v>4.29+19.201182j</v>
      </c>
      <c r="M112" s="21" t="str">
        <f t="shared" si="27"/>
        <v>33.7024+19.201182j</v>
      </c>
      <c r="O112" s="21" t="str">
        <f t="shared" si="28"/>
        <v>0.658852767999203-0.375366499405279j</v>
      </c>
      <c r="S112" s="21">
        <f t="shared" si="14"/>
        <v>0.758278958415691</v>
      </c>
      <c r="U112" s="21">
        <f t="shared" si="5"/>
        <v>1.10958904109589</v>
      </c>
      <c r="V112" s="21">
        <f t="shared" si="6"/>
        <v>0.981219512195122</v>
      </c>
      <c r="X112" s="21">
        <f t="shared" si="25"/>
        <v>0.001</v>
      </c>
      <c r="Y112" s="21">
        <f t="shared" si="7"/>
        <v>5.56</v>
      </c>
      <c r="Z112" s="21">
        <f t="shared" si="26"/>
        <v>2.3</v>
      </c>
      <c r="AA112" s="21">
        <f t="shared" si="15"/>
        <v>5.29</v>
      </c>
      <c r="AB112" s="21">
        <f t="shared" si="16"/>
        <v>29.4124</v>
      </c>
      <c r="AC112" s="21">
        <f t="shared" si="17"/>
        <v>4.29</v>
      </c>
      <c r="AD112" s="21">
        <v>1</v>
      </c>
      <c r="AE112" s="21">
        <f t="shared" si="18"/>
        <v>0.012788</v>
      </c>
      <c r="AF112" s="21" t="str">
        <f t="shared" si="19"/>
        <v>1+0.012788j</v>
      </c>
      <c r="AH112" s="21" t="str">
        <f t="shared" si="20"/>
        <v>4.29+0.05486052j</v>
      </c>
      <c r="AI112" s="21" t="str">
        <f t="shared" si="21"/>
        <v>33.7024+0.05486052j</v>
      </c>
      <c r="AK112" s="21" t="str">
        <f t="shared" si="22"/>
        <v>0.87270704952482-0.00142058614652361j</v>
      </c>
      <c r="AO112" s="21">
        <f t="shared" si="23"/>
        <v>0.872708205733919</v>
      </c>
      <c r="AP112" s="21">
        <v>46</v>
      </c>
      <c r="AR112" s="21">
        <f>Compensation!$C$16</f>
        <v>1.03153846153846</v>
      </c>
      <c r="CC112" s="30"/>
      <c r="CD112" s="30"/>
      <c r="CE112" s="30"/>
    </row>
    <row r="113" s="21" customFormat="1" spans="1:83">
      <c r="A113" s="21">
        <f t="shared" si="0"/>
        <v>0.35</v>
      </c>
      <c r="B113" s="21">
        <f t="shared" si="1"/>
        <v>5.56</v>
      </c>
      <c r="C113" s="21">
        <f t="shared" si="24"/>
        <v>2.35</v>
      </c>
      <c r="D113" s="21">
        <f t="shared" si="8"/>
        <v>5.5225</v>
      </c>
      <c r="E113" s="21">
        <f t="shared" si="9"/>
        <v>30.7051</v>
      </c>
      <c r="F113" s="21">
        <f t="shared" si="10"/>
        <v>4.5225</v>
      </c>
      <c r="G113" s="21">
        <f t="shared" si="2"/>
        <v>1</v>
      </c>
      <c r="H113" s="21">
        <f t="shared" si="11"/>
        <v>4.5731</v>
      </c>
      <c r="I113" s="21" t="str">
        <f t="shared" si="12"/>
        <v>1+4.5731j</v>
      </c>
      <c r="K113" s="21" t="str">
        <f t="shared" si="13"/>
        <v>4.5225+20.68184475j</v>
      </c>
      <c r="M113" s="21" t="str">
        <f t="shared" si="27"/>
        <v>35.2276+20.68184475j</v>
      </c>
      <c r="O113" s="21" t="str">
        <f t="shared" si="28"/>
        <v>0.648200631412486-0.380553453136887j</v>
      </c>
      <c r="S113" s="21">
        <f t="shared" si="14"/>
        <v>0.751654833855244</v>
      </c>
      <c r="U113" s="21">
        <f t="shared" si="5"/>
        <v>1.10958904109589</v>
      </c>
      <c r="V113" s="21">
        <f t="shared" si="6"/>
        <v>0.981219512195122</v>
      </c>
      <c r="X113" s="21">
        <f t="shared" si="25"/>
        <v>0.001</v>
      </c>
      <c r="Y113" s="21">
        <f t="shared" si="7"/>
        <v>5.56</v>
      </c>
      <c r="Z113" s="21">
        <f t="shared" si="26"/>
        <v>2.35</v>
      </c>
      <c r="AA113" s="21">
        <f t="shared" si="15"/>
        <v>5.5225</v>
      </c>
      <c r="AB113" s="21">
        <f t="shared" si="16"/>
        <v>30.7051</v>
      </c>
      <c r="AC113" s="21">
        <f t="shared" si="17"/>
        <v>4.5225</v>
      </c>
      <c r="AD113" s="21">
        <v>1</v>
      </c>
      <c r="AE113" s="21">
        <f t="shared" si="18"/>
        <v>0.013066</v>
      </c>
      <c r="AF113" s="21" t="str">
        <f t="shared" si="19"/>
        <v>1+0.013066j</v>
      </c>
      <c r="AH113" s="21" t="str">
        <f t="shared" si="20"/>
        <v>4.5225+0.059090985j</v>
      </c>
      <c r="AI113" s="21" t="str">
        <f t="shared" si="21"/>
        <v>35.2276+0.059090985j</v>
      </c>
      <c r="AK113" s="21" t="str">
        <f t="shared" si="22"/>
        <v>0.871618095061559-0.00146205735789583j</v>
      </c>
      <c r="AO113" s="21">
        <f t="shared" si="23"/>
        <v>0.871619321292535</v>
      </c>
      <c r="AP113" s="21">
        <v>47</v>
      </c>
      <c r="AR113" s="21">
        <f>Compensation!$C$16</f>
        <v>1.03153846153846</v>
      </c>
      <c r="CC113" s="30"/>
      <c r="CD113" s="30"/>
      <c r="CE113" s="30"/>
    </row>
    <row r="114" s="21" customFormat="1" spans="1:83">
      <c r="A114" s="21">
        <f t="shared" si="0"/>
        <v>0.35</v>
      </c>
      <c r="B114" s="21">
        <f t="shared" si="1"/>
        <v>5.56</v>
      </c>
      <c r="C114" s="21">
        <f t="shared" si="24"/>
        <v>2.4</v>
      </c>
      <c r="D114" s="21">
        <f t="shared" si="8"/>
        <v>5.76</v>
      </c>
      <c r="E114" s="21">
        <f t="shared" si="9"/>
        <v>32.0256</v>
      </c>
      <c r="F114" s="21">
        <f t="shared" si="10"/>
        <v>4.76</v>
      </c>
      <c r="G114" s="21">
        <f t="shared" si="2"/>
        <v>1</v>
      </c>
      <c r="H114" s="21">
        <f t="shared" si="11"/>
        <v>4.6704</v>
      </c>
      <c r="I114" s="21" t="str">
        <f t="shared" si="12"/>
        <v>1+4.6704j</v>
      </c>
      <c r="K114" s="21" t="str">
        <f t="shared" si="13"/>
        <v>4.76+22.231104j</v>
      </c>
      <c r="M114" s="21" t="str">
        <f t="shared" si="27"/>
        <v>36.7856+22.231104j</v>
      </c>
      <c r="O114" s="21" t="str">
        <f t="shared" si="28"/>
        <v>0.637695903016217-0.385386780162004j</v>
      </c>
      <c r="S114" s="21">
        <f t="shared" si="14"/>
        <v>0.745103372054714</v>
      </c>
      <c r="U114" s="21">
        <f t="shared" si="5"/>
        <v>1.10958904109589</v>
      </c>
      <c r="V114" s="21">
        <f t="shared" si="6"/>
        <v>0.981219512195122</v>
      </c>
      <c r="X114" s="21">
        <f t="shared" si="25"/>
        <v>0.001</v>
      </c>
      <c r="Y114" s="21">
        <f t="shared" si="7"/>
        <v>5.56</v>
      </c>
      <c r="Z114" s="21">
        <f t="shared" si="26"/>
        <v>2.4</v>
      </c>
      <c r="AA114" s="21">
        <f t="shared" si="15"/>
        <v>5.76</v>
      </c>
      <c r="AB114" s="21">
        <f t="shared" si="16"/>
        <v>32.0256</v>
      </c>
      <c r="AC114" s="21">
        <f t="shared" si="17"/>
        <v>4.76</v>
      </c>
      <c r="AD114" s="21">
        <v>1</v>
      </c>
      <c r="AE114" s="21">
        <f t="shared" si="18"/>
        <v>0.013344</v>
      </c>
      <c r="AF114" s="21" t="str">
        <f t="shared" si="19"/>
        <v>1+0.013344j</v>
      </c>
      <c r="AH114" s="21" t="str">
        <f t="shared" si="20"/>
        <v>4.76+0.06351744j</v>
      </c>
      <c r="AI114" s="21" t="str">
        <f t="shared" si="21"/>
        <v>36.7856+0.06351744j</v>
      </c>
      <c r="AK114" s="21" t="str">
        <f t="shared" si="22"/>
        <v>0.870598944069261-0.0015032571493732j</v>
      </c>
      <c r="AO114" s="21">
        <f t="shared" si="23"/>
        <v>0.870600241900133</v>
      </c>
      <c r="AP114" s="21">
        <v>48</v>
      </c>
      <c r="AR114" s="21">
        <f>Compensation!$C$16</f>
        <v>1.03153846153846</v>
      </c>
      <c r="CC114" s="30"/>
      <c r="CD114" s="30"/>
      <c r="CE114" s="30"/>
    </row>
    <row r="115" s="21" customFormat="1" spans="1:83">
      <c r="A115" s="21">
        <f t="shared" si="0"/>
        <v>0.35</v>
      </c>
      <c r="B115" s="21">
        <f t="shared" si="1"/>
        <v>5.56</v>
      </c>
      <c r="C115" s="21">
        <f t="shared" si="24"/>
        <v>2.45</v>
      </c>
      <c r="D115" s="21">
        <f t="shared" si="8"/>
        <v>6.0025</v>
      </c>
      <c r="E115" s="21">
        <f t="shared" si="9"/>
        <v>33.3739</v>
      </c>
      <c r="F115" s="21">
        <f t="shared" si="10"/>
        <v>5.0025</v>
      </c>
      <c r="G115" s="21">
        <f t="shared" si="2"/>
        <v>1</v>
      </c>
      <c r="H115" s="21">
        <f t="shared" si="11"/>
        <v>4.7677</v>
      </c>
      <c r="I115" s="21" t="str">
        <f t="shared" si="12"/>
        <v>1+4.7677j</v>
      </c>
      <c r="K115" s="21" t="str">
        <f t="shared" si="13"/>
        <v>5.0025+23.85041925j</v>
      </c>
      <c r="M115" s="21" t="str">
        <f t="shared" si="27"/>
        <v>38.3764+23.85041925j</v>
      </c>
      <c r="O115" s="21" t="str">
        <f t="shared" si="28"/>
        <v>0.62733936540321-0.389883023860902j</v>
      </c>
      <c r="S115" s="21">
        <f t="shared" si="14"/>
        <v>0.738622672058896</v>
      </c>
      <c r="U115" s="21">
        <f t="shared" si="5"/>
        <v>1.10958904109589</v>
      </c>
      <c r="V115" s="21">
        <f t="shared" si="6"/>
        <v>0.981219512195122</v>
      </c>
      <c r="X115" s="21">
        <f t="shared" si="25"/>
        <v>0.001</v>
      </c>
      <c r="Y115" s="21">
        <f t="shared" si="7"/>
        <v>5.56</v>
      </c>
      <c r="Z115" s="21">
        <f t="shared" si="26"/>
        <v>2.45</v>
      </c>
      <c r="AA115" s="21">
        <f t="shared" si="15"/>
        <v>6.0025</v>
      </c>
      <c r="AB115" s="21">
        <f t="shared" si="16"/>
        <v>33.3739</v>
      </c>
      <c r="AC115" s="21">
        <f t="shared" si="17"/>
        <v>5.0025</v>
      </c>
      <c r="AD115" s="21">
        <v>1</v>
      </c>
      <c r="AE115" s="21">
        <f t="shared" si="18"/>
        <v>0.013622</v>
      </c>
      <c r="AF115" s="21" t="str">
        <f t="shared" si="19"/>
        <v>1+0.013622j</v>
      </c>
      <c r="AH115" s="21" t="str">
        <f t="shared" si="20"/>
        <v>5.0025+0.068144055j</v>
      </c>
      <c r="AI115" s="21" t="str">
        <f t="shared" si="21"/>
        <v>38.3764+0.068144055j</v>
      </c>
      <c r="AK115" s="21" t="str">
        <f t="shared" si="22"/>
        <v>0.869643707371569-0.00154420551759759j</v>
      </c>
      <c r="AO115" s="21">
        <f t="shared" si="23"/>
        <v>0.869645078374878</v>
      </c>
      <c r="AP115" s="21">
        <v>49</v>
      </c>
      <c r="AR115" s="21">
        <f>Compensation!$C$16</f>
        <v>1.03153846153846</v>
      </c>
      <c r="CC115" s="30"/>
      <c r="CD115" s="30"/>
      <c r="CE115" s="30"/>
    </row>
    <row r="116" s="21" customFormat="1" spans="1:83">
      <c r="A116" s="21">
        <f t="shared" si="0"/>
        <v>0.35</v>
      </c>
      <c r="B116" s="21">
        <f t="shared" si="1"/>
        <v>5.56</v>
      </c>
      <c r="C116" s="21">
        <f t="shared" si="24"/>
        <v>2.5</v>
      </c>
      <c r="D116" s="21">
        <f t="shared" si="8"/>
        <v>6.25</v>
      </c>
      <c r="E116" s="21">
        <f t="shared" si="9"/>
        <v>34.75</v>
      </c>
      <c r="F116" s="21">
        <f t="shared" si="10"/>
        <v>5.25</v>
      </c>
      <c r="G116" s="21">
        <f t="shared" si="2"/>
        <v>1</v>
      </c>
      <c r="H116" s="21">
        <f t="shared" si="11"/>
        <v>4.865</v>
      </c>
      <c r="I116" s="21" t="str">
        <f t="shared" si="12"/>
        <v>1+4.865j</v>
      </c>
      <c r="K116" s="21" t="str">
        <f t="shared" si="13"/>
        <v>5.25+25.54125j</v>
      </c>
      <c r="M116" s="21" t="str">
        <f t="shared" si="27"/>
        <v>40+25.54125j</v>
      </c>
      <c r="O116" s="21" t="str">
        <f t="shared" si="28"/>
        <v>0.617131722719756-0.394057890322899j</v>
      </c>
      <c r="S116" s="21">
        <f t="shared" si="14"/>
        <v>0.732211160876962</v>
      </c>
      <c r="U116" s="21">
        <f t="shared" si="5"/>
        <v>1.10958904109589</v>
      </c>
      <c r="V116" s="21">
        <f t="shared" si="6"/>
        <v>0.981219512195122</v>
      </c>
      <c r="X116" s="21">
        <f t="shared" si="25"/>
        <v>0.001</v>
      </c>
      <c r="Y116" s="21">
        <f t="shared" si="7"/>
        <v>5.56</v>
      </c>
      <c r="Z116" s="21">
        <f t="shared" si="26"/>
        <v>2.5</v>
      </c>
      <c r="AA116" s="21">
        <f t="shared" si="15"/>
        <v>6.25</v>
      </c>
      <c r="AB116" s="21">
        <f t="shared" si="16"/>
        <v>34.75</v>
      </c>
      <c r="AC116" s="21">
        <f t="shared" si="17"/>
        <v>5.25</v>
      </c>
      <c r="AD116" s="21">
        <v>1</v>
      </c>
      <c r="AE116" s="21">
        <f t="shared" si="18"/>
        <v>0.0139</v>
      </c>
      <c r="AF116" s="21" t="str">
        <f t="shared" si="19"/>
        <v>1+0.0139j</v>
      </c>
      <c r="AH116" s="21" t="str">
        <f t="shared" si="20"/>
        <v>5.25+0.072975j</v>
      </c>
      <c r="AI116" s="21" t="str">
        <f t="shared" si="21"/>
        <v>40+0.072975j</v>
      </c>
      <c r="AK116" s="21" t="str">
        <f t="shared" si="22"/>
        <v>0.868747108510652-0.00158492050608912j</v>
      </c>
      <c r="AO116" s="21">
        <f t="shared" si="23"/>
        <v>0.868748554254123</v>
      </c>
      <c r="AP116" s="21">
        <v>50</v>
      </c>
      <c r="AR116" s="21">
        <f>Compensation!$C$16</f>
        <v>1.03153846153846</v>
      </c>
      <c r="CC116" s="30"/>
      <c r="CD116" s="30"/>
      <c r="CE116" s="30"/>
    </row>
    <row r="117" s="21" customFormat="1" spans="1:83">
      <c r="A117" s="21">
        <f t="shared" si="0"/>
        <v>0.35</v>
      </c>
      <c r="B117" s="21">
        <f t="shared" si="1"/>
        <v>5.56</v>
      </c>
      <c r="C117" s="21">
        <f t="shared" si="24"/>
        <v>2.55</v>
      </c>
      <c r="D117" s="21">
        <f t="shared" si="8"/>
        <v>6.50249999999999</v>
      </c>
      <c r="E117" s="21">
        <f t="shared" si="9"/>
        <v>36.1538999999999</v>
      </c>
      <c r="F117" s="21">
        <f t="shared" si="10"/>
        <v>5.50249999999999</v>
      </c>
      <c r="G117" s="21">
        <f t="shared" si="2"/>
        <v>1</v>
      </c>
      <c r="H117" s="21">
        <f t="shared" si="11"/>
        <v>4.9623</v>
      </c>
      <c r="I117" s="21" t="str">
        <f t="shared" si="12"/>
        <v>1+4.9623j</v>
      </c>
      <c r="K117" s="21" t="str">
        <f t="shared" si="13"/>
        <v>5.50249999999999+27.3050557499999j</v>
      </c>
      <c r="M117" s="21" t="str">
        <f t="shared" si="27"/>
        <v>41.6563999999999+27.3050557499999j</v>
      </c>
      <c r="O117" s="21" t="str">
        <f t="shared" si="28"/>
        <v>0.607073576251813-0.397926317298365j</v>
      </c>
      <c r="S117" s="21">
        <f t="shared" si="14"/>
        <v>0.725867536801175</v>
      </c>
      <c r="U117" s="21">
        <f t="shared" si="5"/>
        <v>1.10958904109589</v>
      </c>
      <c r="V117" s="21">
        <f t="shared" si="6"/>
        <v>0.981219512195122</v>
      </c>
      <c r="X117" s="21">
        <f t="shared" si="25"/>
        <v>0.001</v>
      </c>
      <c r="Y117" s="21">
        <f t="shared" si="7"/>
        <v>5.56</v>
      </c>
      <c r="Z117" s="21">
        <f t="shared" si="26"/>
        <v>2.55</v>
      </c>
      <c r="AA117" s="21">
        <f t="shared" si="15"/>
        <v>6.50249999999999</v>
      </c>
      <c r="AB117" s="21">
        <f t="shared" si="16"/>
        <v>36.1538999999999</v>
      </c>
      <c r="AC117" s="21">
        <f t="shared" si="17"/>
        <v>5.50249999999999</v>
      </c>
      <c r="AD117" s="21">
        <v>1</v>
      </c>
      <c r="AE117" s="21">
        <f t="shared" si="18"/>
        <v>0.014178</v>
      </c>
      <c r="AF117" s="21" t="str">
        <f t="shared" si="19"/>
        <v>1+0.014178j</v>
      </c>
      <c r="AH117" s="21" t="str">
        <f t="shared" si="20"/>
        <v>5.50249999999999+0.0780144449999998j</v>
      </c>
      <c r="AI117" s="21" t="str">
        <f t="shared" si="21"/>
        <v>41.6563999999999+0.0780144449999998j</v>
      </c>
      <c r="AK117" s="21" t="str">
        <f t="shared" si="22"/>
        <v>0.867904408299385-0.00162541844054047j</v>
      </c>
      <c r="AO117" s="21">
        <f t="shared" si="23"/>
        <v>0.867905930346494</v>
      </c>
      <c r="AP117" s="21">
        <v>51</v>
      </c>
      <c r="AR117" s="21">
        <f>Compensation!$C$16</f>
        <v>1.03153846153846</v>
      </c>
      <c r="CC117" s="30"/>
      <c r="CD117" s="30"/>
      <c r="CE117" s="30"/>
    </row>
    <row r="118" s="21" customFormat="1" spans="1:83">
      <c r="A118" s="21">
        <f t="shared" si="0"/>
        <v>0.35</v>
      </c>
      <c r="B118" s="21">
        <f t="shared" si="1"/>
        <v>5.56</v>
      </c>
      <c r="C118" s="21">
        <f t="shared" si="24"/>
        <v>2.6</v>
      </c>
      <c r="D118" s="21">
        <f t="shared" si="8"/>
        <v>6.75999999999999</v>
      </c>
      <c r="E118" s="21">
        <f t="shared" si="9"/>
        <v>37.5855999999999</v>
      </c>
      <c r="F118" s="21">
        <f t="shared" si="10"/>
        <v>5.75999999999999</v>
      </c>
      <c r="G118" s="21">
        <f t="shared" si="2"/>
        <v>1</v>
      </c>
      <c r="H118" s="21">
        <f t="shared" si="11"/>
        <v>5.0596</v>
      </c>
      <c r="I118" s="21" t="str">
        <f t="shared" si="12"/>
        <v>1+5.0596j</v>
      </c>
      <c r="K118" s="21" t="str">
        <f t="shared" si="13"/>
        <v>5.75999999999999+29.1432959999999j</v>
      </c>
      <c r="M118" s="21" t="str">
        <f t="shared" si="27"/>
        <v>43.3455999999999+29.1432959999999j</v>
      </c>
      <c r="O118" s="21" t="str">
        <f t="shared" si="28"/>
        <v>0.597165406286173-0.401502533045065j</v>
      </c>
      <c r="S118" s="21">
        <f t="shared" si="14"/>
        <v>0.719590721526156</v>
      </c>
      <c r="U118" s="21">
        <f t="shared" si="5"/>
        <v>1.10958904109589</v>
      </c>
      <c r="V118" s="21">
        <f t="shared" si="6"/>
        <v>0.981219512195122</v>
      </c>
      <c r="X118" s="21">
        <f t="shared" si="25"/>
        <v>0.001</v>
      </c>
      <c r="Y118" s="21">
        <f t="shared" si="7"/>
        <v>5.56</v>
      </c>
      <c r="Z118" s="21">
        <f t="shared" si="26"/>
        <v>2.6</v>
      </c>
      <c r="AA118" s="21">
        <f t="shared" si="15"/>
        <v>6.75999999999999</v>
      </c>
      <c r="AB118" s="21">
        <f t="shared" si="16"/>
        <v>37.5855999999999</v>
      </c>
      <c r="AC118" s="21">
        <f t="shared" si="17"/>
        <v>5.75999999999999</v>
      </c>
      <c r="AD118" s="21">
        <v>1</v>
      </c>
      <c r="AE118" s="21">
        <f t="shared" si="18"/>
        <v>0.014456</v>
      </c>
      <c r="AF118" s="21" t="str">
        <f t="shared" si="19"/>
        <v>1+0.014456j</v>
      </c>
      <c r="AH118" s="21" t="str">
        <f t="shared" si="20"/>
        <v>5.75999999999999+0.0832665599999999j</v>
      </c>
      <c r="AI118" s="21" t="str">
        <f t="shared" si="21"/>
        <v>43.3455999999999+0.0832665599999999j</v>
      </c>
      <c r="AK118" s="21" t="str">
        <f t="shared" si="22"/>
        <v>0.867111340060224-0.00166571413070312j</v>
      </c>
      <c r="AO118" s="21">
        <f t="shared" si="23"/>
        <v>0.867112939970684</v>
      </c>
      <c r="AP118" s="21">
        <v>52</v>
      </c>
      <c r="AR118" s="21">
        <f>Compensation!$C$16</f>
        <v>1.03153846153846</v>
      </c>
      <c r="CC118" s="30"/>
      <c r="CD118" s="30"/>
      <c r="CE118" s="30"/>
    </row>
    <row r="119" s="21" customFormat="1" spans="1:83">
      <c r="A119" s="21">
        <f t="shared" si="0"/>
        <v>0.35</v>
      </c>
      <c r="B119" s="21">
        <f t="shared" si="1"/>
        <v>5.56</v>
      </c>
      <c r="C119" s="21">
        <f t="shared" si="24"/>
        <v>2.65</v>
      </c>
      <c r="D119" s="21">
        <f t="shared" si="8"/>
        <v>7.02249999999999</v>
      </c>
      <c r="E119" s="21">
        <f t="shared" si="9"/>
        <v>39.0450999999999</v>
      </c>
      <c r="F119" s="21">
        <f t="shared" si="10"/>
        <v>6.02249999999999</v>
      </c>
      <c r="G119" s="21">
        <f t="shared" si="2"/>
        <v>1</v>
      </c>
      <c r="H119" s="21">
        <f t="shared" si="11"/>
        <v>5.1569</v>
      </c>
      <c r="I119" s="21" t="str">
        <f t="shared" si="12"/>
        <v>1+5.1569j</v>
      </c>
      <c r="K119" s="21" t="str">
        <f t="shared" si="13"/>
        <v>6.02249999999999+31.0574302499999j</v>
      </c>
      <c r="M119" s="21" t="str">
        <f t="shared" si="27"/>
        <v>45.0675999999999+31.0574302499999j</v>
      </c>
      <c r="O119" s="21" t="str">
        <f t="shared" si="28"/>
        <v>0.587407559191703-0.404800106904274j</v>
      </c>
      <c r="S119" s="21">
        <f t="shared" si="14"/>
        <v>0.713379819693034</v>
      </c>
      <c r="U119" s="21">
        <f t="shared" si="5"/>
        <v>1.10958904109589</v>
      </c>
      <c r="V119" s="21">
        <f t="shared" si="6"/>
        <v>0.981219512195122</v>
      </c>
      <c r="X119" s="21">
        <f t="shared" si="25"/>
        <v>0.001</v>
      </c>
      <c r="Y119" s="21">
        <f t="shared" si="7"/>
        <v>5.56</v>
      </c>
      <c r="Z119" s="21">
        <f t="shared" si="26"/>
        <v>2.65</v>
      </c>
      <c r="AA119" s="21">
        <f t="shared" si="15"/>
        <v>7.02249999999999</v>
      </c>
      <c r="AB119" s="21">
        <f t="shared" si="16"/>
        <v>39.0450999999999</v>
      </c>
      <c r="AC119" s="21">
        <f t="shared" si="17"/>
        <v>6.02249999999999</v>
      </c>
      <c r="AD119" s="21">
        <v>1</v>
      </c>
      <c r="AE119" s="21">
        <f t="shared" si="18"/>
        <v>0.014734</v>
      </c>
      <c r="AF119" s="21" t="str">
        <f t="shared" si="19"/>
        <v>1+0.014734j</v>
      </c>
      <c r="AH119" s="21" t="str">
        <f t="shared" si="20"/>
        <v>6.02249999999999+0.0887355149999999j</v>
      </c>
      <c r="AI119" s="21" t="str">
        <f t="shared" si="21"/>
        <v>45.0675999999999+0.0887355149999999j</v>
      </c>
      <c r="AK119" s="21" t="str">
        <f t="shared" si="22"/>
        <v>0.866364053845582-0.00170582104428626j</v>
      </c>
      <c r="AO119" s="21">
        <f t="shared" si="23"/>
        <v>0.866365733175768</v>
      </c>
      <c r="AP119" s="21">
        <v>53</v>
      </c>
      <c r="AR119" s="21">
        <f>Compensation!$C$16</f>
        <v>1.03153846153846</v>
      </c>
      <c r="CC119" s="30"/>
      <c r="CD119" s="30"/>
      <c r="CE119" s="30"/>
    </row>
    <row r="120" s="21" customFormat="1" spans="1:83">
      <c r="A120" s="21">
        <f t="shared" si="0"/>
        <v>0.35</v>
      </c>
      <c r="B120" s="21">
        <f t="shared" si="1"/>
        <v>5.56</v>
      </c>
      <c r="C120" s="21">
        <f t="shared" si="24"/>
        <v>2.7</v>
      </c>
      <c r="D120" s="21">
        <f t="shared" si="8"/>
        <v>7.28999999999999</v>
      </c>
      <c r="E120" s="21">
        <f t="shared" si="9"/>
        <v>40.5323999999999</v>
      </c>
      <c r="F120" s="21">
        <f t="shared" si="10"/>
        <v>6.28999999999999</v>
      </c>
      <c r="G120" s="21">
        <f t="shared" si="2"/>
        <v>1</v>
      </c>
      <c r="H120" s="21">
        <f t="shared" si="11"/>
        <v>5.2542</v>
      </c>
      <c r="I120" s="21" t="str">
        <f t="shared" si="12"/>
        <v>1+5.2542j</v>
      </c>
      <c r="K120" s="21" t="str">
        <f t="shared" si="13"/>
        <v>6.28999999999999+33.048918j</v>
      </c>
      <c r="M120" s="21" t="str">
        <f t="shared" si="27"/>
        <v>46.8223999999999+33.048918j</v>
      </c>
      <c r="O120" s="21" t="str">
        <f t="shared" si="28"/>
        <v>0.577800238827802-0.40783199309306j</v>
      </c>
      <c r="S120" s="21">
        <f t="shared" si="14"/>
        <v>0.707234084712921</v>
      </c>
      <c r="U120" s="21">
        <f t="shared" si="5"/>
        <v>1.10958904109589</v>
      </c>
      <c r="V120" s="21">
        <f t="shared" si="6"/>
        <v>0.981219512195122</v>
      </c>
      <c r="X120" s="21">
        <f t="shared" si="25"/>
        <v>0.001</v>
      </c>
      <c r="Y120" s="21">
        <f t="shared" si="7"/>
        <v>5.56</v>
      </c>
      <c r="Z120" s="21">
        <f t="shared" si="26"/>
        <v>2.7</v>
      </c>
      <c r="AA120" s="21">
        <f t="shared" si="15"/>
        <v>7.28999999999999</v>
      </c>
      <c r="AB120" s="21">
        <f t="shared" si="16"/>
        <v>40.5323999999999</v>
      </c>
      <c r="AC120" s="21">
        <f t="shared" si="17"/>
        <v>6.28999999999999</v>
      </c>
      <c r="AD120" s="21">
        <v>1</v>
      </c>
      <c r="AE120" s="21">
        <f t="shared" si="18"/>
        <v>0.015012</v>
      </c>
      <c r="AF120" s="21" t="str">
        <f t="shared" si="19"/>
        <v>1+0.015012j</v>
      </c>
      <c r="AH120" s="21" t="str">
        <f t="shared" si="20"/>
        <v>6.28999999999999+0.0944254799999999j</v>
      </c>
      <c r="AI120" s="21" t="str">
        <f t="shared" si="21"/>
        <v>46.8223999999999+0.0944254799999999j</v>
      </c>
      <c r="AK120" s="21" t="str">
        <f t="shared" si="22"/>
        <v>0.865659068236159-0.00174575145730574j</v>
      </c>
      <c r="AO120" s="21">
        <f t="shared" si="23"/>
        <v>0.865660828539472</v>
      </c>
      <c r="AP120" s="21">
        <v>54</v>
      </c>
      <c r="AR120" s="21">
        <f>Compensation!$C$16</f>
        <v>1.03153846153846</v>
      </c>
      <c r="CC120" s="30"/>
      <c r="CD120" s="30"/>
      <c r="CE120" s="30"/>
    </row>
    <row r="121" s="21" customFormat="1" spans="1:83">
      <c r="A121" s="21">
        <f t="shared" si="0"/>
        <v>0.35</v>
      </c>
      <c r="B121" s="21">
        <f t="shared" si="1"/>
        <v>5.56</v>
      </c>
      <c r="C121" s="21">
        <f t="shared" si="24"/>
        <v>2.75</v>
      </c>
      <c r="D121" s="21">
        <f t="shared" si="8"/>
        <v>7.56249999999999</v>
      </c>
      <c r="E121" s="21">
        <f t="shared" si="9"/>
        <v>42.0474999999999</v>
      </c>
      <c r="F121" s="21">
        <f t="shared" si="10"/>
        <v>6.56249999999999</v>
      </c>
      <c r="G121" s="21">
        <f t="shared" si="2"/>
        <v>1</v>
      </c>
      <c r="H121" s="21">
        <f t="shared" si="11"/>
        <v>5.3515</v>
      </c>
      <c r="I121" s="21" t="str">
        <f t="shared" si="12"/>
        <v>1+5.3515j</v>
      </c>
      <c r="K121" s="21" t="str">
        <f t="shared" si="13"/>
        <v>6.56249999999999+35.1192187499999j</v>
      </c>
      <c r="M121" s="21" t="str">
        <f t="shared" si="27"/>
        <v>48.6099999999999+35.1192187499999j</v>
      </c>
      <c r="O121" s="21" t="str">
        <f t="shared" si="28"/>
        <v>0.568343501523771-0.410610568919034j</v>
      </c>
      <c r="S121" s="21">
        <f t="shared" si="14"/>
        <v>0.70115288991226</v>
      </c>
      <c r="U121" s="21">
        <f t="shared" si="5"/>
        <v>1.10958904109589</v>
      </c>
      <c r="V121" s="21">
        <f t="shared" si="6"/>
        <v>0.981219512195122</v>
      </c>
      <c r="X121" s="21">
        <f t="shared" si="25"/>
        <v>0.001</v>
      </c>
      <c r="Y121" s="21">
        <f t="shared" si="7"/>
        <v>5.56</v>
      </c>
      <c r="Z121" s="21">
        <f t="shared" si="26"/>
        <v>2.75</v>
      </c>
      <c r="AA121" s="21">
        <f t="shared" si="15"/>
        <v>7.56249999999999</v>
      </c>
      <c r="AB121" s="21">
        <f t="shared" si="16"/>
        <v>42.0474999999999</v>
      </c>
      <c r="AC121" s="21">
        <f t="shared" si="17"/>
        <v>6.56249999999999</v>
      </c>
      <c r="AD121" s="21">
        <v>1</v>
      </c>
      <c r="AE121" s="21">
        <f t="shared" si="18"/>
        <v>0.01529</v>
      </c>
      <c r="AF121" s="21" t="str">
        <f t="shared" si="19"/>
        <v>1+0.01529j</v>
      </c>
      <c r="AH121" s="21" t="str">
        <f t="shared" si="20"/>
        <v>6.56249999999999+0.100340625j</v>
      </c>
      <c r="AI121" s="21" t="str">
        <f t="shared" si="21"/>
        <v>48.6099999999999+0.100340625j</v>
      </c>
      <c r="AK121" s="21" t="str">
        <f t="shared" si="22"/>
        <v>0.864993228556881-0.00178551658453334j</v>
      </c>
      <c r="AO121" s="21">
        <f t="shared" si="23"/>
        <v>0.864995071384069</v>
      </c>
      <c r="AP121" s="21">
        <v>55</v>
      </c>
      <c r="AR121" s="21">
        <f>Compensation!$C$16</f>
        <v>1.03153846153846</v>
      </c>
      <c r="CC121" s="30"/>
      <c r="CD121" s="30"/>
      <c r="CE121" s="30"/>
    </row>
    <row r="122" s="21" customFormat="1" spans="1:83">
      <c r="A122" s="21">
        <f t="shared" si="0"/>
        <v>0.35</v>
      </c>
      <c r="B122" s="21">
        <f t="shared" si="1"/>
        <v>5.56</v>
      </c>
      <c r="C122" s="21">
        <f t="shared" si="24"/>
        <v>2.8</v>
      </c>
      <c r="D122" s="21">
        <f t="shared" si="8"/>
        <v>7.83999999999999</v>
      </c>
      <c r="E122" s="21">
        <f t="shared" si="9"/>
        <v>43.5903999999999</v>
      </c>
      <c r="F122" s="21">
        <f t="shared" si="10"/>
        <v>6.83999999999999</v>
      </c>
      <c r="G122" s="21">
        <f t="shared" si="2"/>
        <v>1</v>
      </c>
      <c r="H122" s="21">
        <f t="shared" si="11"/>
        <v>5.4488</v>
      </c>
      <c r="I122" s="21" t="str">
        <f t="shared" si="12"/>
        <v>1+5.4488j</v>
      </c>
      <c r="K122" s="21" t="str">
        <f t="shared" si="13"/>
        <v>6.83999999999999+37.2697919999999j</v>
      </c>
      <c r="M122" s="21" t="str">
        <f t="shared" si="27"/>
        <v>50.4303999999999+37.2697919999999j</v>
      </c>
      <c r="O122" s="21" t="str">
        <f t="shared" si="28"/>
        <v>0.559037253988015-0.413147668398118j</v>
      </c>
      <c r="S122" s="21">
        <f t="shared" si="14"/>
        <v>0.695135704196858</v>
      </c>
      <c r="U122" s="21">
        <f t="shared" si="5"/>
        <v>1.10958904109589</v>
      </c>
      <c r="V122" s="21">
        <f t="shared" si="6"/>
        <v>0.981219512195122</v>
      </c>
      <c r="X122" s="21">
        <f t="shared" si="25"/>
        <v>0.001</v>
      </c>
      <c r="Y122" s="21">
        <f t="shared" si="7"/>
        <v>5.56</v>
      </c>
      <c r="Z122" s="21">
        <f t="shared" si="26"/>
        <v>2.8</v>
      </c>
      <c r="AA122" s="21">
        <f t="shared" si="15"/>
        <v>7.83999999999999</v>
      </c>
      <c r="AB122" s="21">
        <f t="shared" si="16"/>
        <v>43.5903999999999</v>
      </c>
      <c r="AC122" s="21">
        <f t="shared" si="17"/>
        <v>6.83999999999999</v>
      </c>
      <c r="AD122" s="21">
        <v>1</v>
      </c>
      <c r="AE122" s="21">
        <f t="shared" si="18"/>
        <v>0.015568</v>
      </c>
      <c r="AF122" s="21" t="str">
        <f t="shared" si="19"/>
        <v>1+0.015568j</v>
      </c>
      <c r="AH122" s="21" t="str">
        <f t="shared" si="20"/>
        <v>6.83999999999999+0.10648512j</v>
      </c>
      <c r="AI122" s="21" t="str">
        <f t="shared" si="21"/>
        <v>50.4303999999999+0.10648512j</v>
      </c>
      <c r="AK122" s="21" t="str">
        <f t="shared" si="22"/>
        <v>0.864363670547231-0.00182512669306336j</v>
      </c>
      <c r="AO122" s="21">
        <f t="shared" si="23"/>
        <v>0.864365597446664</v>
      </c>
      <c r="AP122" s="21">
        <v>56</v>
      </c>
      <c r="AR122" s="21">
        <f>Compensation!$C$16</f>
        <v>1.03153846153846</v>
      </c>
      <c r="CC122" s="30"/>
      <c r="CD122" s="30"/>
      <c r="CE122" s="30"/>
    </row>
    <row r="123" s="21" customFormat="1" spans="1:83">
      <c r="A123" s="21">
        <f t="shared" si="0"/>
        <v>0.35</v>
      </c>
      <c r="B123" s="21">
        <f t="shared" si="1"/>
        <v>5.56</v>
      </c>
      <c r="C123" s="21">
        <f t="shared" si="24"/>
        <v>2.85</v>
      </c>
      <c r="D123" s="21">
        <f t="shared" si="8"/>
        <v>8.12249999999999</v>
      </c>
      <c r="E123" s="21">
        <f t="shared" si="9"/>
        <v>45.1610999999999</v>
      </c>
      <c r="F123" s="21">
        <f t="shared" si="10"/>
        <v>7.12249999999999</v>
      </c>
      <c r="G123" s="21">
        <f t="shared" si="2"/>
        <v>1</v>
      </c>
      <c r="H123" s="21">
        <f t="shared" si="11"/>
        <v>5.5461</v>
      </c>
      <c r="I123" s="21" t="str">
        <f t="shared" si="12"/>
        <v>1+5.5461j</v>
      </c>
      <c r="K123" s="21" t="str">
        <f t="shared" si="13"/>
        <v>7.12249999999999+39.5020972499999j</v>
      </c>
      <c r="M123" s="21" t="str">
        <f t="shared" si="27"/>
        <v>52.2835999999999+39.5020972499999j</v>
      </c>
      <c r="O123" s="21" t="str">
        <f t="shared" si="28"/>
        <v>0.549881253603673-0.415454612073465j</v>
      </c>
      <c r="S123" s="21">
        <f t="shared" si="14"/>
        <v>0.689182071558641</v>
      </c>
      <c r="U123" s="21">
        <f t="shared" si="5"/>
        <v>1.10958904109589</v>
      </c>
      <c r="V123" s="21">
        <f t="shared" si="6"/>
        <v>0.981219512195122</v>
      </c>
      <c r="X123" s="21">
        <f t="shared" si="25"/>
        <v>0.001</v>
      </c>
      <c r="Y123" s="21">
        <f t="shared" si="7"/>
        <v>5.56</v>
      </c>
      <c r="Z123" s="21">
        <f t="shared" si="26"/>
        <v>2.85</v>
      </c>
      <c r="AA123" s="21">
        <f t="shared" si="15"/>
        <v>8.12249999999999</v>
      </c>
      <c r="AB123" s="21">
        <f t="shared" si="16"/>
        <v>45.1610999999999</v>
      </c>
      <c r="AC123" s="21">
        <f t="shared" si="17"/>
        <v>7.12249999999999</v>
      </c>
      <c r="AD123" s="21">
        <v>1</v>
      </c>
      <c r="AE123" s="21">
        <f t="shared" si="18"/>
        <v>0.015846</v>
      </c>
      <c r="AF123" s="21" t="str">
        <f t="shared" si="19"/>
        <v>1+0.015846j</v>
      </c>
      <c r="AH123" s="21" t="str">
        <f t="shared" si="20"/>
        <v>7.12249999999999+0.112863135j</v>
      </c>
      <c r="AI123" s="21" t="str">
        <f t="shared" si="21"/>
        <v>52.2835999999999+0.112863135j</v>
      </c>
      <c r="AK123" s="21" t="str">
        <f t="shared" si="22"/>
        <v>0.863767788683096-0.00186459120150089j</v>
      </c>
      <c r="AO123" s="21">
        <f t="shared" si="23"/>
        <v>0.863769801201011</v>
      </c>
      <c r="AP123" s="21">
        <v>57</v>
      </c>
      <c r="AR123" s="21">
        <f>Compensation!$C$16</f>
        <v>1.03153846153846</v>
      </c>
      <c r="CC123" s="30"/>
      <c r="CD123" s="30"/>
      <c r="CE123" s="30"/>
    </row>
    <row r="124" s="21" customFormat="1" spans="1:83">
      <c r="A124" s="21">
        <f t="shared" si="0"/>
        <v>0.35</v>
      </c>
      <c r="B124" s="21">
        <f t="shared" si="1"/>
        <v>5.56</v>
      </c>
      <c r="C124" s="21">
        <f t="shared" si="24"/>
        <v>2.9</v>
      </c>
      <c r="D124" s="21">
        <f t="shared" si="8"/>
        <v>8.40999999999999</v>
      </c>
      <c r="E124" s="21">
        <f t="shared" si="9"/>
        <v>46.7595999999999</v>
      </c>
      <c r="F124" s="21">
        <f t="shared" si="10"/>
        <v>7.40999999999999</v>
      </c>
      <c r="G124" s="21">
        <f t="shared" si="2"/>
        <v>1</v>
      </c>
      <c r="H124" s="21">
        <f t="shared" si="11"/>
        <v>5.6434</v>
      </c>
      <c r="I124" s="21" t="str">
        <f t="shared" si="12"/>
        <v>1+5.6434j</v>
      </c>
      <c r="K124" s="21" t="str">
        <f t="shared" si="13"/>
        <v>7.40999999999999+41.8175939999999j</v>
      </c>
      <c r="M124" s="21" t="str">
        <f t="shared" si="27"/>
        <v>54.1695999999999+41.8175939999999j</v>
      </c>
      <c r="O124" s="21" t="str">
        <f t="shared" si="28"/>
        <v>0.540875110650087-0.417542233685876j</v>
      </c>
      <c r="S124" s="21">
        <f t="shared" si="14"/>
        <v>0.683291593854435</v>
      </c>
      <c r="U124" s="21">
        <f t="shared" si="5"/>
        <v>1.10958904109589</v>
      </c>
      <c r="V124" s="21">
        <f t="shared" si="6"/>
        <v>0.981219512195122</v>
      </c>
      <c r="X124" s="21">
        <f t="shared" si="25"/>
        <v>0.001</v>
      </c>
      <c r="Y124" s="21">
        <f t="shared" si="7"/>
        <v>5.56</v>
      </c>
      <c r="Z124" s="21">
        <f t="shared" si="26"/>
        <v>2.9</v>
      </c>
      <c r="AA124" s="21">
        <f t="shared" si="15"/>
        <v>8.40999999999999</v>
      </c>
      <c r="AB124" s="21">
        <f t="shared" si="16"/>
        <v>46.7595999999999</v>
      </c>
      <c r="AC124" s="21">
        <f t="shared" si="17"/>
        <v>7.40999999999999</v>
      </c>
      <c r="AD124" s="21">
        <v>1</v>
      </c>
      <c r="AE124" s="21">
        <f t="shared" si="18"/>
        <v>0.016124</v>
      </c>
      <c r="AF124" s="21" t="str">
        <f t="shared" si="19"/>
        <v>1+0.016124j</v>
      </c>
      <c r="AH124" s="21" t="str">
        <f t="shared" si="20"/>
        <v>7.40999999999999+0.11947884j</v>
      </c>
      <c r="AI124" s="21" t="str">
        <f t="shared" si="21"/>
        <v>54.1695999999999+0.11947884j</v>
      </c>
      <c r="AK124" s="21" t="str">
        <f t="shared" si="22"/>
        <v>0.863203208478451-0.00190391876685971j</v>
      </c>
      <c r="AO124" s="21">
        <f t="shared" si="23"/>
        <v>0.863205308159167</v>
      </c>
      <c r="AP124" s="21">
        <v>58</v>
      </c>
      <c r="AR124" s="21">
        <f>Compensation!$C$16</f>
        <v>1.03153846153846</v>
      </c>
      <c r="CC124" s="30"/>
      <c r="CD124" s="30"/>
      <c r="CE124" s="30"/>
    </row>
    <row r="125" s="21" customFormat="1" spans="1:83">
      <c r="A125" s="21">
        <f t="shared" si="0"/>
        <v>0.35</v>
      </c>
      <c r="B125" s="21">
        <f t="shared" si="1"/>
        <v>5.56</v>
      </c>
      <c r="C125" s="21">
        <f t="shared" si="24"/>
        <v>2.95</v>
      </c>
      <c r="D125" s="21">
        <f t="shared" si="8"/>
        <v>8.70249999999998</v>
      </c>
      <c r="E125" s="21">
        <f t="shared" si="9"/>
        <v>48.3858999999999</v>
      </c>
      <c r="F125" s="21">
        <f t="shared" si="10"/>
        <v>7.70249999999998</v>
      </c>
      <c r="G125" s="21">
        <f t="shared" si="2"/>
        <v>1</v>
      </c>
      <c r="H125" s="21">
        <f t="shared" si="11"/>
        <v>5.7407</v>
      </c>
      <c r="I125" s="21" t="str">
        <f t="shared" si="12"/>
        <v>1+5.7407j</v>
      </c>
      <c r="K125" s="21" t="str">
        <f t="shared" si="13"/>
        <v>7.70249999999998+44.2177417499999j</v>
      </c>
      <c r="M125" s="21" t="str">
        <f t="shared" si="27"/>
        <v>56.0883999999999+44.2177417499999j</v>
      </c>
      <c r="O125" s="21" t="str">
        <f t="shared" si="28"/>
        <v>0.532018292060095-0.419420904225996j</v>
      </c>
      <c r="S125" s="21">
        <f t="shared" si="14"/>
        <v>0.677463916373627</v>
      </c>
      <c r="U125" s="21">
        <f t="shared" si="5"/>
        <v>1.10958904109589</v>
      </c>
      <c r="V125" s="21">
        <f t="shared" si="6"/>
        <v>0.981219512195122</v>
      </c>
      <c r="X125" s="21">
        <f t="shared" si="25"/>
        <v>0.001</v>
      </c>
      <c r="Y125" s="21">
        <f t="shared" si="7"/>
        <v>5.56</v>
      </c>
      <c r="Z125" s="21">
        <f t="shared" si="26"/>
        <v>2.95</v>
      </c>
      <c r="AA125" s="21">
        <f t="shared" si="15"/>
        <v>8.70249999999998</v>
      </c>
      <c r="AB125" s="21">
        <f t="shared" si="16"/>
        <v>48.3858999999999</v>
      </c>
      <c r="AC125" s="21">
        <f t="shared" si="17"/>
        <v>7.70249999999998</v>
      </c>
      <c r="AD125" s="21">
        <v>1</v>
      </c>
      <c r="AE125" s="21">
        <f t="shared" si="18"/>
        <v>0.016402</v>
      </c>
      <c r="AF125" s="21" t="str">
        <f t="shared" si="19"/>
        <v>1+0.016402j</v>
      </c>
      <c r="AH125" s="21" t="str">
        <f t="shared" si="20"/>
        <v>7.70249999999998+0.126336405j</v>
      </c>
      <c r="AI125" s="21" t="str">
        <f t="shared" si="21"/>
        <v>56.0883999999999+0.126336405j</v>
      </c>
      <c r="AK125" s="21" t="str">
        <f t="shared" si="22"/>
        <v>0.862667762202846-0.00194311736091781j</v>
      </c>
      <c r="AO125" s="21">
        <f t="shared" si="23"/>
        <v>0.862669950588952</v>
      </c>
      <c r="AP125" s="21">
        <v>59</v>
      </c>
      <c r="AR125" s="21">
        <f>Compensation!$C$16</f>
        <v>1.03153846153846</v>
      </c>
      <c r="CC125" s="30"/>
      <c r="CD125" s="30"/>
      <c r="CE125" s="30"/>
    </row>
    <row r="126" s="21" customFormat="1" spans="1:83">
      <c r="A126" s="21">
        <f t="shared" si="0"/>
        <v>0.35</v>
      </c>
      <c r="B126" s="21">
        <f t="shared" si="1"/>
        <v>5.56</v>
      </c>
      <c r="C126" s="21">
        <f t="shared" si="24"/>
        <v>3</v>
      </c>
      <c r="D126" s="21">
        <f t="shared" si="8"/>
        <v>8.99999999999998</v>
      </c>
      <c r="E126" s="21">
        <f t="shared" si="9"/>
        <v>50.0399999999999</v>
      </c>
      <c r="F126" s="21">
        <f t="shared" si="10"/>
        <v>7.99999999999998</v>
      </c>
      <c r="G126" s="21">
        <f t="shared" si="2"/>
        <v>1</v>
      </c>
      <c r="H126" s="21">
        <f t="shared" si="11"/>
        <v>5.838</v>
      </c>
      <c r="I126" s="21" t="str">
        <f t="shared" si="12"/>
        <v>1+5.838j</v>
      </c>
      <c r="K126" s="21" t="str">
        <f t="shared" si="13"/>
        <v>7.99999999999998+46.7039999999999j</v>
      </c>
      <c r="M126" s="21" t="str">
        <f t="shared" si="27"/>
        <v>58.0399999999999+46.7039999999999j</v>
      </c>
      <c r="O126" s="21" t="str">
        <f t="shared" si="28"/>
        <v>0.523310126383247-0.421100553800881j</v>
      </c>
      <c r="S126" s="21">
        <f t="shared" si="14"/>
        <v>0.671698715784584</v>
      </c>
      <c r="U126" s="21">
        <f t="shared" si="5"/>
        <v>1.10958904109589</v>
      </c>
      <c r="V126" s="21">
        <f t="shared" si="6"/>
        <v>0.981219512195122</v>
      </c>
      <c r="X126" s="21">
        <f t="shared" si="25"/>
        <v>0.001</v>
      </c>
      <c r="Y126" s="21">
        <f t="shared" si="7"/>
        <v>5.56</v>
      </c>
      <c r="Z126" s="21">
        <f t="shared" si="26"/>
        <v>3</v>
      </c>
      <c r="AA126" s="21">
        <f t="shared" si="15"/>
        <v>8.99999999999998</v>
      </c>
      <c r="AB126" s="21">
        <f t="shared" si="16"/>
        <v>50.0399999999999</v>
      </c>
      <c r="AC126" s="21">
        <f t="shared" si="17"/>
        <v>7.99999999999998</v>
      </c>
      <c r="AD126" s="21">
        <v>1</v>
      </c>
      <c r="AE126" s="21">
        <f t="shared" si="18"/>
        <v>0.01668</v>
      </c>
      <c r="AF126" s="21" t="str">
        <f t="shared" si="19"/>
        <v>1+0.01668j</v>
      </c>
      <c r="AH126" s="21" t="str">
        <f t="shared" si="20"/>
        <v>7.99999999999998+0.13344j</v>
      </c>
      <c r="AI126" s="21" t="str">
        <f t="shared" si="21"/>
        <v>58.0399999999999+0.13344j</v>
      </c>
      <c r="AK126" s="21" t="str">
        <f t="shared" si="22"/>
        <v>0.862159467539414-0.0019821943374993j</v>
      </c>
      <c r="AO126" s="21">
        <f t="shared" si="23"/>
        <v>0.862161746171933</v>
      </c>
      <c r="AP126" s="21">
        <v>60</v>
      </c>
      <c r="AR126" s="21">
        <f>Compensation!$C$16</f>
        <v>1.03153846153846</v>
      </c>
      <c r="CC126" s="30"/>
      <c r="CD126" s="30"/>
      <c r="CE126" s="30"/>
    </row>
    <row r="127" s="21" customFormat="1" spans="1:83">
      <c r="A127" s="21">
        <f t="shared" si="0"/>
        <v>0.35</v>
      </c>
      <c r="B127" s="21">
        <f t="shared" si="1"/>
        <v>5.56</v>
      </c>
      <c r="C127" s="21">
        <f t="shared" si="24"/>
        <v>3.05</v>
      </c>
      <c r="D127" s="21">
        <f t="shared" si="8"/>
        <v>9.30249999999998</v>
      </c>
      <c r="E127" s="21">
        <f t="shared" si="9"/>
        <v>51.7218999999999</v>
      </c>
      <c r="F127" s="21">
        <f t="shared" si="10"/>
        <v>8.30249999999998</v>
      </c>
      <c r="G127" s="21">
        <f t="shared" si="2"/>
        <v>1</v>
      </c>
      <c r="H127" s="21">
        <f t="shared" si="11"/>
        <v>5.9353</v>
      </c>
      <c r="I127" s="21" t="str">
        <f t="shared" si="12"/>
        <v>1+5.9353j</v>
      </c>
      <c r="K127" s="21" t="str">
        <f t="shared" si="13"/>
        <v>8.30249999999998+49.2778282499999j</v>
      </c>
      <c r="M127" s="21" t="str">
        <f t="shared" si="27"/>
        <v>60.0243999999999+49.2778282499999j</v>
      </c>
      <c r="O127" s="21" t="str">
        <f t="shared" si="28"/>
        <v>0.514749809676379-0.422590691667934j</v>
      </c>
      <c r="S127" s="21">
        <f t="shared" si="14"/>
        <v>0.665995690110868</v>
      </c>
      <c r="U127" s="21">
        <f t="shared" si="5"/>
        <v>1.10958904109589</v>
      </c>
      <c r="V127" s="21">
        <f t="shared" si="6"/>
        <v>0.981219512195122</v>
      </c>
      <c r="X127" s="21">
        <f t="shared" si="25"/>
        <v>0.001</v>
      </c>
      <c r="Y127" s="21">
        <f t="shared" si="7"/>
        <v>5.56</v>
      </c>
      <c r="Z127" s="21">
        <f t="shared" si="26"/>
        <v>3.05</v>
      </c>
      <c r="AA127" s="21">
        <f t="shared" si="15"/>
        <v>9.30249999999998</v>
      </c>
      <c r="AB127" s="21">
        <f t="shared" si="16"/>
        <v>51.7218999999999</v>
      </c>
      <c r="AC127" s="21">
        <f t="shared" si="17"/>
        <v>8.30249999999998</v>
      </c>
      <c r="AD127" s="21">
        <v>1</v>
      </c>
      <c r="AE127" s="21">
        <f t="shared" si="18"/>
        <v>0.016958</v>
      </c>
      <c r="AF127" s="21" t="str">
        <f t="shared" si="19"/>
        <v>1+0.016958j</v>
      </c>
      <c r="AH127" s="21" t="str">
        <f t="shared" si="20"/>
        <v>8.30249999999998+0.140793795j</v>
      </c>
      <c r="AI127" s="21" t="str">
        <f t="shared" si="21"/>
        <v>60.0243999999999+0.140793795j</v>
      </c>
      <c r="AK127" s="21" t="str">
        <f t="shared" si="22"/>
        <v>0.861676508781549-0.00202115649192171j</v>
      </c>
      <c r="AO127" s="21">
        <f t="shared" si="23"/>
        <v>0.86167887920009</v>
      </c>
      <c r="AP127" s="21">
        <v>61</v>
      </c>
      <c r="AR127" s="21">
        <f>Compensation!$C$16</f>
        <v>1.03153846153846</v>
      </c>
      <c r="CC127" s="30"/>
      <c r="CD127" s="30"/>
      <c r="CE127" s="30"/>
    </row>
    <row r="128" s="21" customFormat="1" spans="1:83">
      <c r="A128" s="21">
        <f t="shared" si="0"/>
        <v>0.35</v>
      </c>
      <c r="B128" s="21">
        <f t="shared" si="1"/>
        <v>5.56</v>
      </c>
      <c r="C128" s="21">
        <f t="shared" si="24"/>
        <v>3.1</v>
      </c>
      <c r="D128" s="21">
        <f t="shared" si="8"/>
        <v>9.60999999999998</v>
      </c>
      <c r="E128" s="21">
        <f t="shared" si="9"/>
        <v>53.4315999999999</v>
      </c>
      <c r="F128" s="21">
        <f t="shared" si="10"/>
        <v>8.60999999999998</v>
      </c>
      <c r="G128" s="21">
        <f t="shared" si="2"/>
        <v>1</v>
      </c>
      <c r="H128" s="21">
        <f t="shared" si="11"/>
        <v>6.0326</v>
      </c>
      <c r="I128" s="21" t="str">
        <f t="shared" si="12"/>
        <v>1+6.0326j</v>
      </c>
      <c r="K128" s="21" t="str">
        <f t="shared" si="13"/>
        <v>8.60999999999998+51.9406859999999j</v>
      </c>
      <c r="M128" s="21" t="str">
        <f t="shared" si="27"/>
        <v>62.0415999999999+51.9406859999999j</v>
      </c>
      <c r="O128" s="21" t="str">
        <f t="shared" si="28"/>
        <v>0.506336412086902-0.423900424724256j</v>
      </c>
      <c r="S128" s="21">
        <f t="shared" si="14"/>
        <v>0.660354550439718</v>
      </c>
      <c r="U128" s="21">
        <f t="shared" si="5"/>
        <v>1.10958904109589</v>
      </c>
      <c r="V128" s="21">
        <f t="shared" si="6"/>
        <v>0.981219512195122</v>
      </c>
      <c r="X128" s="21">
        <f t="shared" si="25"/>
        <v>0.001</v>
      </c>
      <c r="Y128" s="21">
        <f t="shared" si="7"/>
        <v>5.56</v>
      </c>
      <c r="Z128" s="21">
        <f t="shared" si="26"/>
        <v>3.1</v>
      </c>
      <c r="AA128" s="21">
        <f t="shared" si="15"/>
        <v>9.60999999999998</v>
      </c>
      <c r="AB128" s="21">
        <f t="shared" si="16"/>
        <v>53.4315999999999</v>
      </c>
      <c r="AC128" s="21">
        <f t="shared" si="17"/>
        <v>8.60999999999998</v>
      </c>
      <c r="AD128" s="21">
        <v>1</v>
      </c>
      <c r="AE128" s="21">
        <f t="shared" si="18"/>
        <v>0.017236</v>
      </c>
      <c r="AF128" s="21" t="str">
        <f t="shared" si="19"/>
        <v>1+0.017236j</v>
      </c>
      <c r="AH128" s="21" t="str">
        <f t="shared" si="20"/>
        <v>8.60999999999998+0.14840196j</v>
      </c>
      <c r="AI128" s="21" t="str">
        <f t="shared" si="21"/>
        <v>62.0415999999999+0.14840196j</v>
      </c>
      <c r="AK128" s="21" t="str">
        <f t="shared" si="22"/>
        <v>0.86121722022742-0.00206001011365763j</v>
      </c>
      <c r="AO128" s="21">
        <f t="shared" si="23"/>
        <v>0.861219683970305</v>
      </c>
      <c r="AP128" s="21">
        <v>62</v>
      </c>
      <c r="AR128" s="21">
        <f>Compensation!$C$16</f>
        <v>1.03153846153846</v>
      </c>
      <c r="CC128" s="30"/>
      <c r="CD128" s="30"/>
      <c r="CE128" s="30"/>
    </row>
    <row r="129" s="21" customFormat="1" spans="1:83">
      <c r="A129" s="21">
        <f t="shared" si="0"/>
        <v>0.35</v>
      </c>
      <c r="B129" s="21">
        <f t="shared" si="1"/>
        <v>5.56</v>
      </c>
      <c r="C129" s="21">
        <f t="shared" si="24"/>
        <v>3.15</v>
      </c>
      <c r="D129" s="21">
        <f t="shared" si="8"/>
        <v>9.92249999999998</v>
      </c>
      <c r="E129" s="21">
        <f t="shared" si="9"/>
        <v>55.1690999999999</v>
      </c>
      <c r="F129" s="21">
        <f t="shared" si="10"/>
        <v>8.92249999999998</v>
      </c>
      <c r="G129" s="21">
        <f t="shared" si="2"/>
        <v>1</v>
      </c>
      <c r="H129" s="21">
        <f t="shared" si="11"/>
        <v>6.1299</v>
      </c>
      <c r="I129" s="21" t="str">
        <f t="shared" si="12"/>
        <v>1+6.1299j</v>
      </c>
      <c r="K129" s="21" t="str">
        <f t="shared" si="13"/>
        <v>8.92249999999998+54.6940327499999j</v>
      </c>
      <c r="M129" s="21" t="str">
        <f t="shared" si="27"/>
        <v>64.0915999999999+54.6940327499999j</v>
      </c>
      <c r="O129" s="21" t="str">
        <f t="shared" si="28"/>
        <v>0.498068884931735-0.425038474686422j</v>
      </c>
      <c r="S129" s="21">
        <f t="shared" si="14"/>
        <v>0.654775014108588</v>
      </c>
      <c r="U129" s="21">
        <f t="shared" si="5"/>
        <v>1.10958904109589</v>
      </c>
      <c r="V129" s="21">
        <f t="shared" si="6"/>
        <v>0.981219512195122</v>
      </c>
      <c r="X129" s="21">
        <f t="shared" si="25"/>
        <v>0.001</v>
      </c>
      <c r="Y129" s="21">
        <f t="shared" si="7"/>
        <v>5.56</v>
      </c>
      <c r="Z129" s="21">
        <f t="shared" si="26"/>
        <v>3.15</v>
      </c>
      <c r="AA129" s="21">
        <f t="shared" si="15"/>
        <v>9.92249999999998</v>
      </c>
      <c r="AB129" s="21">
        <f t="shared" si="16"/>
        <v>55.1690999999999</v>
      </c>
      <c r="AC129" s="21">
        <f t="shared" si="17"/>
        <v>8.92249999999998</v>
      </c>
      <c r="AD129" s="21">
        <v>1</v>
      </c>
      <c r="AE129" s="21">
        <f t="shared" si="18"/>
        <v>0.017514</v>
      </c>
      <c r="AF129" s="21" t="str">
        <f t="shared" si="19"/>
        <v>1+0.017514j</v>
      </c>
      <c r="AH129" s="21" t="str">
        <f t="shared" si="20"/>
        <v>8.92249999999998+0.156268665j</v>
      </c>
      <c r="AI129" s="21" t="str">
        <f t="shared" si="21"/>
        <v>64.0915999999999+0.156268665j</v>
      </c>
      <c r="AK129" s="21" t="str">
        <f t="shared" si="22"/>
        <v>0.860780071482303-0.00209876103310175j</v>
      </c>
      <c r="AO129" s="21">
        <f t="shared" si="23"/>
        <v>0.860782630086686</v>
      </c>
      <c r="AP129" s="21">
        <v>63</v>
      </c>
      <c r="AR129" s="21">
        <f>Compensation!$C$16</f>
        <v>1.03153846153846</v>
      </c>
      <c r="CC129" s="30"/>
      <c r="CD129" s="30"/>
      <c r="CE129" s="30"/>
    </row>
    <row r="130" s="21" customFormat="1" spans="1:83">
      <c r="A130" s="21">
        <f t="shared" si="0"/>
        <v>0.35</v>
      </c>
      <c r="B130" s="21">
        <f t="shared" si="1"/>
        <v>5.56</v>
      </c>
      <c r="C130" s="21">
        <f t="shared" si="24"/>
        <v>3.2</v>
      </c>
      <c r="D130" s="21">
        <f t="shared" si="8"/>
        <v>10.24</v>
      </c>
      <c r="E130" s="21">
        <f t="shared" si="9"/>
        <v>56.9344</v>
      </c>
      <c r="F130" s="21">
        <f t="shared" si="10"/>
        <v>9.23999999999998</v>
      </c>
      <c r="G130" s="21">
        <f t="shared" ref="G130:G137" si="29">1</f>
        <v>1</v>
      </c>
      <c r="H130" s="21">
        <f t="shared" si="11"/>
        <v>6.2272</v>
      </c>
      <c r="I130" s="21" t="str">
        <f t="shared" si="12"/>
        <v>1+6.2272j</v>
      </c>
      <c r="K130" s="21" t="str">
        <f t="shared" si="13"/>
        <v>9.23999999999998+57.5393279999999j</v>
      </c>
      <c r="M130" s="21" t="str">
        <f t="shared" ref="M130:M137" si="30">IMSUM(K130,E130)</f>
        <v>66.1744+57.5393279999999j</v>
      </c>
      <c r="O130" s="21" t="str">
        <f t="shared" ref="O130:O137" si="31">IMDIV(E130,M130)</f>
        <v>0.489946068106976-0.426013194152385j</v>
      </c>
      <c r="S130" s="21">
        <f t="shared" si="14"/>
        <v>0.649256799152233</v>
      </c>
      <c r="U130" s="21">
        <f t="shared" si="5"/>
        <v>1.10958904109589</v>
      </c>
      <c r="V130" s="21">
        <f t="shared" si="6"/>
        <v>0.981219512195122</v>
      </c>
      <c r="X130" s="21">
        <f t="shared" si="25"/>
        <v>0.001</v>
      </c>
      <c r="Y130" s="21">
        <f t="shared" si="7"/>
        <v>5.56</v>
      </c>
      <c r="Z130" s="21">
        <f t="shared" si="26"/>
        <v>3.2</v>
      </c>
      <c r="AA130" s="21">
        <f t="shared" si="15"/>
        <v>10.24</v>
      </c>
      <c r="AB130" s="21">
        <f t="shared" si="16"/>
        <v>56.9344</v>
      </c>
      <c r="AC130" s="21">
        <f t="shared" si="17"/>
        <v>9.23999999999998</v>
      </c>
      <c r="AD130" s="21">
        <v>1</v>
      </c>
      <c r="AE130" s="21">
        <f t="shared" si="18"/>
        <v>0.017792</v>
      </c>
      <c r="AF130" s="21" t="str">
        <f t="shared" si="19"/>
        <v>1+0.017792j</v>
      </c>
      <c r="AH130" s="21" t="str">
        <f t="shared" si="20"/>
        <v>9.23999999999998+0.16439808j</v>
      </c>
      <c r="AI130" s="21" t="str">
        <f t="shared" si="21"/>
        <v>66.1744+0.16439808j</v>
      </c>
      <c r="AK130" s="21" t="str">
        <f t="shared" si="22"/>
        <v>0.860363654421244-0.00213741466320263j</v>
      </c>
      <c r="AO130" s="21">
        <f t="shared" si="23"/>
        <v>0.860366309423213</v>
      </c>
      <c r="AP130" s="21">
        <v>64</v>
      </c>
      <c r="AR130" s="21">
        <f>Compensation!$C$16</f>
        <v>1.03153846153846</v>
      </c>
      <c r="CC130" s="30"/>
      <c r="CD130" s="30"/>
      <c r="CE130" s="30"/>
    </row>
    <row r="131" s="21" customFormat="1" spans="1:83">
      <c r="A131" s="21">
        <f t="shared" si="0"/>
        <v>0.35</v>
      </c>
      <c r="B131" s="21">
        <f t="shared" si="1"/>
        <v>5.56</v>
      </c>
      <c r="C131" s="21">
        <f t="shared" si="24"/>
        <v>3.25</v>
      </c>
      <c r="D131" s="21">
        <f t="shared" ref="D131:D137" si="32">C131^2</f>
        <v>10.5625</v>
      </c>
      <c r="E131" s="21">
        <f t="shared" ref="E131:E137" si="33">B131*D131</f>
        <v>58.7275</v>
      </c>
      <c r="F131" s="21">
        <f t="shared" ref="F131:F137" si="34">C131^2-1</f>
        <v>9.56249999999998</v>
      </c>
      <c r="G131" s="21">
        <f t="shared" si="29"/>
        <v>1</v>
      </c>
      <c r="H131" s="21">
        <f t="shared" ref="H131:H137" si="35">C131*B131*A131</f>
        <v>6.3245</v>
      </c>
      <c r="I131" s="21" t="str">
        <f t="shared" ref="I131:I137" si="36">COMPLEX(G131,H131,"j")</f>
        <v>1+6.3245j</v>
      </c>
      <c r="K131" s="21" t="str">
        <f t="shared" ref="K131:K137" si="37">IMPRODUCT(I131,F131)</f>
        <v>9.56249999999998+60.4780312499999j</v>
      </c>
      <c r="M131" s="21" t="str">
        <f t="shared" si="30"/>
        <v>68.29+60.4780312499999j</v>
      </c>
      <c r="O131" s="21" t="str">
        <f t="shared" si="31"/>
        <v>0.481966697691019-0.426832581701812j</v>
      </c>
      <c r="S131" s="21">
        <f t="shared" ref="S131:S137" si="38">IMABS(O131)</f>
        <v>0.643799619823917</v>
      </c>
      <c r="U131" s="21">
        <f t="shared" si="5"/>
        <v>1.10958904109589</v>
      </c>
      <c r="V131" s="21">
        <f t="shared" si="6"/>
        <v>0.981219512195122</v>
      </c>
      <c r="X131" s="21">
        <f t="shared" si="25"/>
        <v>0.001</v>
      </c>
      <c r="Y131" s="21">
        <f t="shared" si="7"/>
        <v>5.56</v>
      </c>
      <c r="Z131" s="21">
        <f t="shared" si="26"/>
        <v>3.25</v>
      </c>
      <c r="AA131" s="21">
        <f t="shared" ref="AA131:AA137" si="39">Z131^2</f>
        <v>10.5625</v>
      </c>
      <c r="AB131" s="21">
        <f t="shared" ref="AB131:AB137" si="40">Y131*AA131</f>
        <v>58.7275</v>
      </c>
      <c r="AC131" s="21">
        <f t="shared" ref="AC131:AC137" si="41">Z131^2-1</f>
        <v>9.56249999999998</v>
      </c>
      <c r="AD131" s="21">
        <v>1</v>
      </c>
      <c r="AE131" s="21">
        <f t="shared" ref="AE131:AE137" si="42">Z131*Y131*X131</f>
        <v>0.01807</v>
      </c>
      <c r="AF131" s="21" t="str">
        <f t="shared" ref="AF131:AF137" si="43">COMPLEX(AD131,AE131,"j")</f>
        <v>1+0.01807j</v>
      </c>
      <c r="AH131" s="21" t="str">
        <f t="shared" ref="AH131:AH137" si="44">IMPRODUCT(AF131,AC131)</f>
        <v>9.56249999999998+0.172794375j</v>
      </c>
      <c r="AI131" s="21" t="str">
        <f t="shared" ref="AI131:AI137" si="45">IMSUM(AH131,AB131)</f>
        <v>68.29+0.172794375j</v>
      </c>
      <c r="AK131" s="21" t="str">
        <f t="shared" ref="AK131:AK137" si="46">IMDIV(AB131,AI131)</f>
        <v>0.859966671600245-0.0021759760366085j</v>
      </c>
      <c r="AO131" s="21">
        <f t="shared" ref="AO131:AO137" si="47">IMABS(AK131)</f>
        <v>0.859969424534917</v>
      </c>
      <c r="AP131" s="21">
        <v>65</v>
      </c>
      <c r="AR131" s="21">
        <f>Compensation!$C$16</f>
        <v>1.03153846153846</v>
      </c>
      <c r="CC131" s="30"/>
      <c r="CD131" s="30"/>
      <c r="CE131" s="30"/>
    </row>
    <row r="132" s="21" customFormat="1" spans="1:83">
      <c r="A132" s="21">
        <f t="shared" si="0"/>
        <v>0.35</v>
      </c>
      <c r="B132" s="21">
        <f t="shared" si="1"/>
        <v>5.56</v>
      </c>
      <c r="C132" s="21">
        <f t="shared" ref="C132:C137" si="48">C131+0.05</f>
        <v>3.3</v>
      </c>
      <c r="D132" s="21">
        <f t="shared" si="32"/>
        <v>10.89</v>
      </c>
      <c r="E132" s="21">
        <f t="shared" si="33"/>
        <v>60.5484</v>
      </c>
      <c r="F132" s="21">
        <f t="shared" si="34"/>
        <v>9.88999999999998</v>
      </c>
      <c r="G132" s="21">
        <f t="shared" si="29"/>
        <v>1</v>
      </c>
      <c r="H132" s="21">
        <f t="shared" si="35"/>
        <v>6.4218</v>
      </c>
      <c r="I132" s="21" t="str">
        <f t="shared" si="36"/>
        <v>1+6.4218j</v>
      </c>
      <c r="K132" s="21" t="str">
        <f t="shared" si="37"/>
        <v>9.88999999999998+63.5116019999999j</v>
      </c>
      <c r="M132" s="21" t="str">
        <f t="shared" si="30"/>
        <v>70.4384+63.5116019999999j</v>
      </c>
      <c r="O132" s="21" t="str">
        <f t="shared" si="31"/>
        <v>0.474129413627394-0.427504296162269j</v>
      </c>
      <c r="S132" s="21">
        <f t="shared" si="38"/>
        <v>0.638403183030797</v>
      </c>
      <c r="U132" s="21">
        <f t="shared" si="5"/>
        <v>1.10958904109589</v>
      </c>
      <c r="V132" s="21">
        <f t="shared" si="6"/>
        <v>0.981219512195122</v>
      </c>
      <c r="X132" s="21">
        <f t="shared" ref="X132:X137" si="49">X131</f>
        <v>0.001</v>
      </c>
      <c r="Y132" s="21">
        <f t="shared" si="7"/>
        <v>5.56</v>
      </c>
      <c r="Z132" s="21">
        <f t="shared" ref="Z132:Z137" si="50">Z131+0.05</f>
        <v>3.3</v>
      </c>
      <c r="AA132" s="21">
        <f t="shared" si="39"/>
        <v>10.89</v>
      </c>
      <c r="AB132" s="21">
        <f t="shared" si="40"/>
        <v>60.5484</v>
      </c>
      <c r="AC132" s="21">
        <f t="shared" si="41"/>
        <v>9.88999999999998</v>
      </c>
      <c r="AD132" s="21">
        <v>1</v>
      </c>
      <c r="AE132" s="21">
        <f t="shared" si="42"/>
        <v>0.018348</v>
      </c>
      <c r="AF132" s="21" t="str">
        <f t="shared" si="43"/>
        <v>1+0.018348j</v>
      </c>
      <c r="AH132" s="21" t="str">
        <f t="shared" si="44"/>
        <v>9.88999999999998+0.18146172j</v>
      </c>
      <c r="AI132" s="21" t="str">
        <f t="shared" si="45"/>
        <v>70.4384+0.18146172j</v>
      </c>
      <c r="AK132" s="21" t="str">
        <f t="shared" si="46"/>
        <v>0.859587925934198-0.00221444983888408j</v>
      </c>
      <c r="AO132" s="21">
        <f t="shared" si="47"/>
        <v>0.859590778335799</v>
      </c>
      <c r="AP132" s="21">
        <v>66</v>
      </c>
      <c r="AR132" s="21">
        <f>Compensation!$C$16</f>
        <v>1.03153846153846</v>
      </c>
      <c r="CC132" s="30"/>
      <c r="CD132" s="30"/>
      <c r="CE132" s="30"/>
    </row>
    <row r="133" s="21" customFormat="1" spans="1:83">
      <c r="A133" s="21">
        <f t="shared" si="0"/>
        <v>0.35</v>
      </c>
      <c r="B133" s="21">
        <f t="shared" si="1"/>
        <v>5.56</v>
      </c>
      <c r="C133" s="21">
        <f t="shared" si="48"/>
        <v>3.35</v>
      </c>
      <c r="D133" s="21">
        <f t="shared" si="32"/>
        <v>11.2225</v>
      </c>
      <c r="E133" s="21">
        <f t="shared" si="33"/>
        <v>62.3971</v>
      </c>
      <c r="F133" s="21">
        <f t="shared" si="34"/>
        <v>10.2225</v>
      </c>
      <c r="G133" s="21">
        <f t="shared" si="29"/>
        <v>1</v>
      </c>
      <c r="H133" s="21">
        <f t="shared" si="35"/>
        <v>6.5191</v>
      </c>
      <c r="I133" s="21" t="str">
        <f t="shared" si="36"/>
        <v>1+6.5191j</v>
      </c>
      <c r="K133" s="21" t="str">
        <f t="shared" si="37"/>
        <v>10.2225+66.64149975j</v>
      </c>
      <c r="M133" s="21" t="str">
        <f t="shared" si="30"/>
        <v>72.6196+66.64149975j</v>
      </c>
      <c r="O133" s="21" t="str">
        <f t="shared" si="31"/>
        <v>0.466432767393849-0.428035670145098j</v>
      </c>
      <c r="S133" s="21">
        <f t="shared" si="38"/>
        <v>0.63306718554609</v>
      </c>
      <c r="U133" s="21">
        <f t="shared" si="5"/>
        <v>1.10958904109589</v>
      </c>
      <c r="V133" s="21">
        <f t="shared" si="6"/>
        <v>0.981219512195122</v>
      </c>
      <c r="X133" s="21">
        <f t="shared" si="49"/>
        <v>0.001</v>
      </c>
      <c r="Y133" s="21">
        <f t="shared" si="7"/>
        <v>5.56</v>
      </c>
      <c r="Z133" s="21">
        <f t="shared" si="50"/>
        <v>3.35</v>
      </c>
      <c r="AA133" s="21">
        <f t="shared" si="39"/>
        <v>11.2225</v>
      </c>
      <c r="AB133" s="21">
        <f t="shared" si="40"/>
        <v>62.3971</v>
      </c>
      <c r="AC133" s="21">
        <f t="shared" si="41"/>
        <v>10.2225</v>
      </c>
      <c r="AD133" s="21">
        <v>1</v>
      </c>
      <c r="AE133" s="21">
        <f t="shared" si="42"/>
        <v>0.018626</v>
      </c>
      <c r="AF133" s="21" t="str">
        <f t="shared" si="43"/>
        <v>1+0.018626j</v>
      </c>
      <c r="AH133" s="21" t="str">
        <f t="shared" si="44"/>
        <v>10.2225+0.190404285j</v>
      </c>
      <c r="AI133" s="21" t="str">
        <f t="shared" si="45"/>
        <v>72.6196+0.190404285j</v>
      </c>
      <c r="AK133" s="21" t="str">
        <f t="shared" si="46"/>
        <v>0.859226311485152-0.00225284043827724j</v>
      </c>
      <c r="AO133" s="21">
        <f t="shared" si="47"/>
        <v>0.859229264887096</v>
      </c>
      <c r="AP133" s="21">
        <v>67</v>
      </c>
      <c r="AR133" s="21">
        <f>Compensation!$C$16</f>
        <v>1.03153846153846</v>
      </c>
      <c r="CC133" s="30"/>
      <c r="CD133" s="30"/>
      <c r="CE133" s="30"/>
    </row>
    <row r="134" s="21" customFormat="1" spans="1:83">
      <c r="A134" s="21">
        <f t="shared" si="0"/>
        <v>0.35</v>
      </c>
      <c r="B134" s="21">
        <f t="shared" si="1"/>
        <v>5.56</v>
      </c>
      <c r="C134" s="21">
        <f t="shared" si="48"/>
        <v>3.4</v>
      </c>
      <c r="D134" s="21">
        <f t="shared" si="32"/>
        <v>11.56</v>
      </c>
      <c r="E134" s="21">
        <f t="shared" si="33"/>
        <v>64.2736</v>
      </c>
      <c r="F134" s="21">
        <f t="shared" si="34"/>
        <v>10.56</v>
      </c>
      <c r="G134" s="21">
        <f t="shared" si="29"/>
        <v>1</v>
      </c>
      <c r="H134" s="21">
        <f t="shared" si="35"/>
        <v>6.6164</v>
      </c>
      <c r="I134" s="21" t="str">
        <f t="shared" si="36"/>
        <v>1+6.6164j</v>
      </c>
      <c r="K134" s="21" t="str">
        <f t="shared" si="37"/>
        <v>10.56+69.869184j</v>
      </c>
      <c r="M134" s="21" t="str">
        <f t="shared" si="30"/>
        <v>74.8336+69.869184j</v>
      </c>
      <c r="O134" s="21" t="str">
        <f t="shared" si="31"/>
        <v>0.458875229581491-0.428433722935572j</v>
      </c>
      <c r="S134" s="21">
        <f t="shared" si="38"/>
        <v>0.627791311879912</v>
      </c>
      <c r="U134" s="21">
        <f t="shared" si="5"/>
        <v>1.10958904109589</v>
      </c>
      <c r="V134" s="21">
        <f t="shared" si="6"/>
        <v>0.981219512195122</v>
      </c>
      <c r="X134" s="21">
        <f t="shared" si="49"/>
        <v>0.001</v>
      </c>
      <c r="Y134" s="21">
        <f t="shared" si="7"/>
        <v>5.56</v>
      </c>
      <c r="Z134" s="21">
        <f t="shared" si="50"/>
        <v>3.4</v>
      </c>
      <c r="AA134" s="21">
        <f t="shared" si="39"/>
        <v>11.56</v>
      </c>
      <c r="AB134" s="21">
        <f t="shared" si="40"/>
        <v>64.2736</v>
      </c>
      <c r="AC134" s="21">
        <f t="shared" si="41"/>
        <v>10.56</v>
      </c>
      <c r="AD134" s="21">
        <v>1</v>
      </c>
      <c r="AE134" s="21">
        <f t="shared" si="42"/>
        <v>0.018904</v>
      </c>
      <c r="AF134" s="21" t="str">
        <f t="shared" si="43"/>
        <v>1+0.018904j</v>
      </c>
      <c r="AH134" s="21" t="str">
        <f t="shared" si="44"/>
        <v>10.56+0.19962624j</v>
      </c>
      <c r="AI134" s="21" t="str">
        <f t="shared" si="45"/>
        <v>74.8336+0.19962624j</v>
      </c>
      <c r="AK134" s="21" t="str">
        <f t="shared" si="46"/>
        <v>0.858880805225974-0.00229115191244887j</v>
      </c>
      <c r="AO134" s="21">
        <f t="shared" si="47"/>
        <v>0.858883861160928</v>
      </c>
      <c r="AP134" s="21">
        <v>68</v>
      </c>
      <c r="AR134" s="21">
        <f>Compensation!$C$16</f>
        <v>1.03153846153846</v>
      </c>
      <c r="CC134" s="30"/>
      <c r="CD134" s="30"/>
      <c r="CE134" s="30"/>
    </row>
    <row r="135" s="21" customFormat="1" spans="1:83">
      <c r="A135" s="21">
        <f t="shared" si="0"/>
        <v>0.35</v>
      </c>
      <c r="B135" s="21">
        <f t="shared" si="1"/>
        <v>5.56</v>
      </c>
      <c r="C135" s="21">
        <f t="shared" si="48"/>
        <v>3.45</v>
      </c>
      <c r="D135" s="21">
        <f t="shared" si="32"/>
        <v>11.9025</v>
      </c>
      <c r="E135" s="21">
        <f t="shared" si="33"/>
        <v>66.1779</v>
      </c>
      <c r="F135" s="21">
        <f t="shared" si="34"/>
        <v>10.9025</v>
      </c>
      <c r="G135" s="21">
        <f t="shared" si="29"/>
        <v>1</v>
      </c>
      <c r="H135" s="21">
        <f t="shared" si="35"/>
        <v>6.7137</v>
      </c>
      <c r="I135" s="21" t="str">
        <f t="shared" si="36"/>
        <v>1+6.7137j</v>
      </c>
      <c r="K135" s="21" t="str">
        <f t="shared" si="37"/>
        <v>10.9025+73.19611425j</v>
      </c>
      <c r="M135" s="21" t="str">
        <f t="shared" si="30"/>
        <v>77.0804+73.19611425j</v>
      </c>
      <c r="O135" s="21" t="str">
        <f t="shared" si="31"/>
        <v>0.451455197322577-0.428705172806312j</v>
      </c>
      <c r="S135" s="21">
        <f t="shared" si="38"/>
        <v>0.622575232707226</v>
      </c>
      <c r="U135" s="21">
        <f t="shared" si="5"/>
        <v>1.10958904109589</v>
      </c>
      <c r="V135" s="21">
        <f t="shared" si="6"/>
        <v>0.981219512195122</v>
      </c>
      <c r="X135" s="21">
        <f t="shared" si="49"/>
        <v>0.001</v>
      </c>
      <c r="Y135" s="21">
        <f t="shared" si="7"/>
        <v>5.56</v>
      </c>
      <c r="Z135" s="21">
        <f t="shared" si="50"/>
        <v>3.45</v>
      </c>
      <c r="AA135" s="21">
        <f t="shared" si="39"/>
        <v>11.9025</v>
      </c>
      <c r="AB135" s="21">
        <f t="shared" si="40"/>
        <v>66.1779</v>
      </c>
      <c r="AC135" s="21">
        <f t="shared" si="41"/>
        <v>10.9025</v>
      </c>
      <c r="AD135" s="21">
        <v>1</v>
      </c>
      <c r="AE135" s="21">
        <f t="shared" si="42"/>
        <v>0.019182</v>
      </c>
      <c r="AF135" s="21" t="str">
        <f t="shared" si="43"/>
        <v>1+0.019182j</v>
      </c>
      <c r="AH135" s="21" t="str">
        <f t="shared" si="44"/>
        <v>10.9025+0.209131755j</v>
      </c>
      <c r="AI135" s="21" t="str">
        <f t="shared" si="45"/>
        <v>77.0804+0.209131755j</v>
      </c>
      <c r="AK135" s="21" t="str">
        <f t="shared" si="46"/>
        <v>0.858550459662694-0.00232938807252318j</v>
      </c>
      <c r="AO135" s="21">
        <f t="shared" si="47"/>
        <v>0.858553619662637</v>
      </c>
      <c r="AP135" s="21">
        <v>69</v>
      </c>
      <c r="AR135" s="21">
        <f>Compensation!$C$16</f>
        <v>1.03153846153846</v>
      </c>
      <c r="CC135" s="30"/>
      <c r="CD135" s="30"/>
      <c r="CE135" s="30"/>
    </row>
    <row r="136" s="21" customFormat="1" spans="1:83">
      <c r="A136" s="21">
        <f t="shared" si="0"/>
        <v>0.35</v>
      </c>
      <c r="B136" s="21">
        <f t="shared" si="1"/>
        <v>5.56</v>
      </c>
      <c r="C136" s="21">
        <f t="shared" si="48"/>
        <v>3.5</v>
      </c>
      <c r="D136" s="21">
        <f t="shared" si="32"/>
        <v>12.25</v>
      </c>
      <c r="E136" s="21">
        <f t="shared" si="33"/>
        <v>68.11</v>
      </c>
      <c r="F136" s="21">
        <f t="shared" si="34"/>
        <v>11.25</v>
      </c>
      <c r="G136" s="21">
        <f t="shared" si="29"/>
        <v>1</v>
      </c>
      <c r="H136" s="21">
        <f t="shared" si="35"/>
        <v>6.811</v>
      </c>
      <c r="I136" s="21" t="str">
        <f t="shared" si="36"/>
        <v>1+6.811j</v>
      </c>
      <c r="K136" s="21" t="str">
        <f t="shared" si="37"/>
        <v>11.25+76.62375j</v>
      </c>
      <c r="M136" s="21" t="str">
        <f t="shared" si="30"/>
        <v>79.36+76.62375j</v>
      </c>
      <c r="O136" s="21" t="str">
        <f t="shared" si="31"/>
        <v>0.444171001518151-0.428856448810187j</v>
      </c>
      <c r="S136" s="21">
        <f t="shared" si="38"/>
        <v>0.617418603765486</v>
      </c>
      <c r="U136" s="21">
        <f t="shared" si="5"/>
        <v>1.10958904109589</v>
      </c>
      <c r="V136" s="21">
        <f t="shared" si="6"/>
        <v>0.981219512195122</v>
      </c>
      <c r="X136" s="21">
        <f t="shared" si="49"/>
        <v>0.001</v>
      </c>
      <c r="Y136" s="21">
        <f t="shared" si="7"/>
        <v>5.56</v>
      </c>
      <c r="Z136" s="21">
        <f t="shared" si="50"/>
        <v>3.5</v>
      </c>
      <c r="AA136" s="21">
        <f t="shared" si="39"/>
        <v>12.25</v>
      </c>
      <c r="AB136" s="21">
        <f t="shared" si="40"/>
        <v>68.11</v>
      </c>
      <c r="AC136" s="21">
        <f t="shared" si="41"/>
        <v>11.25</v>
      </c>
      <c r="AD136" s="21">
        <v>1</v>
      </c>
      <c r="AE136" s="21">
        <f t="shared" si="42"/>
        <v>0.01946</v>
      </c>
      <c r="AF136" s="21" t="str">
        <f t="shared" si="43"/>
        <v>1+0.01946j</v>
      </c>
      <c r="AH136" s="21" t="str">
        <f t="shared" si="44"/>
        <v>11.25+0.218925j</v>
      </c>
      <c r="AI136" s="21" t="str">
        <f t="shared" si="45"/>
        <v>79.36+0.218925j</v>
      </c>
      <c r="AK136" s="21" t="str">
        <f t="shared" si="46"/>
        <v>0.858234396214368-0.00236755248476853j</v>
      </c>
      <c r="AO136" s="21">
        <f t="shared" si="47"/>
        <v>0.858237661810648</v>
      </c>
      <c r="AP136" s="21">
        <v>70</v>
      </c>
      <c r="AR136" s="21">
        <f>Compensation!$C$16</f>
        <v>1.03153846153846</v>
      </c>
      <c r="CC136" s="30"/>
      <c r="CD136" s="30"/>
      <c r="CE136" s="30"/>
    </row>
    <row r="137" s="21" customFormat="1" spans="1:83">
      <c r="A137" s="21">
        <f t="shared" si="0"/>
        <v>0.35</v>
      </c>
      <c r="B137" s="21">
        <f t="shared" si="1"/>
        <v>5.56</v>
      </c>
      <c r="C137" s="21">
        <f t="shared" si="48"/>
        <v>3.55</v>
      </c>
      <c r="D137" s="21">
        <f t="shared" si="32"/>
        <v>12.6025</v>
      </c>
      <c r="E137" s="21">
        <f t="shared" si="33"/>
        <v>70.0699</v>
      </c>
      <c r="F137" s="21">
        <f t="shared" si="34"/>
        <v>11.6025</v>
      </c>
      <c r="G137" s="21">
        <f t="shared" si="29"/>
        <v>1</v>
      </c>
      <c r="H137" s="21">
        <f t="shared" si="35"/>
        <v>6.9083</v>
      </c>
      <c r="I137" s="21" t="str">
        <f t="shared" si="36"/>
        <v>1+6.9083j</v>
      </c>
      <c r="K137" s="21" t="str">
        <f t="shared" si="37"/>
        <v>11.6025+80.15355075j</v>
      </c>
      <c r="M137" s="21" t="str">
        <f t="shared" si="30"/>
        <v>81.6724+80.15355075j</v>
      </c>
      <c r="O137" s="21" t="str">
        <f t="shared" si="31"/>
        <v>0.437020913827458-0.428893702098635j</v>
      </c>
      <c r="S137" s="21">
        <f t="shared" si="38"/>
        <v>0.612321065146757</v>
      </c>
      <c r="U137" s="21">
        <f t="shared" si="5"/>
        <v>1.10958904109589</v>
      </c>
      <c r="V137" s="21">
        <f t="shared" si="6"/>
        <v>0.981219512195122</v>
      </c>
      <c r="X137" s="21">
        <f t="shared" si="49"/>
        <v>0.001</v>
      </c>
      <c r="Y137" s="21">
        <f t="shared" si="7"/>
        <v>5.56</v>
      </c>
      <c r="Z137" s="21">
        <f t="shared" si="50"/>
        <v>3.55</v>
      </c>
      <c r="AA137" s="21">
        <f t="shared" si="39"/>
        <v>12.6025</v>
      </c>
      <c r="AB137" s="21">
        <f t="shared" si="40"/>
        <v>70.0699</v>
      </c>
      <c r="AC137" s="21">
        <f t="shared" si="41"/>
        <v>11.6025</v>
      </c>
      <c r="AD137" s="21">
        <v>1</v>
      </c>
      <c r="AE137" s="21">
        <f t="shared" si="42"/>
        <v>0.019738</v>
      </c>
      <c r="AF137" s="21" t="str">
        <f t="shared" si="43"/>
        <v>1+0.019738j</v>
      </c>
      <c r="AH137" s="21" t="str">
        <f t="shared" si="44"/>
        <v>11.6025+0.229010145j</v>
      </c>
      <c r="AI137" s="21" t="str">
        <f t="shared" si="45"/>
        <v>81.6724+0.229010145j</v>
      </c>
      <c r="AK137" s="21" t="str">
        <f t="shared" si="46"/>
        <v>0.857931799262547-0.00240564849017816j</v>
      </c>
      <c r="AO137" s="21">
        <f t="shared" si="47"/>
        <v>0.857935171985931</v>
      </c>
      <c r="AP137" s="21">
        <v>71</v>
      </c>
      <c r="AR137" s="21">
        <f>Compensation!$C$16</f>
        <v>1.03153846153846</v>
      </c>
      <c r="CC137" s="30"/>
      <c r="CD137" s="30"/>
      <c r="CE137" s="30"/>
    </row>
    <row r="138" s="22" customFormat="1" spans="81:83">
      <c r="CC138" s="26"/>
      <c r="CD138" s="26"/>
      <c r="CE138" s="26"/>
    </row>
    <row r="139" s="22" customFormat="1" spans="81:83">
      <c r="CC139" s="26"/>
      <c r="CD139" s="26"/>
      <c r="CE139" s="26"/>
    </row>
    <row r="140" spans="1:83">
      <c r="A140" s="5"/>
      <c r="B140" s="5"/>
      <c r="C140" s="31"/>
      <c r="D140" s="5"/>
      <c r="E140" s="5"/>
      <c r="F140" s="5"/>
      <c r="G140" s="5"/>
      <c r="H140" s="5"/>
      <c r="I140" s="5"/>
      <c r="J140" s="5"/>
      <c r="K140" s="5"/>
      <c r="L140" s="5"/>
      <c r="M140" s="5"/>
      <c r="N140" s="5"/>
      <c r="O140" s="5"/>
      <c r="P140" s="5"/>
      <c r="Q140" s="5"/>
      <c r="R140" s="5"/>
      <c r="S140" s="31"/>
      <c r="T140" s="5"/>
      <c r="U140" s="5"/>
      <c r="V140" s="5"/>
      <c r="W140" s="5"/>
      <c r="X140" s="5"/>
      <c r="Y140" s="5"/>
      <c r="Z140" s="5"/>
      <c r="AA140" s="5"/>
      <c r="AB140" s="5"/>
      <c r="AC140" s="5"/>
      <c r="AD140" s="5"/>
      <c r="AE140" s="5"/>
      <c r="AF140" s="5"/>
      <c r="AG140" s="5"/>
      <c r="AH140" s="5"/>
      <c r="AI140" s="5"/>
      <c r="AJ140" s="5"/>
      <c r="AK140" s="5"/>
      <c r="AL140" s="5"/>
      <c r="AM140" s="5"/>
      <c r="AN140" s="5"/>
      <c r="AO140" s="5"/>
      <c r="AP140" s="5"/>
      <c r="CC140" s="26"/>
      <c r="CD140" s="26"/>
      <c r="CE140" s="26"/>
    </row>
    <row r="141" spans="81:83">
      <c r="CC141" s="26"/>
      <c r="CD141" s="26"/>
      <c r="CE141" s="26"/>
    </row>
    <row r="142" spans="81:83">
      <c r="CC142" s="26"/>
      <c r="CD142" s="26"/>
      <c r="CE142" s="26"/>
    </row>
    <row r="143" spans="81:83">
      <c r="CC143" s="26"/>
      <c r="CD143" s="26"/>
      <c r="CE143" s="26"/>
    </row>
    <row r="144" spans="81:83">
      <c r="CC144" s="26"/>
      <c r="CD144" s="26"/>
      <c r="CE144" s="26"/>
    </row>
    <row r="145" spans="81:83">
      <c r="CC145" s="26"/>
      <c r="CD145" s="26"/>
      <c r="CE145" s="26"/>
    </row>
    <row r="146" spans="81:83">
      <c r="CC146" s="26"/>
      <c r="CD146" s="26"/>
      <c r="CE146" s="26"/>
    </row>
    <row r="147" spans="81:83">
      <c r="CC147" s="26"/>
      <c r="CD147" s="26"/>
      <c r="CE147" s="26"/>
    </row>
    <row r="148" spans="81:83">
      <c r="CC148" s="26"/>
      <c r="CD148" s="26"/>
      <c r="CE148" s="26"/>
    </row>
    <row r="149" spans="81:83">
      <c r="CC149" s="26"/>
      <c r="CD149" s="26"/>
      <c r="CE149" s="26"/>
    </row>
    <row r="150" spans="81:83">
      <c r="CC150" s="26"/>
      <c r="CD150" s="26"/>
      <c r="CE150" s="26"/>
    </row>
    <row r="151" spans="81:83">
      <c r="CC151" s="26"/>
      <c r="CD151" s="26"/>
      <c r="CE151" s="26"/>
    </row>
    <row r="152" spans="81:83">
      <c r="CC152" s="26"/>
      <c r="CD152" s="26"/>
      <c r="CE152" s="26"/>
    </row>
    <row r="153" spans="81:83">
      <c r="CC153" s="26"/>
      <c r="CD153" s="26"/>
      <c r="CE153" s="26"/>
    </row>
    <row r="154" spans="81:83">
      <c r="CC154" s="26"/>
      <c r="CD154" s="26"/>
      <c r="CE154" s="26"/>
    </row>
    <row r="155" spans="81:83">
      <c r="CC155" s="26"/>
      <c r="CD155" s="26"/>
      <c r="CE155" s="26"/>
    </row>
    <row r="156" spans="81:83">
      <c r="CC156" s="26"/>
      <c r="CD156" s="26"/>
      <c r="CE156" s="26"/>
    </row>
    <row r="157" spans="81:83">
      <c r="CC157" s="26"/>
      <c r="CD157" s="26"/>
      <c r="CE157" s="26"/>
    </row>
    <row r="158" spans="81:83">
      <c r="CC158" s="26"/>
      <c r="CD158" s="26"/>
      <c r="CE158" s="26"/>
    </row>
    <row r="159" spans="81:83">
      <c r="CC159" s="26"/>
      <c r="CD159" s="26"/>
      <c r="CE159" s="26"/>
    </row>
    <row r="160" spans="81:83">
      <c r="CC160" s="26"/>
      <c r="CD160" s="26"/>
      <c r="CE160" s="26"/>
    </row>
    <row r="161" spans="81:83">
      <c r="CC161" s="26"/>
      <c r="CD161" s="26"/>
      <c r="CE161" s="26"/>
    </row>
    <row r="162" spans="81:83">
      <c r="CC162" s="26"/>
      <c r="CD162" s="26"/>
      <c r="CE162" s="26"/>
    </row>
    <row r="163" spans="81:83">
      <c r="CC163" s="26"/>
      <c r="CD163" s="26"/>
      <c r="CE163" s="26"/>
    </row>
    <row r="164" spans="81:83">
      <c r="CC164" s="26"/>
      <c r="CD164" s="26"/>
      <c r="CE164" s="26"/>
    </row>
    <row r="165" spans="81:83">
      <c r="CC165" s="26"/>
      <c r="CD165" s="26"/>
      <c r="CE165" s="26"/>
    </row>
    <row r="166" spans="81:83">
      <c r="CC166" s="26"/>
      <c r="CD166" s="26"/>
      <c r="CE166" s="26"/>
    </row>
    <row r="167" spans="81:83">
      <c r="CC167" s="26"/>
      <c r="CD167" s="26"/>
      <c r="CE167" s="26"/>
    </row>
    <row r="168" spans="81:83">
      <c r="CC168" s="26"/>
      <c r="CD168" s="26"/>
      <c r="CE168" s="26"/>
    </row>
    <row r="169" spans="81:83">
      <c r="CC169" s="26"/>
      <c r="CD169" s="26"/>
      <c r="CE169" s="26"/>
    </row>
    <row r="170" spans="81:83">
      <c r="CC170" s="26"/>
      <c r="CD170" s="26"/>
      <c r="CE170" s="26"/>
    </row>
    <row r="171" spans="81:83">
      <c r="CC171" s="26"/>
      <c r="CD171" s="26"/>
      <c r="CE171" s="26"/>
    </row>
    <row r="172" spans="81:83">
      <c r="CC172" s="26"/>
      <c r="CD172" s="26"/>
      <c r="CE172" s="26"/>
    </row>
    <row r="173" spans="81:83">
      <c r="CC173" s="26"/>
      <c r="CD173" s="26"/>
      <c r="CE173" s="26"/>
    </row>
    <row r="174" spans="81:83">
      <c r="CC174" s="26"/>
      <c r="CD174" s="26"/>
      <c r="CE174" s="26"/>
    </row>
    <row r="175" spans="5:83">
      <c r="E175" t="s">
        <v>374</v>
      </c>
      <c r="CC175" s="26"/>
      <c r="CD175" s="26"/>
      <c r="CE175" s="26"/>
    </row>
    <row r="176" spans="81:83">
      <c r="CC176" s="26"/>
      <c r="CD176" s="26"/>
      <c r="CE176" s="26"/>
    </row>
    <row r="177" spans="1:83">
      <c r="A177" t="s">
        <v>375</v>
      </c>
      <c r="J177" t="s">
        <v>376</v>
      </c>
      <c r="CC177" s="26"/>
      <c r="CD177" s="26"/>
      <c r="CE177" s="26"/>
    </row>
    <row r="178" ht="18" spans="1:83">
      <c r="A178" s="32" t="s">
        <v>377</v>
      </c>
      <c r="B178" s="33">
        <f>10^-3</f>
        <v>0.001</v>
      </c>
      <c r="E178" s="34" t="s">
        <v>378</v>
      </c>
      <c r="F178" s="34"/>
      <c r="G178" s="34"/>
      <c r="J178" s="35" t="s">
        <v>379</v>
      </c>
      <c r="K178" s="36">
        <f>(1/(2*PI()*fllc*kHz*Re_fl*Qe_selected))/picoF</f>
        <v>46375.0955877152</v>
      </c>
      <c r="L178" s="36"/>
      <c r="M178" s="35" t="s">
        <v>11</v>
      </c>
      <c r="CC178" s="26"/>
      <c r="CD178" s="26"/>
      <c r="CE178" s="26"/>
    </row>
    <row r="179" ht="18" spans="1:83">
      <c r="A179" s="32" t="s">
        <v>380</v>
      </c>
      <c r="B179" s="33">
        <f>(10^-6)</f>
        <v>1e-6</v>
      </c>
      <c r="E179" s="34" t="s">
        <v>381</v>
      </c>
      <c r="F179" s="34"/>
      <c r="G179" s="34"/>
      <c r="J179" s="35" t="s">
        <v>382</v>
      </c>
      <c r="K179" s="35">
        <f ca="1">(IF(Cr_initial&lt;10000,K180*10^INT(LOG(Cr_initial)),K181*10^INT(LOG(Cr_initial))))*10^-6</f>
        <v>0.047</v>
      </c>
      <c r="L179" s="35"/>
      <c r="M179" s="35" t="str">
        <f>IF(Cr_initial&lt;10000,"pF","uF")</f>
        <v>uF</v>
      </c>
      <c r="CC179" s="26"/>
      <c r="CD179" s="26"/>
      <c r="CE179" s="26"/>
    </row>
    <row r="180" spans="1:83">
      <c r="A180" s="32" t="s">
        <v>383</v>
      </c>
      <c r="B180" s="33">
        <f>10^3</f>
        <v>1000</v>
      </c>
      <c r="E180" s="35">
        <v>1</v>
      </c>
      <c r="F180" s="35">
        <v>1.2</v>
      </c>
      <c r="G180" s="35"/>
      <c r="J180" s="35"/>
      <c r="K180" s="35">
        <f ca="1">IF((10^(LOG(Cr_initial)-INT(LOG(Cr_initial))))-VLOOKUP((10^(LOG(Cr_initial)-INT(LOG(Cr_initial)))),C_s1:C_f1,1)&lt;VLOOKUP((10^(LOG(Cr_initial)-INT(LOG(Cr_initial)))),C_s1:C_f1,2)-(10^(LOG(Cr_initial)-INT(LOG(Cr_initial)))),VLOOKUP((10^(LOG(Cr_initial)-INT(LOG(Cr_initial)))),C_s1:C_f1,1),VLOOKUP((10^(LOG(Cr_initial)-INT(LOG(Cr_initial)))),C_s1:C_f1,2))</f>
        <v>4.7</v>
      </c>
      <c r="L180" s="35"/>
      <c r="M180" s="35"/>
      <c r="CC180" s="26"/>
      <c r="CD180" s="26"/>
      <c r="CE180" s="26"/>
    </row>
    <row r="181" spans="1:83">
      <c r="A181" s="32" t="s">
        <v>384</v>
      </c>
      <c r="B181" s="33">
        <f>10^-3</f>
        <v>0.001</v>
      </c>
      <c r="E181" s="35">
        <v>1.2</v>
      </c>
      <c r="F181" s="35">
        <v>1.5</v>
      </c>
      <c r="G181" s="35"/>
      <c r="J181" s="35"/>
      <c r="K181" s="35">
        <f ca="1">IF((10^(LOG(Cr_initial)-INT(LOG(Cr_initial))))-VLOOKUP((10^(LOG(Cr_initial)-INT(LOG(Cr_initial)))),C_s2:C_f2,1)&lt;VLOOKUP((10^(LOG(Cr_initial)-INT(LOG(Cr_initial)))),C_s2:C_f2,2)-(10^(LOG(Cr_initial)-INT(LOG(Cr_initial)))),VLOOKUP((10^(LOG(Cr_initial)-INT(LOG(Cr_initial)))),C_s2:C_f2,1),VLOOKUP((10^(LOG(Cr_initial)-INT(LOG(Cr_initial)))),C_s2:C_f2,2))</f>
        <v>4.7</v>
      </c>
      <c r="L181" s="35"/>
      <c r="M181" s="35"/>
      <c r="CC181" s="26"/>
      <c r="CD181" s="26"/>
      <c r="CE181" s="26"/>
    </row>
    <row r="182" spans="1:83">
      <c r="A182" s="32" t="s">
        <v>385</v>
      </c>
      <c r="B182" s="33">
        <f>10^-3</f>
        <v>0.001</v>
      </c>
      <c r="E182" s="35">
        <v>1.5</v>
      </c>
      <c r="F182" s="35">
        <v>1.8</v>
      </c>
      <c r="G182" s="35"/>
      <c r="CC182" s="26"/>
      <c r="CD182" s="26"/>
      <c r="CE182" s="26"/>
    </row>
    <row r="183" spans="1:83">
      <c r="A183" s="32" t="s">
        <v>386</v>
      </c>
      <c r="B183" s="33">
        <f>10^-3</f>
        <v>0.001</v>
      </c>
      <c r="E183" s="35">
        <v>1.8</v>
      </c>
      <c r="F183" s="35">
        <v>2.2</v>
      </c>
      <c r="G183" s="35"/>
      <c r="CC183" s="26"/>
      <c r="CD183" s="26"/>
      <c r="CE183" s="26"/>
    </row>
    <row r="184" spans="1:83">
      <c r="A184" s="32" t="s">
        <v>387</v>
      </c>
      <c r="B184" s="33">
        <f>10^-6</f>
        <v>1e-6</v>
      </c>
      <c r="E184" s="35">
        <v>2.2</v>
      </c>
      <c r="F184" s="35">
        <v>2.7</v>
      </c>
      <c r="G184" s="35"/>
      <c r="J184" t="s">
        <v>388</v>
      </c>
      <c r="CC184" s="26"/>
      <c r="CD184" s="26"/>
      <c r="CE184" s="26"/>
    </row>
    <row r="185" spans="1:83">
      <c r="A185" s="32" t="s">
        <v>389</v>
      </c>
      <c r="B185" s="33">
        <f>10^-6</f>
        <v>1e-6</v>
      </c>
      <c r="E185" s="35">
        <v>2.7</v>
      </c>
      <c r="F185" s="35">
        <v>3.3</v>
      </c>
      <c r="G185" s="35"/>
      <c r="J185" t="s">
        <v>390</v>
      </c>
      <c r="K185" t="e">
        <f>1/(2*PI()*10*kHz*Rcs_LLC*mOhm)/picoF</f>
        <v>#REF!</v>
      </c>
      <c r="M185" s="35" t="s">
        <v>11</v>
      </c>
      <c r="CC185" s="26"/>
      <c r="CD185" s="26"/>
      <c r="CE185" s="26"/>
    </row>
    <row r="186" spans="1:83">
      <c r="A186" s="32" t="s">
        <v>391</v>
      </c>
      <c r="B186" s="33">
        <f>10^-9</f>
        <v>1e-9</v>
      </c>
      <c r="E186" s="35">
        <v>3.3</v>
      </c>
      <c r="F186" s="35">
        <v>3.9</v>
      </c>
      <c r="G186" s="35"/>
      <c r="J186" t="s">
        <v>392</v>
      </c>
      <c r="K186" t="e">
        <f ca="1">(IF(C_1initial&lt;10000,K187*10^INT(LOG(C_1initial)),K188*10^INT(LOG(C_1initial))))*10^-6</f>
        <v>#REF!</v>
      </c>
      <c r="M186" s="35" t="e">
        <f>IF(C_1initial&lt;10000,"pF","uF")</f>
        <v>#REF!</v>
      </c>
      <c r="CC186" s="26"/>
      <c r="CD186" s="26"/>
      <c r="CE186" s="26"/>
    </row>
    <row r="187" spans="1:83">
      <c r="A187" s="32" t="s">
        <v>393</v>
      </c>
      <c r="B187" s="33">
        <f>10^-3</f>
        <v>0.001</v>
      </c>
      <c r="E187" s="35">
        <v>3.9</v>
      </c>
      <c r="F187" s="35">
        <v>4.7</v>
      </c>
      <c r="G187" s="35"/>
      <c r="K187" t="e">
        <f ca="1">IF((10^(LOG(C_1initial)-INT(LOG(C_1initial))))-VLOOKUP((10^(LOG(C_1initial)-INT(LOG(C_1initial)))),C_s1:C_f1,1)&lt;VLOOKUP((10^(LOG(C_1initial)-INT(LOG(C_1initial)))),C_s1:C_f1,2)-(10^(LOG(C_1initial)-INT(LOG(C_1initial)))),VLOOKUP((10^(LOG(C_1initial)-INT(LOG(C_1initial)))),C_s1:C_f1,1),VLOOKUP((10^(LOG(C_1initial)-INT(LOG(C_1initial)))),C_s1:C_f1,2))</f>
        <v>#REF!</v>
      </c>
      <c r="CC187" s="26"/>
      <c r="CD187" s="26"/>
      <c r="CE187" s="26"/>
    </row>
    <row r="188" spans="1:83">
      <c r="A188" s="32" t="s">
        <v>394</v>
      </c>
      <c r="B188" s="33">
        <f>10^-12</f>
        <v>1e-12</v>
      </c>
      <c r="E188" s="35">
        <v>4.7</v>
      </c>
      <c r="F188" s="35">
        <v>5.6</v>
      </c>
      <c r="G188" s="35"/>
      <c r="K188" t="e">
        <f ca="1">IF((10^(LOG(C_1initial)-INT(LOG(C_1initial))))-VLOOKUP((10^(LOG(C_1initial)-INT(LOG(C_1initial)))),C_s2:C_f2,1)&lt;VLOOKUP((10^(LOG(C_1initial)-INT(LOG(C_1initial)))),C_s2:C_f2,2)-(10^(LOG(C_1initial)-INT(LOG(C_1initial)))),VLOOKUP((10^(LOG(C_1initial)-INT(LOG(C_1initial)))),C_s2:C_f2,1),VLOOKUP((10^(LOG(C_1initial)-INT(LOG(C_1initial)))),C_s2:C_f2,2))</f>
        <v>#REF!</v>
      </c>
      <c r="CC188" s="26"/>
      <c r="CD188" s="26"/>
      <c r="CE188" s="26"/>
    </row>
    <row r="189" spans="1:83">
      <c r="A189" s="32" t="s">
        <v>395</v>
      </c>
      <c r="B189" s="33">
        <f>10^6</f>
        <v>1000000</v>
      </c>
      <c r="E189" s="35">
        <v>5.6</v>
      </c>
      <c r="F189" s="35">
        <v>6.8</v>
      </c>
      <c r="G189" s="35"/>
      <c r="CC189" s="26"/>
      <c r="CD189" s="26"/>
      <c r="CE189" s="26"/>
    </row>
    <row r="190" spans="1:83">
      <c r="A190" s="32" t="s">
        <v>396</v>
      </c>
      <c r="B190" s="33">
        <f>10^-6</f>
        <v>1e-6</v>
      </c>
      <c r="E190" s="35">
        <v>6.8</v>
      </c>
      <c r="F190" s="35">
        <v>8.2</v>
      </c>
      <c r="G190" s="35"/>
      <c r="CC190" s="26"/>
      <c r="CD190" s="26"/>
      <c r="CE190" s="26"/>
    </row>
    <row r="191" spans="1:83">
      <c r="A191" s="32" t="s">
        <v>397</v>
      </c>
      <c r="B191" s="33">
        <f>10^3</f>
        <v>1000</v>
      </c>
      <c r="E191" s="35">
        <v>8.2</v>
      </c>
      <c r="F191" s="35">
        <v>10</v>
      </c>
      <c r="G191" s="35"/>
      <c r="J191" t="s">
        <v>398</v>
      </c>
      <c r="CC191" s="26"/>
      <c r="CD191" s="26"/>
      <c r="CE191" s="26"/>
    </row>
    <row r="192" spans="1:83">
      <c r="A192" s="32" t="s">
        <v>399</v>
      </c>
      <c r="B192" s="33">
        <f>10^-9</f>
        <v>1e-9</v>
      </c>
      <c r="E192" s="34" t="s">
        <v>400</v>
      </c>
      <c r="F192" s="34"/>
      <c r="G192" s="34"/>
      <c r="J192" t="s">
        <v>401</v>
      </c>
      <c r="K192" t="e">
        <f>Ihfr_pfc/(8*f_pfc*kHz*deltaVin)/picoF</f>
        <v>#REF!</v>
      </c>
      <c r="M192" t="s">
        <v>11</v>
      </c>
      <c r="CC192" s="26"/>
      <c r="CD192" s="26"/>
      <c r="CE192" s="26"/>
    </row>
    <row r="193" spans="1:83">
      <c r="A193" s="32" t="s">
        <v>402</v>
      </c>
      <c r="B193" s="33">
        <f>10^-9</f>
        <v>1e-9</v>
      </c>
      <c r="E193" s="35">
        <v>1</v>
      </c>
      <c r="F193" s="35">
        <v>1.5</v>
      </c>
      <c r="G193" s="35"/>
      <c r="J193" t="s">
        <v>403</v>
      </c>
      <c r="K193" t="e">
        <f ca="1">(IF(Cin_initial&lt;10000,K194*10^INT(LOG(Cin_initial)),K195*10^INT(LOG(Cin_initial))))*10^-6</f>
        <v>#REF!</v>
      </c>
      <c r="M193" t="e">
        <f>IF(Cin_initial&lt;10000,"pF","uF")</f>
        <v>#REF!</v>
      </c>
      <c r="CC193" s="26"/>
      <c r="CD193" s="26"/>
      <c r="CE193" s="26"/>
    </row>
    <row r="194" spans="1:83">
      <c r="A194" s="32" t="s">
        <v>404</v>
      </c>
      <c r="B194" s="33">
        <f>10^-6</f>
        <v>1e-6</v>
      </c>
      <c r="E194" s="35">
        <v>1.5</v>
      </c>
      <c r="F194" s="35">
        <v>2.2</v>
      </c>
      <c r="G194" s="35"/>
      <c r="K194" t="e">
        <f ca="1">IF((10^(LOG(Cin_initial)-INT(LOG(Cin_initial))))-VLOOKUP((10^(LOG(Cin_initial)-INT(LOG(Cin_initial)))),C_s1:C_f1,1)&lt;VLOOKUP((10^(LOG(Cin_initial)-INT(LOG(Cin_initial)))),C_s1:C_f1,2)-(10^(LOG(Cin_initial)-INT(LOG(Cin_initial)))),VLOOKUP((10^(LOG(Cin_initial)-INT(LOG(Cin_initial)))),C_s1:C_f1,1),VLOOKUP((10^(LOG(Cin_initial)-INT(LOG(Cin_initial)))),C_s1:C_f1,2))</f>
        <v>#REF!</v>
      </c>
      <c r="CC194" s="26"/>
      <c r="CD194" s="26"/>
      <c r="CE194" s="26"/>
    </row>
    <row r="195" spans="5:83">
      <c r="E195" s="35">
        <v>2.2</v>
      </c>
      <c r="F195" s="35">
        <v>2.7</v>
      </c>
      <c r="G195" s="35"/>
      <c r="K195" t="e">
        <f ca="1">IF((10^(LOG(Cin_initial)-INT(LOG(Cin_initial))))-VLOOKUP((10^(LOG(Cin_initial)-INT(LOG(Cin_initial)))),C_s2:C_f2,1)&gt;VLOOKUP((10^(LOG(Cin_initial)-INT(LOG(Cin_initial)))),C_s2:C_f2,2)-(10^(LOG(Cin_initial)-INT(LOG(Cin_initial)))),VLOOKUP((10^(LOG(Cin_initial)-INT(LOG(Cin_initial)))),C_s2:C_f2,1),VLOOKUP((10^(LOG(Cin_initial)-INT(LOG(Cin_initial)))),C_s2:C_f2,2))</f>
        <v>#REF!</v>
      </c>
      <c r="CC195" s="26"/>
      <c r="CD195" s="26"/>
      <c r="CE195" s="26"/>
    </row>
    <row r="196" spans="5:83">
      <c r="E196" s="35">
        <v>2.7</v>
      </c>
      <c r="F196" s="35">
        <v>3.3</v>
      </c>
      <c r="G196" s="35"/>
      <c r="CC196" s="26"/>
      <c r="CD196" s="26"/>
      <c r="CE196" s="26"/>
    </row>
    <row r="197" spans="5:83">
      <c r="E197" s="35">
        <v>3.3</v>
      </c>
      <c r="F197" s="35">
        <v>4.7</v>
      </c>
      <c r="G197" s="35"/>
      <c r="CC197" s="26"/>
      <c r="CD197" s="26"/>
      <c r="CE197" s="26"/>
    </row>
    <row r="198" spans="5:83">
      <c r="E198" s="35">
        <v>4.7</v>
      </c>
      <c r="F198" s="35">
        <v>6.8</v>
      </c>
      <c r="G198" s="35"/>
      <c r="J198" t="s">
        <v>405</v>
      </c>
      <c r="CC198" s="26"/>
      <c r="CD198" s="26"/>
      <c r="CE198" s="26"/>
    </row>
    <row r="199" spans="5:83">
      <c r="E199" s="35">
        <v>6.8</v>
      </c>
      <c r="F199" s="35">
        <v>10</v>
      </c>
      <c r="J199" t="s">
        <v>406</v>
      </c>
      <c r="K199" t="e">
        <f>((2*Pout*tH*ms)/(Vblk_min^2-Vblk_hu^2))/picoF</f>
        <v>#REF!</v>
      </c>
      <c r="M199" t="s">
        <v>11</v>
      </c>
      <c r="CC199" s="26"/>
      <c r="CD199" s="26"/>
      <c r="CE199" s="26"/>
    </row>
    <row r="200" spans="10:83">
      <c r="J200" t="s">
        <v>407</v>
      </c>
      <c r="K200" t="e">
        <f ca="1">(IF(Cblk_initial&lt;10000,K201*10^INT(LOG(Cblk_initial)),K202*10^INT(LOG(Cblk_initial))))*10^-6</f>
        <v>#REF!</v>
      </c>
      <c r="M200" t="e">
        <f>IF(Cblk_initial&lt;10000,"pF","uF")</f>
        <v>#REF!</v>
      </c>
      <c r="CC200" s="26"/>
      <c r="CD200" s="26"/>
      <c r="CE200" s="26"/>
    </row>
    <row r="201" spans="11:83">
      <c r="K201" t="e">
        <f ca="1">IF((10^(LOG(Cblk_initial)-INT(LOG(Cblk_initial))))-VLOOKUP((10^(LOG(Cblk_initial)-INT(LOG(Cblk_initial)))),C_s1:C_f1,1)&lt;VLOOKUP((10^(LOG(Cblk_initial)-INT(LOG(Cblk_initial)))),C_s1:C_f1,2)-(10^(LOG(Cblk_initial)-INT(LOG(Cblk_initial)))),VLOOKUP((10^(LOG(Cblk_initial)-INT(LOG(Cblk_initial)))),C_s1:C_f1,1),VLOOKUP((10^(LOG(Cblk_initial)-INT(LOG(Cblk_initial)))),C_s1:C_f1,2))</f>
        <v>#REF!</v>
      </c>
      <c r="CC201" s="26"/>
      <c r="CD201" s="26"/>
      <c r="CE201" s="26"/>
    </row>
    <row r="202" spans="11:83">
      <c r="K202" t="e">
        <f ca="1">IF((10^(LOG(Cblk_initial)-INT(LOG(Cblk_initial))))-VLOOKUP((10^(LOG(Cblk_initial)-INT(LOG(Cblk_initial)))),C_s2:C_f2,1)&lt;VLOOKUP((10^(LOG(Cblk_initial)-INT(LOG(Cblk_initial)))),C_s2:C_f2,2)-(10^(LOG(Cblk_initial)-INT(LOG(Cblk_initial)))),VLOOKUP((10^(LOG(Cblk_initial)-INT(LOG(Cblk_initial)))),C_s2:C_f2,1),VLOOKUP((10^(LOG(Cblk_initial)-INT(LOG(Cblk_initial)))),C_s2:C_f2,2))</f>
        <v>#REF!</v>
      </c>
      <c r="CC202" s="26"/>
      <c r="CD202" s="26"/>
      <c r="CE202" s="26"/>
    </row>
    <row r="203" spans="81:83">
      <c r="CC203" s="26"/>
      <c r="CD203" s="26"/>
      <c r="CE203" s="26"/>
    </row>
    <row r="204" spans="81:83">
      <c r="CC204" s="26"/>
      <c r="CD204" s="26"/>
      <c r="CE204" s="26"/>
    </row>
    <row r="205" spans="1:83">
      <c r="A205" t="s">
        <v>408</v>
      </c>
      <c r="CC205" s="26"/>
      <c r="CD205" s="26"/>
      <c r="CE205" s="26"/>
    </row>
    <row r="206" spans="1:83">
      <c r="A206" t="s">
        <v>409</v>
      </c>
      <c r="CC206" s="26"/>
      <c r="CD206" s="26"/>
      <c r="CE206" s="26"/>
    </row>
    <row r="207" spans="1:83">
      <c r="A207" t="s">
        <v>410</v>
      </c>
      <c r="CC207" s="26"/>
      <c r="CD207" s="26"/>
      <c r="CE207" s="26"/>
    </row>
    <row r="208" spans="1:83">
      <c r="A208" t="s">
        <v>39</v>
      </c>
      <c r="CC208" s="26"/>
      <c r="CD208" s="26"/>
      <c r="CE208" s="26"/>
    </row>
    <row r="209" spans="1:83">
      <c r="A209" t="s">
        <v>411</v>
      </c>
      <c r="CC209" s="26"/>
      <c r="CD209" s="26"/>
      <c r="CE209" s="26"/>
    </row>
    <row r="210" spans="1:83">
      <c r="A210" t="s">
        <v>412</v>
      </c>
      <c r="CC210" s="26"/>
      <c r="CD210" s="26"/>
      <c r="CE210" s="26"/>
    </row>
    <row r="211" spans="81:83">
      <c r="CC211" s="26"/>
      <c r="CD211" s="26"/>
      <c r="CE211" s="26"/>
    </row>
    <row r="212" spans="81:83">
      <c r="CC212" s="26"/>
      <c r="CD212" s="26"/>
      <c r="CE212" s="26"/>
    </row>
    <row r="213" spans="81:83">
      <c r="CC213" s="26"/>
      <c r="CD213" s="26"/>
      <c r="CE213" s="26"/>
    </row>
    <row r="214" spans="81:83">
      <c r="CC214" s="26"/>
      <c r="CD214" s="26"/>
      <c r="CE214" s="26"/>
    </row>
    <row r="215" spans="81:83">
      <c r="CC215" s="26"/>
      <c r="CD215" s="26"/>
      <c r="CE215" s="26"/>
    </row>
    <row r="216" spans="81:83">
      <c r="CC216" s="26"/>
      <c r="CD216" s="26"/>
      <c r="CE216" s="26"/>
    </row>
    <row r="217" spans="81:83">
      <c r="CC217" s="26"/>
      <c r="CD217" s="26"/>
      <c r="CE217" s="26"/>
    </row>
    <row r="218" spans="81:83">
      <c r="CC218" s="26"/>
      <c r="CD218" s="26"/>
      <c r="CE218" s="26"/>
    </row>
    <row r="219" spans="1:83">
      <c r="A219" t="s">
        <v>413</v>
      </c>
      <c r="B219" s="37" t="s">
        <v>264</v>
      </c>
      <c r="C219" s="37"/>
      <c r="D219" s="37"/>
      <c r="CC219" s="26"/>
      <c r="CD219" s="26"/>
      <c r="CE219" s="26"/>
    </row>
    <row r="220" spans="1:83">
      <c r="A220" t="s">
        <v>414</v>
      </c>
      <c r="B220" s="38">
        <v>24730</v>
      </c>
      <c r="C220" s="39">
        <v>28000</v>
      </c>
      <c r="D220" s="40">
        <f>(B220+C220)/2000</f>
        <v>26.365</v>
      </c>
      <c r="CC220" s="26"/>
      <c r="CD220" s="26"/>
      <c r="CE220" s="26"/>
    </row>
    <row r="221" spans="1:83">
      <c r="A221" t="s">
        <v>415</v>
      </c>
      <c r="B221" s="38">
        <v>17125</v>
      </c>
      <c r="C221" s="38">
        <v>19976</v>
      </c>
      <c r="D221" s="40">
        <f t="shared" ref="D221:D227" si="51">(B221+C221)/2000</f>
        <v>18.5505</v>
      </c>
      <c r="CC221" s="26"/>
      <c r="CD221" s="26"/>
      <c r="CE221" s="26"/>
    </row>
    <row r="222" spans="1:83">
      <c r="A222" t="s">
        <v>416</v>
      </c>
      <c r="B222" s="38">
        <v>12562</v>
      </c>
      <c r="C222" s="38">
        <v>13624</v>
      </c>
      <c r="D222" s="40">
        <f t="shared" si="51"/>
        <v>13.093</v>
      </c>
      <c r="CC222" s="26"/>
      <c r="CD222" s="26"/>
      <c r="CE222" s="26"/>
    </row>
    <row r="223" spans="1:83">
      <c r="A223" t="s">
        <v>417</v>
      </c>
      <c r="B223" s="38">
        <v>9018</v>
      </c>
      <c r="C223" s="38">
        <v>9813</v>
      </c>
      <c r="D223" s="40">
        <f t="shared" si="51"/>
        <v>9.4155</v>
      </c>
      <c r="CC223" s="26"/>
      <c r="CD223" s="26"/>
      <c r="CE223" s="26"/>
    </row>
    <row r="224" spans="1:83">
      <c r="A224" t="s">
        <v>418</v>
      </c>
      <c r="B224" s="38">
        <v>6478</v>
      </c>
      <c r="C224" s="38">
        <v>6849</v>
      </c>
      <c r="D224" s="40">
        <f t="shared" si="51"/>
        <v>6.6635</v>
      </c>
      <c r="CC224" s="26"/>
      <c r="CD224" s="26"/>
      <c r="CE224" s="26"/>
    </row>
    <row r="225" spans="1:83">
      <c r="A225" t="s">
        <v>282</v>
      </c>
      <c r="B225" s="38">
        <v>4450</v>
      </c>
      <c r="C225" s="38">
        <v>4732</v>
      </c>
      <c r="D225" s="40">
        <f t="shared" si="51"/>
        <v>4.591</v>
      </c>
      <c r="CC225" s="26"/>
      <c r="CD225" s="26"/>
      <c r="CE225" s="26"/>
    </row>
    <row r="226" spans="1:83">
      <c r="A226" t="s">
        <v>419</v>
      </c>
      <c r="B226" s="38">
        <v>2422</v>
      </c>
      <c r="C226" s="38">
        <v>3038</v>
      </c>
      <c r="D226" s="40">
        <f t="shared" si="51"/>
        <v>2.73</v>
      </c>
      <c r="CC226" s="26"/>
      <c r="CD226" s="26"/>
      <c r="CE226" s="26"/>
    </row>
    <row r="227" spans="1:83">
      <c r="A227" t="s">
        <v>420</v>
      </c>
      <c r="B227" s="38">
        <v>0</v>
      </c>
      <c r="C227" s="38">
        <v>1344</v>
      </c>
      <c r="D227" s="40">
        <f t="shared" si="51"/>
        <v>0.672</v>
      </c>
      <c r="CC227" s="26"/>
      <c r="CD227" s="26"/>
      <c r="CE227" s="26"/>
    </row>
    <row r="228" spans="81:83">
      <c r="CC228" s="26"/>
      <c r="CD228" s="26"/>
      <c r="CE228" s="26"/>
    </row>
    <row r="229" spans="81:83">
      <c r="CC229" s="26"/>
      <c r="CD229" s="26"/>
      <c r="CE229" s="26"/>
    </row>
    <row r="230" spans="81:83">
      <c r="CC230" s="26"/>
      <c r="CD230" s="26"/>
      <c r="CE230" s="26"/>
    </row>
    <row r="231" spans="81:83">
      <c r="CC231" s="26"/>
      <c r="CD231" s="26"/>
      <c r="CE231" s="26"/>
    </row>
    <row r="232" spans="81:83">
      <c r="CC232" s="26"/>
      <c r="CD232" s="26"/>
      <c r="CE232" s="26"/>
    </row>
    <row r="233" spans="81:83">
      <c r="CC233" s="26"/>
      <c r="CD233" s="26"/>
      <c r="CE233" s="26"/>
    </row>
    <row r="234" spans="81:83">
      <c r="CC234" s="26"/>
      <c r="CD234" s="26"/>
      <c r="CE234" s="26"/>
    </row>
    <row r="235" spans="81:83">
      <c r="CC235" s="26"/>
      <c r="CD235" s="26"/>
      <c r="CE235" s="26"/>
    </row>
    <row r="236" spans="81:83">
      <c r="CC236" s="26"/>
      <c r="CD236" s="26"/>
      <c r="CE236" s="26"/>
    </row>
    <row r="237" spans="81:83">
      <c r="CC237" s="26"/>
      <c r="CD237" s="26"/>
      <c r="CE237" s="26"/>
    </row>
    <row r="238" spans="81:83">
      <c r="CC238" s="26"/>
      <c r="CD238" s="26"/>
      <c r="CE238" s="26"/>
    </row>
    <row r="239" spans="81:83">
      <c r="CC239" s="26"/>
      <c r="CD239" s="26"/>
      <c r="CE239" s="26"/>
    </row>
    <row r="240" spans="81:83">
      <c r="CC240" s="26"/>
      <c r="CD240" s="26"/>
      <c r="CE240" s="26"/>
    </row>
    <row r="241" spans="1:83">
      <c r="A241" s="41" t="s">
        <v>421</v>
      </c>
      <c r="B241" t="s">
        <v>422</v>
      </c>
      <c r="CC241" s="26"/>
      <c r="CD241" s="26"/>
      <c r="CE241" s="26"/>
    </row>
    <row r="242" spans="81:83">
      <c r="CC242" s="26"/>
      <c r="CD242" s="26"/>
      <c r="CE242" s="26"/>
    </row>
    <row r="243" spans="1:83">
      <c r="A243" s="42" t="s">
        <v>423</v>
      </c>
      <c r="B243" s="28" t="e">
        <f>('DESIGN INPUTS AND CALCULATIONS'!#REF!*PI()/('DESIGN INPUTS AND CALCULATIONS'!C29))*'DESIGN INPUTS AND CALCULATIONS'!C27/(2*SQRT(2)*'DESIGN INPUTS AND CALCULATIONS'!C41)</f>
        <v>#REF!</v>
      </c>
      <c r="CC243" s="26"/>
      <c r="CD243" s="26"/>
      <c r="CE243" s="26"/>
    </row>
    <row r="244" spans="1:83">
      <c r="A244" s="42" t="s">
        <v>424</v>
      </c>
      <c r="B244" t="e">
        <f>(2*SQRT(2)/PI())*'DESIGN INPUTS AND CALCULATIONS'!C25*'DESIGN INPUTS AND CALCULATIONS'!C41/(2*PI()*'DESIGN INPUTS AND CALCULATIONS'!C96*0.000001*'DESIGN INPUTS AND CALCULATIONS'!#REF!*1000)</f>
        <v>#REF!</v>
      </c>
      <c r="CC244" s="26"/>
      <c r="CD244" s="26"/>
      <c r="CE244" s="26"/>
    </row>
    <row r="245" spans="1:83">
      <c r="A245" s="42" t="s">
        <v>425</v>
      </c>
      <c r="B245" t="e">
        <f>SQRT(B243*B243+B244*B244)</f>
        <v>#REF!</v>
      </c>
      <c r="CC245" s="26"/>
      <c r="CD245" s="26"/>
      <c r="CE245" s="26"/>
    </row>
    <row r="246" spans="1:83">
      <c r="A246" s="42" t="s">
        <v>426</v>
      </c>
      <c r="B246" t="e">
        <f>B245/(2*PI()*'DESIGN INPUTS AND CALCULATIONS'!C91*0.000001*'DESIGN INPUTS AND CALCULATIONS'!#REF!*1000)</f>
        <v>#REF!</v>
      </c>
      <c r="CC246" s="26"/>
      <c r="CD246" s="26"/>
      <c r="CE246" s="26"/>
    </row>
    <row r="247" spans="1:83">
      <c r="A247" s="42" t="s">
        <v>427</v>
      </c>
      <c r="B247" t="e">
        <f>'DESIGN INPUTS AND CALCULATIONS'!C32/2+SQRT(2)*B246</f>
        <v>#REF!</v>
      </c>
      <c r="CC247" s="26"/>
      <c r="CD247" s="26"/>
      <c r="CE247" s="26"/>
    </row>
    <row r="248" spans="1:83">
      <c r="A248" s="42" t="s">
        <v>428</v>
      </c>
      <c r="B248" t="e">
        <f>'DESIGN INPUTS AND CALCULATIONS'!C32/2-SQRT(2)*B246</f>
        <v>#REF!</v>
      </c>
      <c r="CC248" s="26"/>
      <c r="CD248" s="26"/>
      <c r="CE248" s="26"/>
    </row>
    <row r="249" spans="1:83">
      <c r="A249" s="42" t="s">
        <v>429</v>
      </c>
      <c r="B249" t="e">
        <f>B247-B248</f>
        <v>#REF!</v>
      </c>
      <c r="CC249" s="26"/>
      <c r="CD249" s="26"/>
      <c r="CE249" s="26"/>
    </row>
    <row r="250" spans="1:83">
      <c r="A250" s="43" t="s">
        <v>430</v>
      </c>
      <c r="B250" t="e">
        <f>B249/'DESIGN INPUTS AND CALCULATIONS'!C172+(1/('DESIGN INPUTS AND CALCULATIONS'!C169*0.000000000001))*'DESIGN INPUTS AND CALCULATIONS'!C166*0.001/(2*'DESIGN INPUTS AND CALCULATIONS'!#REF!*1000)</f>
        <v>#REF!</v>
      </c>
      <c r="CC250" s="26"/>
      <c r="CD250" s="26"/>
      <c r="CE250" s="26"/>
    </row>
    <row r="251" spans="81:83">
      <c r="CC251" s="26"/>
      <c r="CD251" s="26"/>
      <c r="CE251" s="26"/>
    </row>
    <row r="252" spans="1:83">
      <c r="A252" s="41" t="s">
        <v>431</v>
      </c>
      <c r="B252" s="38" t="s">
        <v>300</v>
      </c>
      <c r="CC252" s="26"/>
      <c r="CD252" s="26"/>
      <c r="CE252" s="26"/>
    </row>
    <row r="253" spans="1:83">
      <c r="A253" s="41" t="s">
        <v>432</v>
      </c>
      <c r="B253" s="38">
        <f>(26*B254/(19))*(1200+0.000776/('DESIGN INPUTS AND CALCULATIONS'!C202/1000000000))</f>
        <v>0.0893390270100338</v>
      </c>
      <c r="CC253" s="26"/>
      <c r="CD253" s="26"/>
      <c r="CE253" s="26"/>
    </row>
    <row r="254" spans="1:83">
      <c r="A254" s="41" t="s">
        <v>433</v>
      </c>
      <c r="B254" s="44">
        <f>'DESIGN INPUTS AND CALCULATIONS'!C203/(98000)</f>
        <v>6.12244897959184e-6</v>
      </c>
      <c r="CC254" s="26"/>
      <c r="CD254" s="26"/>
      <c r="CE254" s="26"/>
    </row>
    <row r="255" ht="14.45" customHeight="1" spans="1:83">
      <c r="A255" s="41" t="s">
        <v>434</v>
      </c>
      <c r="B255" s="38">
        <f>3.5/(1-((B254/'DESIGN INPUTS AND CALCULATIONS'!C205)*(1200+(0.000776)/('DESIGN INPUTS AND CALCULATIONS'!C202/1000000000))))</f>
        <v>4.47353352843873</v>
      </c>
      <c r="CC255" s="26"/>
      <c r="CD255" s="26"/>
      <c r="CE255" s="26"/>
    </row>
    <row r="256" spans="1:83">
      <c r="A256" s="41" t="s">
        <v>435</v>
      </c>
      <c r="B256" s="44">
        <f>(B255-3.5)/B254</f>
        <v>159010.47631166</v>
      </c>
      <c r="CC256" s="26"/>
      <c r="CD256" s="26"/>
      <c r="CE256" s="26"/>
    </row>
    <row r="257" spans="1:83">
      <c r="A257" s="41" t="s">
        <v>436</v>
      </c>
      <c r="B257" s="38">
        <f>B256*13/B255</f>
        <v>462081.300813008</v>
      </c>
      <c r="CC257" s="26"/>
      <c r="CD257" s="26"/>
      <c r="CE257" s="26"/>
    </row>
    <row r="258" spans="1:83">
      <c r="A258" s="41" t="s">
        <v>437</v>
      </c>
      <c r="B258" s="38">
        <f>B256*B257/(B257-B256)</f>
        <v>242437.614567089</v>
      </c>
      <c r="CC258" s="26"/>
      <c r="CD258" s="26"/>
      <c r="CE258" s="26"/>
    </row>
    <row r="259" spans="1:83">
      <c r="A259" s="41" t="s">
        <v>438</v>
      </c>
      <c r="B259" s="38">
        <f>'DESIGN INPUTS AND CALCULATIONS'!C208*1000</f>
        <v>470000</v>
      </c>
      <c r="CC259" s="26"/>
      <c r="CD259" s="26"/>
      <c r="CE259" s="26"/>
    </row>
    <row r="260" spans="1:83">
      <c r="A260" s="41" t="s">
        <v>439</v>
      </c>
      <c r="B260" s="38">
        <f>'DESIGN INPUTS AND CALCULATIONS'!C209*1000</f>
        <v>247000</v>
      </c>
      <c r="CC260" s="26"/>
      <c r="CD260" s="26"/>
      <c r="CE260" s="26"/>
    </row>
    <row r="261" spans="1:83">
      <c r="A261" t="s">
        <v>435</v>
      </c>
      <c r="B261" s="38">
        <f>B259*B260/(B259+B260)</f>
        <v>161910.739191074</v>
      </c>
      <c r="CC261" s="26"/>
      <c r="CD261" s="26"/>
      <c r="CE261" s="26"/>
    </row>
    <row r="262" spans="1:83">
      <c r="A262" s="41" t="s">
        <v>434</v>
      </c>
      <c r="B262" s="38">
        <f>13*B260/(B259+B260)</f>
        <v>4.47838214783821</v>
      </c>
      <c r="CC262" s="26"/>
      <c r="CD262" s="26"/>
      <c r="CE262" s="26"/>
    </row>
    <row r="263" spans="1:83">
      <c r="A263" s="41" t="s">
        <v>433</v>
      </c>
      <c r="B263" s="38">
        <f>(B262-3.5)/B261</f>
        <v>6.04272547161685e-6</v>
      </c>
      <c r="CC263" s="26"/>
      <c r="CD263" s="26"/>
      <c r="CE263" s="26"/>
    </row>
    <row r="264" spans="1:83">
      <c r="A264" s="41" t="s">
        <v>440</v>
      </c>
      <c r="B264" s="38">
        <f>(-0.000776)/(B261*'DESIGN INPUTS AND CALCULATIONS'!C202/1000000000)</f>
        <v>-0.0584483443249455</v>
      </c>
      <c r="CC264" s="26"/>
      <c r="CD264" s="26"/>
      <c r="CE264" s="26"/>
    </row>
    <row r="265" spans="1:83">
      <c r="A265" s="41" t="s">
        <v>441</v>
      </c>
      <c r="B265" s="38">
        <f>(1200*13/B259)+B262*(1-EXP(B264))</f>
        <v>0.287442848472725</v>
      </c>
      <c r="CC265" s="26"/>
      <c r="CD265" s="26"/>
      <c r="CE265" s="26"/>
    </row>
    <row r="266" spans="1:83">
      <c r="A266" s="41" t="s">
        <v>442</v>
      </c>
      <c r="B266" s="38">
        <f>B263*100000</f>
        <v>0.604272547161685</v>
      </c>
      <c r="CC266" s="26"/>
      <c r="CD266" s="26"/>
      <c r="CE266" s="26"/>
    </row>
    <row r="267" spans="1:83">
      <c r="A267" s="41" t="s">
        <v>443</v>
      </c>
      <c r="B267" s="38">
        <f>B262+'DESIGN INPUTS AND CALCULATIONS'!C199*0.000001*'tables and calculations'!B261</f>
        <v>10.5500348675035</v>
      </c>
      <c r="CC267" s="26"/>
      <c r="CD267" s="26"/>
      <c r="CE267" s="26"/>
    </row>
    <row r="268" spans="1:83">
      <c r="A268" s="41" t="s">
        <v>444</v>
      </c>
      <c r="B268" s="38">
        <v>0</v>
      </c>
      <c r="CC268" s="26"/>
      <c r="CD268" s="26"/>
      <c r="CE268" s="26"/>
    </row>
    <row r="269" spans="81:83">
      <c r="CC269" s="26"/>
      <c r="CD269" s="26"/>
      <c r="CE269" s="26"/>
    </row>
    <row r="270" spans="1:83">
      <c r="A270" s="41" t="s">
        <v>445</v>
      </c>
      <c r="CC270" s="26"/>
      <c r="CD270" s="26"/>
      <c r="CE270" s="26"/>
    </row>
    <row r="271" spans="1:83">
      <c r="A271" s="41" t="s">
        <v>446</v>
      </c>
      <c r="B271" s="28" t="e">
        <f>'DESIGN INPUTS AND CALCULATIONS'!#REF!*1000</f>
        <v>#REF!</v>
      </c>
      <c r="CC271" s="26"/>
      <c r="CD271" s="26"/>
      <c r="CE271" s="26"/>
    </row>
    <row r="272" spans="1:83">
      <c r="A272" s="41" t="s">
        <v>447</v>
      </c>
      <c r="B272" s="45">
        <f>'DESIGN INPUTS AND CALCULATIONS'!C166/1000</f>
        <v>0.002</v>
      </c>
      <c r="CC272" s="26"/>
      <c r="CD272" s="26"/>
      <c r="CE272" s="26"/>
    </row>
    <row r="273" spans="1:83">
      <c r="A273" s="41" t="s">
        <v>448</v>
      </c>
      <c r="B273" s="45">
        <f>'DESIGN INPUTS AND CALCULATIONS'!C169</f>
        <v>8200</v>
      </c>
      <c r="CC273" s="26"/>
      <c r="CD273" s="26"/>
      <c r="CE273" s="26"/>
    </row>
    <row r="274" spans="1:83">
      <c r="A274" s="41" t="s">
        <v>449</v>
      </c>
      <c r="B274" t="e">
        <f>B272/(2*B271*B273/(1000000000000))</f>
        <v>#REF!</v>
      </c>
      <c r="CC274" s="26"/>
      <c r="CD274" s="26"/>
      <c r="CE274" s="26"/>
    </row>
    <row r="275" spans="1:83">
      <c r="A275" s="41" t="s">
        <v>450</v>
      </c>
      <c r="B275" t="e">
        <f>B274/0.4</f>
        <v>#REF!</v>
      </c>
      <c r="CC275" s="26"/>
      <c r="CD275" s="26"/>
      <c r="CE275" s="26"/>
    </row>
    <row r="276" spans="81:83">
      <c r="CC276" s="26"/>
      <c r="CD276" s="26"/>
      <c r="CE276" s="26"/>
    </row>
    <row r="277" spans="81:83">
      <c r="CC277" s="26"/>
      <c r="CD277" s="26"/>
      <c r="CE277" s="26"/>
    </row>
    <row r="278" spans="1:83">
      <c r="A278" s="41" t="s">
        <v>451</v>
      </c>
      <c r="D278" t="s">
        <v>452</v>
      </c>
      <c r="E278" s="46" t="s">
        <v>453</v>
      </c>
      <c r="F278" t="s">
        <v>454</v>
      </c>
      <c r="G278" t="s">
        <v>455</v>
      </c>
      <c r="H278" t="s">
        <v>456</v>
      </c>
      <c r="I278" t="s">
        <v>457</v>
      </c>
      <c r="K278" t="s">
        <v>458</v>
      </c>
      <c r="L278" t="s">
        <v>459</v>
      </c>
      <c r="M278" t="s">
        <v>456</v>
      </c>
      <c r="N278" t="s">
        <v>457</v>
      </c>
      <c r="P278" t="s">
        <v>460</v>
      </c>
      <c r="Q278" t="s">
        <v>456</v>
      </c>
      <c r="R278" t="s">
        <v>457</v>
      </c>
      <c r="CC278" s="26"/>
      <c r="CD278" s="26"/>
      <c r="CE278" s="26"/>
    </row>
    <row r="279" spans="1:83">
      <c r="A279" s="41" t="s">
        <v>362</v>
      </c>
      <c r="B279">
        <f>Compensation!C21</f>
        <v>1</v>
      </c>
      <c r="D279" s="26">
        <v>10</v>
      </c>
      <c r="E279" s="26">
        <f>2*PI()*D279</f>
        <v>62.8318530717959</v>
      </c>
      <c r="F279" t="str">
        <f>COMPLEX(0,E279)</f>
        <v>62.8318530717959i</v>
      </c>
      <c r="G279" t="str">
        <f>IMPRODUCT($B$287,IMDIV(IMSUM(1,IMPRODUCT($B$288,F279)),IMSUM(1,IMPRODUCT($B$289,F279))))</f>
        <v>5.50466146154893-3.41079229652972i</v>
      </c>
      <c r="H279">
        <f>20*LOG10(IMABS(G279))</f>
        <v>16.2257459571321</v>
      </c>
      <c r="I279">
        <f>IMARGUMENT(G279)*180/PI()</f>
        <v>-31.7831377788303</v>
      </c>
      <c r="K279" t="str">
        <f>IMDIV(IMSUM(IMPRODUCT(IMPOWER(F279,2),$A$310),IMPRODUCT(F279,$A$311),1),IMSUM(IMPRODUCT(IMPOWER(F279,2),$A$314),IMPRODUCT(F279,$A$315)))</f>
        <v>1.2192242652549-10.6669315003433i</v>
      </c>
      <c r="L279" t="str">
        <f>IMPRODUCT(IMDIV(K279,IMSUM(IMPRODUCT(1/$B$305,F279),1)),$B$309)</f>
        <v>13.0440199033359-117.388960299008i</v>
      </c>
      <c r="M279">
        <f>20*LOG10(IMABS(L279))</f>
        <v>41.445839971918</v>
      </c>
      <c r="N279">
        <f>IMARGUMENT(L279)*180/PI()+180</f>
        <v>96.3405784605228</v>
      </c>
      <c r="P279" t="str">
        <f>IMPRODUCT(L279,G279)</f>
        <v>-328.586447819919-690.676928371325i</v>
      </c>
      <c r="Q279">
        <f>20*LOG10(IMABS(P279))</f>
        <v>57.6715859290501</v>
      </c>
      <c r="R279">
        <f>IMARGUMENT(P279)*180/PI()+180</f>
        <v>64.5574406816925</v>
      </c>
      <c r="CC279" s="26"/>
      <c r="CD279" s="26"/>
      <c r="CE279" s="26"/>
    </row>
    <row r="280" spans="1:83">
      <c r="A280" s="41" t="s">
        <v>356</v>
      </c>
      <c r="B280" s="28">
        <f>Compensation!C13</f>
        <v>5.55555555555556</v>
      </c>
      <c r="D280" s="26">
        <f>D279+10</f>
        <v>20</v>
      </c>
      <c r="E280" s="26">
        <f t="shared" ref="E280:E315" si="52">2*PI()*D280</f>
        <v>125.663706143592</v>
      </c>
      <c r="F280" t="str">
        <f t="shared" ref="F280:F315" si="53">COMPLEX(0,E280)</f>
        <v>125.663706143592i</v>
      </c>
      <c r="G280" t="str">
        <f t="shared" ref="G280:G315" si="54">IMPRODUCT($B$287,IMDIV(IMSUM(1,IMPRODUCT($B$288,F280)),IMSUM(1,IMPRODUCT($B$289,F280))))</f>
        <v>3.00430720431632-3.72305106879634i</v>
      </c>
      <c r="H280">
        <f t="shared" ref="H280:H315" si="55">20*LOG10(IMABS(G280))</f>
        <v>13.5958832005811</v>
      </c>
      <c r="I280">
        <f t="shared" ref="I280:I315" si="56">IMARGUMENT(G280)*180/PI()</f>
        <v>-51.0982877868104</v>
      </c>
      <c r="K280" t="str">
        <f t="shared" ref="K280:K315" si="57">IMDIV(IMSUM(IMPRODUCT(IMPOWER(F280,2),$A$310),IMPRODUCT(F280,$A$311),1),IMSUM(IMPRODUCT(IMPOWER(F280,2),$A$314),IMPRODUCT(F280,$A$315)))</f>
        <v>1.2192242027526-5.33356712330867i</v>
      </c>
      <c r="L280" t="str">
        <f t="shared" ref="L280:L315" si="58">IMPRODUCT(IMDIV(K280,IMSUM(IMPRODUCT(1/$B$305,F280),1)),$B$309)</f>
        <v>13.0436260062345-58.7570613862568i</v>
      </c>
      <c r="M280">
        <f t="shared" ref="M280:M315" si="59">20*LOG10(IMABS(L280))</f>
        <v>35.5901180400256</v>
      </c>
      <c r="N280">
        <f t="shared" ref="N280:N315" si="60">IMARGUMENT(L280)*180/PI()+180</f>
        <v>102.516263502077</v>
      </c>
      <c r="P280" t="str">
        <f t="shared" ref="P280:P315" si="61">IMPRODUCT(L280,G280)</f>
        <v>-179.568480612498-225.086348570679i</v>
      </c>
      <c r="Q280">
        <f t="shared" ref="Q280:Q315" si="62">20*LOG10(IMABS(P280))</f>
        <v>49.1860012406067</v>
      </c>
      <c r="R280">
        <f t="shared" ref="R280:R315" si="63">IMARGUMENT(P280)*180/PI()+180</f>
        <v>51.4179757152669</v>
      </c>
      <c r="CC280" s="26"/>
      <c r="CD280" s="26"/>
      <c r="CE280" s="26"/>
    </row>
    <row r="281" spans="1:83">
      <c r="A281" s="41" t="s">
        <v>361</v>
      </c>
      <c r="B281" s="28">
        <f>Compensation!C14</f>
        <v>0.357275530010331</v>
      </c>
      <c r="D281" s="26">
        <f t="shared" ref="D281:D288" si="64">D280+10</f>
        <v>30</v>
      </c>
      <c r="E281" s="26">
        <f t="shared" si="52"/>
        <v>188.495559215388</v>
      </c>
      <c r="F281" t="str">
        <f t="shared" si="53"/>
        <v>188.495559215388i</v>
      </c>
      <c r="G281" t="str">
        <f t="shared" si="54"/>
        <v>1.70986697095307-3.17839769076895i</v>
      </c>
      <c r="H281">
        <f t="shared" si="55"/>
        <v>11.1480630407559</v>
      </c>
      <c r="I281">
        <f t="shared" si="56"/>
        <v>-61.7213001415947</v>
      </c>
      <c r="K281" t="str">
        <f t="shared" si="57"/>
        <v>1.21922409858216-3.55582405227236i</v>
      </c>
      <c r="L281" t="str">
        <f t="shared" si="58"/>
        <v>13.0429695629054-39.2409034647126i</v>
      </c>
      <c r="M281">
        <f t="shared" si="59"/>
        <v>32.3298787135295</v>
      </c>
      <c r="N281">
        <f t="shared" si="60"/>
        <v>108.385877641361</v>
      </c>
      <c r="P281" t="str">
        <f t="shared" si="61"/>
        <v>-102.421454097172-108.552469084178i</v>
      </c>
      <c r="Q281">
        <f t="shared" si="62"/>
        <v>43.4779417542854</v>
      </c>
      <c r="R281">
        <f t="shared" si="63"/>
        <v>46.6645774997658</v>
      </c>
      <c r="CC281" s="26"/>
      <c r="CD281" s="26"/>
      <c r="CE281" s="26"/>
    </row>
    <row r="282" spans="1:83">
      <c r="A282" s="41" t="s">
        <v>52</v>
      </c>
      <c r="B282">
        <f>B280*B279*B279</f>
        <v>5.55555555555556</v>
      </c>
      <c r="D282" s="26">
        <f t="shared" si="64"/>
        <v>40</v>
      </c>
      <c r="E282" s="26">
        <f t="shared" si="52"/>
        <v>251.327412287183</v>
      </c>
      <c r="F282" t="str">
        <f t="shared" si="53"/>
        <v>251.327412287183i</v>
      </c>
      <c r="G282" t="str">
        <f t="shared" si="54"/>
        <v>1.06652975453517-2.64336798635001i</v>
      </c>
      <c r="H282">
        <f t="shared" si="55"/>
        <v>9.098169569352</v>
      </c>
      <c r="I282">
        <f t="shared" si="56"/>
        <v>-68.0272146795946</v>
      </c>
      <c r="K282" t="str">
        <f t="shared" si="57"/>
        <v>1.21922395274372-2.66698630763934i</v>
      </c>
      <c r="L282" t="str">
        <f t="shared" si="58"/>
        <v>13.0420506510924-29.5036746044219i</v>
      </c>
      <c r="M282">
        <f t="shared" si="59"/>
        <v>30.1726792037705</v>
      </c>
      <c r="N282">
        <f t="shared" si="60"/>
        <v>113.847746077536</v>
      </c>
      <c r="P282" t="str">
        <f t="shared" si="61"/>
        <v>-64.0793338494718-65.9414860011926i</v>
      </c>
      <c r="Q282">
        <f t="shared" si="62"/>
        <v>39.2708487731225</v>
      </c>
      <c r="R282">
        <f t="shared" si="63"/>
        <v>45.8205313979411</v>
      </c>
      <c r="CC282" s="26"/>
      <c r="CD282" s="26"/>
      <c r="CE282" s="26"/>
    </row>
    <row r="283" spans="1:83">
      <c r="A283" s="41" t="s">
        <v>461</v>
      </c>
      <c r="B283">
        <f>((B280+1)*B279^2-1)^2+((B279^2-1)*B279*B281*B280)^2</f>
        <v>30.8641975308642</v>
      </c>
      <c r="D283" s="26">
        <f t="shared" si="64"/>
        <v>50</v>
      </c>
      <c r="E283" s="26">
        <f t="shared" si="52"/>
        <v>314.159265358979</v>
      </c>
      <c r="F283" t="str">
        <f t="shared" si="53"/>
        <v>314.159265358979i</v>
      </c>
      <c r="G283" t="str">
        <f t="shared" si="54"/>
        <v>0.718806995523662-2.22693201039642i</v>
      </c>
      <c r="H283">
        <f t="shared" si="55"/>
        <v>7.3845627590272</v>
      </c>
      <c r="I283">
        <f t="shared" si="56"/>
        <v>-72.1110077353385</v>
      </c>
      <c r="K283" t="str">
        <f t="shared" si="57"/>
        <v>1.21922376523744-2.13371069345968i</v>
      </c>
      <c r="L283" t="str">
        <f t="shared" si="58"/>
        <v>13.0408693796045-23.6780104417479i</v>
      </c>
      <c r="M283">
        <f t="shared" si="59"/>
        <v>28.6374650856796</v>
      </c>
      <c r="N283">
        <f t="shared" si="60"/>
        <v>118.84415595196</v>
      </c>
      <c r="P283" t="str">
        <f t="shared" si="61"/>
        <v>-43.355451257459-46.0610490104505i</v>
      </c>
      <c r="Q283">
        <f t="shared" si="62"/>
        <v>36.0220278447068</v>
      </c>
      <c r="R283">
        <f t="shared" si="63"/>
        <v>46.7331482166215</v>
      </c>
      <c r="CC283" s="26"/>
      <c r="CD283" s="26"/>
      <c r="CE283" s="26"/>
    </row>
    <row r="284" spans="1:83">
      <c r="A284" s="41" t="s">
        <v>462</v>
      </c>
      <c r="B284" s="26">
        <f>2*((B280+1)*B279^2-1)*(B280+1)+((B279^2-1)*B281*B280)^2+2*(B279*B281*B280)^2*(B279^2-1)</f>
        <v>72.8395061728395</v>
      </c>
      <c r="D284" s="26">
        <f t="shared" si="64"/>
        <v>60</v>
      </c>
      <c r="E284" s="26">
        <f t="shared" si="52"/>
        <v>376.991118430775</v>
      </c>
      <c r="F284" t="str">
        <f t="shared" si="53"/>
        <v>376.991118430775i</v>
      </c>
      <c r="G284" t="str">
        <f t="shared" si="54"/>
        <v>0.513990338929701-1.91086877995089i</v>
      </c>
      <c r="H284">
        <f t="shared" si="55"/>
        <v>5.92798936816286</v>
      </c>
      <c r="I284">
        <f t="shared" si="56"/>
        <v>-74.9447738850562</v>
      </c>
      <c r="K284" t="str">
        <f t="shared" si="57"/>
        <v>1.21922353606353-1.77821614439113i</v>
      </c>
      <c r="L284" t="str">
        <f t="shared" si="58"/>
        <v>13.039425888284-19.8081212091506i</v>
      </c>
      <c r="M284">
        <f t="shared" si="59"/>
        <v>27.5003627183746</v>
      </c>
      <c r="N284">
        <f t="shared" si="60"/>
        <v>123.356384681253</v>
      </c>
      <c r="P284" t="str">
        <f t="shared" si="61"/>
        <v>-31.1485814762811-35.0978147722572i</v>
      </c>
      <c r="Q284">
        <f t="shared" si="62"/>
        <v>33.4283520865374</v>
      </c>
      <c r="R284">
        <f t="shared" si="63"/>
        <v>48.4116107961969</v>
      </c>
      <c r="CC284" s="26"/>
      <c r="CD284" s="26"/>
      <c r="CE284" s="26"/>
    </row>
    <row r="285" spans="1:83">
      <c r="A285" s="41" t="s">
        <v>463</v>
      </c>
      <c r="B285" s="26">
        <f>0.001*Compensation!C3/Compensation!C6*B279/Compensation!C15*(B280/SQRT(B283)-0.5*B282/(B283*SQRT(B283))*B284)</f>
        <v>-0.000251812007009388</v>
      </c>
      <c r="D285" s="26">
        <f t="shared" si="64"/>
        <v>70</v>
      </c>
      <c r="E285" s="26">
        <f t="shared" si="52"/>
        <v>439.822971502571</v>
      </c>
      <c r="F285" t="str">
        <f t="shared" si="53"/>
        <v>439.822971502571i</v>
      </c>
      <c r="G285" t="str">
        <f t="shared" si="54"/>
        <v>0.384508337035693-1.66774043808433i</v>
      </c>
      <c r="H285">
        <f t="shared" si="55"/>
        <v>4.66749741589265</v>
      </c>
      <c r="I285">
        <f t="shared" si="56"/>
        <v>-77.0169580452557</v>
      </c>
      <c r="K285" t="str">
        <f t="shared" si="57"/>
        <v>1.21922326522226-1.52431077526494i</v>
      </c>
      <c r="L285" t="str">
        <f t="shared" si="58"/>
        <v>13.0377203479647-17.0558098827111i</v>
      </c>
      <c r="M285">
        <f t="shared" si="59"/>
        <v>26.6359050316992</v>
      </c>
      <c r="N285">
        <f t="shared" si="60"/>
        <v>127.39484591395</v>
      </c>
      <c r="P285" t="str">
        <f t="shared" si="61"/>
        <v>-23.4315516759433-28.3016345395338i</v>
      </c>
      <c r="Q285">
        <f t="shared" si="62"/>
        <v>31.3034024475919</v>
      </c>
      <c r="R285">
        <f t="shared" si="63"/>
        <v>50.3778878686942</v>
      </c>
      <c r="CC285" s="26"/>
      <c r="CD285" s="26"/>
      <c r="CE285" s="26"/>
    </row>
    <row r="286" spans="1:83">
      <c r="A286" s="41" t="s">
        <v>464</v>
      </c>
      <c r="B286">
        <f>(1-Compensation!C4/(2*1000*Compensation!C22*B285))</f>
        <v>2.42307692307692</v>
      </c>
      <c r="D286" s="26">
        <f t="shared" si="64"/>
        <v>80</v>
      </c>
      <c r="E286" s="26">
        <f t="shared" si="52"/>
        <v>502.654824574367</v>
      </c>
      <c r="F286" t="str">
        <f t="shared" si="53"/>
        <v>502.654824574367i</v>
      </c>
      <c r="G286" t="str">
        <f t="shared" si="54"/>
        <v>0.297913416480516-1.47674227461562i</v>
      </c>
      <c r="H286">
        <f t="shared" si="55"/>
        <v>3.55934042868814</v>
      </c>
      <c r="I286">
        <f t="shared" si="56"/>
        <v>-78.5944098107616</v>
      </c>
      <c r="K286" t="str">
        <f t="shared" si="57"/>
        <v>1.21922295271393-1.3338986434775i</v>
      </c>
      <c r="L286" t="str">
        <f t="shared" si="58"/>
        <v>13.0357529604218-15.0019767193796i</v>
      </c>
      <c r="M286">
        <f t="shared" si="59"/>
        <v>25.9658627741843</v>
      </c>
      <c r="N286">
        <f t="shared" si="60"/>
        <v>130.988541527468</v>
      </c>
      <c r="P286" t="str">
        <f t="shared" si="61"/>
        <v>-18.2705275234719-23.7197376165321i</v>
      </c>
      <c r="Q286">
        <f t="shared" si="62"/>
        <v>29.5252032028724</v>
      </c>
      <c r="R286">
        <f t="shared" si="63"/>
        <v>52.394131716706</v>
      </c>
      <c r="CC286" s="26"/>
      <c r="CD286" s="26"/>
      <c r="CE286" s="26"/>
    </row>
    <row r="287" spans="1:83">
      <c r="A287" t="s">
        <v>465</v>
      </c>
      <c r="B287">
        <f>Compensation!C12*0.000001*(Compensation!C17*0.000000000001+Compensation!C18*0.000000000001)*Compensation!C22*1000*Compensation!C9*Compensation!C3*Compensation!C7/(2*Compensation!C18*0.000000000001*Compensation!C4*B286)</f>
        <v>7.6180528428952</v>
      </c>
      <c r="D287" s="26">
        <f t="shared" si="64"/>
        <v>90</v>
      </c>
      <c r="E287" s="26">
        <f t="shared" si="52"/>
        <v>565.486677646163</v>
      </c>
      <c r="F287" t="str">
        <f t="shared" si="53"/>
        <v>565.486677646163i</v>
      </c>
      <c r="G287" t="str">
        <f t="shared" si="54"/>
        <v>0.237336312164526-1.32352258860035i</v>
      </c>
      <c r="H287">
        <f t="shared" si="55"/>
        <v>2.5720817065832</v>
      </c>
      <c r="I287">
        <f t="shared" si="56"/>
        <v>-79.8336751377591</v>
      </c>
      <c r="K287" t="str">
        <f t="shared" si="57"/>
        <v>1.2192225985389-1.18581533645409i</v>
      </c>
      <c r="L287" t="str">
        <f t="shared" si="58"/>
        <v>13.0335239583118-13.4137874363782i</v>
      </c>
      <c r="M287">
        <f t="shared" si="59"/>
        <v>25.4382283471505</v>
      </c>
      <c r="N287">
        <f t="shared" si="60"/>
        <v>134.176249302929</v>
      </c>
      <c r="P287" t="str">
        <f t="shared" si="61"/>
        <v>-14.6601221599564-20.4337422101984i</v>
      </c>
      <c r="Q287">
        <f t="shared" si="62"/>
        <v>28.0103100537338</v>
      </c>
      <c r="R287">
        <f t="shared" si="63"/>
        <v>54.3425741651696</v>
      </c>
      <c r="CC287" s="26"/>
      <c r="CD287" s="26"/>
      <c r="CE287" s="26"/>
    </row>
    <row r="288" spans="1:83">
      <c r="A288" s="46" t="s">
        <v>466</v>
      </c>
      <c r="B288">
        <f>Compensation!C19*0.001*Compensation!C20*0.001</f>
        <v>0</v>
      </c>
      <c r="D288" s="26">
        <f t="shared" si="64"/>
        <v>100</v>
      </c>
      <c r="E288" s="26">
        <f t="shared" si="52"/>
        <v>628.318530717959</v>
      </c>
      <c r="F288" t="str">
        <f t="shared" si="53"/>
        <v>628.318530717959i</v>
      </c>
      <c r="G288" t="str">
        <f t="shared" si="54"/>
        <v>0.193387138458296-1.19826326597727i</v>
      </c>
      <c r="H288">
        <f t="shared" si="55"/>
        <v>1.68271568046208</v>
      </c>
      <c r="I288">
        <f t="shared" si="56"/>
        <v>-80.8321133155463</v>
      </c>
      <c r="K288" t="str">
        <f t="shared" si="57"/>
        <v>1.21922220269757-1.0673622066345i</v>
      </c>
      <c r="L288" t="str">
        <f t="shared" si="58"/>
        <v>13.0310336051042-12.1515404832531i</v>
      </c>
      <c r="M288">
        <f t="shared" si="59"/>
        <v>25.0169964538385</v>
      </c>
      <c r="N288">
        <f t="shared" si="60"/>
        <v>137.000223283299</v>
      </c>
      <c r="P288" t="str">
        <f t="shared" si="61"/>
        <v>-12.0407102860729-17.9645605286282i</v>
      </c>
      <c r="Q288">
        <f t="shared" si="62"/>
        <v>26.6997121343006</v>
      </c>
      <c r="R288">
        <f t="shared" si="63"/>
        <v>56.168109967753</v>
      </c>
      <c r="CC288" s="26"/>
      <c r="CD288" s="26"/>
      <c r="CE288" s="26"/>
    </row>
    <row r="289" spans="1:83">
      <c r="A289" s="46" t="s">
        <v>467</v>
      </c>
      <c r="B289">
        <f>Compensation!C19*0.001*(Compensation!C7/(2*B286)+Compensation!C20*0.001)</f>
        <v>0.00986154112554113</v>
      </c>
      <c r="D289" s="26">
        <f>D288+100</f>
        <v>200</v>
      </c>
      <c r="E289" s="26">
        <f t="shared" si="52"/>
        <v>1256.63706143592</v>
      </c>
      <c r="F289" t="str">
        <f t="shared" si="53"/>
        <v>1256.63706143592i</v>
      </c>
      <c r="G289" t="str">
        <f t="shared" si="54"/>
        <v>0.0492851257130232-0.610759910631007i</v>
      </c>
      <c r="H289">
        <f t="shared" si="55"/>
        <v>-4.25440150505831</v>
      </c>
      <c r="I289">
        <f t="shared" si="56"/>
        <v>-85.3865271366129</v>
      </c>
      <c r="K289" t="str">
        <f t="shared" si="57"/>
        <v>1.21921595276085-0.534694787000647i</v>
      </c>
      <c r="L289" t="str">
        <f t="shared" si="58"/>
        <v>12.9918355746259-6.69853198405295i</v>
      </c>
      <c r="M289">
        <f t="shared" si="59"/>
        <v>23.2971940742783</v>
      </c>
      <c r="N289">
        <f t="shared" si="60"/>
        <v>152.72457177495</v>
      </c>
      <c r="P289" t="str">
        <f t="shared" si="61"/>
        <v>-3.45089054640076-8.26503032541801i</v>
      </c>
      <c r="Q289">
        <f t="shared" si="62"/>
        <v>19.04279256922</v>
      </c>
      <c r="R289">
        <f t="shared" si="63"/>
        <v>67.3380446383375</v>
      </c>
      <c r="CC289" s="26"/>
      <c r="CD289" s="26"/>
      <c r="CE289" s="26"/>
    </row>
    <row r="290" spans="4:83">
      <c r="D290" s="26">
        <f t="shared" ref="D290:D297" si="65">D289+100</f>
        <v>300</v>
      </c>
      <c r="E290" s="26">
        <f t="shared" si="52"/>
        <v>1884.95559215388</v>
      </c>
      <c r="F290" t="str">
        <f t="shared" si="53"/>
        <v>1884.95559215388i</v>
      </c>
      <c r="G290" t="str">
        <f t="shared" si="54"/>
        <v>0.021983512939297-0.408642005186549i</v>
      </c>
      <c r="H290">
        <f t="shared" si="55"/>
        <v>-7.76058925789232</v>
      </c>
      <c r="I290">
        <f t="shared" si="56"/>
        <v>-86.9206554516359</v>
      </c>
      <c r="K290" t="str">
        <f t="shared" si="57"/>
        <v>1.21920553699153-0.357589420912823i</v>
      </c>
      <c r="L290" t="str">
        <f t="shared" si="58"/>
        <v>12.927016904313-5.15221965792545i</v>
      </c>
      <c r="M290">
        <f t="shared" si="59"/>
        <v>22.8702452857811</v>
      </c>
      <c r="N290">
        <f t="shared" si="60"/>
        <v>158.269645278918</v>
      </c>
      <c r="P290" t="str">
        <f t="shared" si="61"/>
        <v>-1.82123212879374-5.39578599637498i</v>
      </c>
      <c r="Q290">
        <f t="shared" si="62"/>
        <v>15.1096560278888</v>
      </c>
      <c r="R290">
        <f t="shared" si="63"/>
        <v>71.3489898272824</v>
      </c>
      <c r="CC290" s="26"/>
      <c r="CD290" s="26"/>
      <c r="CE290" s="26"/>
    </row>
    <row r="291" spans="1:83">
      <c r="A291" t="s">
        <v>468</v>
      </c>
      <c r="D291" s="26">
        <f t="shared" si="65"/>
        <v>400</v>
      </c>
      <c r="E291" s="26">
        <f t="shared" si="52"/>
        <v>2513.27412287183</v>
      </c>
      <c r="F291" t="str">
        <f t="shared" si="53"/>
        <v>2513.27412287183i</v>
      </c>
      <c r="G291" t="str">
        <f t="shared" si="54"/>
        <v>0.0123813574843722-0.306868925715145i</v>
      </c>
      <c r="H291">
        <f t="shared" si="55"/>
        <v>-10.2538775609267</v>
      </c>
      <c r="I291">
        <f t="shared" si="56"/>
        <v>-87.6895185593202</v>
      </c>
      <c r="K291" t="str">
        <f t="shared" si="57"/>
        <v>1.21919095657721-0.269374471902931i</v>
      </c>
      <c r="L291" t="str">
        <f t="shared" si="58"/>
        <v>12.8373290135813-4.57660187331678i</v>
      </c>
      <c r="M291">
        <f t="shared" si="59"/>
        <v>22.6891082113143</v>
      </c>
      <c r="N291">
        <f t="shared" si="60"/>
        <v>160.378476413214</v>
      </c>
      <c r="P291" t="str">
        <f t="shared" si="61"/>
        <v>-1.24547334062899-3.99604190730674i</v>
      </c>
      <c r="Q291">
        <f t="shared" si="62"/>
        <v>12.4352306503877</v>
      </c>
      <c r="R291">
        <f t="shared" si="63"/>
        <v>72.6889578538939</v>
      </c>
      <c r="CC291" s="26"/>
      <c r="CD291" s="26"/>
      <c r="CE291" s="26"/>
    </row>
    <row r="292" spans="1:83">
      <c r="A292" t="s">
        <v>469</v>
      </c>
      <c r="D292" s="26">
        <f t="shared" si="65"/>
        <v>500</v>
      </c>
      <c r="E292" s="26">
        <f t="shared" si="52"/>
        <v>3141.59265358979</v>
      </c>
      <c r="F292" t="str">
        <f t="shared" si="53"/>
        <v>3141.59265358979i</v>
      </c>
      <c r="G292" t="str">
        <f t="shared" si="54"/>
        <v>0.00792870784154484-0.245638862773645i</v>
      </c>
      <c r="H292">
        <f t="shared" si="55"/>
        <v>-12.1895360398058</v>
      </c>
      <c r="I292">
        <f t="shared" si="56"/>
        <v>-88.1512541486639</v>
      </c>
      <c r="K292" t="str">
        <f t="shared" si="57"/>
        <v>1.21917221318004-0.216715581889345i</v>
      </c>
      <c r="L292" t="str">
        <f t="shared" si="58"/>
        <v>12.7237934553248-4.38275861401608i</v>
      </c>
      <c r="M292">
        <f t="shared" si="59"/>
        <v>22.579268266791</v>
      </c>
      <c r="N292">
        <f t="shared" si="60"/>
        <v>160.993538200988</v>
      </c>
      <c r="P292" t="str">
        <f t="shared" si="61"/>
        <v>-0.975692600814876-3.16020776712328i</v>
      </c>
      <c r="Q292">
        <f t="shared" si="62"/>
        <v>10.3897322269852</v>
      </c>
      <c r="R292">
        <f t="shared" si="63"/>
        <v>72.8422840523238</v>
      </c>
      <c r="CC292" s="26"/>
      <c r="CD292" s="26"/>
      <c r="CE292" s="26"/>
    </row>
    <row r="293" spans="1:83">
      <c r="A293" t="s">
        <v>470</v>
      </c>
      <c r="D293" s="26">
        <f t="shared" si="65"/>
        <v>600</v>
      </c>
      <c r="E293" s="26">
        <f t="shared" si="52"/>
        <v>3769.91118430775</v>
      </c>
      <c r="F293" t="str">
        <f t="shared" si="53"/>
        <v>3769.91118430775i</v>
      </c>
      <c r="G293" t="str">
        <f t="shared" si="54"/>
        <v>0.00550779867886895-0.204764170541052i</v>
      </c>
      <c r="H293">
        <f t="shared" si="55"/>
        <v>-13.7717796162818</v>
      </c>
      <c r="I293">
        <f t="shared" si="56"/>
        <v>-88.4592150894026</v>
      </c>
      <c r="K293" t="str">
        <f t="shared" si="57"/>
        <v>1.21914930893628-0.181834605880466i</v>
      </c>
      <c r="L293" t="str">
        <f t="shared" si="58"/>
        <v>12.5876734318793-4.37310124551816i</v>
      </c>
      <c r="M293">
        <f t="shared" si="59"/>
        <v>22.493782451077</v>
      </c>
      <c r="N293">
        <f t="shared" si="60"/>
        <v>160.842190233512</v>
      </c>
      <c r="P293" t="str">
        <f t="shared" si="61"/>
        <v>-0.826124078132429-2.60159067058303i</v>
      </c>
      <c r="Q293">
        <f t="shared" si="62"/>
        <v>8.72200283479518</v>
      </c>
      <c r="R293">
        <f t="shared" si="63"/>
        <v>72.3829751441095</v>
      </c>
      <c r="CC293" s="26"/>
      <c r="CD293" s="26"/>
      <c r="CE293" s="26"/>
    </row>
    <row r="294" spans="1:83">
      <c r="A294" t="s">
        <v>471</v>
      </c>
      <c r="D294" s="26">
        <f t="shared" si="65"/>
        <v>700</v>
      </c>
      <c r="E294" s="26">
        <f t="shared" si="52"/>
        <v>4398.22971502571</v>
      </c>
      <c r="F294" t="str">
        <f t="shared" si="53"/>
        <v>4398.22971502571i</v>
      </c>
      <c r="G294" t="str">
        <f t="shared" si="54"/>
        <v>0.00404732230310039-0.175545818404831i</v>
      </c>
      <c r="H294">
        <f t="shared" si="55"/>
        <v>-15.1098822893636</v>
      </c>
      <c r="I294">
        <f t="shared" si="56"/>
        <v>-88.6792427602443</v>
      </c>
      <c r="K294" t="str">
        <f t="shared" si="57"/>
        <v>1.21912224645566-0.157112316938613i</v>
      </c>
      <c r="L294" t="str">
        <f t="shared" si="58"/>
        <v>12.4304397732326-4.46200480623091i</v>
      </c>
      <c r="M294">
        <f t="shared" si="59"/>
        <v>22.4160952802538</v>
      </c>
      <c r="N294">
        <f t="shared" si="60"/>
        <v>160.253997762074</v>
      </c>
      <c r="P294" t="str">
        <f t="shared" si="61"/>
        <v>-0.732976289304544-2.20017089469288i</v>
      </c>
      <c r="Q294">
        <f t="shared" si="62"/>
        <v>7.30621299089016</v>
      </c>
      <c r="R294">
        <f t="shared" si="63"/>
        <v>71.5747550018292</v>
      </c>
      <c r="CC294" s="26"/>
      <c r="CD294" s="26"/>
      <c r="CE294" s="26"/>
    </row>
    <row r="295" spans="1:83">
      <c r="A295" t="s">
        <v>472</v>
      </c>
      <c r="B295">
        <f>Compensation!C27*1000</f>
        <v>16900</v>
      </c>
      <c r="D295" s="26">
        <f t="shared" si="65"/>
        <v>800</v>
      </c>
      <c r="E295" s="26">
        <f t="shared" si="52"/>
        <v>5026.54824574367</v>
      </c>
      <c r="F295" t="str">
        <f t="shared" si="53"/>
        <v>5026.54824574367i</v>
      </c>
      <c r="G295" t="str">
        <f t="shared" si="54"/>
        <v>0.0030991170367948-0.153621719903834i</v>
      </c>
      <c r="H295">
        <f t="shared" si="55"/>
        <v>-16.2691804167597</v>
      </c>
      <c r="I295">
        <f t="shared" si="56"/>
        <v>-88.8442894409727</v>
      </c>
      <c r="K295" t="str">
        <f t="shared" si="57"/>
        <v>1.21909102882064-0.138739082426451i</v>
      </c>
      <c r="L295" t="str">
        <f t="shared" si="58"/>
        <v>12.2537330278483-4.60598154769157i</v>
      </c>
      <c r="M295">
        <f t="shared" si="59"/>
        <v>22.3393236165255</v>
      </c>
      <c r="N295">
        <f t="shared" si="60"/>
        <v>159.399565289799</v>
      </c>
      <c r="P295" t="str">
        <f t="shared" si="61"/>
        <v>-0.669603054410762-1.89671401886608i</v>
      </c>
      <c r="Q295">
        <f t="shared" si="62"/>
        <v>6.07014319976581</v>
      </c>
      <c r="R295">
        <f t="shared" si="63"/>
        <v>70.5552758488263</v>
      </c>
      <c r="CC295" s="26"/>
      <c r="CD295" s="26"/>
      <c r="CE295" s="26"/>
    </row>
    <row r="296" spans="1:83">
      <c r="A296" t="s">
        <v>473</v>
      </c>
      <c r="B296">
        <f>Compensation!C26*1000</f>
        <v>147000</v>
      </c>
      <c r="D296" s="26">
        <f t="shared" si="65"/>
        <v>900</v>
      </c>
      <c r="E296" s="26">
        <f t="shared" si="52"/>
        <v>5654.86677646163</v>
      </c>
      <c r="F296" t="str">
        <f t="shared" si="53"/>
        <v>5654.86677646163i</v>
      </c>
      <c r="G296" t="str">
        <f t="shared" si="54"/>
        <v>0.00244889415353419-0.136564299821386i</v>
      </c>
      <c r="H296">
        <f t="shared" si="55"/>
        <v>-17.2918600477552</v>
      </c>
      <c r="I296">
        <f t="shared" si="56"/>
        <v>-88.9726724851983</v>
      </c>
      <c r="K296" t="str">
        <f t="shared" si="57"/>
        <v>1.21905565958555-0.124598422760642i</v>
      </c>
      <c r="L296" t="str">
        <f t="shared" si="58"/>
        <v>12.0593233947576-4.78041308292038i</v>
      </c>
      <c r="M296">
        <f t="shared" si="59"/>
        <v>22.2603154840886</v>
      </c>
      <c r="N296">
        <f t="shared" si="60"/>
        <v>158.376225972188</v>
      </c>
      <c r="P296" t="str">
        <f t="shared" si="61"/>
        <v>-0.623301758969015-1.65857978137497i</v>
      </c>
      <c r="Q296">
        <f t="shared" si="62"/>
        <v>4.96845543633344</v>
      </c>
      <c r="R296">
        <f t="shared" si="63"/>
        <v>69.4035534869899</v>
      </c>
      <c r="CC296" s="26"/>
      <c r="CD296" s="26"/>
      <c r="CE296" s="26"/>
    </row>
    <row r="297" spans="1:83">
      <c r="A297" t="s">
        <v>474</v>
      </c>
      <c r="B297">
        <f>Compensation!C28*1000</f>
        <v>33200</v>
      </c>
      <c r="D297" s="26">
        <f t="shared" si="65"/>
        <v>1000</v>
      </c>
      <c r="E297" s="26">
        <f t="shared" si="52"/>
        <v>6283.18530717959</v>
      </c>
      <c r="F297" t="str">
        <f t="shared" si="53"/>
        <v>6283.18530717959i</v>
      </c>
      <c r="G297" t="str">
        <f t="shared" si="54"/>
        <v>0.00198372542490097-0.12291537717523i</v>
      </c>
      <c r="H297">
        <f t="shared" si="55"/>
        <v>-18.2067445956438</v>
      </c>
      <c r="I297">
        <f t="shared" si="56"/>
        <v>-89.0753864112729</v>
      </c>
      <c r="K297" t="str">
        <f t="shared" si="57"/>
        <v>1.21901614277558-0.113420434917639i</v>
      </c>
      <c r="L297" t="str">
        <f t="shared" si="58"/>
        <v>11.8490701850943-4.97024474358614i</v>
      </c>
      <c r="M297">
        <f t="shared" si="59"/>
        <v>22.1775706129611</v>
      </c>
      <c r="N297">
        <f t="shared" si="60"/>
        <v>157.243760844325</v>
      </c>
      <c r="P297" t="str">
        <f t="shared" si="61"/>
        <v>-0.587414205523487-1.46629253184247i</v>
      </c>
      <c r="Q297">
        <f t="shared" si="62"/>
        <v>3.97082601731737</v>
      </c>
      <c r="R297">
        <f t="shared" si="63"/>
        <v>68.1683744330522</v>
      </c>
      <c r="CC297" s="26"/>
      <c r="CD297" s="26"/>
      <c r="CE297" s="26"/>
    </row>
    <row r="298" spans="1:83">
      <c r="A298" t="s">
        <v>475</v>
      </c>
      <c r="B298">
        <f>Compensation!C29*0.000000001</f>
        <v>1e-8</v>
      </c>
      <c r="D298" s="26">
        <f>D297+1000</f>
        <v>2000</v>
      </c>
      <c r="E298" s="26">
        <f t="shared" si="52"/>
        <v>12566.3706143592</v>
      </c>
      <c r="F298" t="str">
        <f t="shared" si="53"/>
        <v>12566.3706143592i</v>
      </c>
      <c r="G298" t="str">
        <f t="shared" si="54"/>
        <v>0.000496028229779858-0.0614696935247443i</v>
      </c>
      <c r="H298">
        <f t="shared" si="55"/>
        <v>-24.2264962556087</v>
      </c>
      <c r="I298">
        <f t="shared" si="56"/>
        <v>-89.5376631051275</v>
      </c>
      <c r="K298" t="str">
        <f t="shared" si="57"/>
        <v>1.21839407756899-0.066799557202157i</v>
      </c>
      <c r="L298" t="str">
        <f t="shared" si="58"/>
        <v>9.27881451047317-6.56491971611032i</v>
      </c>
      <c r="M298">
        <f t="shared" si="59"/>
        <v>21.1124425945732</v>
      </c>
      <c r="N298">
        <f t="shared" si="60"/>
        <v>144.719941220602</v>
      </c>
      <c r="P298" t="str">
        <f t="shared" si="61"/>
        <v>-0.398941049027767-0.573622269737165i</v>
      </c>
      <c r="Q298">
        <f t="shared" si="62"/>
        <v>-3.11405366103545</v>
      </c>
      <c r="R298">
        <f t="shared" si="63"/>
        <v>55.1822781154746</v>
      </c>
      <c r="CC298" s="26"/>
      <c r="CD298" s="26"/>
      <c r="CE298" s="26"/>
    </row>
    <row r="299" spans="1:83">
      <c r="A299" t="s">
        <v>476</v>
      </c>
      <c r="B299">
        <f>Compensation!C30*0.000000000001</f>
        <v>1.5e-10</v>
      </c>
      <c r="D299" s="26">
        <f t="shared" ref="D299:D306" si="66">D298+1000</f>
        <v>3000</v>
      </c>
      <c r="E299" s="26">
        <f t="shared" si="52"/>
        <v>18849.5559215388</v>
      </c>
      <c r="F299" t="str">
        <f t="shared" si="53"/>
        <v>18849.5559215388i</v>
      </c>
      <c r="G299" t="str">
        <f t="shared" si="54"/>
        <v>0.000220464965991266-0.040981278117298i</v>
      </c>
      <c r="H299">
        <f t="shared" si="55"/>
        <v>-27.748164334592</v>
      </c>
      <c r="I299">
        <f t="shared" si="56"/>
        <v>-89.6917716867899</v>
      </c>
      <c r="K299" t="str">
        <f t="shared" si="57"/>
        <v>1.21736511782191-0.0556589076420394i</v>
      </c>
      <c r="L299" t="str">
        <f t="shared" si="58"/>
        <v>6.78679729312287-7.00871497022731i</v>
      </c>
      <c r="M299">
        <f t="shared" si="59"/>
        <v>19.7855803388508</v>
      </c>
      <c r="N299">
        <f t="shared" si="60"/>
        <v>134.07840684052</v>
      </c>
      <c r="P299" t="str">
        <f t="shared" si="61"/>
        <v>-0.285729846405337-0.279676803502747i</v>
      </c>
      <c r="Q299">
        <f t="shared" si="62"/>
        <v>-7.96258399574118</v>
      </c>
      <c r="R299">
        <f t="shared" si="63"/>
        <v>44.3866351537302</v>
      </c>
      <c r="CC299" s="26"/>
      <c r="CD299" s="26"/>
      <c r="CE299" s="26"/>
    </row>
    <row r="300" spans="1:83">
      <c r="A300" t="s">
        <v>477</v>
      </c>
      <c r="B300">
        <f>Compensation!C31*1000</f>
        <v>1210</v>
      </c>
      <c r="D300" s="26">
        <f t="shared" si="66"/>
        <v>4000</v>
      </c>
      <c r="E300" s="26">
        <f t="shared" si="52"/>
        <v>25132.7412287183</v>
      </c>
      <c r="F300" t="str">
        <f t="shared" si="53"/>
        <v>25132.7412287183i</v>
      </c>
      <c r="G300" t="str">
        <f t="shared" si="54"/>
        <v>0.000124013113520558-0.0307363477459382i</v>
      </c>
      <c r="H300">
        <f t="shared" si="55"/>
        <v>-30.2468840796697</v>
      </c>
      <c r="I300">
        <f t="shared" si="56"/>
        <v>-89.7688277894489</v>
      </c>
      <c r="K300" t="str">
        <f t="shared" si="57"/>
        <v>1.21594075646524-0.0532951126052341i</v>
      </c>
      <c r="L300" t="str">
        <f t="shared" si="58"/>
        <v>4.90083117400941-6.74487095424523i</v>
      </c>
      <c r="M300">
        <f t="shared" si="59"/>
        <v>18.4205622538441</v>
      </c>
      <c r="N300">
        <f t="shared" si="60"/>
        <v>126.002199309333</v>
      </c>
      <c r="P300" t="str">
        <f t="shared" si="61"/>
        <v>-0.206704931818432-0.151470103655818i</v>
      </c>
      <c r="Q300">
        <f t="shared" si="62"/>
        <v>-11.8263218258256</v>
      </c>
      <c r="R300">
        <f t="shared" si="63"/>
        <v>36.2333715198843</v>
      </c>
      <c r="CC300" s="26"/>
      <c r="CD300" s="26"/>
      <c r="CE300" s="26"/>
    </row>
    <row r="301" spans="1:83">
      <c r="A301" t="s">
        <v>478</v>
      </c>
      <c r="B301">
        <f>Compensation!C32*0.000000001</f>
        <v>4.7e-9</v>
      </c>
      <c r="D301" s="26">
        <f t="shared" si="66"/>
        <v>5000</v>
      </c>
      <c r="E301" s="26">
        <f t="shared" si="52"/>
        <v>31415.9265358979</v>
      </c>
      <c r="F301" t="str">
        <f t="shared" si="53"/>
        <v>31415.9265358979i</v>
      </c>
      <c r="G301" t="str">
        <f t="shared" si="54"/>
        <v>0.0000793688577852024-0.0245892222990545i</v>
      </c>
      <c r="H301">
        <f t="shared" si="55"/>
        <v>-32.1850588884286</v>
      </c>
      <c r="I301">
        <f t="shared" si="56"/>
        <v>-89.8150618702882</v>
      </c>
      <c r="K301" t="str">
        <f t="shared" si="57"/>
        <v>1.21413663499512-0.0543405829619523i</v>
      </c>
      <c r="L301" t="str">
        <f t="shared" si="58"/>
        <v>3.58130096210178-6.22330058961732i</v>
      </c>
      <c r="M301">
        <f t="shared" si="59"/>
        <v>17.1227236485897</v>
      </c>
      <c r="N301">
        <f t="shared" si="60"/>
        <v>119.918984629526</v>
      </c>
      <c r="P301" t="str">
        <f t="shared" si="61"/>
        <v>-0.15274187786519-0.0885553417363903i</v>
      </c>
      <c r="Q301">
        <f t="shared" si="62"/>
        <v>-15.0623352398389</v>
      </c>
      <c r="R301">
        <f t="shared" si="63"/>
        <v>30.1039227592381</v>
      </c>
      <c r="CC301" s="26"/>
      <c r="CD301" s="26"/>
      <c r="CE301" s="26"/>
    </row>
    <row r="302" spans="1:83">
      <c r="A302" t="s">
        <v>479</v>
      </c>
      <c r="B302" s="28">
        <f>Compensation!C33</f>
        <v>0</v>
      </c>
      <c r="D302" s="26">
        <f t="shared" si="66"/>
        <v>6000</v>
      </c>
      <c r="E302" s="26">
        <f t="shared" si="52"/>
        <v>37699.1118430775</v>
      </c>
      <c r="F302" t="str">
        <f t="shared" si="53"/>
        <v>37699.1118430775i</v>
      </c>
      <c r="G302" t="str">
        <f t="shared" si="54"/>
        <v>0.0000551174378137558-0.020491083814631i</v>
      </c>
      <c r="H302">
        <f t="shared" si="55"/>
        <v>-33.7686699838655</v>
      </c>
      <c r="I302">
        <f t="shared" si="56"/>
        <v>-89.8458847283677</v>
      </c>
      <c r="K302" t="str">
        <f t="shared" si="57"/>
        <v>1.2119721225816-0.0569859691598898i</v>
      </c>
      <c r="L302" t="str">
        <f t="shared" si="58"/>
        <v>2.66882902812658-5.65753255266374i</v>
      </c>
      <c r="M302">
        <f t="shared" si="59"/>
        <v>15.9251343240605</v>
      </c>
      <c r="N302">
        <f t="shared" si="60"/>
        <v>115.254667754668</v>
      </c>
      <c r="P302" t="str">
        <f t="shared" si="61"/>
        <v>-0.115781874702643-0.0549990280009127i</v>
      </c>
      <c r="Q302">
        <f t="shared" si="62"/>
        <v>-17.843535659805</v>
      </c>
      <c r="R302">
        <f t="shared" si="63"/>
        <v>25.4087830262999</v>
      </c>
      <c r="CC302" s="26"/>
      <c r="CD302" s="26"/>
      <c r="CE302" s="26"/>
    </row>
    <row r="303" spans="1:83">
      <c r="A303" t="s">
        <v>480</v>
      </c>
      <c r="B303">
        <f>Compensation!C34*1000</f>
        <v>9090</v>
      </c>
      <c r="D303" s="26">
        <f t="shared" si="66"/>
        <v>7000</v>
      </c>
      <c r="E303" s="26">
        <f t="shared" si="52"/>
        <v>43982.2971502571</v>
      </c>
      <c r="F303" t="str">
        <f t="shared" si="53"/>
        <v>43982.2971502571i</v>
      </c>
      <c r="G303" t="str">
        <f t="shared" si="54"/>
        <v>0.000040494521838051-0.0175638198409044i</v>
      </c>
      <c r="H303">
        <f t="shared" si="55"/>
        <v>-35.1075974401067</v>
      </c>
      <c r="I303">
        <f t="shared" si="56"/>
        <v>-89.8679011112215</v>
      </c>
      <c r="K303" t="str">
        <f t="shared" si="57"/>
        <v>1.20946981197312-0.060440897519404i</v>
      </c>
      <c r="L303" t="str">
        <f t="shared" si="58"/>
        <v>2.02931041829115-5.1276030557196i</v>
      </c>
      <c r="M303">
        <f t="shared" si="59"/>
        <v>14.8302233071914</v>
      </c>
      <c r="N303">
        <f t="shared" si="60"/>
        <v>111.591776685897</v>
      </c>
      <c r="P303" t="str">
        <f t="shared" si="61"/>
        <v>-0.0899781203312803-0.0358500824220528i</v>
      </c>
      <c r="Q303">
        <f t="shared" si="62"/>
        <v>-20.2773741329153</v>
      </c>
      <c r="R303">
        <f t="shared" si="63"/>
        <v>21.7238755746754</v>
      </c>
      <c r="CC303" s="26"/>
      <c r="CD303" s="26"/>
      <c r="CE303" s="26"/>
    </row>
    <row r="304" spans="1:83">
      <c r="A304" t="s">
        <v>481</v>
      </c>
      <c r="B304" s="28">
        <f>Compensation!C35</f>
        <v>1</v>
      </c>
      <c r="D304" s="26">
        <f t="shared" si="66"/>
        <v>8000</v>
      </c>
      <c r="E304" s="26">
        <f t="shared" si="52"/>
        <v>50265.4824574367</v>
      </c>
      <c r="F304" t="str">
        <f t="shared" si="53"/>
        <v>50265.4824574367i</v>
      </c>
      <c r="G304" t="str">
        <f t="shared" si="54"/>
        <v>0.0000310036569079702-0.0153683615073686i</v>
      </c>
      <c r="H304">
        <f t="shared" si="55"/>
        <v>-36.2674309690263</v>
      </c>
      <c r="I304">
        <f t="shared" si="56"/>
        <v>-89.8844134243179</v>
      </c>
      <c r="K304" t="str">
        <f t="shared" si="57"/>
        <v>1.20665495586022-0.0642993957317733i</v>
      </c>
      <c r="L304" t="str">
        <f t="shared" si="58"/>
        <v>1.57133308843696-4.65655487903936i</v>
      </c>
      <c r="M304">
        <f t="shared" si="59"/>
        <v>13.8296372737455</v>
      </c>
      <c r="N304">
        <f t="shared" si="60"/>
        <v>108.646730972231</v>
      </c>
      <c r="P304" t="str">
        <f t="shared" si="61"/>
        <v>-0.0715149016880159-0.0242931851814321i</v>
      </c>
      <c r="Q304">
        <f t="shared" si="62"/>
        <v>-22.4377936952808</v>
      </c>
      <c r="R304">
        <f t="shared" si="63"/>
        <v>18.7623175479133</v>
      </c>
      <c r="CC304" s="26"/>
      <c r="CD304" s="26"/>
      <c r="CE304" s="26"/>
    </row>
    <row r="305" spans="1:83">
      <c r="A305" t="s">
        <v>482</v>
      </c>
      <c r="B305" s="28">
        <f>Compensation!C36*1000</f>
        <v>20000</v>
      </c>
      <c r="D305" s="26">
        <f t="shared" si="66"/>
        <v>9000</v>
      </c>
      <c r="E305" s="26">
        <f t="shared" si="52"/>
        <v>56548.6677646163</v>
      </c>
      <c r="F305" t="str">
        <f t="shared" si="53"/>
        <v>56548.6677646163i</v>
      </c>
      <c r="G305" t="str">
        <f t="shared" si="54"/>
        <v>0.0000244967374930859-0.0136607774526457i</v>
      </c>
      <c r="H305">
        <f t="shared" si="55"/>
        <v>-37.2904777084572</v>
      </c>
      <c r="I305">
        <f t="shared" si="56"/>
        <v>-89.8972563479187</v>
      </c>
      <c r="K305" t="str">
        <f t="shared" si="57"/>
        <v>1.20355486863362-0.0683284927526637i</v>
      </c>
      <c r="L305" t="str">
        <f t="shared" si="58"/>
        <v>1.23578042299278-4.24577541763003i</v>
      </c>
      <c r="M305">
        <f t="shared" si="59"/>
        <v>12.9123032818428</v>
      </c>
      <c r="N305">
        <f t="shared" si="60"/>
        <v>106.228227764004</v>
      </c>
      <c r="P305" t="str">
        <f t="shared" si="61"/>
        <v>-0.0579703205055365-0.016985728984701i</v>
      </c>
      <c r="Q305">
        <f t="shared" si="62"/>
        <v>-24.3781744266144</v>
      </c>
      <c r="R305">
        <f t="shared" si="63"/>
        <v>16.3309714160857</v>
      </c>
      <c r="CC305" s="26"/>
      <c r="CD305" s="26"/>
      <c r="CE305" s="26"/>
    </row>
    <row r="306" spans="1:83">
      <c r="A306" t="s">
        <v>483</v>
      </c>
      <c r="B306" s="26">
        <v>100000</v>
      </c>
      <c r="D306" s="26">
        <f t="shared" si="66"/>
        <v>10000</v>
      </c>
      <c r="E306" s="26">
        <f t="shared" si="52"/>
        <v>62831.8530717959</v>
      </c>
      <c r="F306" t="str">
        <f t="shared" si="53"/>
        <v>62831.8530717959i</v>
      </c>
      <c r="G306" t="str">
        <f t="shared" si="54"/>
        <v>0.0000198423694924358-0.0122947072190435i</v>
      </c>
      <c r="H306">
        <f t="shared" si="55"/>
        <v>-38.2056248662732</v>
      </c>
      <c r="I306">
        <f t="shared" si="56"/>
        <v>-89.9075306942949</v>
      </c>
      <c r="K306" t="str">
        <f t="shared" si="57"/>
        <v>1.20019831807604-0.0723836914125532i</v>
      </c>
      <c r="L306" t="str">
        <f t="shared" si="58"/>
        <v>0.984566731596641-3.88940784651458i</v>
      </c>
      <c r="M306">
        <f t="shared" si="59"/>
        <v>12.0674130298758</v>
      </c>
      <c r="N306">
        <f t="shared" si="60"/>
        <v>104.205471940902</v>
      </c>
      <c r="P306" t="str">
        <f t="shared" si="61"/>
        <v>-0.0477995945914689-0.0121821347701886i</v>
      </c>
      <c r="Q306">
        <f t="shared" si="62"/>
        <v>-26.1382118363974</v>
      </c>
      <c r="R306">
        <f t="shared" si="63"/>
        <v>14.2979412466069</v>
      </c>
      <c r="CC306" s="26"/>
      <c r="CD306" s="26"/>
      <c r="CE306" s="26"/>
    </row>
    <row r="307" spans="4:83">
      <c r="D307" s="26">
        <f>D306+10000</f>
        <v>20000</v>
      </c>
      <c r="E307" s="26">
        <f t="shared" si="52"/>
        <v>125663.706143592</v>
      </c>
      <c r="F307" t="str">
        <f t="shared" si="53"/>
        <v>125663.706143592i</v>
      </c>
      <c r="G307" t="str">
        <f t="shared" si="54"/>
        <v>4.96060206358702E-06-0.00614736561832856i</v>
      </c>
      <c r="H307">
        <f t="shared" si="55"/>
        <v>-44.2262162956527</v>
      </c>
      <c r="I307">
        <f t="shared" si="56"/>
        <v>-89.9537653170411</v>
      </c>
      <c r="K307" t="str">
        <f t="shared" si="57"/>
        <v>1.15884178600295-0.103268431611917i</v>
      </c>
      <c r="L307" t="str">
        <f t="shared" si="58"/>
        <v>0.138602727225721-2.00693297360619i</v>
      </c>
      <c r="M307">
        <f t="shared" si="59"/>
        <v>6.07132203865018</v>
      </c>
      <c r="N307">
        <f t="shared" si="60"/>
        <v>93.9506858686513</v>
      </c>
      <c r="P307" t="str">
        <f t="shared" si="61"/>
        <v>-0.0123366632072619-0.000861997235804321i</v>
      </c>
      <c r="Q307">
        <f t="shared" si="62"/>
        <v>-38.1548942570025</v>
      </c>
      <c r="R307">
        <f t="shared" si="63"/>
        <v>3.99692055161023</v>
      </c>
      <c r="CC307" s="26"/>
      <c r="CD307" s="26"/>
      <c r="CE307" s="26"/>
    </row>
    <row r="308" spans="4:83">
      <c r="D308" s="26">
        <f t="shared" ref="D308:D315" si="67">D307+10000</f>
        <v>30000</v>
      </c>
      <c r="E308" s="26">
        <f t="shared" si="52"/>
        <v>188495.559215388</v>
      </c>
      <c r="F308" t="str">
        <f t="shared" si="53"/>
        <v>188495.559215388i</v>
      </c>
      <c r="G308" t="str">
        <f t="shared" si="54"/>
        <v>2.20471282583297E-06-0.00409824522812456i</v>
      </c>
      <c r="H308">
        <f t="shared" si="55"/>
        <v>-47.7480399056718</v>
      </c>
      <c r="I308">
        <f t="shared" si="56"/>
        <v>-89.9691768743106</v>
      </c>
      <c r="K308" t="str">
        <f t="shared" si="57"/>
        <v>1.1181597971873-0.112833979234188i</v>
      </c>
      <c r="L308" t="str">
        <f t="shared" si="58"/>
        <v>0.00670215547801651-1.30446422860506i</v>
      </c>
      <c r="M308">
        <f t="shared" si="59"/>
        <v>2.30875812687657</v>
      </c>
      <c r="N308">
        <f t="shared" si="60"/>
        <v>90.2943751428543</v>
      </c>
      <c r="P308" t="str">
        <f t="shared" si="61"/>
        <v>-0.00534599952381173-0.0000303430457215759i</v>
      </c>
      <c r="Q308">
        <f t="shared" si="62"/>
        <v>-45.4392817787953</v>
      </c>
      <c r="R308">
        <f t="shared" si="63"/>
        <v>0.325198268543744</v>
      </c>
      <c r="CC308" s="26"/>
      <c r="CD308" s="26"/>
      <c r="CE308" s="26"/>
    </row>
    <row r="309" spans="1:83">
      <c r="A309" s="38" t="s">
        <v>484</v>
      </c>
      <c r="B309" s="26">
        <f>B304*B306/B303</f>
        <v>11.001100110011</v>
      </c>
      <c r="D309" s="26">
        <f t="shared" si="67"/>
        <v>40000</v>
      </c>
      <c r="E309" s="26">
        <f t="shared" si="52"/>
        <v>251327.412287183</v>
      </c>
      <c r="F309" t="str">
        <f t="shared" si="53"/>
        <v>251327.412287183i</v>
      </c>
      <c r="G309" t="str">
        <f t="shared" si="54"/>
        <v>1.24015112155312E-06-0.00307368431026881i</v>
      </c>
      <c r="H309">
        <f t="shared" si="55"/>
        <v>-50.2468140879546</v>
      </c>
      <c r="I309">
        <f t="shared" si="56"/>
        <v>-89.9768826547573</v>
      </c>
      <c r="K309" t="str">
        <f t="shared" si="57"/>
        <v>1.0869741033835-0.109915683634803i</v>
      </c>
      <c r="L309" t="str">
        <f t="shared" si="58"/>
        <v>-0.0203711988164193-0.953201405140847i</v>
      </c>
      <c r="M309">
        <f t="shared" si="59"/>
        <v>-0.414323402462233</v>
      </c>
      <c r="N309">
        <f t="shared" si="60"/>
        <v>88.7756983356348</v>
      </c>
      <c r="P309" t="str">
        <f t="shared" si="61"/>
        <v>-0.00292986546687266+0.0000614325203917431i</v>
      </c>
      <c r="Q309">
        <f t="shared" si="62"/>
        <v>-50.6611374904169</v>
      </c>
      <c r="R309">
        <f t="shared" si="63"/>
        <v>358.798815680878</v>
      </c>
      <c r="CC309" s="26"/>
      <c r="CD309" s="26"/>
      <c r="CE309" s="26"/>
    </row>
    <row r="310" spans="1:83">
      <c r="A310" s="38">
        <f>B297*B298*B296*B299</f>
        <v>7.3206e-9</v>
      </c>
      <c r="D310" s="26">
        <f t="shared" si="67"/>
        <v>50000</v>
      </c>
      <c r="E310" s="26">
        <f t="shared" si="52"/>
        <v>314159.265358979</v>
      </c>
      <c r="F310" t="str">
        <f t="shared" si="53"/>
        <v>314159.265358979i</v>
      </c>
      <c r="G310" t="str">
        <f t="shared" si="54"/>
        <v>7.93696764308434E-07-0.00245894759232116i</v>
      </c>
      <c r="H310">
        <f t="shared" si="55"/>
        <v>-52.1850140935984</v>
      </c>
      <c r="I310">
        <f t="shared" si="56"/>
        <v>-89.9815061234445</v>
      </c>
      <c r="K310" t="str">
        <f t="shared" si="57"/>
        <v>1.06493821781033-0.102228638940344i</v>
      </c>
      <c r="L310" t="str">
        <f t="shared" si="58"/>
        <v>-0.0240175697607082-0.747360387506285i</v>
      </c>
      <c r="M310">
        <f t="shared" si="59"/>
        <v>-2.52491560711515</v>
      </c>
      <c r="N310">
        <f t="shared" si="60"/>
        <v>88.1593459186756</v>
      </c>
      <c r="P310" t="str">
        <f t="shared" si="61"/>
        <v>-0.00183773908812219+0.0000584647678151629i</v>
      </c>
      <c r="Q310">
        <f t="shared" si="62"/>
        <v>-54.7099297007135</v>
      </c>
      <c r="R310">
        <f t="shared" si="63"/>
        <v>358.177839795231</v>
      </c>
      <c r="CC310" s="26"/>
      <c r="CD310" s="26"/>
      <c r="CE310" s="26"/>
    </row>
    <row r="311" spans="1:83">
      <c r="A311" s="38">
        <f>B297*B298+B296*B298+B296*B299</f>
        <v>0.00182405</v>
      </c>
      <c r="D311" s="26">
        <f t="shared" si="67"/>
        <v>60000</v>
      </c>
      <c r="E311" s="26">
        <f t="shared" si="52"/>
        <v>376991.118430775</v>
      </c>
      <c r="F311" t="str">
        <f t="shared" si="53"/>
        <v>376991.118430775i</v>
      </c>
      <c r="G311" t="str">
        <f t="shared" si="54"/>
        <v>5.51178326094125E-07-0.0020491230588342i</v>
      </c>
      <c r="H311">
        <f t="shared" si="55"/>
        <v>-53.7686388762945</v>
      </c>
      <c r="I311">
        <f t="shared" si="56"/>
        <v>-89.9845884360402</v>
      </c>
      <c r="K311" t="str">
        <f t="shared" si="57"/>
        <v>1.04958387620686-0.0934916541188807i</v>
      </c>
      <c r="L311" t="str">
        <f t="shared" si="58"/>
        <v>-0.0220046940122692-0.61373233609171i</v>
      </c>
      <c r="M311">
        <f t="shared" si="59"/>
        <v>-4.23484060583534</v>
      </c>
      <c r="N311">
        <f t="shared" si="60"/>
        <v>87.9466027854415</v>
      </c>
      <c r="P311" t="str">
        <f t="shared" si="61"/>
        <v>-0.00125762521034812+0.0000447520499414548i</v>
      </c>
      <c r="Q311">
        <f t="shared" si="62"/>
        <v>-58.0034794821298</v>
      </c>
      <c r="R311">
        <f t="shared" si="63"/>
        <v>357.962014349401</v>
      </c>
      <c r="CC311" s="26"/>
      <c r="CD311" s="26"/>
      <c r="CE311" s="26"/>
    </row>
    <row r="312" spans="1:83">
      <c r="A312" s="38">
        <v>1</v>
      </c>
      <c r="D312" s="26">
        <f t="shared" si="67"/>
        <v>70000</v>
      </c>
      <c r="E312" s="26">
        <f t="shared" si="52"/>
        <v>439822.971502571</v>
      </c>
      <c r="F312" t="str">
        <f t="shared" si="53"/>
        <v>439822.971502571i</v>
      </c>
      <c r="G312" t="str">
        <f t="shared" si="54"/>
        <v>4.04947349393266E-07-0.00175639122700095i</v>
      </c>
      <c r="H312">
        <f t="shared" si="55"/>
        <v>-55.1075745855425</v>
      </c>
      <c r="I312">
        <f t="shared" si="56"/>
        <v>-89.98679008795</v>
      </c>
      <c r="K312" t="str">
        <f t="shared" si="57"/>
        <v>1.03875449615707-0.0851540701570527i</v>
      </c>
      <c r="L312" t="str">
        <f t="shared" si="58"/>
        <v>-0.0189298614222287-0.520499055529812i</v>
      </c>
      <c r="M312">
        <f t="shared" si="59"/>
        <v>-5.66586055084191</v>
      </c>
      <c r="N312">
        <f t="shared" si="60"/>
        <v>87.9171463612665</v>
      </c>
      <c r="P312" t="str">
        <f t="shared" si="61"/>
        <v>-0.000914207640392049+0.0000330374678174477i</v>
      </c>
      <c r="Q312">
        <f t="shared" si="62"/>
        <v>-60.7734351363844</v>
      </c>
      <c r="R312">
        <f t="shared" si="63"/>
        <v>357.930356273317</v>
      </c>
      <c r="CC312" s="26"/>
      <c r="CD312" s="26"/>
      <c r="CE312" s="26"/>
    </row>
    <row r="313" spans="1:83">
      <c r="A313" s="38"/>
      <c r="D313" s="26">
        <f t="shared" si="67"/>
        <v>80000</v>
      </c>
      <c r="E313" s="26">
        <f t="shared" si="52"/>
        <v>502654.824574367</v>
      </c>
      <c r="F313" t="str">
        <f t="shared" si="53"/>
        <v>502654.824574367i</v>
      </c>
      <c r="G313" t="str">
        <f t="shared" si="54"/>
        <v>3.10037818241827E-07-0.00153684234277259i</v>
      </c>
      <c r="H313">
        <f t="shared" si="55"/>
        <v>-56.2674134709896</v>
      </c>
      <c r="I313">
        <f t="shared" si="56"/>
        <v>-89.9884413269082</v>
      </c>
      <c r="K313" t="str">
        <f t="shared" si="57"/>
        <v>1.03095391997154-0.0776727701293295i</v>
      </c>
      <c r="L313" t="str">
        <f t="shared" si="58"/>
        <v>-0.0160181320434553-0.451906352399022i</v>
      </c>
      <c r="M313">
        <f t="shared" si="59"/>
        <v>-6.8935780384889</v>
      </c>
      <c r="N313">
        <f t="shared" si="60"/>
        <v>87.9699615092804</v>
      </c>
      <c r="P313" t="str">
        <f t="shared" si="61"/>
        <v>-0.00069451378356144+0.0000244772355169571i</v>
      </c>
      <c r="Q313">
        <f t="shared" si="62"/>
        <v>-63.1609915094785</v>
      </c>
      <c r="R313">
        <f t="shared" si="63"/>
        <v>357.981520182372</v>
      </c>
      <c r="CC313" s="26"/>
      <c r="CD313" s="26"/>
      <c r="CE313" s="26"/>
    </row>
    <row r="314" spans="1:83">
      <c r="A314" s="38">
        <f>B296*B297*B298*B299</f>
        <v>7.3206e-9</v>
      </c>
      <c r="D314" s="26">
        <f t="shared" si="67"/>
        <v>90000</v>
      </c>
      <c r="E314" s="26">
        <f t="shared" si="52"/>
        <v>565486.677646163</v>
      </c>
      <c r="F314" t="str">
        <f t="shared" si="53"/>
        <v>565486.677646163i</v>
      </c>
      <c r="G314" t="str">
        <f t="shared" si="54"/>
        <v>2.44968154777297E-07-0.00136608209413292i</v>
      </c>
      <c r="H314">
        <f t="shared" si="55"/>
        <v>-57.290463882842</v>
      </c>
      <c r="I314">
        <f t="shared" si="56"/>
        <v>-89.9897256238892</v>
      </c>
      <c r="K314" t="str">
        <f t="shared" si="57"/>
        <v>1.02520432425509-0.0711147575797907i</v>
      </c>
      <c r="L314" t="str">
        <f t="shared" si="58"/>
        <v>-0.0135448137124025-0.399369982156305i</v>
      </c>
      <c r="M314">
        <f t="shared" si="59"/>
        <v>-7.96749898639934</v>
      </c>
      <c r="N314">
        <f t="shared" si="60"/>
        <v>88.0575322552473</v>
      </c>
      <c r="P314" t="str">
        <f t="shared" si="61"/>
        <v>-0.000545575499605934+0.0000184054945532768i</v>
      </c>
      <c r="Q314">
        <f t="shared" si="62"/>
        <v>-65.2579628692414</v>
      </c>
      <c r="R314">
        <f t="shared" si="63"/>
        <v>358.067806631358</v>
      </c>
      <c r="CC314" s="26"/>
      <c r="CD314" s="26"/>
      <c r="CE314" s="26"/>
    </row>
    <row r="315" spans="1:83">
      <c r="A315" s="38">
        <f>B296*(B298+B299)</f>
        <v>0.00149205</v>
      </c>
      <c r="D315" s="26">
        <f t="shared" si="67"/>
        <v>100000</v>
      </c>
      <c r="E315" s="26">
        <f t="shared" si="52"/>
        <v>628318.530717959</v>
      </c>
      <c r="F315" t="str">
        <f t="shared" si="53"/>
        <v>628318.530717959i</v>
      </c>
      <c r="G315" t="str">
        <f t="shared" si="54"/>
        <v>1.98424206581922E-07-0.00122947389223134i</v>
      </c>
      <c r="H315">
        <f t="shared" si="55"/>
        <v>-58.2056136675214</v>
      </c>
      <c r="I315">
        <f t="shared" si="56"/>
        <v>-89.9907530614814</v>
      </c>
      <c r="K315" t="str">
        <f t="shared" si="57"/>
        <v>1.02087142629926-0.0654087961983102i</v>
      </c>
      <c r="L315" t="str">
        <f t="shared" si="58"/>
        <v>-0.0115138305823366-0.357851059331453i</v>
      </c>
      <c r="M315">
        <f t="shared" si="59"/>
        <v>-8.92146025383722</v>
      </c>
      <c r="N315">
        <f t="shared" si="60"/>
        <v>88.1571484044491</v>
      </c>
      <c r="P315" t="str">
        <f t="shared" si="61"/>
        <v>-0.000439970819378048+0.0000140849477880353i</v>
      </c>
      <c r="Q315">
        <f t="shared" si="62"/>
        <v>-67.1270739213586</v>
      </c>
      <c r="R315">
        <f t="shared" si="63"/>
        <v>358.166395342968</v>
      </c>
      <c r="CC315" s="26"/>
      <c r="CD315" s="26"/>
      <c r="CE315" s="26"/>
    </row>
    <row r="316" spans="1:83">
      <c r="A316" s="38">
        <v>0</v>
      </c>
      <c r="D316" s="26"/>
      <c r="E316" s="26"/>
      <c r="CC316" s="26"/>
      <c r="CD316" s="26"/>
      <c r="CE316" s="26"/>
    </row>
    <row r="317" spans="1:83">
      <c r="A317" s="47"/>
      <c r="D317" s="26"/>
      <c r="E317" s="26"/>
      <c r="K317" t="s">
        <v>485</v>
      </c>
      <c r="L317" t="s">
        <v>486</v>
      </c>
      <c r="M317" t="s">
        <v>482</v>
      </c>
      <c r="N317" t="s">
        <v>487</v>
      </c>
      <c r="O317" t="s">
        <v>456</v>
      </c>
      <c r="P317" t="s">
        <v>457</v>
      </c>
      <c r="Q317" t="s">
        <v>488</v>
      </c>
      <c r="R317" t="s">
        <v>456</v>
      </c>
      <c r="S317" t="s">
        <v>457</v>
      </c>
      <c r="CC317" s="26"/>
      <c r="CD317" s="26"/>
      <c r="CE317" s="26"/>
    </row>
    <row r="318" spans="4:83">
      <c r="D318" s="26"/>
      <c r="E318" s="26"/>
      <c r="K318" t="str">
        <f t="shared" ref="K318:K354" si="68">IMDIV(IMSUM(IMPRODUCT(F279,$A$322),1),IMSUM(IMPRODUCT(IMPOWER(F279,2),$A$323),IMPRODUCT(F279,$A$324)))</f>
        <v>0.219224265254903-10.6669315003433i</v>
      </c>
      <c r="L318" t="str">
        <f>IMDIV(IMSUM(IMPRODUCT(F279,$A$326),$B$303),IMSUM(IMPRODUCT($A$327,F279),1))</f>
        <v>9089.92578077319-24.4006544504873i</v>
      </c>
      <c r="M318" t="str">
        <f>IMDIV(1,IMSUM(IMPRODUCT(1/$B$305,F279),1))</f>
        <v>0.999990130493007-0.00314156164761914i</v>
      </c>
      <c r="N318" t="str">
        <f>IMDIV(IMPRODUCT(IMSUM(K318,1),$B$306,$B$304),L318)</f>
        <v>13.7278258680309-117.312088989165i</v>
      </c>
      <c r="O318">
        <f>20*LOG10(IMABS(N318))</f>
        <v>41.4459224605525</v>
      </c>
      <c r="P318">
        <f>IMARGUMENT(N318)*180/PI()+180</f>
        <v>96.6743801317642</v>
      </c>
      <c r="Q318" t="str">
        <f>IMPRODUCT(G279,N318)</f>
        <v>-324.560135407449-692.586097951236i</v>
      </c>
      <c r="R318">
        <f>20*LOG10(IMABS(Q318))</f>
        <v>57.6716684176846</v>
      </c>
      <c r="S318">
        <f>IMARGUMENT(Q318)*180/PI()+180</f>
        <v>64.8912423529339</v>
      </c>
      <c r="CC318" s="26"/>
      <c r="CD318" s="26"/>
      <c r="CE318" s="26"/>
    </row>
    <row r="319" spans="1:83">
      <c r="A319" t="s">
        <v>489</v>
      </c>
      <c r="B319">
        <f>B295/(B295+B296)</f>
        <v>0.103111653447224</v>
      </c>
      <c r="D319" s="26"/>
      <c r="E319" s="26"/>
      <c r="K319" t="str">
        <f t="shared" si="68"/>
        <v>0.219224202752596-5.33356712330867i</v>
      </c>
      <c r="L319" t="str">
        <f t="shared" ref="L319:L354" si="69">IMDIV(IMSUM(IMPRODUCT(F280,$A$326),$B$303),IMSUM(IMPRODUCT($A$327,F280),1))</f>
        <v>9089.70313133246-48.7999544398167i</v>
      </c>
      <c r="M319" t="str">
        <f t="shared" ref="M319:M354" si="70">IMDIV(1,IMSUM(IMPRODUCT(1/$B$305,F280),1))</f>
        <v>0.99996052314088-0.0062829372667584i</v>
      </c>
      <c r="N319" t="str">
        <f t="shared" ref="N319:N354" si="71">IMDIV(IMPRODUCT(IMSUM(K319,1),$B$306,$B$304),L319)</f>
        <v>13.7278696433407-58.6033212769656i</v>
      </c>
      <c r="O319">
        <f t="shared" ref="O319:O354" si="72">20*LOG10(IMABS(N319))</f>
        <v>35.5904479897957</v>
      </c>
      <c r="P319">
        <f t="shared" ref="P319:P354" si="73">IMARGUMENT(N319)*180/PI()+180</f>
        <v>103.183860072165</v>
      </c>
      <c r="Q319" t="str">
        <f t="shared" ref="Q319:Q354" si="74">IMPRODUCT(G280,N319)</f>
        <v>-176.940420245818-227.171940057188i</v>
      </c>
      <c r="R319">
        <f t="shared" ref="R319:R354" si="75">20*LOG10(IMABS(Q319))</f>
        <v>49.1863311903768</v>
      </c>
      <c r="S319">
        <f t="shared" ref="S319:S354" si="76">IMARGUMENT(Q319)*180/PI()+180</f>
        <v>52.0855722853545</v>
      </c>
      <c r="CC319" s="26"/>
      <c r="CD319" s="26"/>
      <c r="CE319" s="26"/>
    </row>
    <row r="320" spans="4:83">
      <c r="D320" s="26"/>
      <c r="E320" s="26"/>
      <c r="K320" t="str">
        <f t="shared" si="68"/>
        <v>0.219224098582163-3.55582405227236i</v>
      </c>
      <c r="L320" t="str">
        <f t="shared" si="69"/>
        <v>9089.33207639462-73.1965457574353i</v>
      </c>
      <c r="M320" t="str">
        <f t="shared" si="70"/>
        <v>0.999911181449826-0.00942394086565521i</v>
      </c>
      <c r="N320" t="str">
        <f t="shared" si="71"/>
        <v>13.7279426020989-39.0102995762757i</v>
      </c>
      <c r="O320">
        <f t="shared" si="72"/>
        <v>32.3306210826327</v>
      </c>
      <c r="P320">
        <f t="shared" si="73"/>
        <v>109.387255566282</v>
      </c>
      <c r="Q320" t="str">
        <f t="shared" si="74"/>
        <v>-100.517290454971-110.335283837978i</v>
      </c>
      <c r="R320">
        <f t="shared" si="75"/>
        <v>43.4786841233886</v>
      </c>
      <c r="S320">
        <f t="shared" si="76"/>
        <v>47.6659554246873</v>
      </c>
      <c r="CC320" s="26"/>
      <c r="CD320" s="26"/>
      <c r="CE320" s="26"/>
    </row>
    <row r="321" spans="1:83">
      <c r="A321" t="s">
        <v>490</v>
      </c>
      <c r="D321" s="26"/>
      <c r="E321" s="26"/>
      <c r="K321" t="str">
        <f t="shared" si="68"/>
        <v>0.219223952743723-2.66698630763934i</v>
      </c>
      <c r="L321" t="str">
        <f t="shared" si="69"/>
        <v>9088.81265714676-97.5890746939035i</v>
      </c>
      <c r="M321" t="str">
        <f t="shared" si="70"/>
        <v>0.999842111262373-0.0125643865259663i</v>
      </c>
      <c r="N321" t="str">
        <f t="shared" si="71"/>
        <v>13.728044744169-29.1962144660706i</v>
      </c>
      <c r="O321">
        <f t="shared" si="72"/>
        <v>30.1739989265682</v>
      </c>
      <c r="P321">
        <f t="shared" si="73"/>
        <v>115.182885043219</v>
      </c>
      <c r="Q321" t="str">
        <f t="shared" si="74"/>
        <v>-62.5349704509737-67.4269054397713i</v>
      </c>
      <c r="R321">
        <f t="shared" si="75"/>
        <v>39.2721684959202</v>
      </c>
      <c r="S321">
        <f t="shared" si="76"/>
        <v>47.1556703636249</v>
      </c>
      <c r="CC321" s="26"/>
      <c r="CD321" s="26"/>
      <c r="CE321" s="26"/>
    </row>
    <row r="322" spans="1:83">
      <c r="A322">
        <f>B297*B298</f>
        <v>0.000332</v>
      </c>
      <c r="D322" s="26"/>
      <c r="E322" s="26"/>
      <c r="K322" t="str">
        <f t="shared" si="68"/>
        <v>0.219223765237442-2.13371069345968i</v>
      </c>
      <c r="L322" t="str">
        <f t="shared" si="69"/>
        <v>9088.14493123479-121.97618829121i</v>
      </c>
      <c r="M322" t="str">
        <f t="shared" si="70"/>
        <v>0.999753320755637-0.0157040884394395i</v>
      </c>
      <c r="N322" t="str">
        <f t="shared" si="71"/>
        <v>13.7281760693594-23.2937040901783i</v>
      </c>
      <c r="O322">
        <f t="shared" si="72"/>
        <v>28.6395270631688</v>
      </c>
      <c r="P322">
        <f t="shared" si="73"/>
        <v>120.513028876611</v>
      </c>
      <c r="Q322" t="str">
        <f t="shared" si="74"/>
        <v>-42.005586284684-47.3153921848929i</v>
      </c>
      <c r="R322">
        <f t="shared" si="75"/>
        <v>36.024089822196</v>
      </c>
      <c r="S322">
        <f t="shared" si="76"/>
        <v>48.4020211412723</v>
      </c>
      <c r="CC322" s="26"/>
      <c r="CD322" s="26"/>
      <c r="CE322" s="26"/>
    </row>
    <row r="323" spans="1:83">
      <c r="A323">
        <f>B296*B297*B298*B299</f>
        <v>7.3206e-9</v>
      </c>
      <c r="D323" s="26"/>
      <c r="E323" s="26"/>
      <c r="K323" t="str">
        <f t="shared" si="68"/>
        <v>0.219223536063534-1.77821614439113i</v>
      </c>
      <c r="L323" t="str">
        <f t="shared" si="69"/>
        <v>9087.32897274744-146.356534592788i</v>
      </c>
      <c r="M323" t="str">
        <f t="shared" si="70"/>
        <v>0.999644820438904-0.0188428609445396i</v>
      </c>
      <c r="N323" t="str">
        <f t="shared" si="71"/>
        <v>13.7283365774237-19.3469811865701i</v>
      </c>
      <c r="O323">
        <f t="shared" si="72"/>
        <v>27.5033318086666</v>
      </c>
      <c r="P323">
        <f t="shared" si="73"/>
        <v>125.358957718464</v>
      </c>
      <c r="Q323" t="str">
        <f t="shared" si="74"/>
        <v>-29.913309965343-36.1772111838085i</v>
      </c>
      <c r="R323">
        <f t="shared" si="75"/>
        <v>33.4313211768295</v>
      </c>
      <c r="S323">
        <f t="shared" si="76"/>
        <v>50.4141838334075</v>
      </c>
      <c r="CC323" s="26"/>
      <c r="CD323" s="26"/>
      <c r="CE323" s="26"/>
    </row>
    <row r="324" spans="1:83">
      <c r="A324">
        <f>B296*(B298+B299)</f>
        <v>0.00149205</v>
      </c>
      <c r="D324" s="26"/>
      <c r="E324" s="26"/>
      <c r="K324" t="str">
        <f t="shared" si="68"/>
        <v>0.219223265222262-1.52431077526494i</v>
      </c>
      <c r="L324" t="str">
        <f t="shared" si="69"/>
        <v>9086.36487219576-170.728762893155i</v>
      </c>
      <c r="M324" t="str">
        <f t="shared" si="70"/>
        <v>0.999516623150522-0.021980518563014i</v>
      </c>
      <c r="N324" t="str">
        <f t="shared" si="71"/>
        <v>13.7285262680612-16.5178512343994i</v>
      </c>
      <c r="O324">
        <f t="shared" si="72"/>
        <v>26.6399460405061</v>
      </c>
      <c r="P324">
        <f t="shared" si="73"/>
        <v>129.731078456591</v>
      </c>
      <c r="Q324" t="str">
        <f t="shared" si="74"/>
        <v>-22.268755648586-29.2468699220905i</v>
      </c>
      <c r="R324">
        <f t="shared" si="75"/>
        <v>31.3074434563987</v>
      </c>
      <c r="S324">
        <f t="shared" si="76"/>
        <v>52.7141204113357</v>
      </c>
      <c r="CC324" s="26"/>
      <c r="CD324" s="26"/>
      <c r="CE324" s="26"/>
    </row>
    <row r="325" spans="4:83">
      <c r="D325" s="26"/>
      <c r="E325" s="26"/>
      <c r="K325" t="str">
        <f t="shared" si="68"/>
        <v>0.219222952713933-1.3338986434775i</v>
      </c>
      <c r="L325" t="str">
        <f t="shared" si="69"/>
        <v>9085.25273648798-195.091523987054i</v>
      </c>
      <c r="M325" t="str">
        <f t="shared" si="70"/>
        <v>0.999368744054104-0.0251168760363811i</v>
      </c>
      <c r="N325" t="str">
        <f t="shared" si="71"/>
        <v>13.728745140916-14.3872169907633i</v>
      </c>
      <c r="O325">
        <f t="shared" si="72"/>
        <v>25.9711404453151</v>
      </c>
      <c r="P325">
        <f t="shared" si="73"/>
        <v>133.658386212353</v>
      </c>
      <c r="Q325" t="str">
        <f t="shared" si="74"/>
        <v>-17.1562341754077-24.5599632943793i</v>
      </c>
      <c r="R325">
        <f t="shared" si="75"/>
        <v>29.5304808740032</v>
      </c>
      <c r="S325">
        <f t="shared" si="76"/>
        <v>55.063976401592</v>
      </c>
      <c r="CC325" s="26"/>
      <c r="CD325" s="26"/>
      <c r="CE325" s="26"/>
    </row>
    <row r="326" spans="1:83">
      <c r="A326">
        <f>B303*B300*B301</f>
        <v>0.05169483</v>
      </c>
      <c r="D326" s="26"/>
      <c r="E326" s="26"/>
      <c r="K326" t="str">
        <f t="shared" si="68"/>
        <v>0.219222598538902-1.18581533645409i</v>
      </c>
      <c r="L326" t="str">
        <f t="shared" si="69"/>
        <v>9083.99268889995-219.443470418022i</v>
      </c>
      <c r="M326" t="str">
        <f t="shared" si="70"/>
        <v>0.999201200634045-0.0282517483623302i</v>
      </c>
      <c r="N326" t="str">
        <f t="shared" si="71"/>
        <v>13.7289931955778-12.7222466696218i</v>
      </c>
      <c r="O326">
        <f t="shared" si="72"/>
        <v>25.4449073530201</v>
      </c>
      <c r="P326">
        <f t="shared" si="73"/>
        <v>137.179652016254</v>
      </c>
      <c r="Q326" t="str">
        <f t="shared" si="74"/>
        <v>-13.5797922302197-21.1900837201032i</v>
      </c>
      <c r="R326">
        <f t="shared" si="75"/>
        <v>28.0169890596033</v>
      </c>
      <c r="S326">
        <f t="shared" si="76"/>
        <v>57.345976878495</v>
      </c>
      <c r="CC326" s="26"/>
      <c r="CD326" s="26"/>
      <c r="CE326" s="26"/>
    </row>
    <row r="327" spans="1:83">
      <c r="A327">
        <f>B301*(B300+B303)</f>
        <v>4.841e-5</v>
      </c>
      <c r="D327" s="26"/>
      <c r="E327" s="26"/>
      <c r="K327" t="str">
        <f t="shared" si="68"/>
        <v>0.219222202697576-1.0673622066345i</v>
      </c>
      <c r="L327" t="str">
        <f t="shared" si="69"/>
        <v>9082.58486904092-243.783256726274i</v>
      </c>
      <c r="M327" t="str">
        <f t="shared" si="70"/>
        <v>0.99901401269036-0.0313849508310129i</v>
      </c>
      <c r="N327" t="str">
        <f t="shared" si="71"/>
        <v>13.7292704315815-11.3832412133663i</v>
      </c>
      <c r="O327">
        <f t="shared" si="72"/>
        <v>25.0252413859895</v>
      </c>
      <c r="P327">
        <f t="shared" si="73"/>
        <v>140.337123166852</v>
      </c>
      <c r="Q327" t="str">
        <f t="shared" si="74"/>
        <v>-10.9850554718517-18.6526528714655i</v>
      </c>
      <c r="R327">
        <f t="shared" si="75"/>
        <v>26.7079570664516</v>
      </c>
      <c r="S327">
        <f t="shared" si="76"/>
        <v>59.5050098513054</v>
      </c>
      <c r="CC327" s="26"/>
      <c r="CD327" s="26"/>
      <c r="CE327" s="26"/>
    </row>
    <row r="328" spans="4:83">
      <c r="D328" s="26"/>
      <c r="E328" s="26"/>
      <c r="K328" t="str">
        <f t="shared" si="68"/>
        <v>0.219215952760852-0.534694787000647i</v>
      </c>
      <c r="L328" t="str">
        <f t="shared" si="69"/>
        <v>9060.42149728916-486.218231324883i</v>
      </c>
      <c r="M328" t="str">
        <f t="shared" si="70"/>
        <v>0.996067682407173-0.0625847782705718i</v>
      </c>
      <c r="N328" t="str">
        <f t="shared" si="71"/>
        <v>13.7336476239793-5.16443179345401i</v>
      </c>
      <c r="O328">
        <f t="shared" si="72"/>
        <v>23.3301262717772</v>
      </c>
      <c r="P328">
        <f t="shared" si="73"/>
        <v>159.391618366617</v>
      </c>
      <c r="Q328" t="str">
        <f t="shared" si="74"/>
        <v>-2.47736335098372-8.64249106563605i</v>
      </c>
      <c r="R328">
        <f t="shared" si="75"/>
        <v>19.0757247667188</v>
      </c>
      <c r="S328">
        <f t="shared" si="76"/>
        <v>74.0050912300045</v>
      </c>
      <c r="CC328" s="26"/>
      <c r="CD328" s="26"/>
      <c r="CE328" s="26"/>
    </row>
    <row r="329" spans="1:83">
      <c r="A329" t="s">
        <v>491</v>
      </c>
      <c r="D329" s="26"/>
      <c r="E329" s="26"/>
      <c r="K329" t="str">
        <f t="shared" si="68"/>
        <v>0.219205536991531-0.357589420912823i</v>
      </c>
      <c r="L329" t="str">
        <f t="shared" si="69"/>
        <v>9023.75369037241-725.98138393078i</v>
      </c>
      <c r="M329" t="str">
        <f t="shared" si="70"/>
        <v>0.991195562720649-0.09341798094342i</v>
      </c>
      <c r="N329" t="str">
        <f t="shared" si="71"/>
        <v>13.7409420327921-2.85726703791925i</v>
      </c>
      <c r="O329">
        <f t="shared" si="72"/>
        <v>22.9441653931317</v>
      </c>
      <c r="P329">
        <f t="shared" si="73"/>
        <v>168.253409369112</v>
      </c>
      <c r="Q329" t="str">
        <f t="shared" si="74"/>
        <v>-0.865525154752739-5.67793887233142i</v>
      </c>
      <c r="R329">
        <f t="shared" si="75"/>
        <v>15.1835761352394</v>
      </c>
      <c r="S329">
        <f t="shared" si="76"/>
        <v>81.3327539174759</v>
      </c>
      <c r="CC329" s="26"/>
      <c r="CD329" s="26"/>
      <c r="CE329" s="26"/>
    </row>
    <row r="330" spans="1:83">
      <c r="A330" t="s">
        <v>492</v>
      </c>
      <c r="B330">
        <v>4</v>
      </c>
      <c r="D330" s="26"/>
      <c r="E330" s="26"/>
      <c r="K330" t="str">
        <f t="shared" si="68"/>
        <v>0.219190956577209-0.269374471902931i</v>
      </c>
      <c r="L330" t="str">
        <f t="shared" si="69"/>
        <v>8972.980380443-961.797711796567i</v>
      </c>
      <c r="M330" t="str">
        <f t="shared" si="70"/>
        <v>0.984454123598499-0.123710153699729i</v>
      </c>
      <c r="N330" t="str">
        <f t="shared" si="71"/>
        <v>13.7511522906612-1.52810101005615i</v>
      </c>
      <c r="O330">
        <f t="shared" si="72"/>
        <v>22.8200837046334</v>
      </c>
      <c r="P330">
        <f t="shared" si="73"/>
        <v>173.659004850431</v>
      </c>
      <c r="Q330" t="str">
        <f t="shared" si="74"/>
        <v>-0.298668783007439-4.23872129565829i</v>
      </c>
      <c r="R330">
        <f t="shared" si="75"/>
        <v>12.5662061437067</v>
      </c>
      <c r="S330">
        <f t="shared" si="76"/>
        <v>85.9694862911111</v>
      </c>
      <c r="CC330" s="26"/>
      <c r="CD330" s="26"/>
      <c r="CE330" s="26"/>
    </row>
    <row r="331" spans="1:83">
      <c r="A331" t="s">
        <v>493</v>
      </c>
      <c r="B331">
        <v>3.8</v>
      </c>
      <c r="D331" s="26"/>
      <c r="E331" s="26"/>
      <c r="K331" t="str">
        <f t="shared" si="68"/>
        <v>0.219172213180043-0.216715581889345i</v>
      </c>
      <c r="L331" t="str">
        <f t="shared" si="69"/>
        <v>8908.6449043969-1192.4627110158i</v>
      </c>
      <c r="M331" t="str">
        <f t="shared" si="70"/>
        <v>0.975920135830733-0.15329717646081i</v>
      </c>
      <c r="N331" t="str">
        <f t="shared" si="71"/>
        <v>13.764276484117-0.590232498201618i</v>
      </c>
      <c r="O331">
        <f t="shared" si="72"/>
        <v>22.7830463197971</v>
      </c>
      <c r="P331">
        <f t="shared" si="73"/>
        <v>177.544576669621</v>
      </c>
      <c r="Q331" t="str">
        <f t="shared" si="74"/>
        <v>-0.0358511127374832-3.38572100349735i</v>
      </c>
      <c r="R331">
        <f t="shared" si="75"/>
        <v>10.5935102799913</v>
      </c>
      <c r="S331">
        <f t="shared" si="76"/>
        <v>89.3933225209572</v>
      </c>
      <c r="CC331" s="26"/>
      <c r="CD331" s="26"/>
      <c r="CE331" s="26"/>
    </row>
    <row r="332" spans="1:83">
      <c r="A332" t="s">
        <v>494</v>
      </c>
      <c r="B332" s="28">
        <f>'DESIGN INPUTS AND CALCULATIONS'!C151*1000</f>
        <v>63000</v>
      </c>
      <c r="D332" s="26"/>
      <c r="E332" s="26"/>
      <c r="K332" t="str">
        <f t="shared" si="68"/>
        <v>0.219149308936283-0.181834605880466i</v>
      </c>
      <c r="L332" t="str">
        <f t="shared" si="69"/>
        <v>8831.42074883654-1416.86173668199i</v>
      </c>
      <c r="M332" t="str">
        <f t="shared" si="70"/>
        <v>0.965688530428022-0.182027999570915i</v>
      </c>
      <c r="N332" t="str">
        <f t="shared" si="71"/>
        <v>13.7803121544116+0.151882291787494i</v>
      </c>
      <c r="O332">
        <f t="shared" si="72"/>
        <v>22.7857086466205</v>
      </c>
      <c r="P332">
        <f t="shared" si="73"/>
        <v>180.631470597741</v>
      </c>
      <c r="Q332" t="str">
        <f t="shared" si="74"/>
        <v>0.10699923657621-2.82087765100882i</v>
      </c>
      <c r="R332">
        <f t="shared" si="75"/>
        <v>9.01392903033864</v>
      </c>
      <c r="S332">
        <f t="shared" si="76"/>
        <v>92.1722555083382</v>
      </c>
      <c r="CC332" s="26"/>
      <c r="CD332" s="26"/>
      <c r="CE332" s="26"/>
    </row>
    <row r="333" spans="1:83">
      <c r="A333" t="s">
        <v>495</v>
      </c>
      <c r="B333" s="28">
        <f>'DESIGN INPUTS AND CALCULATIONS'!C153*1000000</f>
        <v>7200000</v>
      </c>
      <c r="D333" s="26"/>
      <c r="E333" s="26"/>
      <c r="K333" t="str">
        <f t="shared" si="68"/>
        <v>0.21912224645566-0.157112316938613i</v>
      </c>
      <c r="L333" t="str">
        <f t="shared" si="69"/>
        <v>8742.09444490651-1633.9861546392i</v>
      </c>
      <c r="M333" t="str">
        <f t="shared" si="70"/>
        <v>0.953869841852836-0.209766934135201i</v>
      </c>
      <c r="N333" t="str">
        <f t="shared" si="71"/>
        <v>13.7992562985868+0.782027932257186i</v>
      </c>
      <c r="O333">
        <f t="shared" si="72"/>
        <v>22.8110394478198</v>
      </c>
      <c r="P333">
        <f t="shared" si="73"/>
        <v>183.243582310617</v>
      </c>
      <c r="Q333" t="str">
        <f t="shared" si="74"/>
        <v>0.193131771166994-2.41923662122157i</v>
      </c>
      <c r="R333">
        <f t="shared" si="75"/>
        <v>7.70115715845622</v>
      </c>
      <c r="S333">
        <f t="shared" si="76"/>
        <v>94.564339550373</v>
      </c>
      <c r="CC333" s="26"/>
      <c r="CD333" s="26"/>
      <c r="CE333" s="26"/>
    </row>
    <row r="334" spans="1:83">
      <c r="A334" t="s">
        <v>496</v>
      </c>
      <c r="B334">
        <f>B330*(B332+B333)/B332</f>
        <v>461.142857142857</v>
      </c>
      <c r="D334" s="26"/>
      <c r="E334" s="26"/>
      <c r="K334" t="str">
        <f t="shared" si="68"/>
        <v>0.219091028820639-0.138739082426451i</v>
      </c>
      <c r="L334" t="str">
        <f t="shared" si="69"/>
        <v>8641.54639735419-1842.94586884037i</v>
      </c>
      <c r="M334" t="str">
        <f t="shared" si="70"/>
        <v>0.940587359109888-0.236395386995124i</v>
      </c>
      <c r="N334" t="str">
        <f t="shared" si="71"/>
        <v>13.8211053707789+1.34207933047611i</v>
      </c>
      <c r="O334">
        <f t="shared" si="72"/>
        <v>22.8516138190306</v>
      </c>
      <c r="P334">
        <f t="shared" si="73"/>
        <v>185.546239041951</v>
      </c>
      <c r="Q334" t="str">
        <f t="shared" si="74"/>
        <v>0.249005758117043-2.11906271711336i</v>
      </c>
      <c r="R334">
        <f t="shared" si="75"/>
        <v>6.5824334022709</v>
      </c>
      <c r="S334">
        <f t="shared" si="76"/>
        <v>96.7019496009782</v>
      </c>
      <c r="CC334" s="26"/>
      <c r="CD334" s="26"/>
      <c r="CE334" s="26"/>
    </row>
    <row r="335" spans="1:83">
      <c r="A335" t="s">
        <v>497</v>
      </c>
      <c r="B335">
        <f>B331*(B332+B333)/B332</f>
        <v>438.085714285714</v>
      </c>
      <c r="D335" s="26"/>
      <c r="E335" s="26"/>
      <c r="K335" t="str">
        <f t="shared" si="68"/>
        <v>0.219055659585553-0.124598422760642i</v>
      </c>
      <c r="L335" t="str">
        <f t="shared" si="69"/>
        <v>8530.73047772864-2042.97801166263i</v>
      </c>
      <c r="M335" t="str">
        <f t="shared" si="70"/>
        <v>0.925974114605849-0.261813012827405i</v>
      </c>
      <c r="N335" t="str">
        <f t="shared" si="71"/>
        <v>13.845855283758+1.85528492110211i</v>
      </c>
      <c r="O335">
        <f t="shared" si="72"/>
        <v>22.9036808978191</v>
      </c>
      <c r="P335">
        <f t="shared" si="73"/>
        <v>187.631927437467</v>
      </c>
      <c r="Q335" t="str">
        <f t="shared" si="74"/>
        <v>0.28727272027456-1.88630613585822i</v>
      </c>
      <c r="R335">
        <f t="shared" si="75"/>
        <v>5.61182085006398</v>
      </c>
      <c r="S335">
        <f t="shared" si="76"/>
        <v>98.6592549522688</v>
      </c>
      <c r="CC335" s="26"/>
      <c r="CD335" s="26"/>
      <c r="CE335" s="26"/>
    </row>
    <row r="336" spans="4:83">
      <c r="D336" s="26"/>
      <c r="E336" s="26"/>
      <c r="K336" t="str">
        <f t="shared" si="68"/>
        <v>0.219016142775582-0.113420434917639i</v>
      </c>
      <c r="L336" t="str">
        <f t="shared" si="69"/>
        <v>8410.6532027699-2233.45178378058i</v>
      </c>
      <c r="M336" t="str">
        <f t="shared" si="70"/>
        <v>0.910169837646275-0.285938287546856i</v>
      </c>
      <c r="N336" t="str">
        <f t="shared" si="71"/>
        <v>13.8735014107005+2.3355799493407i</v>
      </c>
      <c r="O336">
        <f t="shared" si="72"/>
        <v>22.9650937582162</v>
      </c>
      <c r="P336">
        <f t="shared" si="73"/>
        <v>189.556041272662</v>
      </c>
      <c r="Q336" t="str">
        <f t="shared" si="74"/>
        <v>0.314599907876923-1.70063350930994i</v>
      </c>
      <c r="R336">
        <f t="shared" si="75"/>
        <v>4.75834916257249</v>
      </c>
      <c r="S336">
        <f t="shared" si="76"/>
        <v>100.48065486139</v>
      </c>
      <c r="CC336" s="26"/>
      <c r="CD336" s="26"/>
      <c r="CE336" s="26"/>
    </row>
    <row r="337" spans="4:83">
      <c r="D337" s="26"/>
      <c r="E337" s="26"/>
      <c r="K337" t="str">
        <f t="shared" si="68"/>
        <v>0.218394077568986-0.0667995572021568i</v>
      </c>
      <c r="L337" t="str">
        <f t="shared" si="69"/>
        <v>6923.11404816935-3561.97697118605i</v>
      </c>
      <c r="M337" t="str">
        <f t="shared" si="70"/>
        <v>0.716956800324897-0.450477243368389i</v>
      </c>
      <c r="N337" t="str">
        <f t="shared" si="71"/>
        <v>14.3078554377119+6.39658621075051i</v>
      </c>
      <c r="O337">
        <f t="shared" si="72"/>
        <v>23.902832512377</v>
      </c>
      <c r="P337">
        <f t="shared" si="73"/>
        <v>204.08789682941</v>
      </c>
      <c r="Q337" t="str">
        <f t="shared" si="74"/>
        <v>0.400293294184154-0.876326601417744i</v>
      </c>
      <c r="R337">
        <f t="shared" si="75"/>
        <v>-0.323663743231673</v>
      </c>
      <c r="S337">
        <f t="shared" si="76"/>
        <v>114.550233724282</v>
      </c>
      <c r="CC337" s="26"/>
      <c r="CD337" s="26"/>
      <c r="CE337" s="26"/>
    </row>
    <row r="338" spans="4:83">
      <c r="D338" s="26"/>
      <c r="E338" s="26"/>
      <c r="K338" t="str">
        <f t="shared" si="68"/>
        <v>0.217365117821916-0.0556589076420397i</v>
      </c>
      <c r="L338" t="str">
        <f t="shared" si="69"/>
        <v>5445.15627350507-3994.3186384986i</v>
      </c>
      <c r="M338" t="str">
        <f t="shared" si="70"/>
        <v>0.529586853444053-0.499123850465273i</v>
      </c>
      <c r="N338" t="str">
        <f t="shared" si="71"/>
        <v>15.022841013798+9.99789911729515i</v>
      </c>
      <c r="O338">
        <f t="shared" si="72"/>
        <v>25.1274273246056</v>
      </c>
      <c r="P338">
        <f t="shared" si="73"/>
        <v>213.644289719874</v>
      </c>
      <c r="Q338" t="str">
        <f t="shared" si="74"/>
        <v>0.41303869444776-0.613451039209528i</v>
      </c>
      <c r="R338">
        <f t="shared" si="75"/>
        <v>-2.62073700998644</v>
      </c>
      <c r="S338">
        <f t="shared" si="76"/>
        <v>123.952518033084</v>
      </c>
      <c r="CC338" s="26"/>
      <c r="CD338" s="26"/>
      <c r="CE338" s="26"/>
    </row>
    <row r="339" spans="4:83">
      <c r="D339" s="26"/>
      <c r="E339" s="26"/>
      <c r="K339" t="str">
        <f t="shared" si="68"/>
        <v>0.21594075646524-0.0532951126052341i</v>
      </c>
      <c r="L339" t="str">
        <f t="shared" si="69"/>
        <v>4302.19861231674-3935.14902598652i</v>
      </c>
      <c r="M339" t="str">
        <f t="shared" si="70"/>
        <v>0.38772663673915-0.487231661432318i</v>
      </c>
      <c r="N339" t="str">
        <f t="shared" si="71"/>
        <v>16.0054512784474+13.4011304320715i</v>
      </c>
      <c r="O339">
        <f t="shared" si="72"/>
        <v>26.3925211368955</v>
      </c>
      <c r="P339">
        <f t="shared" si="73"/>
        <v>219.938945901914</v>
      </c>
      <c r="Q339" t="str">
        <f t="shared" si="74"/>
        <v>0.413886690995167-0.490287200415454i</v>
      </c>
      <c r="R339">
        <f t="shared" si="75"/>
        <v>-3.85436294277419</v>
      </c>
      <c r="S339">
        <f t="shared" si="76"/>
        <v>130.170118112466</v>
      </c>
      <c r="CC339" s="26"/>
      <c r="CD339" s="26"/>
      <c r="CE339" s="26"/>
    </row>
    <row r="340" spans="4:83">
      <c r="D340" s="26"/>
      <c r="E340" s="26"/>
      <c r="K340" t="str">
        <f t="shared" si="68"/>
        <v>0.21413663499512-0.0543405829619523i</v>
      </c>
      <c r="L340" t="str">
        <f t="shared" si="69"/>
        <v>3489.29095945049-3682.62974023103i</v>
      </c>
      <c r="M340" t="str">
        <f t="shared" si="70"/>
        <v>0.288400439142-0.45301835045029i</v>
      </c>
      <c r="N340" t="str">
        <f t="shared" si="71"/>
        <v>17.2382453011811+16.6360493274753i</v>
      </c>
      <c r="O340">
        <f t="shared" si="72"/>
        <v>27.5884775605442</v>
      </c>
      <c r="P340">
        <f t="shared" si="73"/>
        <v>223.981538831978</v>
      </c>
      <c r="Q340" t="str">
        <f t="shared" si="74"/>
        <v>0.410435694931102-0.422554661523194i</v>
      </c>
      <c r="R340">
        <f t="shared" si="75"/>
        <v>-4.59658132788441</v>
      </c>
      <c r="S340">
        <f t="shared" si="76"/>
        <v>134.16647696169</v>
      </c>
      <c r="CC340" s="26"/>
      <c r="CD340" s="26"/>
      <c r="CE340" s="26"/>
    </row>
    <row r="341" spans="4:83">
      <c r="D341" s="26"/>
      <c r="E341" s="26"/>
      <c r="K341" t="str">
        <f t="shared" si="68"/>
        <v>0.211972122581602-0.0569859691598898i</v>
      </c>
      <c r="L341" t="str">
        <f t="shared" si="69"/>
        <v>2920.25464460104-3380.65644470842i</v>
      </c>
      <c r="M341" t="str">
        <f t="shared" si="70"/>
        <v>0.219632627408005-0.413997749252169i</v>
      </c>
      <c r="N341" t="str">
        <f t="shared" si="71"/>
        <v>18.7000480746498+19.6968580223905i</v>
      </c>
      <c r="O341">
        <f t="shared" si="72"/>
        <v>28.6785506496924</v>
      </c>
      <c r="P341">
        <f t="shared" si="73"/>
        <v>226.487103608091</v>
      </c>
      <c r="Q341" t="str">
        <f t="shared" si="74"/>
        <v>0.404640667358559-0.382098612088103i</v>
      </c>
      <c r="R341">
        <f t="shared" si="75"/>
        <v>-5.09011933417307</v>
      </c>
      <c r="S341">
        <f t="shared" si="76"/>
        <v>136.641218879724</v>
      </c>
      <c r="CC341" s="26"/>
      <c r="CD341" s="26"/>
      <c r="CE341" s="26"/>
    </row>
    <row r="342" spans="4:83">
      <c r="D342" s="26"/>
      <c r="E342" s="26"/>
      <c r="K342" t="str">
        <f t="shared" si="68"/>
        <v>0.20946981197312-0.060440897519404i</v>
      </c>
      <c r="L342" t="str">
        <f t="shared" si="69"/>
        <v>2517.61694634858-3086.80984118401i</v>
      </c>
      <c r="M342" t="str">
        <f t="shared" si="70"/>
        <v>0.171347123095157-0.376812004190644i</v>
      </c>
      <c r="N342" t="str">
        <f t="shared" si="71"/>
        <v>20.3667612343161+22.5706413922921i</v>
      </c>
      <c r="O342">
        <f t="shared" si="72"/>
        <v>29.6578420399642</v>
      </c>
      <c r="P342">
        <f t="shared" si="73"/>
        <v>227.938284770208</v>
      </c>
      <c r="Q342" t="str">
        <f t="shared" si="74"/>
        <v>0.397251421365451-0.356804137731485i</v>
      </c>
      <c r="R342">
        <f t="shared" si="75"/>
        <v>-5.44975540014246</v>
      </c>
      <c r="S342">
        <f t="shared" si="76"/>
        <v>138.070383658986</v>
      </c>
      <c r="CC342" s="26"/>
      <c r="CD342" s="26"/>
      <c r="CE342" s="26"/>
    </row>
    <row r="343" spans="4:83">
      <c r="D343" s="26"/>
      <c r="E343" s="26"/>
      <c r="K343" t="str">
        <f t="shared" si="68"/>
        <v>0.206654955860219-0.0642993957317733i</v>
      </c>
      <c r="L343" t="str">
        <f t="shared" si="69"/>
        <v>2226.92264199524-2820.42110707634i</v>
      </c>
      <c r="M343" t="str">
        <f t="shared" si="70"/>
        <v>0.136676498497609-0.343505506878772i</v>
      </c>
      <c r="N343" t="str">
        <f t="shared" si="71"/>
        <v>22.2122314722786+25.2446608814995i</v>
      </c>
      <c r="O343">
        <f t="shared" si="72"/>
        <v>30.5333822376146</v>
      </c>
      <c r="P343">
        <f t="shared" si="73"/>
        <v>228.656149959922</v>
      </c>
      <c r="Q343" t="str">
        <f t="shared" si="74"/>
        <v>0.388657734961538-0.3405829263466i</v>
      </c>
      <c r="R343">
        <f t="shared" si="75"/>
        <v>-5.73404873141174</v>
      </c>
      <c r="S343">
        <f t="shared" si="76"/>
        <v>138.771736535604</v>
      </c>
      <c r="CC343" s="26"/>
      <c r="CD343" s="26"/>
      <c r="CE343" s="26"/>
    </row>
    <row r="344" spans="4:83">
      <c r="D344" s="26"/>
      <c r="E344" s="26"/>
      <c r="K344" t="str">
        <f t="shared" si="68"/>
        <v>0.203554868633623-0.0683284927526649i</v>
      </c>
      <c r="L344" t="str">
        <f t="shared" si="69"/>
        <v>2012.3005134162-2585.44116001923i</v>
      </c>
      <c r="M344" t="str">
        <f t="shared" si="70"/>
        <v>0.111180542558421-0.314355578151297i</v>
      </c>
      <c r="N344" t="str">
        <f t="shared" si="71"/>
        <v>24.2091245407696+27.7087926921074i</v>
      </c>
      <c r="O344">
        <f t="shared" si="72"/>
        <v>31.3157340538973</v>
      </c>
      <c r="P344">
        <f t="shared" si="73"/>
        <v>228.856343799574</v>
      </c>
      <c r="Q344" t="str">
        <f t="shared" si="74"/>
        <v>0.379116695017187-0.330036687654008i</v>
      </c>
      <c r="R344">
        <f t="shared" si="75"/>
        <v>-5.97474365455985</v>
      </c>
      <c r="S344">
        <f t="shared" si="76"/>
        <v>138.959087451655</v>
      </c>
      <c r="CC344" s="26"/>
      <c r="CD344" s="26"/>
      <c r="CE344" s="26"/>
    </row>
    <row r="345" spans="4:83">
      <c r="D345" s="26"/>
      <c r="E345" s="26"/>
      <c r="K345" t="str">
        <f t="shared" si="68"/>
        <v>0.200198318076047-0.0723836914125541i</v>
      </c>
      <c r="L345" t="str">
        <f t="shared" si="69"/>
        <v>1850.35934537329-2380.13756743004i</v>
      </c>
      <c r="M345" t="str">
        <f t="shared" si="70"/>
        <v>0.0919996683503749-0.289025482222236i</v>
      </c>
      <c r="N345" t="str">
        <f t="shared" si="71"/>
        <v>26.3297581238315+29.956385201189i</v>
      </c>
      <c r="O345">
        <f t="shared" si="72"/>
        <v>32.0157222091268</v>
      </c>
      <c r="P345">
        <f t="shared" si="73"/>
        <v>228.686583969468</v>
      </c>
      <c r="Q345" t="str">
        <f t="shared" si="74"/>
        <v>0.368827430178846-0.323122261616921i</v>
      </c>
      <c r="R345">
        <f t="shared" si="75"/>
        <v>-6.1899026571464</v>
      </c>
      <c r="S345">
        <f t="shared" si="76"/>
        <v>138.779053275173</v>
      </c>
      <c r="CC345" s="26"/>
      <c r="CD345" s="26"/>
      <c r="CE345" s="26"/>
    </row>
    <row r="346" spans="4:83">
      <c r="D346" s="26"/>
      <c r="E346" s="26"/>
      <c r="K346" t="str">
        <f t="shared" si="68"/>
        <v>0.158841786002943-0.103268431611915i</v>
      </c>
      <c r="L346" t="str">
        <f t="shared" si="69"/>
        <v>1278.92173758001-1284.00301212744i</v>
      </c>
      <c r="M346" t="str">
        <f t="shared" si="70"/>
        <v>0.0247045230318575-0.155223096134647i</v>
      </c>
      <c r="N346" t="str">
        <f t="shared" si="71"/>
        <v>49.163069537679+41.2837507246732i</v>
      </c>
      <c r="O346">
        <f t="shared" si="72"/>
        <v>36.1504007544638</v>
      </c>
      <c r="P346">
        <f t="shared" si="73"/>
        <v>220.021219698981</v>
      </c>
      <c r="Q346" t="str">
        <f t="shared" si="74"/>
        <v>0.254030188224704-0.302018571108387i</v>
      </c>
      <c r="R346">
        <f t="shared" si="75"/>
        <v>-8.07581554118887</v>
      </c>
      <c r="S346">
        <f t="shared" si="76"/>
        <v>130.067454381939</v>
      </c>
      <c r="CC346" s="26"/>
      <c r="CD346" s="26"/>
      <c r="CE346" s="26"/>
    </row>
    <row r="347" spans="4:83">
      <c r="D347" s="26"/>
      <c r="E347" s="26"/>
      <c r="K347" t="str">
        <f t="shared" si="68"/>
        <v>0.118159797187301-0.112833979234188i</v>
      </c>
      <c r="L347" t="str">
        <f t="shared" si="69"/>
        <v>1163.05361507787-868.699787085853i</v>
      </c>
      <c r="M347" t="str">
        <f t="shared" si="70"/>
        <v>0.0111325797208915-0.104922091999967i</v>
      </c>
      <c r="N347" t="str">
        <f t="shared" si="71"/>
        <v>66.3634379141938+39.8661814570106i</v>
      </c>
      <c r="O347">
        <f t="shared" si="72"/>
        <v>37.7767459070895</v>
      </c>
      <c r="P347">
        <f t="shared" si="73"/>
        <v>210.994293777942</v>
      </c>
      <c r="Q347" t="str">
        <f t="shared" si="74"/>
        <v>0.163527700242477-0.27188574927221i</v>
      </c>
      <c r="R347">
        <f t="shared" si="75"/>
        <v>-9.97129399858238</v>
      </c>
      <c r="S347">
        <f t="shared" si="76"/>
        <v>121.025116903632</v>
      </c>
      <c r="CC347" s="26"/>
      <c r="CD347" s="26"/>
      <c r="CE347" s="26"/>
    </row>
    <row r="348" spans="4:83">
      <c r="D348" s="26"/>
      <c r="E348" s="26"/>
      <c r="K348" t="str">
        <f t="shared" si="68"/>
        <v>0.0869741033834978-0.109915683634803i</v>
      </c>
      <c r="L348" t="str">
        <f t="shared" si="69"/>
        <v>1121.68341651443-654.925104515006i</v>
      </c>
      <c r="M348" t="str">
        <f t="shared" si="70"/>
        <v>0.00629272483212578-0.0790767124146732i</v>
      </c>
      <c r="N348" t="str">
        <f t="shared" si="71"/>
        <v>76.5352926967618+34.8880224391991i</v>
      </c>
      <c r="O348">
        <f t="shared" si="72"/>
        <v>38.4971571026207</v>
      </c>
      <c r="P348">
        <f t="shared" si="73"/>
        <v>204.505504332785</v>
      </c>
      <c r="Q348" t="str">
        <f t="shared" si="74"/>
        <v>0.107329682516749-0.235202061923711i</v>
      </c>
      <c r="R348">
        <f t="shared" si="75"/>
        <v>-11.7496569853339</v>
      </c>
      <c r="S348">
        <f t="shared" si="76"/>
        <v>114.528621678027</v>
      </c>
      <c r="CC348" s="26"/>
      <c r="CD348" s="26"/>
      <c r="CE348" s="26"/>
    </row>
    <row r="349" spans="4:83">
      <c r="D349" s="26"/>
      <c r="E349" s="26"/>
      <c r="K349" t="str">
        <f t="shared" si="68"/>
        <v>0.0649382178103279-0.102228638940344i</v>
      </c>
      <c r="L349" t="str">
        <f t="shared" si="69"/>
        <v>1102.38838044097-525.208788577186i</v>
      </c>
      <c r="M349" t="str">
        <f t="shared" si="70"/>
        <v>0.00403648807570993-0.0634050064247657i</v>
      </c>
      <c r="N349" t="str">
        <f t="shared" si="71"/>
        <v>82.3327250708784+29.9522450404386i</v>
      </c>
      <c r="O349">
        <f t="shared" si="72"/>
        <v>38.8512447636484</v>
      </c>
      <c r="P349">
        <f t="shared" si="73"/>
        <v>199.991140754195</v>
      </c>
      <c r="Q349" t="str">
        <f t="shared" si="74"/>
        <v>0.0737163480442854-0.202428083082304i</v>
      </c>
      <c r="R349">
        <f t="shared" si="75"/>
        <v>-13.33376932995</v>
      </c>
      <c r="S349">
        <f t="shared" si="76"/>
        <v>110.009634630751</v>
      </c>
      <c r="CC349" s="26"/>
      <c r="CD349" s="26"/>
      <c r="CE349" s="26"/>
    </row>
    <row r="350" spans="4:83">
      <c r="D350" s="26"/>
      <c r="E350" s="26"/>
      <c r="K350" t="str">
        <f t="shared" si="68"/>
        <v>0.0495838762068556-0.0934916541188807i</v>
      </c>
      <c r="L350" t="str">
        <f t="shared" si="69"/>
        <v>1091.86790796596-438.250450302672i</v>
      </c>
      <c r="M350" t="str">
        <f t="shared" si="70"/>
        <v>0.00280657827249398-0.0529027540955511i</v>
      </c>
      <c r="N350" t="str">
        <f t="shared" si="71"/>
        <v>85.7496229323558+25.8553669775788i</v>
      </c>
      <c r="O350">
        <f t="shared" si="72"/>
        <v>39.0425547059821</v>
      </c>
      <c r="P350">
        <f t="shared" si="73"/>
        <v>196.779195632144</v>
      </c>
      <c r="Q350" t="str">
        <f t="shared" si="74"/>
        <v>0.0530280920020081-0.175697278719137i</v>
      </c>
      <c r="R350">
        <f t="shared" si="75"/>
        <v>-14.7260841703123</v>
      </c>
      <c r="S350">
        <f t="shared" si="76"/>
        <v>106.794607196104</v>
      </c>
      <c r="CC350" s="26"/>
      <c r="CD350" s="26"/>
      <c r="CE350" s="26"/>
    </row>
    <row r="351" spans="4:83">
      <c r="D351" s="26"/>
      <c r="E351" s="26"/>
      <c r="K351" t="str">
        <f t="shared" si="68"/>
        <v>0.0387544961570726-0.0851540701570526i</v>
      </c>
      <c r="L351" t="str">
        <f t="shared" si="69"/>
        <v>1085.5109913798-375.941804422536i</v>
      </c>
      <c r="M351" t="str">
        <f t="shared" si="70"/>
        <v>0.0020635123699297-0.0453790071137398i</v>
      </c>
      <c r="N351" t="str">
        <f t="shared" si="71"/>
        <v>87.8701192406257+22.5871910659082i</v>
      </c>
      <c r="O351">
        <f t="shared" si="72"/>
        <v>39.1547049100297</v>
      </c>
      <c r="P351">
        <f t="shared" si="73"/>
        <v>194.415890875203</v>
      </c>
      <c r="Q351" t="str">
        <f t="shared" si="74"/>
        <v>0.0397075270026328-0.15432515992661i</v>
      </c>
      <c r="R351">
        <f t="shared" si="75"/>
        <v>-15.9528696755128</v>
      </c>
      <c r="S351">
        <f t="shared" si="76"/>
        <v>104.429100787253</v>
      </c>
      <c r="CC351" s="26"/>
      <c r="CD351" s="26"/>
      <c r="CE351" s="26"/>
    </row>
    <row r="352" spans="4:83">
      <c r="D352" s="26"/>
      <c r="E352" s="26"/>
      <c r="K352" t="str">
        <f t="shared" si="68"/>
        <v>0.0309539199715364-0.0776727701293295i</v>
      </c>
      <c r="L352" t="str">
        <f t="shared" si="69"/>
        <v>1081.37969761375-329.118856762776i</v>
      </c>
      <c r="M352" t="str">
        <f t="shared" si="70"/>
        <v>0.00158064111271692-0.039725844061388i</v>
      </c>
      <c r="N352" t="str">
        <f t="shared" si="71"/>
        <v>89.2553084412993+19.9821839719748i</v>
      </c>
      <c r="O352">
        <f t="shared" si="72"/>
        <v>39.2250736153094</v>
      </c>
      <c r="P352">
        <f t="shared" si="73"/>
        <v>192.619109705135</v>
      </c>
      <c r="Q352" t="str">
        <f t="shared" si="74"/>
        <v>0.0307371389502983-0.137165142097094i</v>
      </c>
      <c r="R352">
        <f t="shared" si="75"/>
        <v>-17.0423398556802</v>
      </c>
      <c r="S352">
        <f t="shared" si="76"/>
        <v>102.630668378227</v>
      </c>
      <c r="CC352" s="26"/>
      <c r="CD352" s="26"/>
      <c r="CE352" s="26"/>
    </row>
    <row r="353" spans="4:83">
      <c r="D353" s="26"/>
      <c r="E353" s="26"/>
      <c r="K353" t="str">
        <f t="shared" si="68"/>
        <v>0.0252043242550911-0.0711147575797923i</v>
      </c>
      <c r="L353" t="str">
        <f t="shared" si="69"/>
        <v>1078.54483122166-292.653650868779i</v>
      </c>
      <c r="M353" t="str">
        <f t="shared" si="70"/>
        <v>0.00124931606740302-0.0353235796142853i</v>
      </c>
      <c r="N353" t="str">
        <f t="shared" si="71"/>
        <v>90.2022745517867+17.8820097672003i</v>
      </c>
      <c r="O353">
        <f t="shared" si="72"/>
        <v>39.2717609897932</v>
      </c>
      <c r="P353">
        <f t="shared" si="73"/>
        <v>191.213127638558</v>
      </c>
      <c r="Q353" t="str">
        <f t="shared" si="74"/>
        <v>0.024450390034836-0.123219331592321i</v>
      </c>
      <c r="R353">
        <f t="shared" si="75"/>
        <v>-18.0187028930488</v>
      </c>
      <c r="S353">
        <f t="shared" si="76"/>
        <v>101.223402014669</v>
      </c>
      <c r="CC353" s="26"/>
      <c r="CD353" s="26"/>
      <c r="CE353" s="26"/>
    </row>
    <row r="354" spans="4:83">
      <c r="D354" s="26"/>
      <c r="E354" s="26"/>
      <c r="K354" t="str">
        <f t="shared" si="68"/>
        <v>0.0208714262992653-0.0654087961983111i</v>
      </c>
      <c r="L354" t="str">
        <f t="shared" si="69"/>
        <v>1076.51583644922-263.454991947475i</v>
      </c>
      <c r="M354" t="str">
        <f t="shared" si="70"/>
        <v>0.00101218627730654-0.0317987697285064i</v>
      </c>
      <c r="N354" t="str">
        <f t="shared" si="71"/>
        <v>90.8752898373832+16.1638765946031i</v>
      </c>
      <c r="O354">
        <f t="shared" si="72"/>
        <v>39.304186548245</v>
      </c>
      <c r="P354">
        <f t="shared" si="73"/>
        <v>190.085652002259</v>
      </c>
      <c r="Q354" t="str">
        <f t="shared" si="74"/>
        <v>0.0198910961275976-0.11172558899963i</v>
      </c>
      <c r="R354">
        <f t="shared" si="75"/>
        <v>-18.9014271192764</v>
      </c>
      <c r="S354">
        <f t="shared" si="76"/>
        <v>100.094898940777</v>
      </c>
      <c r="CC354" s="26"/>
      <c r="CD354" s="26"/>
      <c r="CE354" s="26"/>
    </row>
    <row r="355" spans="4:83">
      <c r="D355" s="26"/>
      <c r="E355" s="26"/>
      <c r="CC355" s="26"/>
      <c r="CD355" s="26"/>
      <c r="CE355" s="26"/>
    </row>
    <row r="356" spans="4:83">
      <c r="D356" s="26"/>
      <c r="E356" s="26"/>
      <c r="CC356" s="26"/>
      <c r="CD356" s="26"/>
      <c r="CE356" s="26"/>
    </row>
    <row r="357" spans="4:83">
      <c r="D357" s="26"/>
      <c r="E357" s="26"/>
      <c r="CC357" s="26"/>
      <c r="CD357" s="26"/>
      <c r="CE357" s="26"/>
    </row>
    <row r="358" spans="4:83">
      <c r="D358" s="26"/>
      <c r="E358" s="26"/>
      <c r="CC358" s="26"/>
      <c r="CD358" s="26"/>
      <c r="CE358" s="26"/>
    </row>
    <row r="359" spans="4:83">
      <c r="D359" s="26"/>
      <c r="E359" s="26"/>
      <c r="CC359" s="26"/>
      <c r="CD359" s="26"/>
      <c r="CE359" s="26"/>
    </row>
    <row r="360" spans="4:83">
      <c r="D360" s="26"/>
      <c r="E360" s="26"/>
      <c r="CC360" s="26"/>
      <c r="CD360" s="26"/>
      <c r="CE360" s="26"/>
    </row>
    <row r="361" spans="4:83">
      <c r="D361" s="26"/>
      <c r="E361" s="26"/>
      <c r="CC361" s="26"/>
      <c r="CD361" s="26"/>
      <c r="CE361" s="26"/>
    </row>
    <row r="362" spans="4:83">
      <c r="D362" s="26"/>
      <c r="E362" s="26"/>
      <c r="CC362" s="26"/>
      <c r="CD362" s="26"/>
      <c r="CE362" s="26"/>
    </row>
    <row r="363" spans="4:83">
      <c r="D363" s="26"/>
      <c r="E363" s="26"/>
      <c r="CC363" s="26"/>
      <c r="CD363" s="26"/>
      <c r="CE363" s="26"/>
    </row>
    <row r="364" spans="4:83">
      <c r="D364" s="26"/>
      <c r="E364" s="26"/>
      <c r="CC364" s="26"/>
      <c r="CD364" s="26"/>
      <c r="CE364" s="26"/>
    </row>
    <row r="365" spans="4:83">
      <c r="D365" s="26"/>
      <c r="E365" s="26"/>
      <c r="CC365" s="26"/>
      <c r="CD365" s="26"/>
      <c r="CE365" s="26"/>
    </row>
    <row r="366" spans="4:83">
      <c r="D366" s="26"/>
      <c r="E366" s="26"/>
      <c r="CC366" s="26"/>
      <c r="CD366" s="26"/>
      <c r="CE366" s="26"/>
    </row>
    <row r="367" spans="4:83">
      <c r="D367" s="26"/>
      <c r="E367" s="26"/>
      <c r="CC367" s="26"/>
      <c r="CD367" s="26"/>
      <c r="CE367" s="26"/>
    </row>
    <row r="368" spans="4:83">
      <c r="D368" s="26"/>
      <c r="E368" s="26"/>
      <c r="CC368" s="26"/>
      <c r="CD368" s="26"/>
      <c r="CE368" s="26"/>
    </row>
    <row r="369" spans="4:83">
      <c r="D369" s="26"/>
      <c r="E369" s="26"/>
      <c r="CC369" s="26"/>
      <c r="CD369" s="26"/>
      <c r="CE369" s="26"/>
    </row>
    <row r="370" spans="4:83">
      <c r="D370" s="26"/>
      <c r="E370" s="26"/>
      <c r="CC370" s="26"/>
      <c r="CD370" s="26"/>
      <c r="CE370" s="26"/>
    </row>
    <row r="371" spans="4:83">
      <c r="D371" s="26"/>
      <c r="E371" s="26"/>
      <c r="CC371" s="26"/>
      <c r="CD371" s="26"/>
      <c r="CE371" s="26"/>
    </row>
    <row r="372" spans="4:83">
      <c r="D372" s="26"/>
      <c r="E372" s="26"/>
      <c r="CC372" s="26"/>
      <c r="CD372" s="26"/>
      <c r="CE372" s="26"/>
    </row>
    <row r="373" spans="4:83">
      <c r="D373" s="26"/>
      <c r="E373" s="26"/>
      <c r="CC373" s="26"/>
      <c r="CD373" s="26"/>
      <c r="CE373" s="26"/>
    </row>
    <row r="374" spans="4:83">
      <c r="D374" s="26"/>
      <c r="E374" s="26"/>
      <c r="CC374" s="26"/>
      <c r="CD374" s="26"/>
      <c r="CE374" s="26"/>
    </row>
    <row r="375" spans="4:83">
      <c r="D375" s="26"/>
      <c r="E375" s="26"/>
      <c r="CC375" s="26"/>
      <c r="CD375" s="26"/>
      <c r="CE375" s="26"/>
    </row>
    <row r="376" spans="4:83">
      <c r="D376" s="26"/>
      <c r="E376" s="26"/>
      <c r="CC376" s="26"/>
      <c r="CD376" s="26"/>
      <c r="CE376" s="26"/>
    </row>
    <row r="377" spans="4:83">
      <c r="D377" s="26"/>
      <c r="E377" s="26"/>
      <c r="CC377" s="26"/>
      <c r="CD377" s="26"/>
      <c r="CE377" s="26"/>
    </row>
    <row r="378" spans="4:83">
      <c r="D378" s="26"/>
      <c r="E378" s="26"/>
      <c r="CC378" s="26"/>
      <c r="CD378" s="26"/>
      <c r="CE378" s="26"/>
    </row>
    <row r="379" spans="4:83">
      <c r="D379" s="26"/>
      <c r="E379" s="26"/>
      <c r="CC379" s="26"/>
      <c r="CD379" s="26"/>
      <c r="CE379" s="26"/>
    </row>
    <row r="380" spans="4:83">
      <c r="D380" s="26"/>
      <c r="E380" s="26"/>
      <c r="CC380" s="26"/>
      <c r="CD380" s="26"/>
      <c r="CE380" s="26"/>
    </row>
    <row r="381" spans="4:83">
      <c r="D381" s="26"/>
      <c r="E381" s="26"/>
      <c r="CC381" s="26"/>
      <c r="CD381" s="26"/>
      <c r="CE381" s="26"/>
    </row>
    <row r="382" spans="4:83">
      <c r="D382" s="26"/>
      <c r="E382" s="26"/>
      <c r="CC382" s="26"/>
      <c r="CD382" s="26"/>
      <c r="CE382" s="26"/>
    </row>
    <row r="383" spans="4:83">
      <c r="D383" s="26"/>
      <c r="E383" s="26"/>
      <c r="CC383" s="26"/>
      <c r="CD383" s="26"/>
      <c r="CE383" s="26"/>
    </row>
    <row r="384" spans="4:83">
      <c r="D384" s="26"/>
      <c r="E384" s="26"/>
      <c r="CC384" s="26"/>
      <c r="CD384" s="26"/>
      <c r="CE384" s="26"/>
    </row>
    <row r="385" spans="4:83">
      <c r="D385" s="26"/>
      <c r="E385" s="26"/>
      <c r="CC385" s="26"/>
      <c r="CD385" s="26"/>
      <c r="CE385" s="26"/>
    </row>
    <row r="386" spans="4:83">
      <c r="D386" s="26"/>
      <c r="E386" s="26"/>
      <c r="CC386" s="26"/>
      <c r="CD386" s="26"/>
      <c r="CE386" s="26"/>
    </row>
    <row r="387" spans="4:83">
      <c r="D387" s="26"/>
      <c r="E387" s="26"/>
      <c r="CC387" s="26"/>
      <c r="CD387" s="26"/>
      <c r="CE387" s="26"/>
    </row>
    <row r="388" spans="4:83">
      <c r="D388" s="26"/>
      <c r="E388" s="26"/>
      <c r="CC388" s="26"/>
      <c r="CD388" s="26"/>
      <c r="CE388" s="26"/>
    </row>
    <row r="389" spans="4:83">
      <c r="D389" s="26"/>
      <c r="E389" s="26"/>
      <c r="CC389" s="26"/>
      <c r="CD389" s="26"/>
      <c r="CE389" s="26"/>
    </row>
    <row r="390" spans="4:83">
      <c r="D390" s="26"/>
      <c r="E390" s="26"/>
      <c r="CC390" s="26"/>
      <c r="CD390" s="26"/>
      <c r="CE390" s="26"/>
    </row>
    <row r="391" spans="4:83">
      <c r="D391" s="26"/>
      <c r="E391" s="26"/>
      <c r="CC391" s="26"/>
      <c r="CD391" s="26"/>
      <c r="CE391" s="26"/>
    </row>
    <row r="392" spans="4:83">
      <c r="D392" s="26"/>
      <c r="E392" s="26"/>
      <c r="CC392" s="26"/>
      <c r="CD392" s="26"/>
      <c r="CE392" s="26"/>
    </row>
    <row r="393" spans="4:83">
      <c r="D393" s="26"/>
      <c r="E393" s="26"/>
      <c r="CC393" s="26"/>
      <c r="CD393" s="26"/>
      <c r="CE393" s="26"/>
    </row>
    <row r="394" spans="4:83">
      <c r="D394" s="26"/>
      <c r="E394" s="26"/>
      <c r="CC394" s="26"/>
      <c r="CD394" s="26"/>
      <c r="CE394" s="26"/>
    </row>
    <row r="395" spans="4:83">
      <c r="D395" s="26"/>
      <c r="E395" s="26"/>
      <c r="CC395" s="26"/>
      <c r="CD395" s="26"/>
      <c r="CE395" s="26"/>
    </row>
    <row r="396" spans="4:83">
      <c r="D396" s="26"/>
      <c r="E396" s="26"/>
      <c r="CC396" s="26"/>
      <c r="CD396" s="26"/>
      <c r="CE396" s="26"/>
    </row>
    <row r="397" spans="4:83">
      <c r="D397" s="26"/>
      <c r="E397" s="26"/>
      <c r="CC397" s="26"/>
      <c r="CD397" s="26"/>
      <c r="CE397" s="26"/>
    </row>
    <row r="398" spans="4:83">
      <c r="D398" s="26"/>
      <c r="E398" s="26"/>
      <c r="CC398" s="26"/>
      <c r="CD398" s="26"/>
      <c r="CE398" s="26"/>
    </row>
    <row r="399" spans="4:83">
      <c r="D399" s="26"/>
      <c r="E399" s="26"/>
      <c r="CC399" s="26"/>
      <c r="CD399" s="26"/>
      <c r="CE399" s="26"/>
    </row>
    <row r="400" spans="4:83">
      <c r="D400" s="26"/>
      <c r="E400" s="26"/>
      <c r="CC400" s="26"/>
      <c r="CD400" s="26"/>
      <c r="CE400" s="26"/>
    </row>
    <row r="401" spans="4:83">
      <c r="D401" s="26"/>
      <c r="E401" s="26"/>
      <c r="CC401" s="26"/>
      <c r="CD401" s="26"/>
      <c r="CE401" s="26"/>
    </row>
    <row r="402" spans="4:83">
      <c r="D402" s="26"/>
      <c r="E402" s="26"/>
      <c r="CC402" s="26"/>
      <c r="CD402" s="26"/>
      <c r="CE402" s="26"/>
    </row>
    <row r="403" spans="4:83">
      <c r="D403" s="26"/>
      <c r="E403" s="26"/>
      <c r="CC403" s="26"/>
      <c r="CD403" s="26"/>
      <c r="CE403" s="26"/>
    </row>
    <row r="404" spans="4:83">
      <c r="D404" s="26"/>
      <c r="E404" s="26"/>
      <c r="CC404" s="26"/>
      <c r="CD404" s="26"/>
      <c r="CE404" s="26"/>
    </row>
    <row r="405" spans="4:83">
      <c r="D405" s="26"/>
      <c r="E405" s="26"/>
      <c r="CC405" s="26"/>
      <c r="CD405" s="26"/>
      <c r="CE405" s="26"/>
    </row>
    <row r="406" spans="4:83">
      <c r="D406" s="26"/>
      <c r="E406" s="26"/>
      <c r="CC406" s="26"/>
      <c r="CD406" s="26"/>
      <c r="CE406" s="26"/>
    </row>
    <row r="407" spans="4:83">
      <c r="D407" s="26"/>
      <c r="E407" s="26"/>
      <c r="CC407" s="26"/>
      <c r="CD407" s="26"/>
      <c r="CE407" s="26"/>
    </row>
    <row r="408" spans="4:83">
      <c r="D408" s="26"/>
      <c r="E408" s="26"/>
      <c r="CC408" s="26"/>
      <c r="CD408" s="26"/>
      <c r="CE408" s="26"/>
    </row>
    <row r="409" spans="4:83">
      <c r="D409" s="26"/>
      <c r="E409" s="26"/>
      <c r="CC409" s="26"/>
      <c r="CD409" s="26"/>
      <c r="CE409" s="26"/>
    </row>
    <row r="410" spans="4:83">
      <c r="D410" s="26"/>
      <c r="E410" s="26"/>
      <c r="CC410" s="26"/>
      <c r="CD410" s="26"/>
      <c r="CE410" s="26"/>
    </row>
    <row r="411" spans="4:83">
      <c r="D411" s="26"/>
      <c r="E411" s="26"/>
      <c r="CC411" s="26"/>
      <c r="CD411" s="26"/>
      <c r="CE411" s="26"/>
    </row>
    <row r="412" spans="4:83">
      <c r="D412" s="26"/>
      <c r="E412" s="26"/>
      <c r="CC412" s="26"/>
      <c r="CD412" s="26"/>
      <c r="CE412" s="26"/>
    </row>
    <row r="413" spans="4:83">
      <c r="D413" s="26"/>
      <c r="E413" s="26"/>
      <c r="CC413" s="26"/>
      <c r="CD413" s="26"/>
      <c r="CE413" s="26"/>
    </row>
    <row r="414" spans="4:83">
      <c r="D414" s="26"/>
      <c r="E414" s="26"/>
      <c r="CC414" s="26"/>
      <c r="CD414" s="26"/>
      <c r="CE414" s="26"/>
    </row>
    <row r="415" spans="4:83">
      <c r="D415" s="26"/>
      <c r="E415" s="26"/>
      <c r="CC415" s="26"/>
      <c r="CD415" s="26"/>
      <c r="CE415" s="26"/>
    </row>
    <row r="416" spans="4:83">
      <c r="D416" s="26"/>
      <c r="E416" s="26"/>
      <c r="CC416" s="26"/>
      <c r="CD416" s="26"/>
      <c r="CE416" s="26"/>
    </row>
    <row r="417" spans="4:83">
      <c r="D417" s="26"/>
      <c r="E417" s="26"/>
      <c r="CC417" s="26"/>
      <c r="CD417" s="26"/>
      <c r="CE417" s="26"/>
    </row>
    <row r="418" spans="4:83">
      <c r="D418" s="26"/>
      <c r="E418" s="26"/>
      <c r="CC418" s="26"/>
      <c r="CD418" s="26"/>
      <c r="CE418" s="26"/>
    </row>
    <row r="419" spans="4:83">
      <c r="D419" s="26"/>
      <c r="E419" s="26"/>
      <c r="CC419" s="26"/>
      <c r="CD419" s="26"/>
      <c r="CE419" s="26"/>
    </row>
    <row r="420" spans="4:83">
      <c r="D420" s="26"/>
      <c r="E420" s="26"/>
      <c r="CC420" s="26"/>
      <c r="CD420" s="26"/>
      <c r="CE420" s="26"/>
    </row>
    <row r="421" spans="4:83">
      <c r="D421" s="26"/>
      <c r="E421" s="26"/>
      <c r="CC421" s="26"/>
      <c r="CD421" s="26"/>
      <c r="CE421" s="26"/>
    </row>
    <row r="422" spans="4:83">
      <c r="D422" s="26"/>
      <c r="E422" s="26"/>
      <c r="CC422" s="26"/>
      <c r="CD422" s="26"/>
      <c r="CE422" s="26"/>
    </row>
    <row r="423" spans="4:83">
      <c r="D423" s="26"/>
      <c r="E423" s="26"/>
      <c r="CC423" s="26"/>
      <c r="CD423" s="26"/>
      <c r="CE423" s="26"/>
    </row>
    <row r="424" spans="4:83">
      <c r="D424" s="26"/>
      <c r="E424" s="26"/>
      <c r="CC424" s="26"/>
      <c r="CD424" s="26"/>
      <c r="CE424" s="26"/>
    </row>
    <row r="425" spans="4:83">
      <c r="D425" s="26"/>
      <c r="E425" s="26"/>
      <c r="CC425" s="26"/>
      <c r="CD425" s="26"/>
      <c r="CE425" s="26"/>
    </row>
    <row r="426" spans="4:83">
      <c r="D426" s="26"/>
      <c r="E426" s="26"/>
      <c r="CC426" s="26"/>
      <c r="CD426" s="26"/>
      <c r="CE426" s="26"/>
    </row>
    <row r="427" spans="4:83">
      <c r="D427" s="26"/>
      <c r="E427" s="26"/>
      <c r="CC427" s="26"/>
      <c r="CD427" s="26"/>
      <c r="CE427" s="26"/>
    </row>
    <row r="428" spans="4:83">
      <c r="D428" s="26"/>
      <c r="E428" s="26"/>
      <c r="CC428" s="26"/>
      <c r="CD428" s="26"/>
      <c r="CE428" s="26"/>
    </row>
    <row r="429" spans="4:83">
      <c r="D429" s="26"/>
      <c r="E429" s="26"/>
      <c r="CC429" s="26"/>
      <c r="CD429" s="26"/>
      <c r="CE429" s="26"/>
    </row>
    <row r="430" spans="4:83">
      <c r="D430" s="26"/>
      <c r="E430" s="26"/>
      <c r="CC430" s="26"/>
      <c r="CD430" s="26"/>
      <c r="CE430" s="26"/>
    </row>
    <row r="431" spans="4:83">
      <c r="D431" s="26"/>
      <c r="E431" s="26"/>
      <c r="CC431" s="26"/>
      <c r="CD431" s="26"/>
      <c r="CE431" s="26"/>
    </row>
    <row r="432" spans="4:83">
      <c r="D432" s="26"/>
      <c r="E432" s="26"/>
      <c r="CC432" s="26"/>
      <c r="CD432" s="26"/>
      <c r="CE432" s="26"/>
    </row>
    <row r="433" spans="4:83">
      <c r="D433" s="26"/>
      <c r="E433" s="26"/>
      <c r="CC433" s="26"/>
      <c r="CD433" s="26"/>
      <c r="CE433" s="26"/>
    </row>
    <row r="434" spans="4:83">
      <c r="D434" s="26"/>
      <c r="E434" s="26"/>
      <c r="CC434" s="26"/>
      <c r="CD434" s="26"/>
      <c r="CE434" s="26"/>
    </row>
    <row r="435" spans="4:83">
      <c r="D435" s="26"/>
      <c r="E435" s="26"/>
      <c r="CC435" s="26"/>
      <c r="CD435" s="26"/>
      <c r="CE435" s="26"/>
    </row>
    <row r="436" spans="4:83">
      <c r="D436" s="26"/>
      <c r="E436" s="26"/>
      <c r="CC436" s="26"/>
      <c r="CD436" s="26"/>
      <c r="CE436" s="26"/>
    </row>
    <row r="437" spans="4:83">
      <c r="D437" s="26"/>
      <c r="E437" s="26"/>
      <c r="CC437" s="26"/>
      <c r="CD437" s="26"/>
      <c r="CE437" s="26"/>
    </row>
    <row r="438" spans="4:83">
      <c r="D438" s="26"/>
      <c r="E438" s="26"/>
      <c r="CC438" s="26"/>
      <c r="CD438" s="26"/>
      <c r="CE438" s="26"/>
    </row>
    <row r="439" spans="4:83">
      <c r="D439" s="26"/>
      <c r="E439" s="26"/>
      <c r="CC439" s="26"/>
      <c r="CD439" s="26"/>
      <c r="CE439" s="26"/>
    </row>
    <row r="440" spans="4:83">
      <c r="D440" s="26"/>
      <c r="E440" s="26"/>
      <c r="CC440" s="26"/>
      <c r="CD440" s="26"/>
      <c r="CE440" s="26"/>
    </row>
    <row r="441" spans="4:83">
      <c r="D441" s="26"/>
      <c r="E441" s="26"/>
      <c r="CC441" s="26"/>
      <c r="CD441" s="26"/>
      <c r="CE441" s="26"/>
    </row>
    <row r="442" spans="4:83">
      <c r="D442" s="26"/>
      <c r="E442" s="26"/>
      <c r="CC442" s="26"/>
      <c r="CD442" s="26"/>
      <c r="CE442" s="26"/>
    </row>
    <row r="443" spans="4:83">
      <c r="D443" s="26"/>
      <c r="E443" s="26"/>
      <c r="CC443" s="26"/>
      <c r="CD443" s="26"/>
      <c r="CE443" s="26"/>
    </row>
    <row r="444" spans="4:83">
      <c r="D444" s="26"/>
      <c r="E444" s="26"/>
      <c r="CC444" s="26"/>
      <c r="CD444" s="26"/>
      <c r="CE444" s="26"/>
    </row>
    <row r="445" spans="4:83">
      <c r="D445" s="26"/>
      <c r="E445" s="26"/>
      <c r="CC445" s="26"/>
      <c r="CD445" s="26"/>
      <c r="CE445" s="26"/>
    </row>
    <row r="446" spans="4:83">
      <c r="D446" s="26"/>
      <c r="E446" s="26"/>
      <c r="CC446" s="26"/>
      <c r="CD446" s="26"/>
      <c r="CE446" s="26"/>
    </row>
    <row r="447" spans="4:83">
      <c r="D447" s="26"/>
      <c r="E447" s="26"/>
      <c r="CC447" s="26"/>
      <c r="CD447" s="26"/>
      <c r="CE447" s="26"/>
    </row>
    <row r="448" spans="4:83">
      <c r="D448" s="26"/>
      <c r="E448" s="26"/>
      <c r="CC448" s="26"/>
      <c r="CD448" s="26"/>
      <c r="CE448" s="26"/>
    </row>
    <row r="449" spans="4:83">
      <c r="D449" s="26"/>
      <c r="E449" s="26"/>
      <c r="CC449" s="26"/>
      <c r="CD449" s="26"/>
      <c r="CE449" s="26"/>
    </row>
    <row r="450" spans="4:83">
      <c r="D450" s="26"/>
      <c r="E450" s="26"/>
      <c r="CC450" s="26"/>
      <c r="CD450" s="26"/>
      <c r="CE450" s="26"/>
    </row>
    <row r="451" spans="4:83">
      <c r="D451" s="26"/>
      <c r="E451" s="26"/>
      <c r="CC451" s="26"/>
      <c r="CD451" s="26"/>
      <c r="CE451" s="26"/>
    </row>
    <row r="452" spans="4:83">
      <c r="D452" s="26"/>
      <c r="E452" s="26"/>
      <c r="CC452" s="26"/>
      <c r="CD452" s="26"/>
      <c r="CE452" s="26"/>
    </row>
    <row r="453" spans="4:83">
      <c r="D453" s="26"/>
      <c r="E453" s="26"/>
      <c r="CC453" s="26"/>
      <c r="CD453" s="26"/>
      <c r="CE453" s="26"/>
    </row>
    <row r="454" spans="4:83">
      <c r="D454" s="26"/>
      <c r="E454" s="26"/>
      <c r="CC454" s="26"/>
      <c r="CD454" s="26"/>
      <c r="CE454" s="26"/>
    </row>
    <row r="455" spans="4:83">
      <c r="D455" s="26"/>
      <c r="E455" s="26"/>
      <c r="CC455" s="26"/>
      <c r="CD455" s="26"/>
      <c r="CE455" s="26"/>
    </row>
    <row r="456" spans="4:83">
      <c r="D456" s="26"/>
      <c r="E456" s="26"/>
      <c r="CC456" s="26"/>
      <c r="CD456" s="26"/>
      <c r="CE456" s="26"/>
    </row>
    <row r="457" spans="4:83">
      <c r="D457" s="26"/>
      <c r="E457" s="26"/>
      <c r="CC457" s="26"/>
      <c r="CD457" s="26"/>
      <c r="CE457" s="26"/>
    </row>
    <row r="458" spans="4:83">
      <c r="D458" s="26"/>
      <c r="E458" s="26"/>
      <c r="CC458" s="26"/>
      <c r="CD458" s="26"/>
      <c r="CE458" s="26"/>
    </row>
    <row r="459" spans="4:83">
      <c r="D459" s="26"/>
      <c r="E459" s="26"/>
      <c r="CC459" s="26"/>
      <c r="CD459" s="26"/>
      <c r="CE459" s="26"/>
    </row>
    <row r="460" spans="4:83">
      <c r="D460" s="26"/>
      <c r="E460" s="26"/>
      <c r="CC460" s="26"/>
      <c r="CD460" s="26"/>
      <c r="CE460" s="26"/>
    </row>
    <row r="461" spans="4:83">
      <c r="D461" s="26"/>
      <c r="E461" s="26"/>
      <c r="CC461" s="26"/>
      <c r="CD461" s="26"/>
      <c r="CE461" s="26"/>
    </row>
    <row r="462" spans="4:83">
      <c r="D462" s="26"/>
      <c r="E462" s="26"/>
      <c r="CC462" s="26"/>
      <c r="CD462" s="26"/>
      <c r="CE462" s="26"/>
    </row>
    <row r="463" spans="4:83">
      <c r="D463" s="26"/>
      <c r="E463" s="26"/>
      <c r="CC463" s="26"/>
      <c r="CD463" s="26"/>
      <c r="CE463" s="26"/>
    </row>
    <row r="464" spans="4:83">
      <c r="D464" s="26"/>
      <c r="E464" s="26"/>
      <c r="CC464" s="26"/>
      <c r="CD464" s="26"/>
      <c r="CE464" s="26"/>
    </row>
    <row r="465" spans="4:83">
      <c r="D465" s="26"/>
      <c r="E465" s="26"/>
      <c r="CC465" s="26"/>
      <c r="CD465" s="26"/>
      <c r="CE465" s="26"/>
    </row>
    <row r="466" spans="4:83">
      <c r="D466" s="26"/>
      <c r="E466" s="26"/>
      <c r="CC466" s="26"/>
      <c r="CD466" s="26"/>
      <c r="CE466" s="26"/>
    </row>
    <row r="467" spans="4:83">
      <c r="D467" s="26"/>
      <c r="E467" s="26"/>
      <c r="CC467" s="26"/>
      <c r="CD467" s="26"/>
      <c r="CE467" s="26"/>
    </row>
    <row r="468" spans="4:83">
      <c r="D468" s="26"/>
      <c r="E468" s="26"/>
      <c r="CC468" s="26"/>
      <c r="CD468" s="26"/>
      <c r="CE468" s="26"/>
    </row>
    <row r="469" spans="4:83">
      <c r="D469" s="26"/>
      <c r="E469" s="26"/>
      <c r="CC469" s="26"/>
      <c r="CD469" s="26"/>
      <c r="CE469" s="26"/>
    </row>
    <row r="470" spans="4:83">
      <c r="D470" s="26"/>
      <c r="E470" s="26"/>
      <c r="CC470" s="26"/>
      <c r="CD470" s="26"/>
      <c r="CE470" s="26"/>
    </row>
    <row r="471" spans="4:83">
      <c r="D471" s="26"/>
      <c r="E471" s="26"/>
      <c r="CC471" s="26"/>
      <c r="CD471" s="26"/>
      <c r="CE471" s="26"/>
    </row>
    <row r="472" spans="4:83">
      <c r="D472" s="26"/>
      <c r="E472" s="26"/>
      <c r="CC472" s="26"/>
      <c r="CD472" s="26"/>
      <c r="CE472" s="26"/>
    </row>
    <row r="473" spans="4:83">
      <c r="D473" s="26"/>
      <c r="E473" s="26"/>
      <c r="CC473" s="26"/>
      <c r="CD473" s="26"/>
      <c r="CE473" s="26"/>
    </row>
    <row r="474" spans="4:83">
      <c r="D474" s="26"/>
      <c r="E474" s="26"/>
      <c r="CC474" s="26"/>
      <c r="CD474" s="26"/>
      <c r="CE474" s="26"/>
    </row>
    <row r="475" spans="4:83">
      <c r="D475" s="26"/>
      <c r="E475" s="26"/>
      <c r="CC475" s="26"/>
      <c r="CD475" s="26"/>
      <c r="CE475" s="26"/>
    </row>
    <row r="476" spans="4:83">
      <c r="D476" s="26"/>
      <c r="E476" s="26"/>
      <c r="CC476" s="26"/>
      <c r="CD476" s="26"/>
      <c r="CE476" s="26"/>
    </row>
    <row r="477" spans="4:83">
      <c r="D477" s="26"/>
      <c r="E477" s="26"/>
      <c r="CC477" s="26"/>
      <c r="CD477" s="26"/>
      <c r="CE477" s="26"/>
    </row>
    <row r="478" spans="4:83">
      <c r="D478" s="26"/>
      <c r="E478" s="26"/>
      <c r="CC478" s="26"/>
      <c r="CD478" s="26"/>
      <c r="CE478" s="26"/>
    </row>
    <row r="479" spans="4:83">
      <c r="D479" s="26"/>
      <c r="E479" s="26"/>
      <c r="CC479" s="26"/>
      <c r="CD479" s="26"/>
      <c r="CE479" s="26"/>
    </row>
    <row r="480" spans="4:83">
      <c r="D480" s="26"/>
      <c r="E480" s="26"/>
      <c r="CC480" s="26"/>
      <c r="CD480" s="26"/>
      <c r="CE480" s="26"/>
    </row>
    <row r="481" spans="4:83">
      <c r="D481" s="26"/>
      <c r="E481" s="26"/>
      <c r="CC481" s="26"/>
      <c r="CD481" s="26"/>
      <c r="CE481" s="26"/>
    </row>
    <row r="482" spans="4:83">
      <c r="D482" s="26"/>
      <c r="E482" s="26"/>
      <c r="CC482" s="26"/>
      <c r="CD482" s="26"/>
      <c r="CE482" s="26"/>
    </row>
    <row r="483" spans="4:83">
      <c r="D483" s="26"/>
      <c r="E483" s="26"/>
      <c r="CC483" s="26"/>
      <c r="CD483" s="26"/>
      <c r="CE483" s="26"/>
    </row>
    <row r="484" spans="4:83">
      <c r="D484" s="26"/>
      <c r="E484" s="26"/>
      <c r="CC484" s="26"/>
      <c r="CD484" s="26"/>
      <c r="CE484" s="26"/>
    </row>
    <row r="485" spans="4:83">
      <c r="D485" s="26"/>
      <c r="E485" s="26"/>
      <c r="CC485" s="26"/>
      <c r="CD485" s="26"/>
      <c r="CE485" s="26"/>
    </row>
    <row r="486" spans="4:83">
      <c r="D486" s="26"/>
      <c r="E486" s="26"/>
      <c r="CC486" s="26"/>
      <c r="CD486" s="26"/>
      <c r="CE486" s="26"/>
    </row>
    <row r="487" spans="4:83">
      <c r="D487" s="26"/>
      <c r="E487" s="26"/>
      <c r="CC487" s="26"/>
      <c r="CD487" s="26"/>
      <c r="CE487" s="26"/>
    </row>
    <row r="488" spans="4:83">
      <c r="D488" s="26"/>
      <c r="E488" s="26"/>
      <c r="CC488" s="26"/>
      <c r="CD488" s="26"/>
      <c r="CE488" s="26"/>
    </row>
    <row r="489" spans="4:83">
      <c r="D489" s="26"/>
      <c r="E489" s="26"/>
      <c r="CC489" s="26"/>
      <c r="CD489" s="26"/>
      <c r="CE489" s="26"/>
    </row>
    <row r="490" spans="4:83">
      <c r="D490" s="26"/>
      <c r="E490" s="26"/>
      <c r="CC490" s="26"/>
      <c r="CD490" s="26"/>
      <c r="CE490" s="26"/>
    </row>
    <row r="491" spans="4:83">
      <c r="D491" s="26"/>
      <c r="E491" s="26"/>
      <c r="CC491" s="26"/>
      <c r="CD491" s="26"/>
      <c r="CE491" s="26"/>
    </row>
    <row r="492" spans="4:83">
      <c r="D492" s="26"/>
      <c r="E492" s="26"/>
      <c r="CC492" s="26"/>
      <c r="CD492" s="26"/>
      <c r="CE492" s="26"/>
    </row>
    <row r="493" spans="4:83">
      <c r="D493" s="26"/>
      <c r="E493" s="26"/>
      <c r="CC493" s="26"/>
      <c r="CD493" s="26"/>
      <c r="CE493" s="26"/>
    </row>
    <row r="494" spans="4:83">
      <c r="D494" s="26"/>
      <c r="E494" s="26"/>
      <c r="CC494" s="26"/>
      <c r="CD494" s="26"/>
      <c r="CE494" s="26"/>
    </row>
    <row r="495" spans="4:83">
      <c r="D495" s="26"/>
      <c r="E495" s="26"/>
      <c r="CC495" s="26"/>
      <c r="CD495" s="26"/>
      <c r="CE495" s="26"/>
    </row>
    <row r="496" spans="4:83">
      <c r="D496" s="26"/>
      <c r="E496" s="26"/>
      <c r="CC496" s="26"/>
      <c r="CD496" s="26"/>
      <c r="CE496" s="26"/>
    </row>
    <row r="497" spans="4:83">
      <c r="D497" s="26"/>
      <c r="E497" s="26"/>
      <c r="CC497" s="26"/>
      <c r="CD497" s="26"/>
      <c r="CE497" s="26"/>
    </row>
    <row r="498" spans="4:83">
      <c r="D498" s="26"/>
      <c r="E498" s="26"/>
      <c r="CC498" s="26"/>
      <c r="CD498" s="26"/>
      <c r="CE498" s="26"/>
    </row>
    <row r="499" spans="4:83">
      <c r="D499" s="26"/>
      <c r="E499" s="26"/>
      <c r="CC499" s="26"/>
      <c r="CD499" s="26"/>
      <c r="CE499" s="26"/>
    </row>
    <row r="500" spans="4:83">
      <c r="D500" s="26"/>
      <c r="E500" s="26"/>
      <c r="CC500" s="26"/>
      <c r="CD500" s="26"/>
      <c r="CE500" s="26"/>
    </row>
    <row r="501" spans="4:83">
      <c r="D501" s="26"/>
      <c r="E501" s="26"/>
      <c r="CC501" s="26"/>
      <c r="CD501" s="26"/>
      <c r="CE501" s="26"/>
    </row>
    <row r="502" spans="4:83">
      <c r="D502" s="26"/>
      <c r="E502" s="26"/>
      <c r="CC502" s="26"/>
      <c r="CD502" s="26"/>
      <c r="CE502" s="26"/>
    </row>
    <row r="503" spans="4:83">
      <c r="D503" s="26"/>
      <c r="E503" s="26"/>
      <c r="CC503" s="26"/>
      <c r="CD503" s="26"/>
      <c r="CE503" s="26"/>
    </row>
    <row r="504" spans="4:83">
      <c r="D504" s="26"/>
      <c r="E504" s="26"/>
      <c r="CC504" s="26"/>
      <c r="CD504" s="26"/>
      <c r="CE504" s="26"/>
    </row>
    <row r="505" spans="4:83">
      <c r="D505" s="26"/>
      <c r="E505" s="26"/>
      <c r="CC505" s="26"/>
      <c r="CD505" s="26"/>
      <c r="CE505" s="26"/>
    </row>
    <row r="506" spans="4:83">
      <c r="D506" s="26"/>
      <c r="E506" s="26"/>
      <c r="CC506" s="26"/>
      <c r="CD506" s="26"/>
      <c r="CE506" s="26"/>
    </row>
    <row r="507" spans="4:83">
      <c r="D507" s="26"/>
      <c r="E507" s="26"/>
      <c r="CC507" s="26"/>
      <c r="CD507" s="26"/>
      <c r="CE507" s="26"/>
    </row>
    <row r="508" spans="4:83">
      <c r="D508" s="26"/>
      <c r="E508" s="26"/>
      <c r="CC508" s="26"/>
      <c r="CD508" s="26"/>
      <c r="CE508" s="26"/>
    </row>
    <row r="509" spans="4:83">
      <c r="D509" s="26"/>
      <c r="E509" s="26"/>
      <c r="CC509" s="26"/>
      <c r="CD509" s="26"/>
      <c r="CE509" s="26"/>
    </row>
    <row r="510" spans="4:83">
      <c r="D510" s="26"/>
      <c r="E510" s="26"/>
      <c r="CC510" s="26"/>
      <c r="CD510" s="26"/>
      <c r="CE510" s="26"/>
    </row>
    <row r="511" spans="4:83">
      <c r="D511" s="26"/>
      <c r="E511" s="26"/>
      <c r="CC511" s="26"/>
      <c r="CD511" s="26"/>
      <c r="CE511" s="26"/>
    </row>
    <row r="512" spans="4:83">
      <c r="D512" s="26"/>
      <c r="E512" s="26"/>
      <c r="CC512" s="26"/>
      <c r="CD512" s="26"/>
      <c r="CE512" s="26"/>
    </row>
    <row r="513" spans="4:83">
      <c r="D513" s="26"/>
      <c r="E513" s="26"/>
      <c r="CC513" s="26"/>
      <c r="CD513" s="26"/>
      <c r="CE513" s="26"/>
    </row>
    <row r="514" spans="4:83">
      <c r="D514" s="26"/>
      <c r="E514" s="26"/>
      <c r="CC514" s="26"/>
      <c r="CD514" s="26"/>
      <c r="CE514" s="26"/>
    </row>
    <row r="515" spans="4:83">
      <c r="D515" s="26"/>
      <c r="E515" s="26"/>
      <c r="CC515" s="26"/>
      <c r="CD515" s="26"/>
      <c r="CE515" s="26"/>
    </row>
    <row r="516" spans="4:83">
      <c r="D516" s="26"/>
      <c r="E516" s="26"/>
      <c r="CC516" s="26"/>
      <c r="CD516" s="26"/>
      <c r="CE516" s="26"/>
    </row>
    <row r="517" spans="4:83">
      <c r="D517" s="26"/>
      <c r="E517" s="26"/>
      <c r="CC517" s="26"/>
      <c r="CD517" s="26"/>
      <c r="CE517" s="26"/>
    </row>
    <row r="518" spans="4:83">
      <c r="D518" s="26"/>
      <c r="E518" s="26"/>
      <c r="CC518" s="26"/>
      <c r="CD518" s="26"/>
      <c r="CE518" s="26"/>
    </row>
    <row r="519" spans="4:83">
      <c r="D519" s="26"/>
      <c r="E519" s="26"/>
      <c r="CC519" s="26"/>
      <c r="CD519" s="26"/>
      <c r="CE519" s="26"/>
    </row>
    <row r="520" spans="4:83">
      <c r="D520" s="26"/>
      <c r="E520" s="26"/>
      <c r="CC520" s="26"/>
      <c r="CD520" s="26"/>
      <c r="CE520" s="26"/>
    </row>
    <row r="521" spans="4:83">
      <c r="D521" s="26"/>
      <c r="E521" s="26"/>
      <c r="CC521" s="26"/>
      <c r="CD521" s="26"/>
      <c r="CE521" s="26"/>
    </row>
    <row r="522" spans="4:83">
      <c r="D522" s="26"/>
      <c r="E522" s="26"/>
      <c r="CC522" s="26"/>
      <c r="CD522" s="26"/>
      <c r="CE522" s="26"/>
    </row>
    <row r="523" spans="4:83">
      <c r="D523" s="26"/>
      <c r="E523" s="26"/>
      <c r="CC523" s="26"/>
      <c r="CD523" s="26"/>
      <c r="CE523" s="26"/>
    </row>
    <row r="524" spans="4:83">
      <c r="D524" s="26"/>
      <c r="E524" s="26"/>
      <c r="CC524" s="26"/>
      <c r="CD524" s="26"/>
      <c r="CE524" s="26"/>
    </row>
    <row r="525" spans="4:83">
      <c r="D525" s="26"/>
      <c r="E525" s="26"/>
      <c r="CC525" s="26"/>
      <c r="CD525" s="26"/>
      <c r="CE525" s="26"/>
    </row>
    <row r="526" spans="4:83">
      <c r="D526" s="26"/>
      <c r="E526" s="26"/>
      <c r="CC526" s="26"/>
      <c r="CD526" s="26"/>
      <c r="CE526" s="26"/>
    </row>
    <row r="527" spans="4:83">
      <c r="D527" s="26"/>
      <c r="E527" s="26"/>
      <c r="CC527" s="26"/>
      <c r="CD527" s="26"/>
      <c r="CE527" s="26"/>
    </row>
    <row r="528" spans="4:83">
      <c r="D528" s="26"/>
      <c r="E528" s="26"/>
      <c r="CC528" s="26"/>
      <c r="CD528" s="26"/>
      <c r="CE528" s="26"/>
    </row>
    <row r="529" spans="4:83">
      <c r="D529" s="26"/>
      <c r="E529" s="26"/>
      <c r="CC529" s="26"/>
      <c r="CD529" s="26"/>
      <c r="CE529" s="26"/>
    </row>
    <row r="530" spans="4:83">
      <c r="D530" s="26"/>
      <c r="E530" s="26"/>
      <c r="CC530" s="26"/>
      <c r="CD530" s="26"/>
      <c r="CE530" s="26"/>
    </row>
    <row r="531" spans="4:83">
      <c r="D531" s="26"/>
      <c r="E531" s="26"/>
      <c r="CC531" s="26"/>
      <c r="CD531" s="26"/>
      <c r="CE531" s="26"/>
    </row>
    <row r="532" spans="4:83">
      <c r="D532" s="26"/>
      <c r="E532" s="26"/>
      <c r="CC532" s="26"/>
      <c r="CD532" s="26"/>
      <c r="CE532" s="26"/>
    </row>
    <row r="533" spans="4:83">
      <c r="D533" s="26"/>
      <c r="E533" s="26"/>
      <c r="CC533" s="26"/>
      <c r="CD533" s="26"/>
      <c r="CE533" s="26"/>
    </row>
    <row r="534" spans="4:83">
      <c r="D534" s="26"/>
      <c r="E534" s="26"/>
      <c r="CC534" s="26"/>
      <c r="CD534" s="26"/>
      <c r="CE534" s="26"/>
    </row>
    <row r="535" spans="4:83">
      <c r="D535" s="26"/>
      <c r="E535" s="26"/>
      <c r="CC535" s="26"/>
      <c r="CD535" s="26"/>
      <c r="CE535" s="26"/>
    </row>
    <row r="536" spans="4:83">
      <c r="D536" s="26"/>
      <c r="E536" s="26"/>
      <c r="CC536" s="26"/>
      <c r="CD536" s="26"/>
      <c r="CE536" s="26"/>
    </row>
    <row r="537" spans="4:83">
      <c r="D537" s="26"/>
      <c r="E537" s="26"/>
      <c r="CC537" s="26"/>
      <c r="CD537" s="26"/>
      <c r="CE537" s="26"/>
    </row>
    <row r="538" spans="4:83">
      <c r="D538" s="26"/>
      <c r="E538" s="26"/>
      <c r="CC538" s="26"/>
      <c r="CD538" s="26"/>
      <c r="CE538" s="26"/>
    </row>
    <row r="539" spans="4:83">
      <c r="D539" s="26"/>
      <c r="E539" s="26"/>
      <c r="CC539" s="26"/>
      <c r="CD539" s="26"/>
      <c r="CE539" s="26"/>
    </row>
    <row r="540" spans="4:83">
      <c r="D540" s="26"/>
      <c r="E540" s="26"/>
      <c r="CC540" s="26"/>
      <c r="CD540" s="26"/>
      <c r="CE540" s="26"/>
    </row>
    <row r="541" spans="4:83">
      <c r="D541" s="26"/>
      <c r="E541" s="26"/>
      <c r="CC541" s="26"/>
      <c r="CD541" s="26"/>
      <c r="CE541" s="26"/>
    </row>
    <row r="542" spans="4:83">
      <c r="D542" s="26"/>
      <c r="E542" s="26"/>
      <c r="CC542" s="26"/>
      <c r="CD542" s="26"/>
      <c r="CE542" s="26"/>
    </row>
    <row r="543" spans="4:83">
      <c r="D543" s="26"/>
      <c r="E543" s="26"/>
      <c r="CC543" s="26"/>
      <c r="CD543" s="26"/>
      <c r="CE543" s="26"/>
    </row>
    <row r="544" spans="4:83">
      <c r="D544" s="26"/>
      <c r="E544" s="26"/>
      <c r="CC544" s="26"/>
      <c r="CD544" s="26"/>
      <c r="CE544" s="26"/>
    </row>
    <row r="545" spans="4:83">
      <c r="D545" s="26"/>
      <c r="E545" s="26"/>
      <c r="CC545" s="26"/>
      <c r="CD545" s="26"/>
      <c r="CE545" s="26"/>
    </row>
    <row r="546" spans="4:83">
      <c r="D546" s="26"/>
      <c r="E546" s="26"/>
      <c r="CC546" s="26"/>
      <c r="CD546" s="26"/>
      <c r="CE546" s="26"/>
    </row>
    <row r="547" spans="4:83">
      <c r="D547" s="26"/>
      <c r="E547" s="26"/>
      <c r="CC547" s="26"/>
      <c r="CD547" s="26"/>
      <c r="CE547" s="26"/>
    </row>
    <row r="548" spans="4:83">
      <c r="D548" s="26"/>
      <c r="E548" s="26"/>
      <c r="CC548" s="26"/>
      <c r="CD548" s="26"/>
      <c r="CE548" s="26"/>
    </row>
    <row r="549" spans="4:83">
      <c r="D549" s="26"/>
      <c r="E549" s="26"/>
      <c r="CC549" s="26"/>
      <c r="CD549" s="26"/>
      <c r="CE549" s="26"/>
    </row>
    <row r="550" spans="4:83">
      <c r="D550" s="26"/>
      <c r="E550" s="26"/>
      <c r="CC550" s="26"/>
      <c r="CD550" s="26"/>
      <c r="CE550" s="26"/>
    </row>
    <row r="551" spans="4:83">
      <c r="D551" s="26"/>
      <c r="E551" s="26"/>
      <c r="CC551" s="26"/>
      <c r="CD551" s="26"/>
      <c r="CE551" s="26"/>
    </row>
    <row r="552" spans="4:83">
      <c r="D552" s="26"/>
      <c r="E552" s="26"/>
      <c r="CC552" s="26"/>
      <c r="CD552" s="26"/>
      <c r="CE552" s="26"/>
    </row>
    <row r="553" spans="4:83">
      <c r="D553" s="26"/>
      <c r="E553" s="26"/>
      <c r="CC553" s="26"/>
      <c r="CD553" s="26"/>
      <c r="CE553" s="26"/>
    </row>
    <row r="554" spans="4:83">
      <c r="D554" s="26"/>
      <c r="E554" s="26"/>
      <c r="CC554" s="26"/>
      <c r="CD554" s="26"/>
      <c r="CE554" s="26"/>
    </row>
    <row r="555" spans="4:83">
      <c r="D555" s="26"/>
      <c r="E555" s="26"/>
      <c r="CC555" s="26"/>
      <c r="CD555" s="26"/>
      <c r="CE555" s="26"/>
    </row>
    <row r="556" spans="4:83">
      <c r="D556" s="26"/>
      <c r="E556" s="26"/>
      <c r="CC556" s="26"/>
      <c r="CD556" s="26"/>
      <c r="CE556" s="26"/>
    </row>
    <row r="557" spans="4:83">
      <c r="D557" s="26"/>
      <c r="E557" s="26"/>
      <c r="CC557" s="26"/>
      <c r="CD557" s="26"/>
      <c r="CE557" s="26"/>
    </row>
    <row r="558" spans="4:83">
      <c r="D558" s="26"/>
      <c r="E558" s="26"/>
      <c r="CC558" s="26"/>
      <c r="CD558" s="26"/>
      <c r="CE558" s="26"/>
    </row>
    <row r="559" spans="4:83">
      <c r="D559" s="26"/>
      <c r="E559" s="26"/>
      <c r="CC559" s="26"/>
      <c r="CD559" s="26"/>
      <c r="CE559" s="26"/>
    </row>
    <row r="560" spans="4:83">
      <c r="D560" s="26"/>
      <c r="E560" s="26"/>
      <c r="CC560" s="26"/>
      <c r="CD560" s="26"/>
      <c r="CE560" s="26"/>
    </row>
    <row r="561" spans="4:83">
      <c r="D561" s="26"/>
      <c r="E561" s="26"/>
      <c r="CC561" s="26"/>
      <c r="CD561" s="26"/>
      <c r="CE561" s="26"/>
    </row>
    <row r="562" spans="4:83">
      <c r="D562" s="26"/>
      <c r="E562" s="26"/>
      <c r="CC562" s="26"/>
      <c r="CD562" s="26"/>
      <c r="CE562" s="26"/>
    </row>
    <row r="563" spans="4:83">
      <c r="D563" s="26"/>
      <c r="E563" s="26"/>
      <c r="CC563" s="26"/>
      <c r="CD563" s="26"/>
      <c r="CE563" s="26"/>
    </row>
    <row r="564" spans="4:83">
      <c r="D564" s="26"/>
      <c r="E564" s="26"/>
      <c r="CC564" s="26"/>
      <c r="CD564" s="26"/>
      <c r="CE564" s="26"/>
    </row>
    <row r="565" spans="4:83">
      <c r="D565" s="26"/>
      <c r="E565" s="26"/>
      <c r="CC565" s="26"/>
      <c r="CD565" s="26"/>
      <c r="CE565" s="26"/>
    </row>
    <row r="566" spans="4:83">
      <c r="D566" s="26"/>
      <c r="E566" s="26"/>
      <c r="CC566" s="26"/>
      <c r="CD566" s="26"/>
      <c r="CE566" s="26"/>
    </row>
    <row r="567" spans="4:83">
      <c r="D567" s="26"/>
      <c r="E567" s="26"/>
      <c r="CC567" s="26"/>
      <c r="CD567" s="26"/>
      <c r="CE567" s="26"/>
    </row>
    <row r="568" spans="4:83">
      <c r="D568" s="26"/>
      <c r="E568" s="26"/>
      <c r="CC568" s="26"/>
      <c r="CD568" s="26"/>
      <c r="CE568" s="26"/>
    </row>
    <row r="569" spans="4:83">
      <c r="D569" s="26"/>
      <c r="E569" s="26"/>
      <c r="CC569" s="26"/>
      <c r="CD569" s="26"/>
      <c r="CE569" s="26"/>
    </row>
    <row r="570" spans="4:83">
      <c r="D570" s="26"/>
      <c r="E570" s="26"/>
      <c r="CC570" s="26"/>
      <c r="CD570" s="26"/>
      <c r="CE570" s="26"/>
    </row>
    <row r="571" spans="4:83">
      <c r="D571" s="26"/>
      <c r="E571" s="26"/>
      <c r="CC571" s="26"/>
      <c r="CD571" s="26"/>
      <c r="CE571" s="26"/>
    </row>
    <row r="572" spans="4:83">
      <c r="D572" s="26"/>
      <c r="E572" s="26"/>
      <c r="CC572" s="26"/>
      <c r="CD572" s="26"/>
      <c r="CE572" s="26"/>
    </row>
    <row r="573" spans="4:83">
      <c r="D573" s="26"/>
      <c r="E573" s="26"/>
      <c r="CC573" s="26"/>
      <c r="CD573" s="26"/>
      <c r="CE573" s="26"/>
    </row>
    <row r="574" spans="4:83">
      <c r="D574" s="26"/>
      <c r="E574" s="26"/>
      <c r="CC574" s="26"/>
      <c r="CD574" s="26"/>
      <c r="CE574" s="26"/>
    </row>
    <row r="575" spans="4:83">
      <c r="D575" s="26"/>
      <c r="E575" s="26"/>
      <c r="CC575" s="26"/>
      <c r="CD575" s="26"/>
      <c r="CE575" s="26"/>
    </row>
    <row r="576" spans="4:83">
      <c r="D576" s="26"/>
      <c r="E576" s="26"/>
      <c r="CC576" s="26"/>
      <c r="CD576" s="26"/>
      <c r="CE576" s="26"/>
    </row>
    <row r="577" spans="4:83">
      <c r="D577" s="26"/>
      <c r="E577" s="26"/>
      <c r="CC577" s="26"/>
      <c r="CD577" s="26"/>
      <c r="CE577" s="26"/>
    </row>
    <row r="578" spans="4:83">
      <c r="D578" s="26"/>
      <c r="E578" s="26"/>
      <c r="CC578" s="26"/>
      <c r="CD578" s="26"/>
      <c r="CE578" s="26"/>
    </row>
    <row r="579" spans="4:83">
      <c r="D579" s="26"/>
      <c r="E579" s="26"/>
      <c r="CC579" s="26"/>
      <c r="CD579" s="26"/>
      <c r="CE579" s="26"/>
    </row>
    <row r="580" spans="4:83">
      <c r="D580" s="26"/>
      <c r="E580" s="26"/>
      <c r="CC580" s="26"/>
      <c r="CD580" s="26"/>
      <c r="CE580" s="26"/>
    </row>
    <row r="581" spans="4:83">
      <c r="D581" s="26"/>
      <c r="E581" s="26"/>
      <c r="CC581" s="26"/>
      <c r="CD581" s="26"/>
      <c r="CE581" s="26"/>
    </row>
    <row r="582" spans="4:83">
      <c r="D582" s="26"/>
      <c r="E582" s="26"/>
      <c r="CC582" s="26"/>
      <c r="CD582" s="26"/>
      <c r="CE582" s="26"/>
    </row>
    <row r="583" spans="4:83">
      <c r="D583" s="26"/>
      <c r="E583" s="26"/>
      <c r="CC583" s="26"/>
      <c r="CD583" s="26"/>
      <c r="CE583" s="26"/>
    </row>
    <row r="584" spans="4:83">
      <c r="D584" s="26"/>
      <c r="E584" s="26"/>
      <c r="CC584" s="26"/>
      <c r="CD584" s="26"/>
      <c r="CE584" s="26"/>
    </row>
    <row r="585" spans="4:83">
      <c r="D585" s="26"/>
      <c r="E585" s="26"/>
      <c r="CC585" s="26"/>
      <c r="CD585" s="26"/>
      <c r="CE585" s="26"/>
    </row>
    <row r="586" spans="4:83">
      <c r="D586" s="26"/>
      <c r="E586" s="26"/>
      <c r="CC586" s="26"/>
      <c r="CD586" s="26"/>
      <c r="CE586" s="26"/>
    </row>
    <row r="587" spans="4:83">
      <c r="D587" s="26"/>
      <c r="E587" s="26"/>
      <c r="CC587" s="26"/>
      <c r="CD587" s="26"/>
      <c r="CE587" s="26"/>
    </row>
    <row r="588" spans="4:83">
      <c r="D588" s="26"/>
      <c r="E588" s="26"/>
      <c r="CC588" s="26"/>
      <c r="CD588" s="26"/>
      <c r="CE588" s="26"/>
    </row>
    <row r="589" spans="4:83">
      <c r="D589" s="26"/>
      <c r="E589" s="26"/>
      <c r="CC589" s="26"/>
      <c r="CD589" s="26"/>
      <c r="CE589" s="26"/>
    </row>
    <row r="590" spans="4:83">
      <c r="D590" s="26"/>
      <c r="E590" s="26"/>
      <c r="CC590" s="26"/>
      <c r="CD590" s="26"/>
      <c r="CE590" s="26"/>
    </row>
    <row r="591" spans="4:83">
      <c r="D591" s="26"/>
      <c r="E591" s="26"/>
      <c r="CC591" s="26"/>
      <c r="CD591" s="26"/>
      <c r="CE591" s="26"/>
    </row>
    <row r="592" spans="4:83">
      <c r="D592" s="26"/>
      <c r="E592" s="26"/>
      <c r="CC592" s="26"/>
      <c r="CD592" s="26"/>
      <c r="CE592" s="26"/>
    </row>
    <row r="593" spans="4:83">
      <c r="D593" s="26"/>
      <c r="E593" s="26"/>
      <c r="CC593" s="26"/>
      <c r="CD593" s="26"/>
      <c r="CE593" s="26"/>
    </row>
    <row r="594" spans="4:83">
      <c r="D594" s="26"/>
      <c r="E594" s="26"/>
      <c r="CC594" s="26"/>
      <c r="CD594" s="26"/>
      <c r="CE594" s="26"/>
    </row>
    <row r="595" spans="4:83">
      <c r="D595" s="26"/>
      <c r="E595" s="26"/>
      <c r="CC595" s="26"/>
      <c r="CD595" s="26"/>
      <c r="CE595" s="26"/>
    </row>
    <row r="596" spans="4:83">
      <c r="D596" s="26"/>
      <c r="E596" s="26"/>
      <c r="CC596" s="26"/>
      <c r="CD596" s="26"/>
      <c r="CE596" s="26"/>
    </row>
    <row r="597" spans="4:83">
      <c r="D597" s="26"/>
      <c r="E597" s="26"/>
      <c r="CC597" s="26"/>
      <c r="CD597" s="26"/>
      <c r="CE597" s="26"/>
    </row>
    <row r="598" spans="4:83">
      <c r="D598" s="26"/>
      <c r="E598" s="26"/>
      <c r="CC598" s="26"/>
      <c r="CD598" s="26"/>
      <c r="CE598" s="26"/>
    </row>
    <row r="599" spans="4:83">
      <c r="D599" s="26"/>
      <c r="E599" s="26"/>
      <c r="CC599" s="26"/>
      <c r="CD599" s="26"/>
      <c r="CE599" s="26"/>
    </row>
    <row r="600" spans="4:83">
      <c r="D600" s="26"/>
      <c r="E600" s="26"/>
      <c r="CC600" s="26"/>
      <c r="CD600" s="26"/>
      <c r="CE600" s="26"/>
    </row>
    <row r="601" spans="4:83">
      <c r="D601" s="26"/>
      <c r="E601" s="26"/>
      <c r="CC601" s="26"/>
      <c r="CD601" s="26"/>
      <c r="CE601" s="26"/>
    </row>
    <row r="602" spans="4:83">
      <c r="D602" s="26"/>
      <c r="E602" s="26"/>
      <c r="CC602" s="26"/>
      <c r="CD602" s="26"/>
      <c r="CE602" s="26"/>
    </row>
    <row r="603" spans="4:83">
      <c r="D603" s="26"/>
      <c r="E603" s="26"/>
      <c r="CC603" s="26"/>
      <c r="CD603" s="26"/>
      <c r="CE603" s="26"/>
    </row>
    <row r="604" spans="4:83">
      <c r="D604" s="26"/>
      <c r="E604" s="26"/>
      <c r="CC604" s="26"/>
      <c r="CD604" s="26"/>
      <c r="CE604" s="26"/>
    </row>
    <row r="605" spans="4:83">
      <c r="D605" s="26"/>
      <c r="E605" s="26"/>
      <c r="CC605" s="26"/>
      <c r="CD605" s="26"/>
      <c r="CE605" s="26"/>
    </row>
    <row r="606" spans="4:83">
      <c r="D606" s="26"/>
      <c r="E606" s="26"/>
      <c r="CC606" s="26"/>
      <c r="CD606" s="26"/>
      <c r="CE606" s="26"/>
    </row>
    <row r="607" spans="4:83">
      <c r="D607" s="26"/>
      <c r="E607" s="26"/>
      <c r="CC607" s="26"/>
      <c r="CD607" s="26"/>
      <c r="CE607" s="26"/>
    </row>
    <row r="608" spans="4:83">
      <c r="D608" s="26"/>
      <c r="E608" s="26"/>
      <c r="CC608" s="26"/>
      <c r="CD608" s="26"/>
      <c r="CE608" s="26"/>
    </row>
    <row r="609" spans="4:83">
      <c r="D609" s="26"/>
      <c r="E609" s="26"/>
      <c r="CC609" s="26"/>
      <c r="CD609" s="26"/>
      <c r="CE609" s="26"/>
    </row>
    <row r="610" spans="4:83">
      <c r="D610" s="26"/>
      <c r="E610" s="26"/>
      <c r="CC610" s="26"/>
      <c r="CD610" s="26"/>
      <c r="CE610" s="26"/>
    </row>
    <row r="611" spans="4:83">
      <c r="D611" s="26"/>
      <c r="E611" s="26"/>
      <c r="CC611" s="26"/>
      <c r="CD611" s="26"/>
      <c r="CE611" s="26"/>
    </row>
    <row r="612" spans="4:83">
      <c r="D612" s="26"/>
      <c r="E612" s="26"/>
      <c r="CC612" s="26"/>
      <c r="CD612" s="26"/>
      <c r="CE612" s="26"/>
    </row>
    <row r="613" spans="4:83">
      <c r="D613" s="26"/>
      <c r="E613" s="26"/>
      <c r="CC613" s="26"/>
      <c r="CD613" s="26"/>
      <c r="CE613" s="26"/>
    </row>
    <row r="614" spans="4:83">
      <c r="D614" s="26"/>
      <c r="E614" s="26"/>
      <c r="CC614" s="26"/>
      <c r="CD614" s="26"/>
      <c r="CE614" s="26"/>
    </row>
    <row r="615" spans="4:83">
      <c r="D615" s="26"/>
      <c r="E615" s="26"/>
      <c r="CC615" s="26"/>
      <c r="CD615" s="26"/>
      <c r="CE615" s="26"/>
    </row>
    <row r="616" spans="4:83">
      <c r="D616" s="26"/>
      <c r="E616" s="26"/>
      <c r="CC616" s="26"/>
      <c r="CD616" s="26"/>
      <c r="CE616" s="26"/>
    </row>
    <row r="617" spans="4:83">
      <c r="D617" s="26"/>
      <c r="E617" s="26"/>
      <c r="CC617" s="26"/>
      <c r="CD617" s="26"/>
      <c r="CE617" s="26"/>
    </row>
    <row r="618" spans="4:83">
      <c r="D618" s="26"/>
      <c r="E618" s="26"/>
      <c r="CC618" s="26"/>
      <c r="CD618" s="26"/>
      <c r="CE618" s="26"/>
    </row>
    <row r="619" spans="4:83">
      <c r="D619" s="26"/>
      <c r="E619" s="26"/>
      <c r="CC619" s="26"/>
      <c r="CD619" s="26"/>
      <c r="CE619" s="26"/>
    </row>
    <row r="620" spans="4:83">
      <c r="D620" s="26"/>
      <c r="E620" s="26"/>
      <c r="CC620" s="26"/>
      <c r="CD620" s="26"/>
      <c r="CE620" s="26"/>
    </row>
    <row r="621" spans="4:83">
      <c r="D621" s="26"/>
      <c r="E621" s="26"/>
      <c r="CC621" s="26"/>
      <c r="CD621" s="26"/>
      <c r="CE621" s="26"/>
    </row>
    <row r="622" spans="4:83">
      <c r="D622" s="26"/>
      <c r="E622" s="26"/>
      <c r="CC622" s="26"/>
      <c r="CD622" s="26"/>
      <c r="CE622" s="26"/>
    </row>
    <row r="623" spans="4:83">
      <c r="D623" s="26"/>
      <c r="E623" s="26"/>
      <c r="CC623" s="26"/>
      <c r="CD623" s="26"/>
      <c r="CE623" s="26"/>
    </row>
    <row r="624" spans="4:83">
      <c r="D624" s="26"/>
      <c r="E624" s="26"/>
      <c r="CC624" s="26"/>
      <c r="CD624" s="26"/>
      <c r="CE624" s="26"/>
    </row>
    <row r="625" spans="4:83">
      <c r="D625" s="26"/>
      <c r="E625" s="26"/>
      <c r="CC625" s="26"/>
      <c r="CD625" s="26"/>
      <c r="CE625" s="26"/>
    </row>
    <row r="626" spans="4:83">
      <c r="D626" s="26"/>
      <c r="E626" s="26"/>
      <c r="CC626" s="26"/>
      <c r="CD626" s="26"/>
      <c r="CE626" s="26"/>
    </row>
    <row r="627" spans="4:83">
      <c r="D627" s="26"/>
      <c r="E627" s="26"/>
      <c r="CC627" s="26"/>
      <c r="CD627" s="26"/>
      <c r="CE627" s="26"/>
    </row>
    <row r="628" spans="4:83">
      <c r="D628" s="26"/>
      <c r="E628" s="26"/>
      <c r="CC628" s="26"/>
      <c r="CD628" s="26"/>
      <c r="CE628" s="26"/>
    </row>
    <row r="629" spans="4:83">
      <c r="D629" s="26"/>
      <c r="E629" s="26"/>
      <c r="CC629" s="26"/>
      <c r="CD629" s="26"/>
      <c r="CE629" s="26"/>
    </row>
    <row r="630" spans="4:83">
      <c r="D630" s="26"/>
      <c r="E630" s="26"/>
      <c r="CC630" s="26"/>
      <c r="CD630" s="26"/>
      <c r="CE630" s="26"/>
    </row>
    <row r="631" spans="4:83">
      <c r="D631" s="26"/>
      <c r="E631" s="26"/>
      <c r="CC631" s="26"/>
      <c r="CD631" s="26"/>
      <c r="CE631" s="26"/>
    </row>
    <row r="632" spans="4:83">
      <c r="D632" s="26"/>
      <c r="E632" s="26"/>
      <c r="CC632" s="26"/>
      <c r="CD632" s="26"/>
      <c r="CE632" s="26"/>
    </row>
    <row r="633" spans="4:83">
      <c r="D633" s="26"/>
      <c r="E633" s="26"/>
      <c r="CC633" s="26"/>
      <c r="CD633" s="26"/>
      <c r="CE633" s="26"/>
    </row>
    <row r="634" spans="4:83">
      <c r="D634" s="26"/>
      <c r="E634" s="26"/>
      <c r="CC634" s="26"/>
      <c r="CD634" s="26"/>
      <c r="CE634" s="26"/>
    </row>
    <row r="635" spans="4:83">
      <c r="D635" s="26"/>
      <c r="E635" s="26"/>
      <c r="CC635" s="26"/>
      <c r="CD635" s="26"/>
      <c r="CE635" s="26"/>
    </row>
    <row r="636" spans="4:83">
      <c r="D636" s="26"/>
      <c r="E636" s="26"/>
      <c r="CC636" s="26"/>
      <c r="CD636" s="26"/>
      <c r="CE636" s="26"/>
    </row>
    <row r="637" spans="4:83">
      <c r="D637" s="26"/>
      <c r="E637" s="26"/>
      <c r="CC637" s="26"/>
      <c r="CD637" s="26"/>
      <c r="CE637" s="26"/>
    </row>
    <row r="638" spans="4:83">
      <c r="D638" s="26"/>
      <c r="E638" s="26"/>
      <c r="CC638" s="26"/>
      <c r="CD638" s="26"/>
      <c r="CE638" s="26"/>
    </row>
    <row r="639" spans="4:83">
      <c r="D639" s="26"/>
      <c r="E639" s="26"/>
      <c r="CC639" s="26"/>
      <c r="CD639" s="26"/>
      <c r="CE639" s="26"/>
    </row>
    <row r="640" spans="4:83">
      <c r="D640" s="26"/>
      <c r="E640" s="26"/>
      <c r="CC640" s="26"/>
      <c r="CD640" s="26"/>
      <c r="CE640" s="26"/>
    </row>
    <row r="641" spans="4:83">
      <c r="D641" s="26"/>
      <c r="E641" s="26"/>
      <c r="CC641" s="26"/>
      <c r="CD641" s="26"/>
      <c r="CE641" s="26"/>
    </row>
    <row r="642" spans="4:83">
      <c r="D642" s="26"/>
      <c r="E642" s="26"/>
      <c r="CC642" s="26"/>
      <c r="CD642" s="26"/>
      <c r="CE642" s="26"/>
    </row>
    <row r="643" spans="4:83">
      <c r="D643" s="26"/>
      <c r="E643" s="26"/>
      <c r="CC643" s="26"/>
      <c r="CD643" s="26"/>
      <c r="CE643" s="26"/>
    </row>
    <row r="644" spans="4:83">
      <c r="D644" s="26"/>
      <c r="E644" s="26"/>
      <c r="CC644" s="26"/>
      <c r="CD644" s="26"/>
      <c r="CE644" s="26"/>
    </row>
    <row r="645" spans="4:83">
      <c r="D645" s="26"/>
      <c r="E645" s="26"/>
      <c r="CC645" s="26"/>
      <c r="CD645" s="26"/>
      <c r="CE645" s="26"/>
    </row>
    <row r="646" spans="4:83">
      <c r="D646" s="26"/>
      <c r="E646" s="26"/>
      <c r="CC646" s="26"/>
      <c r="CD646" s="26"/>
      <c r="CE646" s="26"/>
    </row>
    <row r="647" spans="4:83">
      <c r="D647" s="26"/>
      <c r="E647" s="26"/>
      <c r="CC647" s="26"/>
      <c r="CD647" s="26"/>
      <c r="CE647" s="26"/>
    </row>
    <row r="648" spans="4:83">
      <c r="D648" s="26"/>
      <c r="E648" s="26"/>
      <c r="CC648" s="26"/>
      <c r="CD648" s="26"/>
      <c r="CE648" s="26"/>
    </row>
    <row r="649" spans="4:83">
      <c r="D649" s="26"/>
      <c r="E649" s="26"/>
      <c r="CC649" s="26"/>
      <c r="CD649" s="26"/>
      <c r="CE649" s="26"/>
    </row>
    <row r="650" spans="4:83">
      <c r="D650" s="26"/>
      <c r="E650" s="26"/>
      <c r="CC650" s="26"/>
      <c r="CD650" s="26"/>
      <c r="CE650" s="26"/>
    </row>
    <row r="651" spans="4:83">
      <c r="D651" s="26"/>
      <c r="E651" s="26"/>
      <c r="CC651" s="26"/>
      <c r="CD651" s="26"/>
      <c r="CE651" s="26"/>
    </row>
    <row r="652" spans="4:83">
      <c r="D652" s="26"/>
      <c r="E652" s="26"/>
      <c r="CC652" s="26"/>
      <c r="CD652" s="26"/>
      <c r="CE652" s="26"/>
    </row>
    <row r="653" spans="4:83">
      <c r="D653" s="26"/>
      <c r="E653" s="26"/>
      <c r="CC653" s="26"/>
      <c r="CD653" s="26"/>
      <c r="CE653" s="26"/>
    </row>
    <row r="654" spans="4:83">
      <c r="D654" s="26"/>
      <c r="E654" s="26"/>
      <c r="CC654" s="26"/>
      <c r="CD654" s="26"/>
      <c r="CE654" s="26"/>
    </row>
    <row r="655" spans="4:83">
      <c r="D655" s="26"/>
      <c r="E655" s="26"/>
      <c r="CC655" s="26"/>
      <c r="CD655" s="26"/>
      <c r="CE655" s="26"/>
    </row>
    <row r="656" spans="4:83">
      <c r="D656" s="26"/>
      <c r="E656" s="26"/>
      <c r="CC656" s="26"/>
      <c r="CD656" s="26"/>
      <c r="CE656" s="26"/>
    </row>
    <row r="657" spans="4:83">
      <c r="D657" s="26"/>
      <c r="E657" s="26"/>
      <c r="CC657" s="26"/>
      <c r="CD657" s="26"/>
      <c r="CE657" s="26"/>
    </row>
    <row r="658" spans="4:83">
      <c r="D658" s="26"/>
      <c r="E658" s="26"/>
      <c r="CC658" s="26"/>
      <c r="CD658" s="26"/>
      <c r="CE658" s="26"/>
    </row>
    <row r="659" spans="4:83">
      <c r="D659" s="26"/>
      <c r="E659" s="26"/>
      <c r="CC659" s="26"/>
      <c r="CD659" s="26"/>
      <c r="CE659" s="26"/>
    </row>
    <row r="660" spans="4:83">
      <c r="D660" s="26"/>
      <c r="E660" s="26"/>
      <c r="CC660" s="26"/>
      <c r="CD660" s="26"/>
      <c r="CE660" s="26"/>
    </row>
    <row r="661" spans="4:83">
      <c r="D661" s="26"/>
      <c r="E661" s="26"/>
      <c r="CC661" s="26"/>
      <c r="CD661" s="26"/>
      <c r="CE661" s="26"/>
    </row>
    <row r="662" spans="4:83">
      <c r="D662" s="26"/>
      <c r="E662" s="26"/>
      <c r="CC662" s="26"/>
      <c r="CD662" s="26"/>
      <c r="CE662" s="26"/>
    </row>
    <row r="663" spans="4:83">
      <c r="D663" s="26"/>
      <c r="E663" s="26"/>
      <c r="CC663" s="26"/>
      <c r="CD663" s="26"/>
      <c r="CE663" s="26"/>
    </row>
    <row r="664" spans="4:83">
      <c r="D664" s="26"/>
      <c r="E664" s="26"/>
      <c r="CC664" s="26"/>
      <c r="CD664" s="26"/>
      <c r="CE664" s="26"/>
    </row>
    <row r="665" spans="4:83">
      <c r="D665" s="26"/>
      <c r="E665" s="26"/>
      <c r="CC665" s="26"/>
      <c r="CD665" s="26"/>
      <c r="CE665" s="26"/>
    </row>
    <row r="666" spans="4:83">
      <c r="D666" s="26"/>
      <c r="E666" s="26"/>
      <c r="CC666" s="26"/>
      <c r="CD666" s="26"/>
      <c r="CE666" s="26"/>
    </row>
    <row r="667" spans="4:83">
      <c r="D667" s="26"/>
      <c r="E667" s="26"/>
      <c r="CC667" s="26"/>
      <c r="CD667" s="26"/>
      <c r="CE667" s="26"/>
    </row>
    <row r="668" spans="4:83">
      <c r="D668" s="26"/>
      <c r="E668" s="26"/>
      <c r="CC668" s="26"/>
      <c r="CD668" s="26"/>
      <c r="CE668" s="26"/>
    </row>
    <row r="669" spans="4:83">
      <c r="D669" s="26"/>
      <c r="E669" s="26"/>
      <c r="CC669" s="26"/>
      <c r="CD669" s="26"/>
      <c r="CE669" s="26"/>
    </row>
    <row r="670" spans="4:83">
      <c r="D670" s="26"/>
      <c r="E670" s="26"/>
      <c r="CC670" s="26"/>
      <c r="CD670" s="26"/>
      <c r="CE670" s="26"/>
    </row>
    <row r="671" spans="4:83">
      <c r="D671" s="26"/>
      <c r="E671" s="26"/>
      <c r="CC671" s="26"/>
      <c r="CD671" s="26"/>
      <c r="CE671" s="26"/>
    </row>
    <row r="672" spans="4:83">
      <c r="D672" s="26"/>
      <c r="E672" s="26"/>
      <c r="CC672" s="26"/>
      <c r="CD672" s="26"/>
      <c r="CE672" s="26"/>
    </row>
    <row r="673" spans="4:83">
      <c r="D673" s="26"/>
      <c r="E673" s="26"/>
      <c r="CC673" s="26"/>
      <c r="CD673" s="26"/>
      <c r="CE673" s="26"/>
    </row>
    <row r="674" spans="4:83">
      <c r="D674" s="26"/>
      <c r="E674" s="26"/>
      <c r="CC674" s="26"/>
      <c r="CD674" s="26"/>
      <c r="CE674" s="26"/>
    </row>
    <row r="675" spans="4:83">
      <c r="D675" s="26"/>
      <c r="E675" s="26"/>
      <c r="CC675" s="26"/>
      <c r="CD675" s="26"/>
      <c r="CE675" s="26"/>
    </row>
    <row r="676" spans="4:83">
      <c r="D676" s="26"/>
      <c r="E676" s="26"/>
      <c r="CC676" s="26"/>
      <c r="CD676" s="26"/>
      <c r="CE676" s="26"/>
    </row>
    <row r="677" spans="4:83">
      <c r="D677" s="26"/>
      <c r="E677" s="26"/>
      <c r="CC677" s="26"/>
      <c r="CD677" s="26"/>
      <c r="CE677" s="26"/>
    </row>
    <row r="678" spans="4:83">
      <c r="D678" s="26"/>
      <c r="E678" s="26"/>
      <c r="CC678" s="26"/>
      <c r="CD678" s="26"/>
      <c r="CE678" s="26"/>
    </row>
    <row r="679" spans="4:83">
      <c r="D679" s="26"/>
      <c r="E679" s="26"/>
      <c r="CC679" s="26"/>
      <c r="CD679" s="26"/>
      <c r="CE679" s="26"/>
    </row>
    <row r="680" spans="4:83">
      <c r="D680" s="26"/>
      <c r="E680" s="26"/>
      <c r="CC680" s="26"/>
      <c r="CD680" s="26"/>
      <c r="CE680" s="26"/>
    </row>
    <row r="681" spans="4:83">
      <c r="D681" s="26"/>
      <c r="E681" s="26"/>
      <c r="CC681" s="26"/>
      <c r="CD681" s="26"/>
      <c r="CE681" s="26"/>
    </row>
    <row r="682" spans="4:83">
      <c r="D682" s="26"/>
      <c r="E682" s="26"/>
      <c r="CC682" s="26"/>
      <c r="CD682" s="26"/>
      <c r="CE682" s="26"/>
    </row>
    <row r="683" spans="4:83">
      <c r="D683" s="26"/>
      <c r="E683" s="26"/>
      <c r="CC683" s="26"/>
      <c r="CD683" s="26"/>
      <c r="CE683" s="26"/>
    </row>
    <row r="684" spans="4:83">
      <c r="D684" s="26"/>
      <c r="E684" s="26"/>
      <c r="CC684" s="26"/>
      <c r="CD684" s="26"/>
      <c r="CE684" s="26"/>
    </row>
    <row r="685" spans="4:83">
      <c r="D685" s="26"/>
      <c r="E685" s="26"/>
      <c r="CC685" s="26"/>
      <c r="CD685" s="26"/>
      <c r="CE685" s="26"/>
    </row>
    <row r="686" spans="4:83">
      <c r="D686" s="26"/>
      <c r="E686" s="26"/>
      <c r="CC686" s="26"/>
      <c r="CD686" s="26"/>
      <c r="CE686" s="26"/>
    </row>
    <row r="687" spans="4:83">
      <c r="D687" s="26"/>
      <c r="E687" s="26"/>
      <c r="CC687" s="26"/>
      <c r="CD687" s="26"/>
      <c r="CE687" s="26"/>
    </row>
    <row r="688" spans="4:83">
      <c r="D688" s="26"/>
      <c r="E688" s="26"/>
      <c r="CC688" s="26"/>
      <c r="CD688" s="26"/>
      <c r="CE688" s="26"/>
    </row>
    <row r="689" spans="4:83">
      <c r="D689" s="26"/>
      <c r="E689" s="26"/>
      <c r="CC689" s="26"/>
      <c r="CD689" s="26"/>
      <c r="CE689" s="26"/>
    </row>
    <row r="690" spans="4:83">
      <c r="D690" s="26"/>
      <c r="E690" s="26"/>
      <c r="CC690" s="26"/>
      <c r="CD690" s="26"/>
      <c r="CE690" s="26"/>
    </row>
    <row r="691" spans="4:83">
      <c r="D691" s="26"/>
      <c r="E691" s="26"/>
      <c r="CC691" s="26"/>
      <c r="CD691" s="26"/>
      <c r="CE691" s="26"/>
    </row>
    <row r="692" spans="4:83">
      <c r="D692" s="26"/>
      <c r="E692" s="26"/>
      <c r="CC692" s="26"/>
      <c r="CD692" s="26"/>
      <c r="CE692" s="26"/>
    </row>
    <row r="693" spans="4:83">
      <c r="D693" s="26"/>
      <c r="E693" s="26"/>
      <c r="CC693" s="26"/>
      <c r="CD693" s="26"/>
      <c r="CE693" s="26"/>
    </row>
    <row r="694" spans="4:83">
      <c r="D694" s="26"/>
      <c r="E694" s="26"/>
      <c r="CC694" s="26"/>
      <c r="CD694" s="26"/>
      <c r="CE694" s="26"/>
    </row>
    <row r="695" spans="4:83">
      <c r="D695" s="26"/>
      <c r="E695" s="26"/>
      <c r="CC695" s="26"/>
      <c r="CD695" s="26"/>
      <c r="CE695" s="26"/>
    </row>
    <row r="696" spans="4:83">
      <c r="D696" s="26"/>
      <c r="E696" s="26"/>
      <c r="CC696" s="26"/>
      <c r="CD696" s="26"/>
      <c r="CE696" s="26"/>
    </row>
    <row r="697" spans="4:83">
      <c r="D697" s="26"/>
      <c r="E697" s="26"/>
      <c r="CC697" s="26"/>
      <c r="CD697" s="26"/>
      <c r="CE697" s="26"/>
    </row>
    <row r="698" spans="4:83">
      <c r="D698" s="26"/>
      <c r="E698" s="26"/>
      <c r="CC698" s="26"/>
      <c r="CD698" s="26"/>
      <c r="CE698" s="26"/>
    </row>
    <row r="699" spans="4:83">
      <c r="D699" s="26"/>
      <c r="E699" s="26"/>
      <c r="CC699" s="26"/>
      <c r="CD699" s="26"/>
      <c r="CE699" s="26"/>
    </row>
    <row r="700" spans="4:83">
      <c r="D700" s="26"/>
      <c r="E700" s="26"/>
      <c r="CC700" s="26"/>
      <c r="CD700" s="26"/>
      <c r="CE700" s="26"/>
    </row>
    <row r="701" spans="4:83">
      <c r="D701" s="26"/>
      <c r="E701" s="26"/>
      <c r="CC701" s="26"/>
      <c r="CD701" s="26"/>
      <c r="CE701" s="26"/>
    </row>
    <row r="702" spans="4:83">
      <c r="D702" s="26"/>
      <c r="E702" s="26"/>
      <c r="CC702" s="26"/>
      <c r="CD702" s="26"/>
      <c r="CE702" s="26"/>
    </row>
    <row r="703" spans="4:83">
      <c r="D703" s="26"/>
      <c r="E703" s="26"/>
      <c r="CC703" s="26"/>
      <c r="CD703" s="26"/>
      <c r="CE703" s="26"/>
    </row>
    <row r="704" spans="4:83">
      <c r="D704" s="26"/>
      <c r="E704" s="26"/>
      <c r="CC704" s="26"/>
      <c r="CD704" s="26"/>
      <c r="CE704" s="26"/>
    </row>
    <row r="705" spans="4:83">
      <c r="D705" s="26"/>
      <c r="E705" s="26"/>
      <c r="CC705" s="26"/>
      <c r="CD705" s="26"/>
      <c r="CE705" s="26"/>
    </row>
    <row r="706" spans="4:83">
      <c r="D706" s="26"/>
      <c r="E706" s="26"/>
      <c r="CC706" s="26"/>
      <c r="CD706" s="26"/>
      <c r="CE706" s="26"/>
    </row>
    <row r="707" spans="4:83">
      <c r="D707" s="26"/>
      <c r="E707" s="26"/>
      <c r="CC707" s="26"/>
      <c r="CD707" s="26"/>
      <c r="CE707" s="26"/>
    </row>
    <row r="708" spans="4:83">
      <c r="D708" s="26"/>
      <c r="E708" s="26"/>
      <c r="CC708" s="26"/>
      <c r="CD708" s="26"/>
      <c r="CE708" s="26"/>
    </row>
    <row r="709" spans="4:83">
      <c r="D709" s="26"/>
      <c r="E709" s="26"/>
      <c r="CC709" s="26"/>
      <c r="CD709" s="26"/>
      <c r="CE709" s="26"/>
    </row>
    <row r="710" spans="4:83">
      <c r="D710" s="26"/>
      <c r="E710" s="26"/>
      <c r="CC710" s="26"/>
      <c r="CD710" s="26"/>
      <c r="CE710" s="26"/>
    </row>
    <row r="711" spans="4:83">
      <c r="D711" s="26"/>
      <c r="E711" s="26"/>
      <c r="CC711" s="26"/>
      <c r="CD711" s="26"/>
      <c r="CE711" s="26"/>
    </row>
    <row r="712" spans="4:83">
      <c r="D712" s="26"/>
      <c r="E712" s="26"/>
      <c r="CC712" s="26"/>
      <c r="CD712" s="26"/>
      <c r="CE712" s="26"/>
    </row>
    <row r="713" spans="4:83">
      <c r="D713" s="26"/>
      <c r="E713" s="26"/>
      <c r="CC713" s="26"/>
      <c r="CD713" s="26"/>
      <c r="CE713" s="26"/>
    </row>
    <row r="714" spans="4:83">
      <c r="D714" s="26"/>
      <c r="E714" s="26"/>
      <c r="CC714" s="26"/>
      <c r="CD714" s="26"/>
      <c r="CE714" s="26"/>
    </row>
    <row r="715" spans="4:83">
      <c r="D715" s="26"/>
      <c r="E715" s="26"/>
      <c r="CC715" s="26"/>
      <c r="CD715" s="26"/>
      <c r="CE715" s="26"/>
    </row>
    <row r="716" spans="4:83">
      <c r="D716" s="26"/>
      <c r="E716" s="26"/>
      <c r="CC716" s="26"/>
      <c r="CD716" s="26"/>
      <c r="CE716" s="26"/>
    </row>
    <row r="717" spans="4:83">
      <c r="D717" s="26"/>
      <c r="E717" s="26"/>
      <c r="CC717" s="26"/>
      <c r="CD717" s="26"/>
      <c r="CE717" s="26"/>
    </row>
    <row r="718" spans="4:83">
      <c r="D718" s="26"/>
      <c r="E718" s="26"/>
      <c r="CC718" s="26"/>
      <c r="CD718" s="26"/>
      <c r="CE718" s="26"/>
    </row>
    <row r="719" spans="4:83">
      <c r="D719" s="26"/>
      <c r="E719" s="26"/>
      <c r="CC719" s="26"/>
      <c r="CD719" s="26"/>
      <c r="CE719" s="26"/>
    </row>
    <row r="720" spans="4:83">
      <c r="D720" s="26"/>
      <c r="E720" s="26"/>
      <c r="CC720" s="26"/>
      <c r="CD720" s="26"/>
      <c r="CE720" s="26"/>
    </row>
    <row r="721" spans="4:83">
      <c r="D721" s="26"/>
      <c r="E721" s="26"/>
      <c r="CC721" s="26"/>
      <c r="CD721" s="26"/>
      <c r="CE721" s="26"/>
    </row>
    <row r="722" spans="4:83">
      <c r="D722" s="26"/>
      <c r="E722" s="26"/>
      <c r="CC722" s="26"/>
      <c r="CD722" s="26"/>
      <c r="CE722" s="26"/>
    </row>
    <row r="723" spans="4:83">
      <c r="D723" s="26"/>
      <c r="E723" s="26"/>
      <c r="CC723" s="26"/>
      <c r="CD723" s="26"/>
      <c r="CE723" s="26"/>
    </row>
    <row r="724" spans="4:83">
      <c r="D724" s="26"/>
      <c r="E724" s="26"/>
      <c r="CC724" s="26"/>
      <c r="CD724" s="26"/>
      <c r="CE724" s="26"/>
    </row>
    <row r="725" spans="4:83">
      <c r="D725" s="26"/>
      <c r="E725" s="26"/>
      <c r="CC725" s="26"/>
      <c r="CD725" s="26"/>
      <c r="CE725" s="26"/>
    </row>
    <row r="726" spans="4:83">
      <c r="D726" s="26"/>
      <c r="E726" s="26"/>
      <c r="CC726" s="26"/>
      <c r="CD726" s="26"/>
      <c r="CE726" s="26"/>
    </row>
    <row r="727" spans="4:83">
      <c r="D727" s="26"/>
      <c r="E727" s="26"/>
      <c r="CC727" s="26"/>
      <c r="CD727" s="26"/>
      <c r="CE727" s="26"/>
    </row>
    <row r="728" spans="4:83">
      <c r="D728" s="26"/>
      <c r="E728" s="26"/>
      <c r="CC728" s="26"/>
      <c r="CD728" s="26"/>
      <c r="CE728" s="26"/>
    </row>
    <row r="729" spans="4:83">
      <c r="D729" s="26"/>
      <c r="E729" s="26"/>
      <c r="CC729" s="26"/>
      <c r="CD729" s="26"/>
      <c r="CE729" s="26"/>
    </row>
    <row r="730" spans="4:83">
      <c r="D730" s="26"/>
      <c r="E730" s="26"/>
      <c r="CC730" s="26"/>
      <c r="CD730" s="26"/>
      <c r="CE730" s="26"/>
    </row>
    <row r="731" spans="4:83">
      <c r="D731" s="26"/>
      <c r="E731" s="26"/>
      <c r="CC731" s="26"/>
      <c r="CD731" s="26"/>
      <c r="CE731" s="26"/>
    </row>
    <row r="732" spans="4:83">
      <c r="D732" s="26"/>
      <c r="E732" s="26"/>
      <c r="CC732" s="26"/>
      <c r="CD732" s="26"/>
      <c r="CE732" s="26"/>
    </row>
    <row r="733" spans="4:83">
      <c r="D733" s="26"/>
      <c r="E733" s="26"/>
      <c r="CC733" s="26"/>
      <c r="CD733" s="26"/>
      <c r="CE733" s="26"/>
    </row>
    <row r="734" spans="4:83">
      <c r="D734" s="26"/>
      <c r="E734" s="26"/>
      <c r="CC734" s="26"/>
      <c r="CD734" s="26"/>
      <c r="CE734" s="26"/>
    </row>
    <row r="735" spans="4:83">
      <c r="D735" s="26"/>
      <c r="E735" s="26"/>
      <c r="CC735" s="26"/>
      <c r="CD735" s="26"/>
      <c r="CE735" s="26"/>
    </row>
    <row r="736" spans="4:83">
      <c r="D736" s="26"/>
      <c r="E736" s="26"/>
      <c r="CC736" s="26"/>
      <c r="CD736" s="26"/>
      <c r="CE736" s="26"/>
    </row>
    <row r="737" spans="4:83">
      <c r="D737" s="26"/>
      <c r="E737" s="26"/>
      <c r="CC737" s="26"/>
      <c r="CD737" s="26"/>
      <c r="CE737" s="26"/>
    </row>
    <row r="738" spans="4:83">
      <c r="D738" s="26"/>
      <c r="E738" s="26"/>
      <c r="CC738" s="26"/>
      <c r="CD738" s="26"/>
      <c r="CE738" s="26"/>
    </row>
    <row r="739" spans="4:83">
      <c r="D739" s="26"/>
      <c r="E739" s="26"/>
      <c r="CC739" s="26"/>
      <c r="CD739" s="26"/>
      <c r="CE739" s="26"/>
    </row>
    <row r="740" spans="4:83">
      <c r="D740" s="26"/>
      <c r="E740" s="26"/>
      <c r="CC740" s="26"/>
      <c r="CD740" s="26"/>
      <c r="CE740" s="26"/>
    </row>
    <row r="741" spans="4:83">
      <c r="D741" s="26"/>
      <c r="E741" s="26"/>
      <c r="CC741" s="26"/>
      <c r="CD741" s="26"/>
      <c r="CE741" s="26"/>
    </row>
    <row r="742" spans="4:83">
      <c r="D742" s="26"/>
      <c r="E742" s="26"/>
      <c r="CC742" s="26"/>
      <c r="CD742" s="26"/>
      <c r="CE742" s="26"/>
    </row>
    <row r="743" spans="4:83">
      <c r="D743" s="26"/>
      <c r="E743" s="26"/>
      <c r="CC743" s="26"/>
      <c r="CD743" s="26"/>
      <c r="CE743" s="26"/>
    </row>
    <row r="744" spans="4:83">
      <c r="D744" s="26"/>
      <c r="E744" s="26"/>
      <c r="CC744" s="26"/>
      <c r="CD744" s="26"/>
      <c r="CE744" s="26"/>
    </row>
    <row r="745" spans="4:83">
      <c r="D745" s="26"/>
      <c r="E745" s="26"/>
      <c r="CC745" s="26"/>
      <c r="CD745" s="26"/>
      <c r="CE745" s="26"/>
    </row>
    <row r="746" spans="4:83">
      <c r="D746" s="26"/>
      <c r="E746" s="26"/>
      <c r="CC746" s="26"/>
      <c r="CD746" s="26"/>
      <c r="CE746" s="26"/>
    </row>
    <row r="747" spans="4:83">
      <c r="D747" s="26"/>
      <c r="E747" s="26"/>
      <c r="CC747" s="26"/>
      <c r="CD747" s="26"/>
      <c r="CE747" s="26"/>
    </row>
    <row r="748" spans="4:83">
      <c r="D748" s="26"/>
      <c r="E748" s="26"/>
      <c r="CC748" s="26"/>
      <c r="CD748" s="26"/>
      <c r="CE748" s="26"/>
    </row>
    <row r="749" spans="4:83">
      <c r="D749" s="26"/>
      <c r="E749" s="26"/>
      <c r="CC749" s="26"/>
      <c r="CD749" s="26"/>
      <c r="CE749" s="26"/>
    </row>
    <row r="750" spans="4:83">
      <c r="D750" s="26"/>
      <c r="E750" s="26"/>
      <c r="CC750" s="26"/>
      <c r="CD750" s="26"/>
      <c r="CE750" s="26"/>
    </row>
    <row r="751" spans="4:83">
      <c r="D751" s="26"/>
      <c r="E751" s="26"/>
      <c r="CC751" s="26"/>
      <c r="CD751" s="26"/>
      <c r="CE751" s="26"/>
    </row>
    <row r="752" spans="4:83">
      <c r="D752" s="26"/>
      <c r="E752" s="26"/>
      <c r="CC752" s="26"/>
      <c r="CD752" s="26"/>
      <c r="CE752" s="26"/>
    </row>
    <row r="753" spans="4:83">
      <c r="D753" s="26"/>
      <c r="E753" s="26"/>
      <c r="CC753" s="26"/>
      <c r="CD753" s="26"/>
      <c r="CE753" s="26"/>
    </row>
    <row r="754" spans="4:83">
      <c r="D754" s="26"/>
      <c r="E754" s="26"/>
      <c r="CC754" s="26"/>
      <c r="CD754" s="26"/>
      <c r="CE754" s="26"/>
    </row>
    <row r="755" spans="4:83">
      <c r="D755" s="26"/>
      <c r="E755" s="26"/>
      <c r="CC755" s="26"/>
      <c r="CD755" s="26"/>
      <c r="CE755" s="26"/>
    </row>
    <row r="756" spans="4:83">
      <c r="D756" s="26"/>
      <c r="E756" s="26"/>
      <c r="CC756" s="26"/>
      <c r="CD756" s="26"/>
      <c r="CE756" s="26"/>
    </row>
    <row r="757" spans="4:83">
      <c r="D757" s="26"/>
      <c r="E757" s="26"/>
      <c r="CC757" s="26"/>
      <c r="CD757" s="26"/>
      <c r="CE757" s="26"/>
    </row>
    <row r="758" spans="4:83">
      <c r="D758" s="26"/>
      <c r="E758" s="26"/>
      <c r="CC758" s="26"/>
      <c r="CD758" s="26"/>
      <c r="CE758" s="26"/>
    </row>
    <row r="759" spans="4:83">
      <c r="D759" s="26"/>
      <c r="E759" s="26"/>
      <c r="CC759" s="26"/>
      <c r="CD759" s="26"/>
      <c r="CE759" s="26"/>
    </row>
    <row r="760" spans="4:83">
      <c r="D760" s="26"/>
      <c r="E760" s="26"/>
      <c r="CC760" s="26"/>
      <c r="CD760" s="26"/>
      <c r="CE760" s="26"/>
    </row>
    <row r="761" spans="4:83">
      <c r="D761" s="26"/>
      <c r="E761" s="26"/>
      <c r="CC761" s="26"/>
      <c r="CD761" s="26"/>
      <c r="CE761" s="26"/>
    </row>
    <row r="762" spans="4:83">
      <c r="D762" s="26"/>
      <c r="E762" s="26"/>
      <c r="CC762" s="26"/>
      <c r="CD762" s="26"/>
      <c r="CE762" s="26"/>
    </row>
    <row r="763" spans="4:83">
      <c r="D763" s="26"/>
      <c r="E763" s="26"/>
      <c r="CC763" s="26"/>
      <c r="CD763" s="26"/>
      <c r="CE763" s="26"/>
    </row>
    <row r="764" spans="4:83">
      <c r="D764" s="26"/>
      <c r="E764" s="26"/>
      <c r="CC764" s="26"/>
      <c r="CD764" s="26"/>
      <c r="CE764" s="26"/>
    </row>
    <row r="765" spans="4:83">
      <c r="D765" s="26"/>
      <c r="E765" s="26"/>
      <c r="CC765" s="26"/>
      <c r="CD765" s="26"/>
      <c r="CE765" s="26"/>
    </row>
    <row r="766" spans="4:83">
      <c r="D766" s="26"/>
      <c r="E766" s="26"/>
      <c r="CC766" s="26"/>
      <c r="CD766" s="26"/>
      <c r="CE766" s="26"/>
    </row>
    <row r="767" spans="4:83">
      <c r="D767" s="26"/>
      <c r="E767" s="26"/>
      <c r="CC767" s="26"/>
      <c r="CD767" s="26"/>
      <c r="CE767" s="26"/>
    </row>
    <row r="768" spans="4:83">
      <c r="D768" s="26"/>
      <c r="E768" s="26"/>
      <c r="CC768" s="26"/>
      <c r="CD768" s="26"/>
      <c r="CE768" s="26"/>
    </row>
    <row r="769" spans="4:83">
      <c r="D769" s="26"/>
      <c r="E769" s="26"/>
      <c r="CC769" s="26"/>
      <c r="CD769" s="26"/>
      <c r="CE769" s="26"/>
    </row>
    <row r="770" spans="4:83">
      <c r="D770" s="26"/>
      <c r="E770" s="26"/>
      <c r="CC770" s="26"/>
      <c r="CD770" s="26"/>
      <c r="CE770" s="26"/>
    </row>
    <row r="771" spans="4:83">
      <c r="D771" s="26"/>
      <c r="E771" s="26"/>
      <c r="CC771" s="26"/>
      <c r="CD771" s="26"/>
      <c r="CE771" s="26"/>
    </row>
    <row r="772" spans="4:83">
      <c r="D772" s="26"/>
      <c r="E772" s="26"/>
      <c r="CC772" s="26"/>
      <c r="CD772" s="26"/>
      <c r="CE772" s="26"/>
    </row>
    <row r="773" spans="4:83">
      <c r="D773" s="26"/>
      <c r="E773" s="26"/>
      <c r="CC773" s="26"/>
      <c r="CD773" s="26"/>
      <c r="CE773" s="26"/>
    </row>
    <row r="774" spans="4:83">
      <c r="D774" s="26"/>
      <c r="E774" s="26"/>
      <c r="CC774" s="26"/>
      <c r="CD774" s="26"/>
      <c r="CE774" s="26"/>
    </row>
    <row r="775" spans="4:83">
      <c r="D775" s="26"/>
      <c r="E775" s="26"/>
      <c r="CC775" s="26"/>
      <c r="CD775" s="26"/>
      <c r="CE775" s="26"/>
    </row>
    <row r="776" spans="4:83">
      <c r="D776" s="26"/>
      <c r="E776" s="26"/>
      <c r="CC776" s="26"/>
      <c r="CD776" s="26"/>
      <c r="CE776" s="26"/>
    </row>
    <row r="777" spans="4:83">
      <c r="D777" s="26"/>
      <c r="E777" s="26"/>
      <c r="CC777" s="26"/>
      <c r="CD777" s="26"/>
      <c r="CE777" s="26"/>
    </row>
    <row r="778" spans="4:83">
      <c r="D778" s="26"/>
      <c r="E778" s="26"/>
      <c r="CC778" s="26"/>
      <c r="CD778" s="26"/>
      <c r="CE778" s="26"/>
    </row>
    <row r="779" spans="4:83">
      <c r="D779" s="26"/>
      <c r="E779" s="26"/>
      <c r="CC779" s="26"/>
      <c r="CD779" s="26"/>
      <c r="CE779" s="26"/>
    </row>
    <row r="780" spans="4:83">
      <c r="D780" s="26"/>
      <c r="E780" s="26"/>
      <c r="CC780" s="26"/>
      <c r="CD780" s="26"/>
      <c r="CE780" s="26"/>
    </row>
    <row r="781" spans="4:83">
      <c r="D781" s="26"/>
      <c r="E781" s="26"/>
      <c r="CC781" s="26"/>
      <c r="CD781" s="26"/>
      <c r="CE781" s="26"/>
    </row>
    <row r="782" spans="4:83">
      <c r="D782" s="26"/>
      <c r="E782" s="26"/>
      <c r="CC782" s="26"/>
      <c r="CD782" s="26"/>
      <c r="CE782" s="26"/>
    </row>
    <row r="783" spans="4:83">
      <c r="D783" s="26"/>
      <c r="E783" s="26"/>
      <c r="CC783" s="26"/>
      <c r="CD783" s="26"/>
      <c r="CE783" s="26"/>
    </row>
    <row r="784" spans="4:83">
      <c r="D784" s="26"/>
      <c r="E784" s="26"/>
      <c r="CC784" s="26"/>
      <c r="CD784" s="26"/>
      <c r="CE784" s="26"/>
    </row>
    <row r="785" spans="4:83">
      <c r="D785" s="26"/>
      <c r="E785" s="26"/>
      <c r="CC785" s="26"/>
      <c r="CD785" s="26"/>
      <c r="CE785" s="26"/>
    </row>
    <row r="786" spans="4:83">
      <c r="D786" s="26"/>
      <c r="E786" s="26"/>
      <c r="CC786" s="26"/>
      <c r="CD786" s="26"/>
      <c r="CE786" s="26"/>
    </row>
    <row r="787" spans="4:83">
      <c r="D787" s="26"/>
      <c r="E787" s="26"/>
      <c r="CC787" s="26"/>
      <c r="CD787" s="26"/>
      <c r="CE787" s="26"/>
    </row>
    <row r="788" spans="4:83">
      <c r="D788" s="26"/>
      <c r="E788" s="26"/>
      <c r="CC788" s="26"/>
      <c r="CD788" s="26"/>
      <c r="CE788" s="26"/>
    </row>
    <row r="789" spans="4:83">
      <c r="D789" s="26"/>
      <c r="E789" s="26"/>
      <c r="CC789" s="26"/>
      <c r="CD789" s="26"/>
      <c r="CE789" s="26"/>
    </row>
    <row r="790" spans="4:83">
      <c r="D790" s="26"/>
      <c r="E790" s="26"/>
      <c r="CC790" s="26"/>
      <c r="CD790" s="26"/>
      <c r="CE790" s="26"/>
    </row>
    <row r="791" spans="4:5">
      <c r="D791" s="26"/>
      <c r="E791" s="26"/>
    </row>
    <row r="792" spans="4:5">
      <c r="D792" s="26"/>
      <c r="E792" s="26"/>
    </row>
    <row r="793" spans="4:5">
      <c r="D793" s="26"/>
      <c r="E793" s="26"/>
    </row>
    <row r="794" spans="4:5">
      <c r="D794" s="26"/>
      <c r="E794" s="26"/>
    </row>
    <row r="795" spans="4:5">
      <c r="D795" s="26"/>
      <c r="E795" s="26"/>
    </row>
    <row r="796" spans="4:5">
      <c r="D796" s="26"/>
      <c r="E796" s="26"/>
    </row>
    <row r="797" spans="4:5">
      <c r="D797" s="26"/>
      <c r="E797" s="26"/>
    </row>
    <row r="798" spans="4:5">
      <c r="D798" s="26"/>
      <c r="E798" s="26"/>
    </row>
    <row r="799" spans="4:5">
      <c r="D799" s="26"/>
      <c r="E799" s="26"/>
    </row>
    <row r="800" spans="4:5">
      <c r="D800" s="26"/>
      <c r="E800" s="26"/>
    </row>
    <row r="801" spans="4:5">
      <c r="D801" s="26"/>
      <c r="E801" s="26"/>
    </row>
    <row r="802" spans="4:5">
      <c r="D802" s="26"/>
      <c r="E802" s="26"/>
    </row>
    <row r="803" spans="4:5">
      <c r="D803" s="26"/>
      <c r="E803" s="26"/>
    </row>
    <row r="804" spans="4:5">
      <c r="D804" s="26"/>
      <c r="E804" s="26"/>
    </row>
    <row r="805" spans="4:5">
      <c r="D805" s="26"/>
      <c r="E805" s="26"/>
    </row>
    <row r="806" spans="4:5">
      <c r="D806" s="26"/>
      <c r="E806" s="26"/>
    </row>
    <row r="807" spans="4:5">
      <c r="D807" s="26"/>
      <c r="E807" s="26"/>
    </row>
    <row r="808" spans="4:5">
      <c r="D808" s="26"/>
      <c r="E808" s="26"/>
    </row>
    <row r="809" spans="4:5">
      <c r="D809" s="26"/>
      <c r="E809" s="26"/>
    </row>
    <row r="810" spans="4:5">
      <c r="D810" s="26"/>
      <c r="E810" s="26"/>
    </row>
    <row r="811" spans="4:5">
      <c r="D811" s="26"/>
      <c r="E811" s="26"/>
    </row>
    <row r="812" spans="4:5">
      <c r="D812" s="26"/>
      <c r="E812" s="26"/>
    </row>
    <row r="813" spans="4:5">
      <c r="D813" s="26"/>
      <c r="E813" s="26"/>
    </row>
    <row r="814" spans="4:5">
      <c r="D814" s="26"/>
      <c r="E814" s="26"/>
    </row>
    <row r="815" spans="4:5">
      <c r="D815" s="26"/>
      <c r="E815" s="26"/>
    </row>
    <row r="816" spans="4:5">
      <c r="D816" s="26"/>
      <c r="E816" s="26"/>
    </row>
    <row r="817" spans="4:5">
      <c r="D817" s="26"/>
      <c r="E817" s="26"/>
    </row>
    <row r="818" spans="4:5">
      <c r="D818" s="26"/>
      <c r="E818" s="26"/>
    </row>
    <row r="819" spans="4:5">
      <c r="D819" s="26"/>
      <c r="E819" s="26"/>
    </row>
    <row r="820" spans="4:5">
      <c r="D820" s="26"/>
      <c r="E820" s="26"/>
    </row>
    <row r="821" spans="4:5">
      <c r="D821" s="26"/>
      <c r="E821" s="26"/>
    </row>
    <row r="822" spans="4:5">
      <c r="D822" s="26"/>
      <c r="E822" s="26"/>
    </row>
    <row r="823" spans="4:5">
      <c r="D823" s="26"/>
      <c r="E823" s="26"/>
    </row>
    <row r="824" spans="4:5">
      <c r="D824" s="26"/>
      <c r="E824" s="26"/>
    </row>
    <row r="825" spans="4:5">
      <c r="D825" s="26"/>
      <c r="E825" s="26"/>
    </row>
    <row r="826" spans="4:5">
      <c r="D826" s="26"/>
      <c r="E826" s="26"/>
    </row>
    <row r="827" spans="4:5">
      <c r="D827" s="26"/>
      <c r="E827" s="26"/>
    </row>
    <row r="828" spans="4:5">
      <c r="D828" s="26"/>
      <c r="E828" s="26"/>
    </row>
    <row r="829" spans="4:5">
      <c r="D829" s="26"/>
      <c r="E829" s="26"/>
    </row>
    <row r="830" spans="4:5">
      <c r="D830" s="26"/>
      <c r="E830" s="26"/>
    </row>
    <row r="831" spans="4:5">
      <c r="D831" s="26"/>
      <c r="E831" s="26"/>
    </row>
    <row r="832" spans="4:5">
      <c r="D832" s="26"/>
      <c r="E832" s="26"/>
    </row>
    <row r="833" spans="4:5">
      <c r="D833" s="26"/>
      <c r="E833" s="26"/>
    </row>
    <row r="834" spans="4:5">
      <c r="D834" s="26"/>
      <c r="E834" s="26"/>
    </row>
    <row r="835" spans="4:5">
      <c r="D835" s="26"/>
      <c r="E835" s="26"/>
    </row>
    <row r="836" spans="4:5">
      <c r="D836" s="26"/>
      <c r="E836" s="26"/>
    </row>
    <row r="837" spans="4:5">
      <c r="D837" s="26"/>
      <c r="E837" s="26"/>
    </row>
    <row r="838" spans="4:5">
      <c r="D838" s="26"/>
      <c r="E838" s="26"/>
    </row>
    <row r="839" spans="4:5">
      <c r="D839" s="26"/>
      <c r="E839" s="26"/>
    </row>
    <row r="840" spans="4:5">
      <c r="D840" s="26"/>
      <c r="E840" s="26"/>
    </row>
    <row r="841" spans="4:5">
      <c r="D841" s="26"/>
      <c r="E841" s="26"/>
    </row>
    <row r="842" spans="4:5">
      <c r="D842" s="26"/>
      <c r="E842" s="26"/>
    </row>
    <row r="843" spans="4:5">
      <c r="D843" s="26"/>
      <c r="E843" s="26"/>
    </row>
    <row r="844" spans="4:5">
      <c r="D844" s="26"/>
      <c r="E844" s="26"/>
    </row>
    <row r="845" spans="4:5">
      <c r="D845" s="26"/>
      <c r="E845" s="26"/>
    </row>
    <row r="846" spans="4:5">
      <c r="D846" s="26"/>
      <c r="E846" s="26"/>
    </row>
    <row r="847" spans="4:5">
      <c r="D847" s="26"/>
      <c r="E847" s="26"/>
    </row>
    <row r="848" spans="4:5">
      <c r="D848" s="26"/>
      <c r="E848" s="26"/>
    </row>
    <row r="849" spans="4:5">
      <c r="D849" s="26"/>
      <c r="E849" s="26"/>
    </row>
    <row r="850" spans="4:5">
      <c r="D850" s="26"/>
      <c r="E850" s="26"/>
    </row>
    <row r="851" spans="4:5">
      <c r="D851" s="26"/>
      <c r="E851" s="26"/>
    </row>
    <row r="852" spans="4:5">
      <c r="D852" s="26"/>
      <c r="E852" s="26"/>
    </row>
    <row r="853" spans="4:5">
      <c r="D853" s="26"/>
      <c r="E853" s="26"/>
    </row>
    <row r="854" spans="4:5">
      <c r="D854" s="26"/>
      <c r="E854" s="26"/>
    </row>
    <row r="855" spans="4:5">
      <c r="D855" s="26"/>
      <c r="E855" s="26"/>
    </row>
    <row r="856" spans="4:5">
      <c r="D856" s="26"/>
      <c r="E856" s="26"/>
    </row>
    <row r="857" spans="4:5">
      <c r="D857" s="26"/>
      <c r="E857" s="26"/>
    </row>
    <row r="858" spans="4:5">
      <c r="D858" s="26"/>
      <c r="E858" s="26"/>
    </row>
    <row r="859" spans="4:5">
      <c r="D859" s="26"/>
      <c r="E859" s="26"/>
    </row>
    <row r="860" spans="4:5">
      <c r="D860" s="26"/>
      <c r="E860" s="26"/>
    </row>
    <row r="861" spans="4:5">
      <c r="D861" s="26"/>
      <c r="E861" s="26"/>
    </row>
    <row r="862" spans="4:5">
      <c r="D862" s="26"/>
      <c r="E862" s="26"/>
    </row>
    <row r="863" spans="4:5">
      <c r="D863" s="26"/>
      <c r="E863" s="26"/>
    </row>
    <row r="864" spans="4:5">
      <c r="D864" s="26"/>
      <c r="E864" s="26"/>
    </row>
    <row r="865" spans="4:5">
      <c r="D865" s="26"/>
      <c r="E865" s="26"/>
    </row>
    <row r="866" spans="4:5">
      <c r="D866" s="26"/>
      <c r="E866" s="26"/>
    </row>
    <row r="867" spans="4:5">
      <c r="D867" s="26"/>
      <c r="E867" s="26"/>
    </row>
    <row r="868" spans="4:5">
      <c r="D868" s="26"/>
      <c r="E868" s="26"/>
    </row>
    <row r="869" spans="4:5">
      <c r="D869" s="26"/>
      <c r="E869" s="26"/>
    </row>
    <row r="870" spans="4:5">
      <c r="D870" s="26"/>
      <c r="E870" s="26"/>
    </row>
    <row r="871" spans="4:5">
      <c r="D871" s="26"/>
      <c r="E871" s="26"/>
    </row>
    <row r="872" spans="4:5">
      <c r="D872" s="26"/>
      <c r="E872" s="26"/>
    </row>
    <row r="873" spans="4:5">
      <c r="D873" s="26"/>
      <c r="E873" s="26"/>
    </row>
    <row r="874" spans="4:5">
      <c r="D874" s="26"/>
      <c r="E874" s="26"/>
    </row>
    <row r="875" spans="4:5">
      <c r="D875" s="26"/>
      <c r="E875" s="26"/>
    </row>
    <row r="876" spans="4:5">
      <c r="D876" s="26"/>
      <c r="E876" s="26"/>
    </row>
    <row r="877" spans="4:5">
      <c r="D877" s="26"/>
      <c r="E877" s="26"/>
    </row>
    <row r="878" spans="4:5">
      <c r="D878" s="26"/>
      <c r="E878" s="26"/>
    </row>
    <row r="879" spans="4:5">
      <c r="D879" s="26"/>
      <c r="E879" s="26"/>
    </row>
    <row r="880" spans="4:5">
      <c r="D880" s="26"/>
      <c r="E880" s="26"/>
    </row>
    <row r="881" spans="4:5">
      <c r="D881" s="26"/>
      <c r="E881" s="26"/>
    </row>
    <row r="882" spans="4:5">
      <c r="D882" s="26"/>
      <c r="E882" s="26"/>
    </row>
    <row r="883" spans="4:5">
      <c r="D883" s="26"/>
      <c r="E883" s="26"/>
    </row>
    <row r="884" spans="4:5">
      <c r="D884" s="26"/>
      <c r="E884" s="26"/>
    </row>
    <row r="885" spans="4:5">
      <c r="D885" s="26"/>
      <c r="E885" s="26"/>
    </row>
    <row r="886" spans="4:5">
      <c r="D886" s="26"/>
      <c r="E886" s="26"/>
    </row>
    <row r="887" spans="4:5">
      <c r="D887" s="26"/>
      <c r="E887" s="26"/>
    </row>
    <row r="888" spans="4:5">
      <c r="D888" s="26"/>
      <c r="E888" s="26"/>
    </row>
    <row r="889" spans="4:5">
      <c r="D889" s="26"/>
      <c r="E889" s="26"/>
    </row>
    <row r="890" spans="4:5">
      <c r="D890" s="26"/>
      <c r="E890" s="26"/>
    </row>
    <row r="891" spans="4:5">
      <c r="D891" s="26"/>
      <c r="E891" s="26"/>
    </row>
    <row r="892" spans="4:5">
      <c r="D892" s="26"/>
      <c r="E892" s="26"/>
    </row>
    <row r="893" spans="4:5">
      <c r="D893" s="26"/>
      <c r="E893" s="26"/>
    </row>
    <row r="894" spans="4:5">
      <c r="D894" s="26"/>
      <c r="E894" s="26"/>
    </row>
    <row r="895" spans="4:5">
      <c r="D895" s="26"/>
      <c r="E895" s="26"/>
    </row>
    <row r="896" spans="4:5">
      <c r="D896" s="26"/>
      <c r="E896" s="26"/>
    </row>
    <row r="897" spans="4:5">
      <c r="D897" s="26"/>
      <c r="E897" s="26"/>
    </row>
    <row r="898" spans="4:5">
      <c r="D898" s="26"/>
      <c r="E898" s="26"/>
    </row>
    <row r="899" spans="4:5">
      <c r="D899" s="26"/>
      <c r="E899" s="26"/>
    </row>
    <row r="900" spans="4:5">
      <c r="D900" s="26"/>
      <c r="E900" s="26"/>
    </row>
    <row r="901" spans="4:5">
      <c r="D901" s="26"/>
      <c r="E901" s="26"/>
    </row>
    <row r="902" spans="4:5">
      <c r="D902" s="26"/>
      <c r="E902" s="26"/>
    </row>
    <row r="903" spans="4:5">
      <c r="D903" s="26"/>
      <c r="E903" s="26"/>
    </row>
    <row r="904" spans="4:5">
      <c r="D904" s="26"/>
      <c r="E904" s="26"/>
    </row>
    <row r="905" spans="4:5">
      <c r="D905" s="26"/>
      <c r="E905" s="26"/>
    </row>
    <row r="906" spans="4:5">
      <c r="D906" s="26"/>
      <c r="E906" s="26"/>
    </row>
    <row r="907" spans="4:5">
      <c r="D907" s="26"/>
      <c r="E907" s="26"/>
    </row>
    <row r="908" spans="4:5">
      <c r="D908" s="26"/>
      <c r="E908" s="26"/>
    </row>
    <row r="909" spans="4:5">
      <c r="D909" s="26"/>
      <c r="E909" s="26"/>
    </row>
    <row r="910" spans="4:5">
      <c r="D910" s="26"/>
      <c r="E910" s="26"/>
    </row>
    <row r="911" spans="4:5">
      <c r="D911" s="26"/>
      <c r="E911" s="26"/>
    </row>
    <row r="912" spans="4:5">
      <c r="D912" s="26"/>
      <c r="E912" s="26"/>
    </row>
    <row r="913" spans="4:5">
      <c r="D913" s="26"/>
      <c r="E913" s="26"/>
    </row>
    <row r="914" spans="4:5">
      <c r="D914" s="26"/>
      <c r="E914" s="26"/>
    </row>
    <row r="915" spans="4:5">
      <c r="D915" s="26"/>
      <c r="E915" s="26"/>
    </row>
    <row r="916" spans="4:5">
      <c r="D916" s="26"/>
      <c r="E916" s="26"/>
    </row>
    <row r="917" spans="4:5">
      <c r="D917" s="26"/>
      <c r="E917" s="26"/>
    </row>
    <row r="918" spans="4:5">
      <c r="D918" s="26"/>
      <c r="E918" s="26"/>
    </row>
    <row r="919" spans="4:5">
      <c r="D919" s="26"/>
      <c r="E919" s="26"/>
    </row>
    <row r="920" spans="4:5">
      <c r="D920" s="26"/>
      <c r="E920" s="26"/>
    </row>
    <row r="921" spans="4:5">
      <c r="D921" s="26"/>
      <c r="E921" s="26"/>
    </row>
    <row r="922" spans="4:5">
      <c r="D922" s="26"/>
      <c r="E922" s="26"/>
    </row>
    <row r="923" spans="4:5">
      <c r="D923" s="26"/>
      <c r="E923" s="26"/>
    </row>
    <row r="924" spans="4:5">
      <c r="D924" s="26"/>
      <c r="E924" s="26"/>
    </row>
    <row r="925" spans="4:5">
      <c r="D925" s="26"/>
      <c r="E925" s="26"/>
    </row>
    <row r="926" spans="4:5">
      <c r="D926" s="26"/>
      <c r="E926" s="26"/>
    </row>
    <row r="927" spans="4:5">
      <c r="D927" s="26"/>
      <c r="E927" s="26"/>
    </row>
    <row r="928" spans="4:5">
      <c r="D928" s="26"/>
      <c r="E928" s="26"/>
    </row>
    <row r="929" spans="4:5">
      <c r="D929" s="26"/>
      <c r="E929" s="26"/>
    </row>
    <row r="930" spans="4:5">
      <c r="D930" s="26"/>
      <c r="E930" s="26"/>
    </row>
    <row r="931" spans="4:5">
      <c r="D931" s="26"/>
      <c r="E931" s="26"/>
    </row>
    <row r="932" spans="4:5">
      <c r="D932" s="26"/>
      <c r="E932" s="26"/>
    </row>
    <row r="933" spans="4:5">
      <c r="D933" s="26"/>
      <c r="E933" s="26"/>
    </row>
    <row r="934" spans="4:5">
      <c r="D934" s="26"/>
      <c r="E934" s="26"/>
    </row>
    <row r="935" spans="4:5">
      <c r="D935" s="26"/>
      <c r="E935" s="26"/>
    </row>
    <row r="936" spans="4:5">
      <c r="D936" s="26"/>
      <c r="E936" s="26"/>
    </row>
    <row r="937" spans="4:5">
      <c r="D937" s="26"/>
      <c r="E937" s="26"/>
    </row>
    <row r="938" spans="4:5">
      <c r="D938" s="26"/>
      <c r="E938" s="26"/>
    </row>
    <row r="939" spans="4:5">
      <c r="D939" s="26"/>
      <c r="E939" s="26"/>
    </row>
    <row r="940" spans="4:5">
      <c r="D940" s="26"/>
      <c r="E940" s="26"/>
    </row>
    <row r="941" spans="4:5">
      <c r="D941" s="26"/>
      <c r="E941" s="26"/>
    </row>
    <row r="942" spans="4:5">
      <c r="D942" s="26"/>
      <c r="E942" s="26"/>
    </row>
    <row r="943" spans="4:5">
      <c r="D943" s="26"/>
      <c r="E943" s="26"/>
    </row>
    <row r="944" spans="4:5">
      <c r="D944" s="26"/>
      <c r="E944" s="26"/>
    </row>
    <row r="945" spans="4:5">
      <c r="D945" s="26"/>
      <c r="E945" s="26"/>
    </row>
    <row r="946" spans="4:5">
      <c r="D946" s="26"/>
      <c r="E946" s="26"/>
    </row>
    <row r="947" spans="4:5">
      <c r="D947" s="26"/>
      <c r="E947" s="26"/>
    </row>
    <row r="948" spans="4:5">
      <c r="D948" s="26"/>
      <c r="E948" s="26"/>
    </row>
    <row r="949" spans="4:5">
      <c r="D949" s="26"/>
      <c r="E949" s="26"/>
    </row>
    <row r="950" spans="4:5">
      <c r="D950" s="26"/>
      <c r="E950" s="26"/>
    </row>
    <row r="951" spans="4:5">
      <c r="D951" s="26"/>
      <c r="E951" s="26"/>
    </row>
    <row r="952" spans="4:5">
      <c r="D952" s="26"/>
      <c r="E952" s="26"/>
    </row>
    <row r="953" spans="4:5">
      <c r="D953" s="26"/>
      <c r="E953" s="26"/>
    </row>
    <row r="954" spans="4:5">
      <c r="D954" s="26"/>
      <c r="E954" s="26"/>
    </row>
    <row r="955" spans="4:5">
      <c r="D955" s="26"/>
      <c r="E955" s="26"/>
    </row>
    <row r="956" spans="4:5">
      <c r="D956" s="26"/>
      <c r="E956" s="26"/>
    </row>
    <row r="957" spans="4:5">
      <c r="D957" s="26"/>
      <c r="E957" s="26"/>
    </row>
    <row r="958" spans="4:5">
      <c r="D958" s="26"/>
      <c r="E958" s="26"/>
    </row>
    <row r="959" spans="4:5">
      <c r="D959" s="26"/>
      <c r="E959" s="26"/>
    </row>
    <row r="960" spans="4:5">
      <c r="D960" s="26"/>
      <c r="E960" s="26"/>
    </row>
    <row r="961" spans="4:5">
      <c r="D961" s="26"/>
      <c r="E961" s="26"/>
    </row>
    <row r="962" spans="4:5">
      <c r="D962" s="26"/>
      <c r="E962" s="26"/>
    </row>
    <row r="963" spans="4:5">
      <c r="D963" s="26"/>
      <c r="E963" s="26"/>
    </row>
    <row r="964" spans="4:5">
      <c r="D964" s="26"/>
      <c r="E964" s="26"/>
    </row>
    <row r="965" spans="4:5">
      <c r="D965" s="26"/>
      <c r="E965" s="26"/>
    </row>
    <row r="966" spans="4:5">
      <c r="D966" s="26"/>
      <c r="E966" s="26"/>
    </row>
    <row r="967" spans="4:5">
      <c r="D967" s="26"/>
      <c r="E967" s="26"/>
    </row>
    <row r="968" spans="4:5">
      <c r="D968" s="26"/>
      <c r="E968" s="26"/>
    </row>
    <row r="969" spans="4:5">
      <c r="D969" s="26"/>
      <c r="E969" s="26"/>
    </row>
    <row r="970" spans="4:5">
      <c r="D970" s="26"/>
      <c r="E970" s="26"/>
    </row>
    <row r="971" spans="4:5">
      <c r="D971" s="26"/>
      <c r="E971" s="26"/>
    </row>
    <row r="972" spans="4:5">
      <c r="D972" s="26"/>
      <c r="E972" s="26"/>
    </row>
    <row r="973" spans="4:5">
      <c r="D973" s="26"/>
      <c r="E973" s="26"/>
    </row>
    <row r="974" spans="4:5">
      <c r="D974" s="26"/>
      <c r="E974" s="26"/>
    </row>
    <row r="975" spans="4:5">
      <c r="D975" s="26"/>
      <c r="E975" s="26"/>
    </row>
    <row r="976" spans="4:5">
      <c r="D976" s="26"/>
      <c r="E976" s="26"/>
    </row>
    <row r="977" spans="4:5">
      <c r="D977" s="26"/>
      <c r="E977" s="26"/>
    </row>
    <row r="978" spans="4:5">
      <c r="D978" s="26"/>
      <c r="E978" s="26"/>
    </row>
    <row r="979" spans="4:5">
      <c r="D979" s="26"/>
      <c r="E979" s="26"/>
    </row>
    <row r="980" spans="4:5">
      <c r="D980" s="26"/>
      <c r="E980" s="26"/>
    </row>
    <row r="981" spans="4:5">
      <c r="D981" s="26"/>
      <c r="E981" s="26"/>
    </row>
    <row r="982" spans="4:5">
      <c r="D982" s="26"/>
      <c r="E982" s="26"/>
    </row>
    <row r="983" spans="4:5">
      <c r="D983" s="26"/>
      <c r="E983" s="26"/>
    </row>
    <row r="984" spans="4:5">
      <c r="D984" s="26"/>
      <c r="E984" s="26"/>
    </row>
    <row r="985" spans="4:5">
      <c r="D985" s="26"/>
      <c r="E985" s="26"/>
    </row>
    <row r="986" spans="4:5">
      <c r="D986" s="26"/>
      <c r="E986" s="26"/>
    </row>
    <row r="987" spans="4:5">
      <c r="D987" s="26"/>
      <c r="E987" s="26"/>
    </row>
    <row r="988" spans="4:5">
      <c r="D988" s="26"/>
      <c r="E988" s="26"/>
    </row>
    <row r="989" spans="4:5">
      <c r="D989" s="26"/>
      <c r="E989" s="26"/>
    </row>
    <row r="990" spans="4:5">
      <c r="D990" s="26"/>
      <c r="E990" s="26"/>
    </row>
    <row r="991" spans="4:5">
      <c r="D991" s="26"/>
      <c r="E991" s="26"/>
    </row>
    <row r="992" spans="4:5">
      <c r="D992" s="26"/>
      <c r="E992" s="26"/>
    </row>
    <row r="993" spans="4:5">
      <c r="D993" s="26"/>
      <c r="E993" s="26"/>
    </row>
    <row r="994" spans="4:5">
      <c r="D994" s="26"/>
      <c r="E994" s="26"/>
    </row>
    <row r="995" spans="4:5">
      <c r="D995" s="26"/>
      <c r="E995" s="26"/>
    </row>
    <row r="996" spans="4:5">
      <c r="D996" s="26"/>
      <c r="E996" s="26"/>
    </row>
    <row r="997" spans="4:5">
      <c r="D997" s="26"/>
      <c r="E997" s="26"/>
    </row>
    <row r="998" spans="4:5">
      <c r="D998" s="26"/>
      <c r="E998" s="26"/>
    </row>
    <row r="999" spans="4:5">
      <c r="D999" s="26"/>
      <c r="E999" s="26"/>
    </row>
    <row r="1000" spans="4:5">
      <c r="D1000" s="26"/>
      <c r="E1000" s="26"/>
    </row>
    <row r="1001" spans="4:5">
      <c r="D1001" s="26"/>
      <c r="E1001" s="26"/>
    </row>
    <row r="1002" spans="4:5">
      <c r="D1002" s="26"/>
      <c r="E1002" s="26"/>
    </row>
    <row r="1003" spans="4:5">
      <c r="D1003" s="26"/>
      <c r="E1003" s="26"/>
    </row>
    <row r="1004" spans="4:5">
      <c r="D1004" s="26"/>
      <c r="E1004" s="26"/>
    </row>
    <row r="1005" spans="4:5">
      <c r="D1005" s="26"/>
      <c r="E1005" s="26"/>
    </row>
    <row r="1006" spans="4:5">
      <c r="D1006" s="26"/>
      <c r="E1006" s="26"/>
    </row>
    <row r="1007" spans="4:5">
      <c r="D1007" s="26"/>
      <c r="E1007" s="26"/>
    </row>
    <row r="1008" spans="4:5">
      <c r="D1008" s="26"/>
      <c r="E1008" s="26"/>
    </row>
    <row r="1009" spans="4:5">
      <c r="D1009" s="26"/>
      <c r="E1009" s="26"/>
    </row>
    <row r="1010" spans="4:5">
      <c r="D1010" s="26"/>
      <c r="E1010" s="26"/>
    </row>
    <row r="1011" spans="4:5">
      <c r="D1011" s="26"/>
      <c r="E1011" s="26"/>
    </row>
    <row r="1012" spans="4:5">
      <c r="D1012" s="26"/>
      <c r="E1012" s="26"/>
    </row>
    <row r="1013" spans="4:5">
      <c r="D1013" s="26"/>
      <c r="E1013" s="26"/>
    </row>
    <row r="1014" spans="4:5">
      <c r="D1014" s="26"/>
      <c r="E1014" s="26"/>
    </row>
    <row r="1015" spans="4:5">
      <c r="D1015" s="26"/>
      <c r="E1015" s="26"/>
    </row>
    <row r="1016" spans="4:5">
      <c r="D1016" s="26"/>
      <c r="E1016" s="26"/>
    </row>
    <row r="1017" spans="4:5">
      <c r="D1017" s="26"/>
      <c r="E1017" s="26"/>
    </row>
    <row r="1018" spans="4:5">
      <c r="D1018" s="26"/>
      <c r="E1018" s="26"/>
    </row>
    <row r="1019" spans="4:5">
      <c r="D1019" s="26"/>
      <c r="E1019" s="26"/>
    </row>
    <row r="1020" spans="4:5">
      <c r="D1020" s="26"/>
      <c r="E1020" s="26"/>
    </row>
    <row r="1021" spans="4:5">
      <c r="D1021" s="26"/>
      <c r="E1021" s="26"/>
    </row>
    <row r="1022" spans="4:5">
      <c r="D1022" s="26"/>
      <c r="E1022" s="26"/>
    </row>
    <row r="1023" spans="4:5">
      <c r="D1023" s="26"/>
      <c r="E1023" s="26"/>
    </row>
    <row r="1024" spans="4:5">
      <c r="D1024" s="26"/>
      <c r="E1024" s="26"/>
    </row>
    <row r="1025" spans="4:5">
      <c r="D1025" s="26"/>
      <c r="E1025" s="26"/>
    </row>
    <row r="1026" spans="4:5">
      <c r="D1026" s="26"/>
      <c r="E1026" s="26"/>
    </row>
    <row r="1027" spans="4:5">
      <c r="D1027" s="26"/>
      <c r="E1027" s="26"/>
    </row>
    <row r="1028" spans="4:5">
      <c r="D1028" s="26"/>
      <c r="E1028" s="26"/>
    </row>
    <row r="1029" spans="4:5">
      <c r="D1029" s="26"/>
      <c r="E1029" s="26"/>
    </row>
    <row r="1030" spans="4:5">
      <c r="D1030" s="26"/>
      <c r="E1030" s="26"/>
    </row>
    <row r="1031" spans="4:5">
      <c r="D1031" s="26"/>
      <c r="E1031" s="26"/>
    </row>
    <row r="1032" spans="4:5">
      <c r="D1032" s="26"/>
      <c r="E1032" s="26"/>
    </row>
    <row r="1033" spans="4:5">
      <c r="D1033" s="26"/>
      <c r="E1033" s="26"/>
    </row>
    <row r="1034" spans="4:5">
      <c r="D1034" s="26"/>
      <c r="E1034" s="26"/>
    </row>
    <row r="1035" spans="4:5">
      <c r="D1035" s="26"/>
      <c r="E1035" s="26"/>
    </row>
    <row r="1036" spans="4:5">
      <c r="D1036" s="26"/>
      <c r="E1036" s="26"/>
    </row>
    <row r="1037" spans="4:5">
      <c r="D1037" s="26"/>
      <c r="E1037" s="26"/>
    </row>
    <row r="1038" spans="4:5">
      <c r="D1038" s="26"/>
      <c r="E1038" s="26"/>
    </row>
    <row r="1039" spans="4:5">
      <c r="D1039" s="26"/>
      <c r="E1039" s="26"/>
    </row>
    <row r="1040" spans="4:5">
      <c r="D1040" s="26"/>
      <c r="E1040" s="26"/>
    </row>
    <row r="1041" spans="4:5">
      <c r="D1041" s="26"/>
      <c r="E1041" s="26"/>
    </row>
    <row r="1042" spans="4:5">
      <c r="D1042" s="26"/>
      <c r="E1042" s="26"/>
    </row>
    <row r="1043" spans="4:5">
      <c r="D1043" s="26"/>
      <c r="E1043" s="26"/>
    </row>
    <row r="1044" spans="4:5">
      <c r="D1044" s="26"/>
      <c r="E1044" s="26"/>
    </row>
    <row r="1045" spans="4:5">
      <c r="D1045" s="26"/>
      <c r="E1045" s="26"/>
    </row>
    <row r="1046" spans="4:5">
      <c r="D1046" s="26"/>
      <c r="E1046" s="26"/>
    </row>
    <row r="1047" spans="4:5">
      <c r="D1047" s="26"/>
      <c r="E1047" s="26"/>
    </row>
    <row r="1048" spans="4:5">
      <c r="D1048" s="26"/>
      <c r="E1048" s="26"/>
    </row>
    <row r="1049" spans="4:5">
      <c r="D1049" s="26"/>
      <c r="E1049" s="26"/>
    </row>
    <row r="1050" spans="4:5">
      <c r="D1050" s="26"/>
      <c r="E1050" s="26"/>
    </row>
    <row r="1051" spans="4:5">
      <c r="D1051" s="26"/>
      <c r="E1051" s="26"/>
    </row>
    <row r="1052" spans="4:5">
      <c r="D1052" s="26"/>
      <c r="E1052" s="26"/>
    </row>
    <row r="1053" spans="4:5">
      <c r="D1053" s="26"/>
      <c r="E1053" s="26"/>
    </row>
    <row r="1054" spans="4:5">
      <c r="D1054" s="26"/>
      <c r="E1054" s="26"/>
    </row>
    <row r="1055" spans="4:5">
      <c r="D1055" s="26"/>
      <c r="E1055" s="26"/>
    </row>
    <row r="1056" spans="4:5">
      <c r="D1056" s="26"/>
      <c r="E1056" s="26"/>
    </row>
    <row r="1057" spans="4:5">
      <c r="D1057" s="26"/>
      <c r="E1057" s="26"/>
    </row>
    <row r="1058" spans="4:5">
      <c r="D1058" s="26"/>
      <c r="E1058" s="26"/>
    </row>
    <row r="1059" spans="4:5">
      <c r="D1059" s="26"/>
      <c r="E1059" s="26"/>
    </row>
    <row r="1060" spans="4:5">
      <c r="D1060" s="26"/>
      <c r="E1060" s="26"/>
    </row>
    <row r="1061" spans="4:5">
      <c r="D1061" s="26"/>
      <c r="E1061" s="26"/>
    </row>
    <row r="1062" spans="4:5">
      <c r="D1062" s="26"/>
      <c r="E1062" s="26"/>
    </row>
    <row r="1063" spans="4:5">
      <c r="D1063" s="26"/>
      <c r="E1063" s="26"/>
    </row>
    <row r="1064" spans="4:5">
      <c r="D1064" s="26"/>
      <c r="E1064" s="26"/>
    </row>
    <row r="1065" spans="4:5">
      <c r="D1065" s="26"/>
      <c r="E1065" s="26"/>
    </row>
    <row r="1066" spans="4:5">
      <c r="D1066" s="26"/>
      <c r="E1066" s="26"/>
    </row>
    <row r="1067" spans="4:5">
      <c r="D1067" s="26"/>
      <c r="E1067" s="26"/>
    </row>
    <row r="1068" spans="4:5">
      <c r="D1068" s="26"/>
      <c r="E1068" s="26"/>
    </row>
    <row r="1069" spans="4:5">
      <c r="D1069" s="26"/>
      <c r="E1069" s="26"/>
    </row>
    <row r="1070" spans="4:5">
      <c r="D1070" s="26"/>
      <c r="E1070" s="26"/>
    </row>
    <row r="1071" spans="4:5">
      <c r="D1071" s="26"/>
      <c r="E1071" s="26"/>
    </row>
    <row r="1072" spans="4:5">
      <c r="D1072" s="26"/>
      <c r="E1072" s="26"/>
    </row>
    <row r="1073" spans="4:5">
      <c r="D1073" s="26"/>
      <c r="E1073" s="26"/>
    </row>
    <row r="1074" spans="4:5">
      <c r="D1074" s="26"/>
      <c r="E1074" s="26"/>
    </row>
    <row r="1075" spans="4:5">
      <c r="D1075" s="26"/>
      <c r="E1075" s="26"/>
    </row>
    <row r="1076" spans="4:5">
      <c r="D1076" s="26"/>
      <c r="E1076" s="26"/>
    </row>
    <row r="1077" spans="4:5">
      <c r="D1077" s="26"/>
      <c r="E1077" s="26"/>
    </row>
    <row r="1078" spans="4:5">
      <c r="D1078" s="26"/>
      <c r="E1078" s="26"/>
    </row>
    <row r="1079" spans="4:5">
      <c r="D1079" s="26"/>
      <c r="E1079" s="26"/>
    </row>
    <row r="1080" spans="4:5">
      <c r="D1080" s="26"/>
      <c r="E1080" s="26"/>
    </row>
    <row r="1081" spans="4:5">
      <c r="D1081" s="26"/>
      <c r="E1081" s="26"/>
    </row>
    <row r="1082" spans="4:5">
      <c r="D1082" s="26"/>
      <c r="E1082" s="26"/>
    </row>
    <row r="1083" spans="4:5">
      <c r="D1083" s="26"/>
      <c r="E1083" s="26"/>
    </row>
    <row r="1084" spans="4:5">
      <c r="D1084" s="26"/>
      <c r="E1084" s="26"/>
    </row>
    <row r="1085" spans="4:5">
      <c r="D1085" s="26"/>
      <c r="E1085" s="26"/>
    </row>
    <row r="1086" spans="4:5">
      <c r="D1086" s="26"/>
      <c r="E1086" s="26"/>
    </row>
    <row r="1087" spans="4:5">
      <c r="D1087" s="26"/>
      <c r="E1087" s="26"/>
    </row>
    <row r="1088" spans="4:5">
      <c r="D1088" s="26"/>
      <c r="E1088" s="26"/>
    </row>
    <row r="1089" spans="4:5">
      <c r="D1089" s="26"/>
      <c r="E1089" s="26"/>
    </row>
    <row r="1090" spans="4:5">
      <c r="D1090" s="26"/>
      <c r="E1090" s="26"/>
    </row>
    <row r="1091" spans="4:5">
      <c r="D1091" s="26"/>
      <c r="E1091" s="26"/>
    </row>
    <row r="1092" spans="4:5">
      <c r="D1092" s="26"/>
      <c r="E1092" s="26"/>
    </row>
    <row r="1093" spans="4:5">
      <c r="D1093" s="26"/>
      <c r="E1093" s="26"/>
    </row>
    <row r="1094" spans="4:5">
      <c r="D1094" s="26"/>
      <c r="E1094" s="26"/>
    </row>
    <row r="1095" spans="4:5">
      <c r="D1095" s="26"/>
      <c r="E1095" s="26"/>
    </row>
    <row r="1096" spans="4:5">
      <c r="D1096" s="26"/>
      <c r="E1096" s="26"/>
    </row>
    <row r="1097" spans="4:5">
      <c r="D1097" s="26"/>
      <c r="E1097" s="26"/>
    </row>
    <row r="1098" spans="4:5">
      <c r="D1098" s="26"/>
      <c r="E1098" s="26"/>
    </row>
    <row r="1099" spans="4:5">
      <c r="D1099" s="26"/>
      <c r="E1099" s="26"/>
    </row>
    <row r="1100" spans="4:5">
      <c r="D1100" s="26"/>
      <c r="E1100" s="26"/>
    </row>
    <row r="1101" spans="4:5">
      <c r="D1101" s="26"/>
      <c r="E1101" s="26"/>
    </row>
    <row r="1102" spans="4:5">
      <c r="D1102" s="26"/>
      <c r="E1102" s="26"/>
    </row>
    <row r="1103" spans="4:5">
      <c r="D1103" s="26"/>
      <c r="E1103" s="26"/>
    </row>
    <row r="1104" spans="4:5">
      <c r="D1104" s="26"/>
      <c r="E1104" s="26"/>
    </row>
    <row r="1105" spans="4:5">
      <c r="D1105" s="26"/>
      <c r="E1105" s="26"/>
    </row>
    <row r="1106" spans="4:5">
      <c r="D1106" s="26"/>
      <c r="E1106" s="26"/>
    </row>
    <row r="1107" spans="4:5">
      <c r="D1107" s="26"/>
      <c r="E1107" s="26"/>
    </row>
    <row r="1108" spans="4:5">
      <c r="D1108" s="26"/>
      <c r="E1108" s="26"/>
    </row>
    <row r="1109" spans="4:5">
      <c r="D1109" s="26"/>
      <c r="E1109" s="26"/>
    </row>
    <row r="1110" spans="4:5">
      <c r="D1110" s="26"/>
      <c r="E1110" s="26"/>
    </row>
    <row r="1111" spans="4:5">
      <c r="D1111" s="26"/>
      <c r="E1111" s="26"/>
    </row>
    <row r="1112" spans="4:5">
      <c r="D1112" s="26"/>
      <c r="E1112" s="26"/>
    </row>
    <row r="1113" spans="4:5">
      <c r="D1113" s="26"/>
      <c r="E1113" s="26"/>
    </row>
    <row r="1114" spans="4:5">
      <c r="D1114" s="26"/>
      <c r="E1114" s="26"/>
    </row>
    <row r="1115" spans="4:5">
      <c r="D1115" s="26"/>
      <c r="E1115" s="26"/>
    </row>
    <row r="1116" spans="4:5">
      <c r="D1116" s="26"/>
      <c r="E1116" s="26"/>
    </row>
    <row r="1117" spans="4:5">
      <c r="D1117" s="26"/>
      <c r="E1117" s="26"/>
    </row>
    <row r="1118" spans="4:5">
      <c r="D1118" s="26"/>
      <c r="E1118" s="26"/>
    </row>
    <row r="1119" spans="4:5">
      <c r="D1119" s="26"/>
      <c r="E1119" s="26"/>
    </row>
    <row r="1120" spans="4:5">
      <c r="D1120" s="26"/>
      <c r="E1120" s="26"/>
    </row>
    <row r="1121" spans="4:5">
      <c r="D1121" s="26"/>
      <c r="E1121" s="26"/>
    </row>
    <row r="1122" spans="4:5">
      <c r="D1122" s="26"/>
      <c r="E1122" s="26"/>
    </row>
    <row r="1123" spans="4:5">
      <c r="D1123" s="26"/>
      <c r="E1123" s="26"/>
    </row>
    <row r="1124" spans="4:5">
      <c r="D1124" s="26"/>
      <c r="E1124" s="26"/>
    </row>
    <row r="1125" spans="4:5">
      <c r="D1125" s="26"/>
      <c r="E1125" s="26"/>
    </row>
    <row r="1126" spans="4:5">
      <c r="D1126" s="26"/>
      <c r="E1126" s="26"/>
    </row>
    <row r="1127" spans="4:5">
      <c r="D1127" s="26"/>
      <c r="E1127" s="26"/>
    </row>
    <row r="1128" spans="4:5">
      <c r="D1128" s="26"/>
      <c r="E1128" s="26"/>
    </row>
    <row r="1129" spans="4:5">
      <c r="D1129" s="26"/>
      <c r="E1129" s="26"/>
    </row>
    <row r="1130" spans="4:5">
      <c r="D1130" s="26"/>
      <c r="E1130" s="26"/>
    </row>
    <row r="1131" spans="4:5">
      <c r="D1131" s="26"/>
      <c r="E1131" s="26"/>
    </row>
    <row r="1132" spans="4:5">
      <c r="D1132" s="26"/>
      <c r="E1132" s="26"/>
    </row>
    <row r="1133" spans="4:5">
      <c r="D1133" s="26"/>
      <c r="E1133" s="26"/>
    </row>
    <row r="1134" spans="4:5">
      <c r="D1134" s="26"/>
      <c r="E1134" s="26"/>
    </row>
    <row r="1135" spans="4:5">
      <c r="D1135" s="26"/>
      <c r="E1135" s="26"/>
    </row>
    <row r="1136" spans="4:5">
      <c r="D1136" s="26"/>
      <c r="E1136" s="26"/>
    </row>
    <row r="1137" spans="4:5">
      <c r="D1137" s="26"/>
      <c r="E1137" s="26"/>
    </row>
    <row r="1138" spans="4:5">
      <c r="D1138" s="26"/>
      <c r="E1138" s="26"/>
    </row>
    <row r="1139" spans="4:5">
      <c r="D1139" s="26"/>
      <c r="E1139" s="26"/>
    </row>
    <row r="1140" spans="4:5">
      <c r="D1140" s="26"/>
      <c r="E1140" s="26"/>
    </row>
    <row r="1141" spans="4:5">
      <c r="D1141" s="26"/>
      <c r="E1141" s="26"/>
    </row>
    <row r="1142" spans="4:5">
      <c r="D1142" s="26"/>
      <c r="E1142" s="26"/>
    </row>
    <row r="1143" spans="4:5">
      <c r="D1143" s="26"/>
      <c r="E1143" s="26"/>
    </row>
    <row r="1144" spans="4:5">
      <c r="D1144" s="26"/>
      <c r="E1144" s="26"/>
    </row>
    <row r="1145" spans="4:5">
      <c r="D1145" s="26"/>
      <c r="E1145" s="26"/>
    </row>
    <row r="1146" spans="4:5">
      <c r="D1146" s="26"/>
      <c r="E1146" s="26"/>
    </row>
    <row r="1147" spans="4:5">
      <c r="D1147" s="26"/>
      <c r="E1147" s="26"/>
    </row>
    <row r="1148" spans="4:5">
      <c r="D1148" s="26"/>
      <c r="E1148" s="26"/>
    </row>
    <row r="1149" spans="4:5">
      <c r="D1149" s="26"/>
      <c r="E1149" s="26"/>
    </row>
    <row r="1150" spans="4:5">
      <c r="D1150" s="26"/>
      <c r="E1150" s="26"/>
    </row>
    <row r="1151" spans="4:5">
      <c r="D1151" s="26"/>
      <c r="E1151" s="26"/>
    </row>
    <row r="1152" spans="4:5">
      <c r="D1152" s="26"/>
      <c r="E1152" s="26"/>
    </row>
    <row r="1153" spans="4:5">
      <c r="D1153" s="26"/>
      <c r="E1153" s="26"/>
    </row>
    <row r="1154" spans="4:5">
      <c r="D1154" s="26"/>
      <c r="E1154" s="26"/>
    </row>
    <row r="1155" spans="4:5">
      <c r="D1155" s="26"/>
      <c r="E1155" s="26"/>
    </row>
    <row r="1156" spans="4:5">
      <c r="D1156" s="26"/>
      <c r="E1156" s="26"/>
    </row>
    <row r="1157" spans="4:5">
      <c r="D1157" s="26"/>
      <c r="E1157" s="26"/>
    </row>
    <row r="1158" spans="4:5">
      <c r="D1158" s="26"/>
      <c r="E1158" s="26"/>
    </row>
    <row r="1159" spans="4:5">
      <c r="D1159" s="26"/>
      <c r="E1159" s="26"/>
    </row>
    <row r="1160" spans="4:5">
      <c r="D1160" s="26"/>
      <c r="E1160" s="26"/>
    </row>
    <row r="1161" spans="4:5">
      <c r="D1161" s="26"/>
      <c r="E1161" s="26"/>
    </row>
    <row r="1162" spans="4:5">
      <c r="D1162" s="26"/>
      <c r="E1162" s="26"/>
    </row>
    <row r="1163" spans="4:5">
      <c r="D1163" s="26"/>
      <c r="E1163" s="26"/>
    </row>
    <row r="1164" spans="4:5">
      <c r="D1164" s="26"/>
      <c r="E1164" s="26"/>
    </row>
    <row r="1165" spans="4:5">
      <c r="D1165" s="26"/>
      <c r="E1165" s="26"/>
    </row>
    <row r="1166" spans="4:5">
      <c r="D1166" s="26"/>
      <c r="E1166" s="26"/>
    </row>
    <row r="1167" spans="4:5">
      <c r="D1167" s="26"/>
      <c r="E1167" s="26"/>
    </row>
    <row r="1168" spans="4:5">
      <c r="D1168" s="26"/>
      <c r="E1168" s="26"/>
    </row>
    <row r="1169" spans="4:5">
      <c r="D1169" s="26"/>
      <c r="E1169" s="26"/>
    </row>
    <row r="1170" spans="4:5">
      <c r="D1170" s="26"/>
      <c r="E1170" s="26"/>
    </row>
    <row r="1171" spans="4:5">
      <c r="D1171" s="26"/>
      <c r="E1171" s="26"/>
    </row>
    <row r="1172" spans="4:5">
      <c r="D1172" s="26"/>
      <c r="E1172" s="26"/>
    </row>
    <row r="1173" spans="4:5">
      <c r="D1173" s="26"/>
      <c r="E1173" s="26"/>
    </row>
    <row r="1174" spans="4:5">
      <c r="D1174" s="26"/>
      <c r="E1174" s="26"/>
    </row>
    <row r="1175" spans="4:5">
      <c r="D1175" s="26"/>
      <c r="E1175" s="26"/>
    </row>
    <row r="1176" spans="4:5">
      <c r="D1176" s="26"/>
      <c r="E1176" s="26"/>
    </row>
    <row r="1177" spans="4:5">
      <c r="D1177" s="26"/>
      <c r="E1177" s="26"/>
    </row>
    <row r="1178" spans="4:5">
      <c r="D1178" s="26"/>
      <c r="E1178" s="26"/>
    </row>
    <row r="1179" spans="4:5">
      <c r="D1179" s="26"/>
      <c r="E1179" s="26"/>
    </row>
    <row r="1180" spans="4:5">
      <c r="D1180" s="26"/>
      <c r="E1180" s="26"/>
    </row>
    <row r="1181" spans="4:5">
      <c r="D1181" s="26"/>
      <c r="E1181" s="26"/>
    </row>
    <row r="1182" spans="4:5">
      <c r="D1182" s="26"/>
      <c r="E1182" s="26"/>
    </row>
    <row r="1183" spans="4:5">
      <c r="D1183" s="26"/>
      <c r="E1183" s="26"/>
    </row>
    <row r="1184" spans="4:5">
      <c r="D1184" s="26"/>
      <c r="E1184" s="26"/>
    </row>
    <row r="1185" spans="4:5">
      <c r="D1185" s="26"/>
      <c r="E1185" s="26"/>
    </row>
    <row r="1186" spans="4:5">
      <c r="D1186" s="26"/>
      <c r="E1186" s="26"/>
    </row>
    <row r="1187" spans="4:5">
      <c r="D1187" s="26"/>
      <c r="E1187" s="26"/>
    </row>
    <row r="1188" spans="4:5">
      <c r="D1188" s="26"/>
      <c r="E1188" s="26"/>
    </row>
    <row r="1189" spans="4:5">
      <c r="D1189" s="26"/>
      <c r="E1189" s="26"/>
    </row>
    <row r="1190" spans="4:5">
      <c r="D1190" s="26"/>
      <c r="E1190" s="26"/>
    </row>
    <row r="1191" spans="4:5">
      <c r="D1191" s="26"/>
      <c r="E1191" s="26"/>
    </row>
    <row r="1192" spans="4:5">
      <c r="D1192" s="26"/>
      <c r="E1192" s="26"/>
    </row>
    <row r="1193" spans="4:5">
      <c r="D1193" s="26"/>
      <c r="E1193" s="26"/>
    </row>
    <row r="1194" spans="4:5">
      <c r="D1194" s="26"/>
      <c r="E1194" s="26"/>
    </row>
    <row r="1195" spans="4:5">
      <c r="D1195" s="26"/>
      <c r="E1195" s="26"/>
    </row>
    <row r="1196" spans="4:5">
      <c r="D1196" s="26"/>
      <c r="E1196" s="26"/>
    </row>
    <row r="1197" spans="4:5">
      <c r="D1197" s="26"/>
      <c r="E1197" s="26"/>
    </row>
    <row r="1198" spans="4:5">
      <c r="D1198" s="26"/>
      <c r="E1198" s="26"/>
    </row>
    <row r="1199" spans="4:5">
      <c r="D1199" s="26"/>
      <c r="E1199" s="26"/>
    </row>
    <row r="1200" spans="4:5">
      <c r="D1200" s="26"/>
      <c r="E1200" s="26"/>
    </row>
    <row r="1201" spans="4:5">
      <c r="D1201" s="26"/>
      <c r="E1201" s="26"/>
    </row>
    <row r="1202" spans="4:5">
      <c r="D1202" s="26"/>
      <c r="E1202" s="26"/>
    </row>
    <row r="1203" spans="4:5">
      <c r="D1203" s="26"/>
      <c r="E1203" s="26"/>
    </row>
    <row r="1204" spans="4:5">
      <c r="D1204" s="26"/>
      <c r="E1204" s="26"/>
    </row>
    <row r="1205" spans="4:5">
      <c r="D1205" s="26"/>
      <c r="E1205" s="26"/>
    </row>
    <row r="1206" spans="4:5">
      <c r="D1206" s="26"/>
      <c r="E1206" s="26"/>
    </row>
    <row r="1207" spans="4:5">
      <c r="D1207" s="26"/>
      <c r="E1207" s="26"/>
    </row>
    <row r="1208" spans="4:5">
      <c r="D1208" s="26"/>
      <c r="E1208" s="26"/>
    </row>
    <row r="1209" spans="4:5">
      <c r="D1209" s="26"/>
      <c r="E1209" s="26"/>
    </row>
    <row r="1210" spans="4:5">
      <c r="D1210" s="26"/>
      <c r="E1210" s="26"/>
    </row>
    <row r="1211" spans="4:5">
      <c r="D1211" s="26"/>
      <c r="E1211" s="26"/>
    </row>
    <row r="1212" spans="4:5">
      <c r="D1212" s="26"/>
      <c r="E1212" s="26"/>
    </row>
    <row r="1213" spans="4:5">
      <c r="D1213" s="26"/>
      <c r="E1213" s="26"/>
    </row>
    <row r="1214" spans="4:5">
      <c r="D1214" s="26"/>
      <c r="E1214" s="26"/>
    </row>
    <row r="1215" spans="4:5">
      <c r="D1215" s="26"/>
      <c r="E1215" s="26"/>
    </row>
    <row r="1216" spans="4:5">
      <c r="D1216" s="26"/>
      <c r="E1216" s="26"/>
    </row>
    <row r="1217" spans="4:5">
      <c r="D1217" s="26"/>
      <c r="E1217" s="26"/>
    </row>
    <row r="1218" spans="4:5">
      <c r="D1218" s="26"/>
      <c r="E1218" s="26"/>
    </row>
    <row r="1219" spans="4:5">
      <c r="D1219" s="26"/>
      <c r="E1219" s="26"/>
    </row>
    <row r="1220" spans="4:5">
      <c r="D1220" s="26"/>
      <c r="E1220" s="26"/>
    </row>
    <row r="1221" spans="4:5">
      <c r="D1221" s="26"/>
      <c r="E1221" s="26"/>
    </row>
    <row r="1222" spans="4:5">
      <c r="D1222" s="26"/>
      <c r="E1222" s="26"/>
    </row>
    <row r="1223" spans="4:5">
      <c r="D1223" s="26"/>
      <c r="E1223" s="26"/>
    </row>
    <row r="1224" spans="4:5">
      <c r="D1224" s="26"/>
      <c r="E1224" s="26"/>
    </row>
    <row r="1225" spans="4:5">
      <c r="D1225" s="26"/>
      <c r="E1225" s="26"/>
    </row>
    <row r="1226" spans="4:5">
      <c r="D1226" s="26"/>
      <c r="E1226" s="26"/>
    </row>
    <row r="1227" spans="4:5">
      <c r="D1227" s="26"/>
      <c r="E1227" s="26"/>
    </row>
    <row r="1228" spans="4:5">
      <c r="D1228" s="26"/>
      <c r="E1228" s="26"/>
    </row>
    <row r="1229" spans="4:5">
      <c r="D1229" s="26"/>
      <c r="E1229" s="26"/>
    </row>
    <row r="1230" spans="4:5">
      <c r="D1230" s="26"/>
      <c r="E1230" s="26"/>
    </row>
    <row r="1231" spans="4:5">
      <c r="D1231" s="26"/>
      <c r="E1231" s="26"/>
    </row>
    <row r="1232" spans="4:5">
      <c r="D1232" s="26"/>
      <c r="E1232" s="26"/>
    </row>
    <row r="1233" spans="4:5">
      <c r="D1233" s="26"/>
      <c r="E1233" s="26"/>
    </row>
    <row r="1234" spans="4:5">
      <c r="D1234" s="26"/>
      <c r="E1234" s="26"/>
    </row>
    <row r="1235" spans="4:5">
      <c r="D1235" s="26"/>
      <c r="E1235" s="26"/>
    </row>
    <row r="1236" spans="4:5">
      <c r="D1236" s="26"/>
      <c r="E1236" s="26"/>
    </row>
    <row r="1237" spans="4:5">
      <c r="D1237" s="26"/>
      <c r="E1237" s="26"/>
    </row>
    <row r="1238" spans="4:5">
      <c r="D1238" s="26"/>
      <c r="E1238" s="26"/>
    </row>
    <row r="1239" spans="4:5">
      <c r="D1239" s="26"/>
      <c r="E1239" s="26"/>
    </row>
    <row r="1240" spans="4:5">
      <c r="D1240" s="26"/>
      <c r="E1240" s="26"/>
    </row>
    <row r="1241" spans="4:5">
      <c r="D1241" s="26"/>
      <c r="E1241" s="26"/>
    </row>
    <row r="1242" spans="4:5">
      <c r="D1242" s="26"/>
      <c r="E1242" s="26"/>
    </row>
    <row r="1243" spans="4:5">
      <c r="D1243" s="26"/>
      <c r="E1243" s="26"/>
    </row>
    <row r="1244" spans="4:5">
      <c r="D1244" s="26"/>
      <c r="E1244" s="26"/>
    </row>
    <row r="1245" spans="4:5">
      <c r="D1245" s="26"/>
      <c r="E1245" s="26"/>
    </row>
    <row r="1246" spans="4:5">
      <c r="D1246" s="26"/>
      <c r="E1246" s="26"/>
    </row>
    <row r="1247" spans="4:5">
      <c r="D1247" s="26"/>
      <c r="E1247" s="26"/>
    </row>
    <row r="1248" spans="4:5">
      <c r="D1248" s="26"/>
      <c r="E1248" s="26"/>
    </row>
    <row r="1249" spans="4:5">
      <c r="D1249" s="26"/>
      <c r="E1249" s="26"/>
    </row>
    <row r="1250" spans="4:5">
      <c r="D1250" s="26"/>
      <c r="E1250" s="26"/>
    </row>
    <row r="1251" spans="4:5">
      <c r="D1251" s="26"/>
      <c r="E1251" s="26"/>
    </row>
    <row r="1252" spans="4:5">
      <c r="D1252" s="26"/>
      <c r="E1252" s="26"/>
    </row>
    <row r="1253" spans="4:5">
      <c r="D1253" s="26"/>
      <c r="E1253" s="26"/>
    </row>
    <row r="1254" spans="4:5">
      <c r="D1254" s="26"/>
      <c r="E1254" s="26"/>
    </row>
    <row r="1255" spans="4:5">
      <c r="D1255" s="26"/>
      <c r="E1255" s="26"/>
    </row>
    <row r="1256" spans="4:5">
      <c r="D1256" s="26"/>
      <c r="E1256" s="26"/>
    </row>
    <row r="1257" spans="4:5">
      <c r="D1257" s="26"/>
      <c r="E1257" s="26"/>
    </row>
    <row r="1258" spans="4:5">
      <c r="D1258" s="26"/>
      <c r="E1258" s="26"/>
    </row>
    <row r="1259" spans="4:5">
      <c r="D1259" s="26"/>
      <c r="E1259" s="26"/>
    </row>
    <row r="1260" spans="4:5">
      <c r="D1260" s="26"/>
      <c r="E1260" s="26"/>
    </row>
    <row r="1261" spans="4:5">
      <c r="D1261" s="26"/>
      <c r="E1261" s="26"/>
    </row>
    <row r="1262" spans="4:5">
      <c r="D1262" s="26"/>
      <c r="E1262" s="26"/>
    </row>
    <row r="1263" spans="4:5">
      <c r="D1263" s="26"/>
      <c r="E1263" s="26"/>
    </row>
    <row r="1264" spans="4:5">
      <c r="D1264" s="26"/>
      <c r="E1264" s="26"/>
    </row>
    <row r="1265" spans="4:5">
      <c r="D1265" s="26"/>
      <c r="E1265" s="26"/>
    </row>
    <row r="1266" spans="4:5">
      <c r="D1266" s="26"/>
      <c r="E1266" s="26"/>
    </row>
    <row r="1267" spans="4:5">
      <c r="D1267" s="26"/>
      <c r="E1267" s="26"/>
    </row>
    <row r="1268" spans="4:5">
      <c r="D1268" s="26"/>
      <c r="E1268" s="26"/>
    </row>
    <row r="1269" spans="4:5">
      <c r="D1269" s="26"/>
      <c r="E1269" s="26"/>
    </row>
    <row r="1270" spans="4:5">
      <c r="D1270" s="26"/>
      <c r="E1270" s="26"/>
    </row>
    <row r="1271" spans="4:5">
      <c r="D1271" s="26"/>
      <c r="E1271" s="26"/>
    </row>
    <row r="1272" spans="4:5">
      <c r="D1272" s="26"/>
      <c r="E1272" s="26"/>
    </row>
    <row r="1273" spans="4:5">
      <c r="D1273" s="26"/>
      <c r="E1273" s="26"/>
    </row>
    <row r="1274" spans="4:5">
      <c r="D1274" s="26"/>
      <c r="E1274" s="26"/>
    </row>
    <row r="1275" spans="4:5">
      <c r="D1275" s="26"/>
      <c r="E1275" s="26"/>
    </row>
    <row r="1276" spans="4:5">
      <c r="D1276" s="26"/>
      <c r="E1276" s="26"/>
    </row>
    <row r="1277" spans="4:5">
      <c r="D1277" s="26"/>
      <c r="E1277" s="26"/>
    </row>
    <row r="1278" spans="4:5">
      <c r="D1278" s="26"/>
      <c r="E1278" s="26"/>
    </row>
    <row r="1279" spans="4:5">
      <c r="D1279" s="26"/>
      <c r="E1279" s="26"/>
    </row>
    <row r="1280" spans="4:5">
      <c r="D1280" s="26"/>
      <c r="E1280" s="26"/>
    </row>
    <row r="1281" spans="4:5">
      <c r="D1281" s="26"/>
      <c r="E1281" s="26"/>
    </row>
    <row r="1282" spans="4:5">
      <c r="D1282" s="26"/>
      <c r="E1282" s="26"/>
    </row>
    <row r="1283" spans="4:5">
      <c r="D1283" s="26"/>
      <c r="E1283" s="26"/>
    </row>
    <row r="1284" spans="4:5">
      <c r="D1284" s="26"/>
      <c r="E1284" s="26"/>
    </row>
    <row r="1285" spans="4:5">
      <c r="D1285" s="26"/>
      <c r="E1285" s="26"/>
    </row>
    <row r="1286" spans="4:5">
      <c r="D1286" s="26"/>
      <c r="E1286" s="26"/>
    </row>
    <row r="1287" spans="4:5">
      <c r="D1287" s="26"/>
      <c r="E1287" s="26"/>
    </row>
    <row r="1288" spans="4:5">
      <c r="D1288" s="26"/>
      <c r="E1288" s="26"/>
    </row>
    <row r="1289" spans="4:5">
      <c r="D1289" s="26"/>
      <c r="E1289" s="26"/>
    </row>
    <row r="1290" spans="4:5">
      <c r="D1290" s="26"/>
      <c r="E1290" s="26"/>
    </row>
    <row r="1291" spans="4:5">
      <c r="D1291" s="26"/>
      <c r="E1291" s="26"/>
    </row>
    <row r="1292" spans="4:5">
      <c r="D1292" s="26"/>
      <c r="E1292" s="26"/>
    </row>
    <row r="1293" spans="4:5">
      <c r="D1293" s="26"/>
      <c r="E1293" s="26"/>
    </row>
    <row r="1294" spans="4:5">
      <c r="D1294" s="26"/>
      <c r="E1294" s="26"/>
    </row>
    <row r="1295" spans="4:5">
      <c r="D1295" s="26"/>
      <c r="E1295" s="26"/>
    </row>
    <row r="1296" spans="4:5">
      <c r="D1296" s="26"/>
      <c r="E1296" s="26"/>
    </row>
    <row r="1297" spans="4:5">
      <c r="D1297" s="26"/>
      <c r="E1297" s="26"/>
    </row>
    <row r="1298" spans="4:5">
      <c r="D1298" s="26"/>
      <c r="E1298" s="26"/>
    </row>
    <row r="1299" spans="4:5">
      <c r="D1299" s="26"/>
      <c r="E1299" s="26"/>
    </row>
    <row r="1300" spans="4:5">
      <c r="D1300" s="26"/>
      <c r="E1300" s="26"/>
    </row>
    <row r="1301" spans="4:5">
      <c r="D1301" s="26"/>
      <c r="E1301" s="26"/>
    </row>
    <row r="1302" spans="4:5">
      <c r="D1302" s="26"/>
      <c r="E1302" s="26"/>
    </row>
    <row r="1303" spans="4:5">
      <c r="D1303" s="26"/>
      <c r="E1303" s="26"/>
    </row>
    <row r="1304" spans="4:5">
      <c r="D1304" s="26"/>
      <c r="E1304" s="26"/>
    </row>
    <row r="1305" spans="4:5">
      <c r="D1305" s="26"/>
      <c r="E1305" s="26"/>
    </row>
    <row r="1306" spans="4:5">
      <c r="D1306" s="26"/>
      <c r="E1306" s="26"/>
    </row>
    <row r="1307" spans="4:5">
      <c r="D1307" s="26"/>
      <c r="E1307" s="26"/>
    </row>
    <row r="1308" spans="4:5">
      <c r="D1308" s="26"/>
      <c r="E1308" s="26"/>
    </row>
    <row r="1309" spans="4:5">
      <c r="D1309" s="26"/>
      <c r="E1309" s="26"/>
    </row>
    <row r="1310" spans="4:5">
      <c r="D1310" s="26"/>
      <c r="E1310" s="26"/>
    </row>
    <row r="1311" spans="4:5">
      <c r="D1311" s="26"/>
      <c r="E1311" s="26"/>
    </row>
    <row r="1312" spans="4:5">
      <c r="D1312" s="26"/>
      <c r="E1312" s="26"/>
    </row>
    <row r="1313" spans="4:5">
      <c r="D1313" s="26"/>
      <c r="E1313" s="26"/>
    </row>
    <row r="1314" spans="4:5">
      <c r="D1314" s="26"/>
      <c r="E1314" s="26"/>
    </row>
    <row r="1315" spans="4:5">
      <c r="D1315" s="26"/>
      <c r="E1315" s="26"/>
    </row>
    <row r="1316" spans="4:5">
      <c r="D1316" s="26"/>
      <c r="E1316" s="26"/>
    </row>
    <row r="1317" spans="4:5">
      <c r="D1317" s="26"/>
      <c r="E1317" s="26"/>
    </row>
    <row r="1318" spans="4:5">
      <c r="D1318" s="26"/>
      <c r="E1318" s="26"/>
    </row>
    <row r="1319" spans="4:5">
      <c r="D1319" s="26"/>
      <c r="E1319" s="26"/>
    </row>
    <row r="1320" spans="4:5">
      <c r="D1320" s="26"/>
      <c r="E1320" s="26"/>
    </row>
    <row r="1321" spans="4:5">
      <c r="D1321" s="26"/>
      <c r="E1321" s="26"/>
    </row>
    <row r="1322" spans="4:5">
      <c r="D1322" s="26"/>
      <c r="E1322" s="26"/>
    </row>
    <row r="1323" spans="4:5">
      <c r="D1323" s="26"/>
      <c r="E1323" s="26"/>
    </row>
    <row r="1324" spans="4:5">
      <c r="D1324" s="26"/>
      <c r="E1324" s="26"/>
    </row>
    <row r="1325" spans="4:5">
      <c r="D1325" s="26"/>
      <c r="E1325" s="26"/>
    </row>
    <row r="1326" spans="4:5">
      <c r="D1326" s="26"/>
      <c r="E1326" s="26"/>
    </row>
    <row r="1327" spans="4:5">
      <c r="D1327" s="26"/>
      <c r="E1327" s="26"/>
    </row>
    <row r="1328" spans="4:5">
      <c r="D1328" s="26"/>
      <c r="E1328" s="26"/>
    </row>
    <row r="1329" spans="4:5">
      <c r="D1329" s="26"/>
      <c r="E1329" s="26"/>
    </row>
    <row r="1330" spans="4:5">
      <c r="D1330" s="26"/>
      <c r="E1330" s="26"/>
    </row>
    <row r="1331" spans="4:5">
      <c r="D1331" s="26"/>
      <c r="E1331" s="26"/>
    </row>
    <row r="1332" spans="4:5">
      <c r="D1332" s="26"/>
      <c r="E1332" s="26"/>
    </row>
    <row r="1333" spans="4:5">
      <c r="D1333" s="26"/>
      <c r="E1333" s="26"/>
    </row>
    <row r="1334" spans="4:5">
      <c r="D1334" s="26"/>
      <c r="E1334" s="26"/>
    </row>
    <row r="1335" spans="4:5">
      <c r="D1335" s="26"/>
      <c r="E1335" s="26"/>
    </row>
    <row r="1336" spans="4:5">
      <c r="D1336" s="26"/>
      <c r="E1336" s="26"/>
    </row>
    <row r="1337" spans="4:5">
      <c r="D1337" s="26"/>
      <c r="E1337" s="26"/>
    </row>
    <row r="1338" spans="4:5">
      <c r="D1338" s="26"/>
      <c r="E1338" s="26"/>
    </row>
    <row r="1339" spans="4:5">
      <c r="D1339" s="26"/>
      <c r="E1339" s="26"/>
    </row>
    <row r="1340" spans="4:5">
      <c r="D1340" s="26"/>
      <c r="E1340" s="26"/>
    </row>
    <row r="1341" spans="4:5">
      <c r="D1341" s="26"/>
      <c r="E1341" s="26"/>
    </row>
    <row r="1342" spans="4:5">
      <c r="D1342" s="26"/>
      <c r="E1342" s="26"/>
    </row>
    <row r="1343" spans="4:5">
      <c r="D1343" s="26"/>
      <c r="E1343" s="26"/>
    </row>
    <row r="1344" spans="4:5">
      <c r="D1344" s="26"/>
      <c r="E1344" s="26"/>
    </row>
    <row r="1345" spans="4:5">
      <c r="D1345" s="26"/>
      <c r="E1345" s="26"/>
    </row>
    <row r="1346" spans="4:5">
      <c r="D1346" s="26"/>
      <c r="E1346" s="26"/>
    </row>
    <row r="1347" spans="4:5">
      <c r="D1347" s="26"/>
      <c r="E1347" s="26"/>
    </row>
    <row r="1348" spans="4:5">
      <c r="D1348" s="26"/>
      <c r="E1348" s="26"/>
    </row>
    <row r="1349" spans="4:5">
      <c r="D1349" s="26"/>
      <c r="E1349" s="26"/>
    </row>
    <row r="1350" spans="4:5">
      <c r="D1350" s="26"/>
      <c r="E1350" s="26"/>
    </row>
    <row r="1351" spans="4:5">
      <c r="D1351" s="26"/>
      <c r="E1351" s="26"/>
    </row>
    <row r="1352" spans="4:5">
      <c r="D1352" s="26"/>
      <c r="E1352" s="26"/>
    </row>
    <row r="1353" spans="4:5">
      <c r="D1353" s="26"/>
      <c r="E1353" s="26"/>
    </row>
    <row r="1354" spans="4:5">
      <c r="D1354" s="26"/>
      <c r="E1354" s="26"/>
    </row>
    <row r="1355" spans="4:5">
      <c r="D1355" s="26"/>
      <c r="E1355" s="26"/>
    </row>
    <row r="1356" spans="4:5">
      <c r="D1356" s="26"/>
      <c r="E1356" s="26"/>
    </row>
    <row r="1357" spans="4:5">
      <c r="D1357" s="26"/>
      <c r="E1357" s="26"/>
    </row>
    <row r="1358" spans="4:5">
      <c r="D1358" s="26"/>
      <c r="E1358" s="26"/>
    </row>
    <row r="1359" spans="4:5">
      <c r="D1359" s="26"/>
      <c r="E1359" s="26"/>
    </row>
    <row r="1360" spans="4:5">
      <c r="D1360" s="26"/>
      <c r="E1360" s="26"/>
    </row>
    <row r="1361" spans="4:5">
      <c r="D1361" s="26"/>
      <c r="E1361" s="26"/>
    </row>
    <row r="1362" spans="4:5">
      <c r="D1362" s="26"/>
      <c r="E1362" s="26"/>
    </row>
    <row r="1363" spans="4:5">
      <c r="D1363" s="26"/>
      <c r="E1363" s="26"/>
    </row>
    <row r="1364" spans="4:5">
      <c r="D1364" s="26"/>
      <c r="E1364" s="26"/>
    </row>
    <row r="1365" spans="4:5">
      <c r="D1365" s="26"/>
      <c r="E1365" s="26"/>
    </row>
    <row r="1366" spans="4:5">
      <c r="D1366" s="26"/>
      <c r="E1366" s="26"/>
    </row>
    <row r="1367" spans="4:5">
      <c r="D1367" s="26"/>
      <c r="E1367" s="26"/>
    </row>
    <row r="1368" spans="4:5">
      <c r="D1368" s="26"/>
      <c r="E1368" s="26"/>
    </row>
    <row r="1369" spans="4:5">
      <c r="D1369" s="26"/>
      <c r="E1369" s="26"/>
    </row>
    <row r="1370" spans="4:4">
      <c r="D1370" s="26"/>
    </row>
    <row r="1371" spans="4:4">
      <c r="D1371" s="26"/>
    </row>
    <row r="1372" spans="4:4">
      <c r="D1372" s="26"/>
    </row>
    <row r="1373" spans="4:4">
      <c r="D1373" s="26"/>
    </row>
    <row r="1374" spans="4:4">
      <c r="D1374" s="26"/>
    </row>
    <row r="1375" spans="4:4">
      <c r="D1375" s="26"/>
    </row>
    <row r="1376" spans="4:4">
      <c r="D1376" s="26"/>
    </row>
    <row r="1377" spans="4:4">
      <c r="D1377" s="26"/>
    </row>
    <row r="1378" spans="4:4">
      <c r="D1378" s="26"/>
    </row>
    <row r="1379" spans="4:4">
      <c r="D1379" s="26"/>
    </row>
    <row r="1380" spans="4:4">
      <c r="D1380" s="26"/>
    </row>
    <row r="1381" spans="4:4">
      <c r="D1381" s="26"/>
    </row>
    <row r="1382" spans="4:4">
      <c r="D1382" s="26"/>
    </row>
    <row r="1383" spans="4:4">
      <c r="D1383" s="26"/>
    </row>
    <row r="1384" spans="4:4">
      <c r="D1384" s="26"/>
    </row>
    <row r="1385" spans="4:4">
      <c r="D1385" s="26"/>
    </row>
    <row r="1386" spans="4:4">
      <c r="D1386" s="26"/>
    </row>
    <row r="1387" spans="4:4">
      <c r="D1387" s="26"/>
    </row>
    <row r="1388" spans="4:4">
      <c r="D1388" s="26"/>
    </row>
    <row r="1389" spans="4:4">
      <c r="D1389" s="26"/>
    </row>
    <row r="1390" spans="4:4">
      <c r="D1390" s="26"/>
    </row>
    <row r="1391" spans="4:4">
      <c r="D1391" s="26"/>
    </row>
    <row r="1392" spans="4:4">
      <c r="D1392" s="26"/>
    </row>
    <row r="1393" spans="4:4">
      <c r="D1393" s="26"/>
    </row>
    <row r="1394" spans="4:4">
      <c r="D1394" s="26"/>
    </row>
    <row r="1395" spans="4:4">
      <c r="D1395" s="26"/>
    </row>
    <row r="1396" spans="4:4">
      <c r="D1396" s="26"/>
    </row>
    <row r="1397" spans="4:4">
      <c r="D1397" s="26"/>
    </row>
    <row r="1398" spans="4:4">
      <c r="D1398" s="26"/>
    </row>
    <row r="1399" spans="4:4">
      <c r="D1399" s="26"/>
    </row>
    <row r="1400" spans="4:4">
      <c r="D1400" s="26"/>
    </row>
  </sheetData>
  <sheetProtection selectLockedCells="1" selectUnlockedCells="1"/>
  <mergeCells count="4">
    <mergeCell ref="E178:G178"/>
    <mergeCell ref="E179:G179"/>
    <mergeCell ref="E192:G192"/>
    <mergeCell ref="B219:D219"/>
  </mergeCells>
  <pageMargins left="0.7" right="0.7" top="0.75" bottom="0.75" header="0.3" footer="0.3"/>
  <pageSetup paperSize="1"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0"/>
  <sheetViews>
    <sheetView zoomScale="85" zoomScaleNormal="85" topLeftCell="A24" workbookViewId="0">
      <selection activeCell="C36" sqref="C36"/>
    </sheetView>
  </sheetViews>
  <sheetFormatPr defaultColWidth="9" defaultRowHeight="15"/>
  <cols>
    <col min="1" max="1" width="40.5729166666667" customWidth="1"/>
    <col min="2" max="2" width="16.8541666666667" customWidth="1"/>
    <col min="3" max="3" width="25" customWidth="1"/>
    <col min="4" max="4" width="5.57291666666667" customWidth="1"/>
    <col min="5" max="5" width="34.8541666666667" customWidth="1"/>
  </cols>
  <sheetData>
    <row r="1" ht="15.75"/>
    <row r="2" ht="15.6" spans="1:22">
      <c r="A2" s="1" t="s">
        <v>498</v>
      </c>
      <c r="B2" s="2"/>
      <c r="C2" s="2"/>
      <c r="D2" s="3"/>
      <c r="E2" s="4"/>
      <c r="F2" s="5"/>
      <c r="G2" s="5"/>
      <c r="H2" s="5"/>
      <c r="I2" s="5"/>
      <c r="J2" s="5"/>
      <c r="K2" s="5"/>
      <c r="L2" s="5"/>
      <c r="M2" s="5"/>
      <c r="N2" s="5"/>
      <c r="O2" s="5"/>
      <c r="P2" s="5"/>
      <c r="Q2" s="5"/>
      <c r="R2" s="5"/>
      <c r="S2" s="5"/>
      <c r="T2" s="5"/>
      <c r="U2" s="5"/>
      <c r="V2" s="5"/>
    </row>
    <row r="3" ht="17.4" spans="1:22">
      <c r="A3" s="6" t="s">
        <v>61</v>
      </c>
      <c r="B3" s="7" t="s">
        <v>62</v>
      </c>
      <c r="C3" s="8">
        <f>'DESIGN INPUTS AND CALCULATIONS'!C32</f>
        <v>390</v>
      </c>
      <c r="D3" s="9" t="s">
        <v>44</v>
      </c>
      <c r="E3" s="9"/>
      <c r="F3" s="5"/>
      <c r="G3" s="5"/>
      <c r="H3" s="5"/>
      <c r="I3" s="5"/>
      <c r="J3" s="5"/>
      <c r="K3" s="5"/>
      <c r="L3" s="5"/>
      <c r="M3" s="5"/>
      <c r="N3" s="5"/>
      <c r="O3" s="5"/>
      <c r="P3" s="5"/>
      <c r="Q3" s="5"/>
      <c r="R3" s="5"/>
      <c r="S3" s="5"/>
      <c r="T3" s="5"/>
      <c r="U3" s="5"/>
      <c r="V3" s="5"/>
    </row>
    <row r="4" ht="17.4" spans="1:22">
      <c r="A4" s="6" t="s">
        <v>42</v>
      </c>
      <c r="B4" s="8" t="s">
        <v>43</v>
      </c>
      <c r="C4" s="8">
        <f>'DESIGN INPUTS AND CALCULATIONS'!C25</f>
        <v>74</v>
      </c>
      <c r="D4" s="9" t="s">
        <v>44</v>
      </c>
      <c r="E4" s="9"/>
      <c r="F4" s="5"/>
      <c r="G4" s="5"/>
      <c r="H4" s="5"/>
      <c r="I4" s="5"/>
      <c r="J4" s="5"/>
      <c r="K4" s="5"/>
      <c r="L4" s="5"/>
      <c r="M4" s="5"/>
      <c r="N4" s="5"/>
      <c r="O4" s="5"/>
      <c r="P4" s="5"/>
      <c r="Q4" s="5"/>
      <c r="R4" s="5"/>
      <c r="S4" s="5"/>
      <c r="T4" s="5"/>
      <c r="U4" s="5"/>
      <c r="V4" s="5"/>
    </row>
    <row r="5" ht="17.4" spans="1:22">
      <c r="A5" s="6" t="s">
        <v>499</v>
      </c>
      <c r="B5" s="8" t="s">
        <v>47</v>
      </c>
      <c r="C5" s="8">
        <f>'DESIGN INPUTS AND CALCULATIONS'!C26</f>
        <v>330</v>
      </c>
      <c r="D5" s="9" t="s">
        <v>48</v>
      </c>
      <c r="E5" s="9"/>
      <c r="F5" s="5"/>
      <c r="G5" s="5"/>
      <c r="H5" s="5"/>
      <c r="I5" s="5"/>
      <c r="J5" s="5"/>
      <c r="K5" s="5"/>
      <c r="L5" s="5"/>
      <c r="M5" s="5"/>
      <c r="N5" s="5"/>
      <c r="O5" s="5"/>
      <c r="P5" s="5"/>
      <c r="Q5" s="5"/>
      <c r="R5" s="5"/>
      <c r="S5" s="5"/>
      <c r="T5" s="5"/>
      <c r="U5" s="5"/>
      <c r="V5" s="5"/>
    </row>
    <row r="6" ht="17.4" spans="1:22">
      <c r="A6" s="6" t="s">
        <v>500</v>
      </c>
      <c r="B6" s="8" t="s">
        <v>83</v>
      </c>
      <c r="C6" s="10">
        <f>'DESIGN INPUTS AND CALCULATIONS'!C41</f>
        <v>2.7</v>
      </c>
      <c r="D6" s="9"/>
      <c r="E6" s="9"/>
      <c r="F6" s="5"/>
      <c r="G6" s="5"/>
      <c r="H6" s="5"/>
      <c r="I6" s="5"/>
      <c r="J6" s="5"/>
      <c r="K6" s="5"/>
      <c r="L6" s="5"/>
      <c r="M6" s="5"/>
      <c r="N6" s="5"/>
      <c r="O6" s="5"/>
      <c r="P6" s="5"/>
      <c r="Q6" s="5"/>
      <c r="R6" s="5"/>
      <c r="S6" s="5"/>
      <c r="T6" s="5"/>
      <c r="U6" s="5"/>
      <c r="V6" s="5"/>
    </row>
    <row r="7" ht="17.4" spans="1:22">
      <c r="A7" s="6" t="s">
        <v>501</v>
      </c>
      <c r="B7" s="8" t="s">
        <v>502</v>
      </c>
      <c r="C7" s="10">
        <f>C4*C4/C5</f>
        <v>16.5939393939394</v>
      </c>
      <c r="D7" s="11" t="s">
        <v>13</v>
      </c>
      <c r="E7" s="9"/>
      <c r="F7" s="5"/>
      <c r="G7" s="5"/>
      <c r="H7" s="5"/>
      <c r="I7" s="5"/>
      <c r="J7" s="5"/>
      <c r="K7" s="5"/>
      <c r="L7" s="5"/>
      <c r="M7" s="5"/>
      <c r="N7" s="5"/>
      <c r="O7" s="5"/>
      <c r="P7" s="5"/>
      <c r="Q7" s="5"/>
      <c r="R7" s="5"/>
      <c r="S7" s="5"/>
      <c r="T7" s="5"/>
      <c r="U7" s="5"/>
      <c r="V7" s="5"/>
    </row>
    <row r="8" spans="1:22">
      <c r="A8" s="6" t="s">
        <v>503</v>
      </c>
      <c r="B8" s="8" t="s">
        <v>504</v>
      </c>
      <c r="C8" s="10">
        <f>'DESIGN INPUTS AND CALCULATIONS'!C45</f>
        <v>98.0544413054417</v>
      </c>
      <c r="D8" s="11" t="s">
        <v>13</v>
      </c>
      <c r="E8" s="9"/>
      <c r="F8" s="5"/>
      <c r="G8" s="5"/>
      <c r="H8" s="5"/>
      <c r="I8" s="5"/>
      <c r="J8" s="5"/>
      <c r="K8" s="5"/>
      <c r="L8" s="5"/>
      <c r="M8" s="5"/>
      <c r="N8" s="5"/>
      <c r="O8" s="5"/>
      <c r="P8" s="5"/>
      <c r="Q8" s="5"/>
      <c r="R8" s="5"/>
      <c r="S8" s="5"/>
      <c r="T8" s="5"/>
      <c r="U8" s="5"/>
      <c r="V8" s="5"/>
    </row>
    <row r="9" spans="1:22">
      <c r="A9" s="6" t="s">
        <v>505</v>
      </c>
      <c r="B9" s="8" t="s">
        <v>506</v>
      </c>
      <c r="C9" s="10">
        <f>'DESIGN INPUTS AND CALCULATIONS'!C29</f>
        <v>0.92</v>
      </c>
      <c r="D9" s="11"/>
      <c r="E9" s="9"/>
      <c r="F9" s="5"/>
      <c r="G9" s="5"/>
      <c r="H9" s="5"/>
      <c r="I9" s="5"/>
      <c r="J9" s="5"/>
      <c r="K9" s="5"/>
      <c r="L9" s="5"/>
      <c r="M9" s="5"/>
      <c r="N9" s="5"/>
      <c r="O9" s="5"/>
      <c r="P9" s="5"/>
      <c r="Q9" s="5"/>
      <c r="R9" s="5"/>
      <c r="S9" s="5"/>
      <c r="T9" s="5"/>
      <c r="U9" s="5"/>
      <c r="V9" s="5"/>
    </row>
    <row r="10" ht="17.4" spans="1:22">
      <c r="A10" s="6" t="s">
        <v>507</v>
      </c>
      <c r="B10" s="8" t="s">
        <v>129</v>
      </c>
      <c r="C10" s="10">
        <f>'DESIGN INPUTS AND CALCULATIONS'!C96</f>
        <v>300</v>
      </c>
      <c r="D10" s="9" t="s">
        <v>17</v>
      </c>
      <c r="E10" s="9"/>
      <c r="F10" s="5"/>
      <c r="G10" s="5"/>
      <c r="H10" s="5"/>
      <c r="I10" s="5"/>
      <c r="J10" s="5"/>
      <c r="K10" s="5"/>
      <c r="L10" s="5"/>
      <c r="M10" s="5"/>
      <c r="N10" s="5"/>
      <c r="O10" s="5"/>
      <c r="P10" s="5"/>
      <c r="Q10" s="5"/>
      <c r="R10" s="5"/>
      <c r="S10" s="5"/>
      <c r="T10" s="5"/>
      <c r="U10" s="5"/>
      <c r="V10" s="5"/>
    </row>
    <row r="11" ht="17.4" spans="1:22">
      <c r="A11" s="6" t="s">
        <v>508</v>
      </c>
      <c r="B11" s="8" t="s">
        <v>124</v>
      </c>
      <c r="C11" s="10">
        <f>'DESIGN INPUTS AND CALCULATIONS'!C94</f>
        <v>54</v>
      </c>
      <c r="D11" s="9" t="s">
        <v>17</v>
      </c>
      <c r="E11" s="9"/>
      <c r="F11" s="5"/>
      <c r="G11" s="5"/>
      <c r="H11" s="5"/>
      <c r="I11" s="5"/>
      <c r="J11" s="5"/>
      <c r="K11" s="5"/>
      <c r="L11" s="5"/>
      <c r="M11" s="5"/>
      <c r="N11" s="5"/>
      <c r="O11" s="5"/>
      <c r="P11" s="5"/>
      <c r="Q11" s="5"/>
      <c r="R11" s="5"/>
      <c r="S11" s="5"/>
      <c r="T11" s="5"/>
      <c r="U11" s="5"/>
      <c r="V11" s="5"/>
    </row>
    <row r="12" ht="17.4" spans="1:22">
      <c r="A12" s="6" t="s">
        <v>509</v>
      </c>
      <c r="B12" s="8" t="s">
        <v>119</v>
      </c>
      <c r="C12" s="10">
        <f>'DESIGN INPUTS AND CALCULATIONS'!C92</f>
        <v>0.044</v>
      </c>
      <c r="D12" s="9" t="s">
        <v>20</v>
      </c>
      <c r="E12" s="9"/>
      <c r="F12" s="5"/>
      <c r="G12" s="5"/>
      <c r="H12" s="5"/>
      <c r="I12" s="5"/>
      <c r="J12" s="5"/>
      <c r="K12" s="5"/>
      <c r="L12" s="5"/>
      <c r="M12" s="5"/>
      <c r="N12" s="5"/>
      <c r="O12" s="5"/>
      <c r="P12" s="5"/>
      <c r="Q12" s="5"/>
      <c r="R12" s="5"/>
      <c r="S12" s="5"/>
      <c r="T12" s="5"/>
      <c r="U12" s="5"/>
      <c r="V12" s="5"/>
    </row>
    <row r="13" ht="17.4" spans="1:22">
      <c r="A13" s="6" t="s">
        <v>135</v>
      </c>
      <c r="B13" s="8" t="s">
        <v>136</v>
      </c>
      <c r="C13" s="10">
        <f>'DESIGN INPUTS AND CALCULATIONS'!C99</f>
        <v>5.55555555555556</v>
      </c>
      <c r="D13" s="9"/>
      <c r="E13" s="9"/>
      <c r="F13" s="5"/>
      <c r="G13" s="5"/>
      <c r="H13" s="5"/>
      <c r="I13" s="5"/>
      <c r="J13" s="5"/>
      <c r="K13" s="5"/>
      <c r="L13" s="5"/>
      <c r="M13" s="5"/>
      <c r="N13" s="5"/>
      <c r="O13" s="5"/>
      <c r="P13" s="5"/>
      <c r="Q13" s="5"/>
      <c r="R13" s="5"/>
      <c r="S13" s="5"/>
      <c r="T13" s="5"/>
      <c r="U13" s="5"/>
      <c r="V13" s="5"/>
    </row>
    <row r="14" ht="17.4" spans="1:22">
      <c r="A14" s="6" t="s">
        <v>138</v>
      </c>
      <c r="B14" s="8" t="s">
        <v>139</v>
      </c>
      <c r="C14" s="10">
        <f>'DESIGN INPUTS AND CALCULATIONS'!C100</f>
        <v>0.357275530010331</v>
      </c>
      <c r="D14" s="9"/>
      <c r="E14" s="9"/>
      <c r="F14" s="5"/>
      <c r="G14" s="5"/>
      <c r="H14" s="5"/>
      <c r="I14" s="5"/>
      <c r="J14" s="5"/>
      <c r="K14" s="5"/>
      <c r="L14" s="5"/>
      <c r="M14" s="5"/>
      <c r="N14" s="5"/>
      <c r="O14" s="5"/>
      <c r="P14" s="5"/>
      <c r="Q14" s="5"/>
      <c r="R14" s="5"/>
      <c r="S14" s="5"/>
      <c r="T14" s="5"/>
      <c r="U14" s="5"/>
      <c r="V14" s="5"/>
    </row>
    <row r="15" ht="17.4" spans="1:22">
      <c r="A15" s="6" t="s">
        <v>131</v>
      </c>
      <c r="B15" s="8" t="s">
        <v>132</v>
      </c>
      <c r="C15" s="10">
        <f>'DESIGN INPUTS AND CALCULATIONS'!C97</f>
        <v>103.25162929594</v>
      </c>
      <c r="D15" s="9" t="s">
        <v>77</v>
      </c>
      <c r="E15" s="9"/>
      <c r="F15" s="5"/>
      <c r="G15" s="5"/>
      <c r="H15" s="5"/>
      <c r="I15" s="5"/>
      <c r="J15" s="5"/>
      <c r="K15" s="5"/>
      <c r="L15" s="5"/>
      <c r="M15" s="5"/>
      <c r="N15" s="5"/>
      <c r="O15" s="5"/>
      <c r="P15" s="5"/>
      <c r="Q15" s="5"/>
      <c r="R15" s="5"/>
      <c r="S15" s="5"/>
      <c r="T15" s="5"/>
      <c r="U15" s="5"/>
      <c r="V15" s="5"/>
    </row>
    <row r="16" ht="17.4" spans="1:22">
      <c r="A16" s="6" t="s">
        <v>510</v>
      </c>
      <c r="B16" s="12" t="s">
        <v>511</v>
      </c>
      <c r="C16" s="10">
        <f>C6*(C4+0.5)/(C3/2)</f>
        <v>1.03153846153846</v>
      </c>
      <c r="D16" s="9"/>
      <c r="E16" s="9"/>
      <c r="F16" s="5"/>
      <c r="G16" s="5"/>
      <c r="H16" s="5"/>
      <c r="I16" s="5"/>
      <c r="J16" s="5"/>
      <c r="K16" s="5"/>
      <c r="L16" s="5"/>
      <c r="M16" s="5"/>
      <c r="N16" s="5"/>
      <c r="O16" s="5"/>
      <c r="P16" s="5"/>
      <c r="Q16" s="5"/>
      <c r="R16" s="5"/>
      <c r="S16" s="5"/>
      <c r="T16" s="5"/>
      <c r="U16" s="5"/>
      <c r="V16" s="5"/>
    </row>
    <row r="17" ht="17.4" spans="1:22">
      <c r="A17" s="13" t="s">
        <v>253</v>
      </c>
      <c r="B17" s="14" t="s">
        <v>15</v>
      </c>
      <c r="C17" s="10">
        <f>'DESIGN INPUTS AND CALCULATIONS'!C169</f>
        <v>8200</v>
      </c>
      <c r="D17" s="15" t="s">
        <v>11</v>
      </c>
      <c r="E17" s="9"/>
      <c r="F17" s="5"/>
      <c r="G17" s="5"/>
      <c r="H17" s="5"/>
      <c r="I17" s="5"/>
      <c r="J17" s="5"/>
      <c r="K17" s="5"/>
      <c r="L17" s="5"/>
      <c r="M17" s="5"/>
      <c r="N17" s="5"/>
      <c r="O17" s="5"/>
      <c r="P17" s="5"/>
      <c r="Q17" s="5"/>
      <c r="R17" s="5"/>
      <c r="S17" s="5"/>
      <c r="T17" s="5"/>
      <c r="U17" s="5"/>
      <c r="V17" s="5"/>
    </row>
    <row r="18" ht="17.4" spans="1:22">
      <c r="A18" s="13" t="s">
        <v>256</v>
      </c>
      <c r="B18" s="14" t="s">
        <v>14</v>
      </c>
      <c r="C18" s="10">
        <f>'DESIGN INPUTS AND CALCULATIONS'!C171</f>
        <v>82</v>
      </c>
      <c r="D18" s="15" t="s">
        <v>11</v>
      </c>
      <c r="E18" s="9"/>
      <c r="F18" s="5"/>
      <c r="G18" s="5"/>
      <c r="H18" s="5"/>
      <c r="I18" s="5"/>
      <c r="J18" s="5"/>
      <c r="K18" s="5"/>
      <c r="L18" s="5"/>
      <c r="M18" s="5"/>
      <c r="N18" s="5"/>
      <c r="O18" s="5"/>
      <c r="P18" s="5"/>
      <c r="Q18" s="5"/>
      <c r="R18" s="5"/>
      <c r="S18" s="5"/>
      <c r="T18" s="5"/>
      <c r="U18" s="5"/>
      <c r="V18" s="5"/>
    </row>
    <row r="19" ht="17.4" spans="1:22">
      <c r="A19" s="6" t="s">
        <v>512</v>
      </c>
      <c r="B19" s="8" t="s">
        <v>513</v>
      </c>
      <c r="C19" s="16">
        <v>2.88</v>
      </c>
      <c r="D19" s="9" t="s">
        <v>514</v>
      </c>
      <c r="E19" s="17" t="s">
        <v>515</v>
      </c>
      <c r="F19" s="5"/>
      <c r="G19" s="5"/>
      <c r="H19" s="5"/>
      <c r="I19" s="5"/>
      <c r="J19" s="5"/>
      <c r="K19" s="5"/>
      <c r="L19" s="5"/>
      <c r="M19" s="5"/>
      <c r="N19" s="5"/>
      <c r="O19" s="5"/>
      <c r="P19" s="5"/>
      <c r="Q19" s="5"/>
      <c r="R19" s="5"/>
      <c r="S19" s="5"/>
      <c r="T19" s="5"/>
      <c r="U19" s="5"/>
      <c r="V19" s="5"/>
    </row>
    <row r="20" ht="30" spans="1:22">
      <c r="A20" s="6" t="s">
        <v>516</v>
      </c>
      <c r="B20" s="8" t="s">
        <v>517</v>
      </c>
      <c r="C20" s="16">
        <v>0</v>
      </c>
      <c r="D20" s="9" t="s">
        <v>518</v>
      </c>
      <c r="E20" s="17" t="s">
        <v>519</v>
      </c>
      <c r="F20" s="5"/>
      <c r="G20" s="5"/>
      <c r="H20" s="5"/>
      <c r="I20" s="5"/>
      <c r="J20" s="5"/>
      <c r="K20" s="5"/>
      <c r="L20" s="5"/>
      <c r="M20" s="5"/>
      <c r="N20" s="5"/>
      <c r="O20" s="5"/>
      <c r="P20" s="5"/>
      <c r="Q20" s="5"/>
      <c r="R20" s="5"/>
      <c r="S20" s="5"/>
      <c r="T20" s="5"/>
      <c r="U20" s="5"/>
      <c r="V20" s="5"/>
    </row>
    <row r="21" ht="64.8" spans="1:5">
      <c r="A21" s="6" t="s">
        <v>520</v>
      </c>
      <c r="B21" s="8" t="s">
        <v>521</v>
      </c>
      <c r="C21" s="16">
        <v>1</v>
      </c>
      <c r="D21" s="9"/>
      <c r="E21" s="17" t="s">
        <v>522</v>
      </c>
    </row>
    <row r="22" ht="17.4" spans="1:5">
      <c r="A22" s="6" t="s">
        <v>523</v>
      </c>
      <c r="B22" s="8" t="s">
        <v>524</v>
      </c>
      <c r="C22" s="18">
        <f>$C$21*$C$15</f>
        <v>103.25162929594</v>
      </c>
      <c r="D22" s="9" t="s">
        <v>77</v>
      </c>
      <c r="E22" s="9"/>
    </row>
    <row r="23" ht="15.75" spans="1:22">
      <c r="A23" s="5"/>
      <c r="B23" s="5"/>
      <c r="C23" s="5"/>
      <c r="D23" s="5"/>
      <c r="E23" s="5"/>
      <c r="F23" s="5"/>
      <c r="G23" s="5"/>
      <c r="H23" s="5"/>
      <c r="I23" s="5"/>
      <c r="J23" s="5"/>
      <c r="K23" s="5"/>
      <c r="L23" s="5"/>
      <c r="M23" s="5"/>
      <c r="N23" s="5"/>
      <c r="O23" s="5"/>
      <c r="P23" s="5"/>
      <c r="Q23" s="5"/>
      <c r="R23" s="5"/>
      <c r="S23" s="5"/>
      <c r="T23" s="5"/>
      <c r="U23" s="5"/>
      <c r="V23" s="5"/>
    </row>
    <row r="24" ht="15.6" spans="1:22">
      <c r="A24" s="1" t="s">
        <v>525</v>
      </c>
      <c r="B24" s="2"/>
      <c r="C24" s="2"/>
      <c r="D24" s="3"/>
      <c r="E24" s="4"/>
      <c r="F24" s="5"/>
      <c r="G24" s="5"/>
      <c r="H24" s="5"/>
      <c r="I24" s="5"/>
      <c r="J24" s="5"/>
      <c r="K24" s="5"/>
      <c r="L24" s="5"/>
      <c r="M24" s="5"/>
      <c r="N24" s="5"/>
      <c r="O24" s="5"/>
      <c r="P24" s="5"/>
      <c r="Q24" s="5"/>
      <c r="R24" s="5"/>
      <c r="S24" s="5"/>
      <c r="T24" s="5"/>
      <c r="U24" s="5"/>
      <c r="V24" s="5"/>
    </row>
    <row r="25" ht="18.6" customHeight="1" spans="1:22">
      <c r="A25" s="6" t="s">
        <v>526</v>
      </c>
      <c r="B25" s="7"/>
      <c r="C25" s="19" t="s">
        <v>468</v>
      </c>
      <c r="D25" s="9"/>
      <c r="E25" s="9"/>
      <c r="F25" s="5"/>
      <c r="G25" s="5"/>
      <c r="H25" s="5"/>
      <c r="I25" s="5"/>
      <c r="J25" s="5"/>
      <c r="K25" s="5"/>
      <c r="L25" s="5"/>
      <c r="M25" s="5"/>
      <c r="N25" s="5"/>
      <c r="O25" s="5"/>
      <c r="P25" s="5"/>
      <c r="Q25" s="5"/>
      <c r="R25" s="5"/>
      <c r="S25" s="5"/>
      <c r="T25" s="5"/>
      <c r="U25" s="5"/>
      <c r="V25" s="5"/>
    </row>
    <row r="26" ht="17.4" spans="1:22">
      <c r="A26" s="6" t="s">
        <v>527</v>
      </c>
      <c r="B26" s="8" t="s">
        <v>528</v>
      </c>
      <c r="C26" s="19">
        <v>147</v>
      </c>
      <c r="D26" s="9" t="s">
        <v>529</v>
      </c>
      <c r="E26" s="9"/>
      <c r="F26" s="5"/>
      <c r="G26" s="5"/>
      <c r="H26" s="5"/>
      <c r="I26" s="5"/>
      <c r="J26" s="5"/>
      <c r="K26" s="5"/>
      <c r="L26" s="5"/>
      <c r="M26" s="5"/>
      <c r="N26" s="5"/>
      <c r="O26" s="5"/>
      <c r="P26" s="5"/>
      <c r="Q26" s="5"/>
      <c r="R26" s="5"/>
      <c r="S26" s="5"/>
      <c r="T26" s="5"/>
      <c r="U26" s="5"/>
      <c r="V26" s="5"/>
    </row>
    <row r="27" ht="17.4" spans="1:22">
      <c r="A27" s="6" t="s">
        <v>530</v>
      </c>
      <c r="B27" s="8" t="s">
        <v>531</v>
      </c>
      <c r="C27" s="19">
        <v>16.9</v>
      </c>
      <c r="D27" s="9" t="s">
        <v>529</v>
      </c>
      <c r="E27" s="9"/>
      <c r="F27" s="5"/>
      <c r="G27" s="5"/>
      <c r="H27" s="5"/>
      <c r="I27" s="5"/>
      <c r="J27" s="5"/>
      <c r="K27" s="5"/>
      <c r="L27" s="5"/>
      <c r="M27" s="5"/>
      <c r="N27" s="5"/>
      <c r="O27" s="5"/>
      <c r="P27" s="5"/>
      <c r="Q27" s="5"/>
      <c r="R27" s="5"/>
      <c r="S27" s="5"/>
      <c r="T27" s="5"/>
      <c r="U27" s="5"/>
      <c r="V27" s="5"/>
    </row>
    <row r="28" ht="17.4" spans="1:22">
      <c r="A28" s="6" t="s">
        <v>532</v>
      </c>
      <c r="B28" s="8" t="s">
        <v>533</v>
      </c>
      <c r="C28" s="19">
        <v>33.2</v>
      </c>
      <c r="D28" s="9" t="s">
        <v>529</v>
      </c>
      <c r="E28" s="9"/>
      <c r="F28" s="5"/>
      <c r="G28" s="5"/>
      <c r="H28" s="5"/>
      <c r="I28" s="5"/>
      <c r="J28" s="5"/>
      <c r="K28" s="5"/>
      <c r="L28" s="5"/>
      <c r="M28" s="5"/>
      <c r="N28" s="5"/>
      <c r="O28" s="5"/>
      <c r="P28" s="5"/>
      <c r="Q28" s="5"/>
      <c r="R28" s="5"/>
      <c r="S28" s="5"/>
      <c r="T28" s="5"/>
      <c r="U28" s="5"/>
      <c r="V28" s="5"/>
    </row>
    <row r="29" ht="17.4" spans="1:22">
      <c r="A29" s="6" t="s">
        <v>534</v>
      </c>
      <c r="B29" s="8" t="s">
        <v>535</v>
      </c>
      <c r="C29" s="20">
        <v>10</v>
      </c>
      <c r="D29" s="9" t="s">
        <v>22</v>
      </c>
      <c r="E29" s="9"/>
      <c r="F29" s="5"/>
      <c r="G29" s="5"/>
      <c r="H29" s="5"/>
      <c r="I29" s="5"/>
      <c r="J29" s="5"/>
      <c r="K29" s="5"/>
      <c r="L29" s="5"/>
      <c r="M29" s="5"/>
      <c r="N29" s="5"/>
      <c r="O29" s="5"/>
      <c r="P29" s="5"/>
      <c r="Q29" s="5"/>
      <c r="R29" s="5"/>
      <c r="S29" s="5"/>
      <c r="T29" s="5"/>
      <c r="U29" s="5"/>
      <c r="V29" s="5"/>
    </row>
    <row r="30" ht="17.4" spans="1:22">
      <c r="A30" s="6" t="s">
        <v>536</v>
      </c>
      <c r="B30" s="8" t="s">
        <v>537</v>
      </c>
      <c r="C30" s="20">
        <v>150</v>
      </c>
      <c r="D30" s="11" t="s">
        <v>11</v>
      </c>
      <c r="E30" s="9"/>
      <c r="F30" s="5"/>
      <c r="G30" s="5"/>
      <c r="H30" s="5"/>
      <c r="I30" s="5"/>
      <c r="J30" s="5"/>
      <c r="K30" s="5"/>
      <c r="L30" s="5"/>
      <c r="M30" s="5"/>
      <c r="N30" s="5"/>
      <c r="O30" s="5"/>
      <c r="P30" s="5"/>
      <c r="Q30" s="5"/>
      <c r="R30" s="5"/>
      <c r="S30" s="5"/>
      <c r="T30" s="5"/>
      <c r="U30" s="5"/>
      <c r="V30" s="5"/>
    </row>
    <row r="31" ht="17.4" spans="1:22">
      <c r="A31" s="6" t="s">
        <v>538</v>
      </c>
      <c r="B31" s="8" t="s">
        <v>539</v>
      </c>
      <c r="C31" s="20">
        <v>1.21</v>
      </c>
      <c r="D31" s="9" t="s">
        <v>529</v>
      </c>
      <c r="E31" s="9"/>
      <c r="F31" s="5"/>
      <c r="G31" s="5"/>
      <c r="H31" s="5"/>
      <c r="I31" s="5"/>
      <c r="J31" s="5"/>
      <c r="K31" s="5"/>
      <c r="L31" s="5"/>
      <c r="M31" s="5"/>
      <c r="N31" s="5"/>
      <c r="O31" s="5"/>
      <c r="P31" s="5"/>
      <c r="Q31" s="5"/>
      <c r="R31" s="5"/>
      <c r="S31" s="5"/>
      <c r="T31" s="5"/>
      <c r="U31" s="5"/>
      <c r="V31" s="5"/>
    </row>
    <row r="32" ht="17.4" spans="1:22">
      <c r="A32" s="6" t="s">
        <v>540</v>
      </c>
      <c r="B32" s="8" t="s">
        <v>541</v>
      </c>
      <c r="C32" s="20">
        <v>4.7</v>
      </c>
      <c r="D32" s="11" t="s">
        <v>22</v>
      </c>
      <c r="E32" s="9"/>
      <c r="F32" s="5"/>
      <c r="G32" s="5"/>
      <c r="H32" s="5"/>
      <c r="I32" s="5"/>
      <c r="J32" s="5"/>
      <c r="K32" s="5"/>
      <c r="L32" s="5"/>
      <c r="M32" s="5"/>
      <c r="N32" s="5"/>
      <c r="O32" s="5"/>
      <c r="P32" s="5"/>
      <c r="Q32" s="5"/>
      <c r="R32" s="5"/>
      <c r="S32" s="5"/>
      <c r="T32" s="5"/>
      <c r="U32" s="5"/>
      <c r="V32" s="5"/>
    </row>
    <row r="33" ht="17.4" spans="1:22">
      <c r="A33" s="6" t="s">
        <v>542</v>
      </c>
      <c r="B33" s="8" t="s">
        <v>543</v>
      </c>
      <c r="C33" s="20"/>
      <c r="D33" s="11" t="s">
        <v>44</v>
      </c>
      <c r="E33" s="9"/>
      <c r="F33" s="5"/>
      <c r="G33" s="5"/>
      <c r="H33" s="5"/>
      <c r="I33" s="5"/>
      <c r="J33" s="5"/>
      <c r="K33" s="5"/>
      <c r="L33" s="5"/>
      <c r="M33" s="5"/>
      <c r="N33" s="5"/>
      <c r="O33" s="5"/>
      <c r="P33" s="5"/>
      <c r="Q33" s="5"/>
      <c r="R33" s="5"/>
      <c r="S33" s="5"/>
      <c r="T33" s="5"/>
      <c r="U33" s="5"/>
      <c r="V33" s="5"/>
    </row>
    <row r="34" ht="17.4" spans="1:22">
      <c r="A34" s="6" t="s">
        <v>544</v>
      </c>
      <c r="B34" s="8" t="s">
        <v>545</v>
      </c>
      <c r="C34" s="20">
        <v>9.09</v>
      </c>
      <c r="D34" s="9" t="s">
        <v>529</v>
      </c>
      <c r="E34" s="9"/>
      <c r="F34" s="5"/>
      <c r="G34" s="5"/>
      <c r="H34" s="5"/>
      <c r="I34" s="5"/>
      <c r="J34" s="5"/>
      <c r="K34" s="5"/>
      <c r="L34" s="5"/>
      <c r="M34" s="5"/>
      <c r="N34" s="5"/>
      <c r="O34" s="5"/>
      <c r="P34" s="5"/>
      <c r="Q34" s="5"/>
      <c r="R34" s="5"/>
      <c r="S34" s="5"/>
      <c r="T34" s="5"/>
      <c r="U34" s="5"/>
      <c r="V34" s="5"/>
    </row>
    <row r="35" spans="1:22">
      <c r="A35" s="6" t="s">
        <v>546</v>
      </c>
      <c r="B35" s="8" t="s">
        <v>481</v>
      </c>
      <c r="C35" s="20">
        <v>1</v>
      </c>
      <c r="D35" s="11"/>
      <c r="E35" s="9"/>
      <c r="F35" s="5"/>
      <c r="G35" s="5"/>
      <c r="H35" s="5"/>
      <c r="I35" s="5"/>
      <c r="J35" s="5"/>
      <c r="K35" s="5"/>
      <c r="L35" s="5"/>
      <c r="M35" s="5"/>
      <c r="N35" s="5"/>
      <c r="O35" s="5"/>
      <c r="P35" s="5"/>
      <c r="Q35" s="5"/>
      <c r="R35" s="5"/>
      <c r="S35" s="5"/>
      <c r="T35" s="5"/>
      <c r="U35" s="5"/>
      <c r="V35" s="5"/>
    </row>
    <row r="36" ht="17.4" spans="1:22">
      <c r="A36" s="6" t="s">
        <v>547</v>
      </c>
      <c r="B36" s="8" t="s">
        <v>548</v>
      </c>
      <c r="C36" s="20">
        <v>20</v>
      </c>
      <c r="D36" s="11" t="s">
        <v>77</v>
      </c>
      <c r="E36" s="9"/>
      <c r="F36" s="5"/>
      <c r="G36" s="5"/>
      <c r="H36" s="5"/>
      <c r="I36" s="5"/>
      <c r="J36" s="5"/>
      <c r="K36" s="5"/>
      <c r="L36" s="5"/>
      <c r="M36" s="5"/>
      <c r="N36" s="5"/>
      <c r="O36" s="5"/>
      <c r="P36" s="5"/>
      <c r="Q36" s="5"/>
      <c r="R36" s="5"/>
      <c r="S36" s="5"/>
      <c r="T36" s="5"/>
      <c r="U36" s="5"/>
      <c r="V36" s="5"/>
    </row>
    <row r="37" spans="1:22">
      <c r="A37" s="5"/>
      <c r="B37" s="5"/>
      <c r="C37" s="5"/>
      <c r="D37" s="5"/>
      <c r="E37" s="5"/>
      <c r="F37" s="5"/>
      <c r="G37" s="5"/>
      <c r="H37" s="5"/>
      <c r="I37" s="5"/>
      <c r="J37" s="5"/>
      <c r="K37" s="5"/>
      <c r="L37" s="5"/>
      <c r="M37" s="5"/>
      <c r="N37" s="5"/>
      <c r="O37" s="5"/>
      <c r="P37" s="5"/>
      <c r="Q37" s="5"/>
      <c r="R37" s="5"/>
      <c r="S37" s="5"/>
      <c r="T37" s="5"/>
      <c r="U37" s="5"/>
      <c r="V37" s="5"/>
    </row>
    <row r="38" spans="1:22">
      <c r="A38" s="5"/>
      <c r="B38" s="5"/>
      <c r="C38" s="5"/>
      <c r="D38" s="5"/>
      <c r="E38" s="5"/>
      <c r="F38" s="5"/>
      <c r="G38" s="5"/>
      <c r="H38" s="5"/>
      <c r="I38" s="5"/>
      <c r="J38" s="5"/>
      <c r="K38" s="5"/>
      <c r="L38" s="5"/>
      <c r="M38" s="5"/>
      <c r="N38" s="5"/>
      <c r="O38" s="5"/>
      <c r="P38" s="5"/>
      <c r="Q38" s="5"/>
      <c r="R38" s="5"/>
      <c r="S38" s="5"/>
      <c r="T38" s="5"/>
      <c r="U38" s="5"/>
      <c r="V38" s="5"/>
    </row>
    <row r="39" spans="1:22">
      <c r="A39" s="5"/>
      <c r="B39" s="5"/>
      <c r="C39" s="5"/>
      <c r="D39" s="5"/>
      <c r="E39" s="5"/>
      <c r="F39" s="5"/>
      <c r="G39" s="5"/>
      <c r="H39" s="5"/>
      <c r="I39" s="5"/>
      <c r="J39" s="5"/>
      <c r="K39" s="5"/>
      <c r="L39" s="5"/>
      <c r="M39" s="5"/>
      <c r="N39" s="5"/>
      <c r="O39" s="5"/>
      <c r="P39" s="5"/>
      <c r="Q39" s="5"/>
      <c r="R39" s="5"/>
      <c r="S39" s="5"/>
      <c r="T39" s="5"/>
      <c r="U39" s="5"/>
      <c r="V39" s="5"/>
    </row>
    <row r="40" spans="1:22">
      <c r="A40" s="5"/>
      <c r="B40" s="5"/>
      <c r="C40" s="5"/>
      <c r="D40" s="5"/>
      <c r="E40" s="5"/>
      <c r="F40" s="5"/>
      <c r="G40" s="5"/>
      <c r="H40" s="5"/>
      <c r="I40" s="5"/>
      <c r="J40" s="5"/>
      <c r="K40" s="5"/>
      <c r="L40" s="5"/>
      <c r="M40" s="5"/>
      <c r="N40" s="5"/>
      <c r="O40" s="5"/>
      <c r="P40" s="5"/>
      <c r="Q40" s="5"/>
      <c r="R40" s="5"/>
      <c r="S40" s="5"/>
      <c r="T40" s="5"/>
      <c r="U40" s="5"/>
      <c r="V40" s="5"/>
    </row>
  </sheetData>
  <mergeCells count="2">
    <mergeCell ref="A2:D2"/>
    <mergeCell ref="A24:D24"/>
  </mergeCells>
  <conditionalFormatting sqref="C33">
    <cfRule type="containsText" dxfId="2" priority="1" operator="between" text="Inner Loop">
      <formula>NOT(ISERROR(SEARCH("Inner Loop",C33)))</formula>
    </cfRule>
  </conditionalFormatting>
  <dataValidations count="2">
    <dataValidation type="list" allowBlank="1" showInputMessage="1" showErrorMessage="1" sqref="C25">
      <formula1>'tables and calculations'!$A$291:$A$292</formula1>
    </dataValidation>
    <dataValidation showErrorMessage="1" errorTitle="Cr value" error="Use a capacitor that is within 10% of the recommended value" promptTitle="Resonant Capacitor Value" prompt="Enter actual value of Resonant Capacitor used" sqref="C19:C21" errorStyle="warning"/>
  </dataValidations>
  <pageMargins left="0.7" right="0.7" top="0.75" bottom="0.75" header="0.3" footer="0.3"/>
  <pageSetup paperSize="1" orientation="portrait"/>
  <headerFooter/>
  <drawing r:id="rId1"/>
</worksheet>
</file>

<file path=docProps/app.xml><?xml version="1.0" encoding="utf-8"?>
<Properties xmlns="http://schemas.openxmlformats.org/officeDocument/2006/extended-properties" xmlns:vt="http://schemas.openxmlformats.org/officeDocument/2006/docPropsVTypes">
  <Company>Texas Instruments Incorporated</Company>
  <Application>Microsoft Excel</Application>
  <HeadingPairs>
    <vt:vector size="2" baseType="variant">
      <vt:variant>
        <vt:lpstr>工作表</vt:lpstr>
      </vt:variant>
      <vt:variant>
        <vt:i4>4</vt:i4>
      </vt:variant>
    </vt:vector>
  </HeadingPairs>
  <TitlesOfParts>
    <vt:vector size="4" baseType="lpstr">
      <vt:lpstr>SCHEMATIC</vt:lpstr>
      <vt:lpstr>DESIGN INPUTS AND CALCULATIONS</vt:lpstr>
      <vt:lpstr>tables and calculations</vt:lpstr>
      <vt:lpstr>Compensation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Dinwoodie, Lisa</dc:creator>
  <cp:lastModifiedBy>jeadchen</cp:lastModifiedBy>
  <dcterms:created xsi:type="dcterms:W3CDTF">2014-10-10T14:52:00Z</dcterms:created>
  <dcterms:modified xsi:type="dcterms:W3CDTF">2022-10-31T01:44:30Z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1028-11.8.2.8372</vt:lpwstr>
  </property>
</Properties>
</file>