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PROJECT\Demo Boards\LLC DC-DC\"/>
    </mc:Choice>
  </mc:AlternateContent>
  <xr:revisionPtr revIDLastSave="0" documentId="13_ncr:1_{ABF409CD-2136-483A-9BBB-15BA819323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put_Here" sheetId="1" r:id="rId1"/>
    <sheet name="Schematics and Values" sheetId="3" r:id="rId2"/>
    <sheet name="Calculation" sheetId="2" state="hidden" r:id="rId3"/>
  </sheets>
  <externalReferences>
    <externalReference r:id="rId4"/>
  </externalReferences>
  <definedNames>
    <definedName name="C_P13">[1]Calculations!$D$153</definedName>
    <definedName name="Cboot">[1]Calculations!$D$161</definedName>
    <definedName name="CBULK">'[1]Input Here'!$D$73</definedName>
    <definedName name="CBUR">[1]Calculations!$D$140</definedName>
    <definedName name="Cclamp_act">[1]Calculations!$D$78</definedName>
    <definedName name="CCS">[1]Calculations!$D$114</definedName>
    <definedName name="CDD_1">[1]Calculations!$D$177</definedName>
    <definedName name="CDD2_">[1]Calculations!$D$163</definedName>
    <definedName name="CFB">[1]Calculations!$D$183</definedName>
    <definedName name="Cint">[1]Calculations!$D$214</definedName>
    <definedName name="COUT">'[1]Input Here'!$D$80</definedName>
    <definedName name="CREF">[1]Calculations!$D$156</definedName>
    <definedName name="CSWS">[1]Calculations!$D$145</definedName>
    <definedName name="LK_act">[1]Calculations!$D$61</definedName>
    <definedName name="LM">[1]Calculations!$D$60</definedName>
    <definedName name="NA">[1]Calculations!$D$55</definedName>
    <definedName name="NP">[1]Calculations!$D$50</definedName>
    <definedName name="NPS">[1]Calculations!$D$49</definedName>
    <definedName name="NS">[1]Calculations!$D$52</definedName>
    <definedName name="PRcs">[1]Calculations!$D$106</definedName>
    <definedName name="R_OPP">[1]Calculations!$D$111</definedName>
    <definedName name="Rbias1">[1]Calculations!$D$191</definedName>
    <definedName name="Rbias2">[1]Calculations!$D$186</definedName>
    <definedName name="RBLEED">[1]Calculations!$D$83</definedName>
    <definedName name="RBUR1">[1]Calculations!$D$133</definedName>
    <definedName name="RBUR2">[1]Calculations!$D$136</definedName>
    <definedName name="RCO">'[1]Input Here'!$D$76</definedName>
    <definedName name="RCS">[1]Calculations!$D$104</definedName>
    <definedName name="RDD_1">[1]Calculations!$D$171</definedName>
    <definedName name="RDD2_">[1]Calculations!$D$165</definedName>
    <definedName name="RDM">[1]Calculations!$D$120</definedName>
    <definedName name="RFB">[1]Calculations!$D$182</definedName>
    <definedName name="RIPC">[1]Calculations!$D$220</definedName>
    <definedName name="RSWS">[1]Calculations!$D$148</definedName>
    <definedName name="RTZ">[1]Calculations!$D$126</definedName>
    <definedName name="Rvo1_">[1]Calculations!$D$200</definedName>
    <definedName name="Rvo2_">[1]Calculations!$D$197</definedName>
    <definedName name="RVS_1">[1]Calculations!$D$88</definedName>
    <definedName name="RVS_2">[1]Calculations!$D$97</definedName>
    <definedName name="Vcin_rated">'[1]Input Here'!$D$74</definedName>
    <definedName name="VOUT">'[1]Input Here'!$D$28</definedName>
  </definedNames>
  <calcPr calcId="191029"/>
</workbook>
</file>

<file path=xl/calcChain.xml><?xml version="1.0" encoding="utf-8"?>
<calcChain xmlns="http://schemas.openxmlformats.org/spreadsheetml/2006/main">
  <c r="D32" i="3" l="1"/>
  <c r="D48" i="1"/>
  <c r="D33" i="3"/>
  <c r="D23" i="3"/>
  <c r="D44" i="1"/>
  <c r="D28" i="3" s="1"/>
  <c r="D29" i="3" s="1"/>
  <c r="D45" i="1" s="1"/>
  <c r="D30" i="3" l="1"/>
  <c r="M53" i="2"/>
  <c r="L53" i="2"/>
  <c r="K53" i="2"/>
  <c r="K51" i="2"/>
  <c r="K50" i="2"/>
  <c r="D16" i="1"/>
  <c r="D17" i="3"/>
  <c r="D15" i="3"/>
  <c r="D13" i="3"/>
  <c r="D11" i="3"/>
  <c r="D9" i="3"/>
  <c r="D7" i="3"/>
  <c r="D5" i="3"/>
  <c r="D28" i="2" l="1"/>
  <c r="D27" i="2"/>
  <c r="D10" i="2"/>
  <c r="D36" i="1"/>
  <c r="D11" i="2" s="1"/>
  <c r="D38" i="2" s="1"/>
  <c r="D20" i="2"/>
  <c r="D9" i="2"/>
  <c r="D46" i="2" s="1"/>
  <c r="D8" i="2"/>
  <c r="D29" i="2" l="1"/>
  <c r="D52" i="1" l="1"/>
  <c r="D25" i="3" s="1"/>
  <c r="L12" i="2" l="1"/>
  <c r="L13" i="2"/>
  <c r="L14" i="2"/>
  <c r="L15" i="2"/>
  <c r="L16" i="2"/>
  <c r="L11" i="2"/>
  <c r="I13" i="2"/>
  <c r="I12" i="2"/>
  <c r="I11" i="2"/>
  <c r="I14" i="2"/>
  <c r="I15" i="2"/>
  <c r="D19" i="1"/>
  <c r="D21" i="2" s="1"/>
  <c r="D27" i="1" s="1"/>
  <c r="D39" i="2" l="1"/>
  <c r="D25" i="1" s="1"/>
  <c r="D7" i="2" l="1"/>
  <c r="D40" i="1"/>
  <c r="D50" i="1" l="1"/>
  <c r="D13" i="2"/>
  <c r="D31" i="3" l="1"/>
  <c r="D41" i="2"/>
  <c r="D42" i="2" l="1"/>
  <c r="D43" i="2"/>
  <c r="D44" i="2" l="1"/>
  <c r="D33" i="1" s="1"/>
  <c r="D32" i="1"/>
  <c r="D45" i="2"/>
  <c r="D37" i="1" l="1"/>
  <c r="D38" i="1" s="1"/>
  <c r="D19" i="3"/>
  <c r="D21" i="3"/>
  <c r="D30" i="2"/>
  <c r="D54" i="1" l="1"/>
  <c r="D26" i="3" s="1"/>
  <c r="D14" i="2"/>
  <c r="D35" i="2"/>
  <c r="D32" i="2"/>
  <c r="D33" i="2"/>
  <c r="D34" i="2"/>
  <c r="D31" i="2"/>
  <c r="D50" i="2" l="1"/>
  <c r="D34" i="1" s="1"/>
  <c r="D47" i="2"/>
  <c r="D16" i="2"/>
  <c r="D15" i="2"/>
  <c r="F14" i="2"/>
  <c r="D53" i="1"/>
  <c r="D36" i="2"/>
  <c r="D17" i="1" l="1"/>
  <c r="D19" i="2"/>
  <c r="D17" i="2"/>
  <c r="D43" i="1" s="1"/>
  <c r="D42" i="1"/>
  <c r="D34" i="3" l="1"/>
  <c r="D35" i="3"/>
  <c r="D23" i="2"/>
  <c r="D26" i="2" s="1"/>
  <c r="D23" i="1" s="1"/>
  <c r="D22" i="2"/>
  <c r="D25" i="2" s="1"/>
  <c r="D21" i="1" s="1"/>
</calcChain>
</file>

<file path=xl/sharedStrings.xml><?xml version="1.0" encoding="utf-8"?>
<sst xmlns="http://schemas.openxmlformats.org/spreadsheetml/2006/main" count="338" uniqueCount="185">
  <si>
    <t>UCC25800-Q1 Design Calculator</t>
  </si>
  <si>
    <t>Input voltage</t>
  </si>
  <si>
    <t>Output voltage</t>
  </si>
  <si>
    <t>Switching frequency</t>
  </si>
  <si>
    <t>Design Inputs</t>
  </si>
  <si>
    <t>V</t>
  </si>
  <si>
    <t>Unit</t>
  </si>
  <si>
    <t>A</t>
  </si>
  <si>
    <t>Hz</t>
  </si>
  <si>
    <t>s</t>
  </si>
  <si>
    <t>Ra</t>
  </si>
  <si>
    <t>Rb</t>
  </si>
  <si>
    <t>Primary side peak current</t>
  </si>
  <si>
    <t>Transformer turns ratio</t>
  </si>
  <si>
    <t>OCP1 setting</t>
  </si>
  <si>
    <t>OCP1_1</t>
  </si>
  <si>
    <t>OCP1_2</t>
  </si>
  <si>
    <t>OCP1_3</t>
  </si>
  <si>
    <t>OCP1_4</t>
  </si>
  <si>
    <t>OCP1_5</t>
  </si>
  <si>
    <t>OCP1_6</t>
  </si>
  <si>
    <t>Error</t>
  </si>
  <si>
    <t>Rth</t>
  </si>
  <si>
    <t>Ω</t>
  </si>
  <si>
    <t>Ra STD</t>
  </si>
  <si>
    <t>Rb STD</t>
  </si>
  <si>
    <t>Check</t>
  </si>
  <si>
    <t>Rth STD</t>
  </si>
  <si>
    <t>Check OCP1_1</t>
  </si>
  <si>
    <t>Check OCP1_2</t>
  </si>
  <si>
    <t>Check OCP1_3</t>
  </si>
  <si>
    <t>Check OCP1_4</t>
  </si>
  <si>
    <t>Check OCP1_5</t>
  </si>
  <si>
    <t>Check OCP1_6</t>
  </si>
  <si>
    <r>
      <t>R</t>
    </r>
    <r>
      <rPr>
        <vertAlign val="subscript"/>
        <sz val="11"/>
        <color theme="1"/>
        <rFont val="Calibri"/>
        <family val="2"/>
        <scheme val="minor"/>
      </rPr>
      <t>RT</t>
    </r>
  </si>
  <si>
    <r>
      <t>R</t>
    </r>
    <r>
      <rPr>
        <vertAlign val="subscript"/>
        <sz val="11"/>
        <color theme="1"/>
        <rFont val="Calibri"/>
        <family val="2"/>
        <scheme val="minor"/>
      </rPr>
      <t>RT</t>
    </r>
    <r>
      <rPr>
        <sz val="11"/>
        <color theme="1"/>
        <rFont val="Calibri"/>
        <family val="2"/>
        <scheme val="minor"/>
      </rPr>
      <t xml:space="preserve"> STD</t>
    </r>
  </si>
  <si>
    <t>F</t>
  </si>
  <si>
    <t>H</t>
  </si>
  <si>
    <t>CR1</t>
  </si>
  <si>
    <t>CR2</t>
  </si>
  <si>
    <t>Primary side RMS current</t>
  </si>
  <si>
    <t>Secondary side RMS current</t>
  </si>
  <si>
    <t>CR1 STD</t>
  </si>
  <si>
    <t>Output voltage ripple</t>
  </si>
  <si>
    <r>
      <t>C</t>
    </r>
    <r>
      <rPr>
        <vertAlign val="subscript"/>
        <sz val="11"/>
        <color theme="1"/>
        <rFont val="Calibri"/>
        <family val="2"/>
        <scheme val="minor"/>
      </rPr>
      <t>out</t>
    </r>
  </si>
  <si>
    <t>Vripple</t>
  </si>
  <si>
    <t>Value</t>
  </si>
  <si>
    <t>Breakdown voltage</t>
  </si>
  <si>
    <t>Peak current</t>
  </si>
  <si>
    <t>Diode type</t>
  </si>
  <si>
    <t>Schottky</t>
  </si>
  <si>
    <t>Average current</t>
  </si>
  <si>
    <t>50% margin</t>
  </si>
  <si>
    <t>20% margin</t>
  </si>
  <si>
    <t>Resonant frequency</t>
  </si>
  <si>
    <t>Notes:</t>
  </si>
  <si>
    <t xml:space="preserve"> </t>
  </si>
  <si>
    <t>Calculated results are in GRAY</t>
  </si>
  <si>
    <r>
      <t>Please enter design parameters into the YELLOW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</t>
    </r>
  </si>
  <si>
    <t>Output current, rated</t>
  </si>
  <si>
    <t>Output voltaeg ripple</t>
  </si>
  <si>
    <t>Transformer turns-ratio</t>
  </si>
  <si>
    <t>Maximum dead-time</t>
  </si>
  <si>
    <t>Turns-ratio, NS:NP</t>
  </si>
  <si>
    <r>
      <t>N</t>
    </r>
    <r>
      <rPr>
        <vertAlign val="subscript"/>
        <sz val="11"/>
        <color theme="1"/>
        <rFont val="Calibri"/>
        <family val="2"/>
        <scheme val="minor"/>
      </rPr>
      <t>SP</t>
    </r>
  </si>
  <si>
    <t>Primary-side RMS current</t>
  </si>
  <si>
    <t>Secondary-side RMS current</t>
  </si>
  <si>
    <t>Volt-second</t>
  </si>
  <si>
    <t>Leakage inductance</t>
  </si>
  <si>
    <t>VD</t>
  </si>
  <si>
    <t>IF, peak</t>
  </si>
  <si>
    <t>IF, avg</t>
  </si>
  <si>
    <t>Wb</t>
  </si>
  <si>
    <r>
      <t>C</t>
    </r>
    <r>
      <rPr>
        <vertAlign val="subscript"/>
        <sz val="11"/>
        <color theme="1"/>
        <rFont val="Calibri"/>
        <family val="2"/>
        <scheme val="minor"/>
      </rPr>
      <t>OUT</t>
    </r>
  </si>
  <si>
    <t>Variables</t>
  </si>
  <si>
    <t>Transformer</t>
  </si>
  <si>
    <t>Diodes</t>
  </si>
  <si>
    <r>
      <t>V</t>
    </r>
    <r>
      <rPr>
        <vertAlign val="subscript"/>
        <sz val="11"/>
        <color theme="1"/>
        <rFont val="Calibri"/>
        <family val="2"/>
        <scheme val="minor"/>
      </rPr>
      <t>OUT</t>
    </r>
    <r>
      <rPr>
        <sz val="11"/>
        <color theme="1"/>
        <rFont val="Calibri"/>
        <family val="2"/>
        <scheme val="minor"/>
      </rPr>
      <t xml:space="preserve"> = </t>
    </r>
  </si>
  <si>
    <r>
      <t>V</t>
    </r>
    <r>
      <rPr>
        <vertAlign val="subscript"/>
        <sz val="11"/>
        <color theme="1"/>
        <rFont val="Calibri"/>
        <family val="2"/>
        <scheme val="minor"/>
      </rPr>
      <t xml:space="preserve">IN  </t>
    </r>
    <r>
      <rPr>
        <sz val="11"/>
        <color theme="1"/>
        <rFont val="Calibri"/>
        <family val="2"/>
        <scheme val="minor"/>
      </rPr>
      <t>=</t>
    </r>
  </si>
  <si>
    <t>DTmax</t>
  </si>
  <si>
    <r>
      <t>V</t>
    </r>
    <r>
      <rPr>
        <vertAlign val="subscript"/>
        <sz val="11"/>
        <color theme="1"/>
        <rFont val="Calibri"/>
        <family val="2"/>
        <scheme val="minor"/>
      </rPr>
      <t>OC/DT</t>
    </r>
  </si>
  <si>
    <r>
      <rPr>
        <sz val="11"/>
        <color theme="1"/>
        <rFont val="Calibri"/>
        <family val="2"/>
      </rPr>
      <t>≥</t>
    </r>
    <r>
      <rPr>
        <sz val="8.800000000000000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20% margin for OCP1</t>
    </r>
  </si>
  <si>
    <r>
      <t>R</t>
    </r>
    <r>
      <rPr>
        <vertAlign val="subscript"/>
        <sz val="11"/>
        <color theme="1"/>
        <rFont val="Calibri"/>
        <family val="2"/>
        <scheme val="minor"/>
      </rPr>
      <t>RT</t>
    </r>
    <r>
      <rPr>
        <sz val="11"/>
        <color theme="1"/>
        <rFont val="Calibri"/>
        <family val="2"/>
        <scheme val="minor"/>
      </rPr>
      <t xml:space="preserve"> =   </t>
    </r>
  </si>
  <si>
    <t>From sheet of Input_Here</t>
  </si>
  <si>
    <t>Maximum average output current</t>
  </si>
  <si>
    <t>Ra =</t>
  </si>
  <si>
    <t xml:space="preserve">Rb = </t>
  </si>
  <si>
    <r>
      <t>f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= </t>
    </r>
  </si>
  <si>
    <r>
      <t>f</t>
    </r>
    <r>
      <rPr>
        <vertAlign val="subscript"/>
        <sz val="11"/>
        <color theme="1"/>
        <rFont val="Calibri"/>
        <family val="2"/>
        <scheme val="minor"/>
      </rPr>
      <t xml:space="preserve">SW </t>
    </r>
    <r>
      <rPr>
        <sz val="11"/>
        <color theme="1"/>
        <rFont val="Calibri"/>
        <family val="2"/>
        <scheme val="minor"/>
      </rPr>
      <t>=</t>
    </r>
  </si>
  <si>
    <r>
      <t>V</t>
    </r>
    <r>
      <rPr>
        <vertAlign val="subscript"/>
        <sz val="11"/>
        <color theme="1"/>
        <rFont val="Calibri"/>
        <family val="2"/>
        <scheme val="minor"/>
      </rPr>
      <t>OC/DT</t>
    </r>
    <r>
      <rPr>
        <sz val="11"/>
        <color theme="1"/>
        <rFont val="Calibri"/>
        <family val="2"/>
        <scheme val="minor"/>
      </rPr>
      <t xml:space="preserve"> = </t>
    </r>
  </si>
  <si>
    <t>Recommended</t>
  </si>
  <si>
    <t>ratio</t>
  </si>
  <si>
    <t>N/A</t>
  </si>
  <si>
    <t>OCP1</t>
  </si>
  <si>
    <t>User selection</t>
  </si>
  <si>
    <t>Calculated</t>
  </si>
  <si>
    <t>Seen on primary-side</t>
  </si>
  <si>
    <t>Need to consider DC voltage capacitance reduction</t>
  </si>
  <si>
    <t>Reference Designator</t>
  </si>
  <si>
    <t>Description/Comments</t>
  </si>
  <si>
    <t>Value:</t>
  </si>
  <si>
    <t>±1%</t>
  </si>
  <si>
    <t>kΩ</t>
  </si>
  <si>
    <t>kΩ</t>
  </si>
  <si>
    <t>µF</t>
  </si>
  <si>
    <t>Transformer
Parameters</t>
  </si>
  <si>
    <t>µH</t>
  </si>
  <si>
    <t>nF</t>
  </si>
  <si>
    <t>SELECTED Values</t>
  </si>
  <si>
    <t>Secondary-to-Primary Turns Ratio:</t>
  </si>
  <si>
    <r>
      <t>N</t>
    </r>
    <r>
      <rPr>
        <vertAlign val="subscript"/>
        <sz val="12"/>
        <rFont val="Arial"/>
        <family val="2"/>
      </rPr>
      <t>SP</t>
    </r>
  </si>
  <si>
    <r>
      <t>I</t>
    </r>
    <r>
      <rPr>
        <vertAlign val="subscript"/>
        <sz val="12"/>
        <rFont val="Arial"/>
        <family val="2"/>
      </rPr>
      <t>P_RMS</t>
    </r>
  </si>
  <si>
    <t>OCP1 =</t>
  </si>
  <si>
    <r>
      <t>Primary Inductance (</t>
    </r>
    <r>
      <rPr>
        <sz val="12"/>
        <rFont val="Calibri"/>
        <family val="2"/>
      </rPr>
      <t>≥</t>
    </r>
    <r>
      <rPr>
        <sz val="12"/>
        <rFont val="Arial"/>
        <family val="2"/>
      </rPr>
      <t>):</t>
    </r>
  </si>
  <si>
    <t>Primary Volt-Second</t>
  </si>
  <si>
    <t>Seoncdary-side RMS Current</t>
  </si>
  <si>
    <t>Primary-side RMS Current</t>
  </si>
  <si>
    <r>
      <t>I</t>
    </r>
    <r>
      <rPr>
        <vertAlign val="subscript"/>
        <sz val="12"/>
        <color theme="1"/>
        <rFont val="Arial"/>
        <family val="2"/>
      </rPr>
      <t>S_RMS</t>
    </r>
  </si>
  <si>
    <r>
      <t>R</t>
    </r>
    <r>
      <rPr>
        <b/>
        <vertAlign val="subscript"/>
        <sz val="12"/>
        <rFont val="Arial"/>
        <family val="2"/>
      </rPr>
      <t>a</t>
    </r>
  </si>
  <si>
    <r>
      <t>R</t>
    </r>
    <r>
      <rPr>
        <b/>
        <vertAlign val="subscript"/>
        <sz val="12"/>
        <rFont val="Arial"/>
        <family val="2"/>
      </rPr>
      <t>b</t>
    </r>
  </si>
  <si>
    <r>
      <t>R</t>
    </r>
    <r>
      <rPr>
        <b/>
        <vertAlign val="subscript"/>
        <sz val="12"/>
        <rFont val="Arial"/>
        <family val="2"/>
      </rPr>
      <t>RT</t>
    </r>
  </si>
  <si>
    <t>±10%</t>
  </si>
  <si>
    <r>
      <t>C</t>
    </r>
    <r>
      <rPr>
        <b/>
        <vertAlign val="subscript"/>
        <sz val="12"/>
        <rFont val="Arial"/>
        <family val="2"/>
      </rPr>
      <t>REG</t>
    </r>
  </si>
  <si>
    <r>
      <t>C</t>
    </r>
    <r>
      <rPr>
        <b/>
        <vertAlign val="subscript"/>
        <sz val="12"/>
        <rFont val="Arial"/>
        <family val="2"/>
      </rPr>
      <t>VCC</t>
    </r>
  </si>
  <si>
    <r>
      <t>C</t>
    </r>
    <r>
      <rPr>
        <b/>
        <vertAlign val="subscript"/>
        <sz val="12"/>
        <rFont val="Arial"/>
        <family val="2"/>
      </rPr>
      <t>B1</t>
    </r>
  </si>
  <si>
    <r>
      <t>C</t>
    </r>
    <r>
      <rPr>
        <b/>
        <vertAlign val="subscript"/>
        <sz val="12"/>
        <rFont val="Arial"/>
        <family val="2"/>
      </rPr>
      <t>B2</t>
    </r>
  </si>
  <si>
    <r>
      <t>C</t>
    </r>
    <r>
      <rPr>
        <b/>
        <vertAlign val="subscript"/>
        <sz val="12"/>
        <rFont val="Arial"/>
        <family val="2"/>
      </rPr>
      <t>R1</t>
    </r>
  </si>
  <si>
    <r>
      <t>C</t>
    </r>
    <r>
      <rPr>
        <b/>
        <vertAlign val="subscript"/>
        <sz val="12"/>
        <rFont val="Arial"/>
        <family val="2"/>
      </rPr>
      <t>R2</t>
    </r>
  </si>
  <si>
    <r>
      <t>C</t>
    </r>
    <r>
      <rPr>
        <b/>
        <vertAlign val="subscript"/>
        <sz val="12"/>
        <rFont val="Arial"/>
        <family val="2"/>
      </rPr>
      <t>OUT</t>
    </r>
  </si>
  <si>
    <t>Seen on secondary-side</t>
  </si>
  <si>
    <t>seen from secondary-side</t>
  </si>
  <si>
    <t>Leakage Inductance :</t>
  </si>
  <si>
    <t>After consider the capacitance reduction from applied voltage</t>
  </si>
  <si>
    <r>
      <t>L</t>
    </r>
    <r>
      <rPr>
        <vertAlign val="subscript"/>
        <sz val="12"/>
        <rFont val="Arial"/>
        <family val="2"/>
      </rPr>
      <t>P</t>
    </r>
  </si>
  <si>
    <r>
      <t>L</t>
    </r>
    <r>
      <rPr>
        <vertAlign val="subscript"/>
        <sz val="12"/>
        <rFont val="Arial"/>
        <family val="2"/>
      </rPr>
      <t>l</t>
    </r>
  </si>
  <si>
    <t>Ჶ</t>
  </si>
  <si>
    <t>((fo/fsw)*(0.637*Ipp/Nps))/(Vripple*fsw)</t>
  </si>
  <si>
    <t>Ratio of f0 to fsw</t>
  </si>
  <si>
    <t>D1, D2</t>
  </si>
  <si>
    <r>
      <t xml:space="preserve">VD </t>
    </r>
    <r>
      <rPr>
        <sz val="12"/>
        <color theme="1"/>
        <rFont val="Calibri"/>
        <family val="2"/>
      </rPr>
      <t>≥</t>
    </r>
  </si>
  <si>
    <r>
      <t xml:space="preserve">IF, avg </t>
    </r>
    <r>
      <rPr>
        <sz val="12"/>
        <color theme="1"/>
        <rFont val="Calibri"/>
        <family val="2"/>
      </rPr>
      <t>≥</t>
    </r>
  </si>
  <si>
    <r>
      <t>C</t>
    </r>
    <r>
      <rPr>
        <vertAlign val="subscript"/>
        <sz val="11"/>
        <color theme="1"/>
        <rFont val="Calibri"/>
        <family val="2"/>
        <scheme val="minor"/>
      </rPr>
      <t>VREG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</si>
  <si>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VCC </t>
    </r>
    <r>
      <rPr>
        <sz val="11"/>
        <color theme="1"/>
        <rFont val="Calibri"/>
        <family val="2"/>
        <scheme val="minor"/>
      </rPr>
      <t>=</t>
    </r>
  </si>
  <si>
    <t>UCC25800 Design Calculator Instructions</t>
  </si>
  <si>
    <t>This spreadsheet guides the user through the design process for the UCC25800 LLC half-bridge Controller. It is recommended that you read data sheet before using this design tool.</t>
  </si>
  <si>
    <t>1. Input data are required on column "Input_Here" only. Enter the desired design parameters in the YELLOW shaded boxes.</t>
  </si>
  <si>
    <t>2. The spreadsheet will calculate the ideal values and display the results.</t>
  </si>
  <si>
    <t>3. Actual standard values must be entered from nearest calculated value.</t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</si>
  <si>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B1 </t>
    </r>
    <r>
      <rPr>
        <sz val="11"/>
        <color theme="1"/>
        <rFont val="Calibri"/>
        <family val="2"/>
        <scheme val="minor"/>
      </rPr>
      <t xml:space="preserve">= </t>
    </r>
  </si>
  <si>
    <r>
      <t>I</t>
    </r>
    <r>
      <rPr>
        <vertAlign val="subscript"/>
        <sz val="11"/>
        <color theme="1"/>
        <rFont val="Calibri"/>
        <family val="2"/>
        <scheme val="minor"/>
      </rPr>
      <t xml:space="preserve">OUT 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</si>
  <si>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=</t>
    </r>
    <r>
      <rPr>
        <vertAlign val="subscript"/>
        <sz val="11"/>
        <color theme="1"/>
        <rFont val="Calibri"/>
        <family val="2"/>
        <scheme val="minor"/>
      </rPr>
      <t xml:space="preserve"> </t>
    </r>
  </si>
  <si>
    <r>
      <t>V</t>
    </r>
    <r>
      <rPr>
        <vertAlign val="subscript"/>
        <sz val="11"/>
        <color theme="1"/>
        <rFont val="Calibri"/>
        <family val="2"/>
        <scheme val="minor"/>
      </rPr>
      <t xml:space="preserve">O_PK-PK </t>
    </r>
    <r>
      <rPr>
        <sz val="11"/>
        <color theme="1"/>
        <rFont val="Calibri"/>
        <family val="2"/>
        <scheme val="minor"/>
      </rPr>
      <t>=</t>
    </r>
  </si>
  <si>
    <r>
      <t>N</t>
    </r>
    <r>
      <rPr>
        <vertAlign val="subscript"/>
        <sz val="11"/>
        <color theme="1"/>
        <rFont val="Calibri"/>
        <family val="2"/>
        <scheme val="minor"/>
      </rPr>
      <t xml:space="preserve">SP </t>
    </r>
    <r>
      <rPr>
        <sz val="11"/>
        <color theme="1"/>
        <rFont val="Calibri"/>
        <family val="2"/>
        <scheme val="minor"/>
      </rPr>
      <t>=</t>
    </r>
  </si>
  <si>
    <r>
      <t>DT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</si>
  <si>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B2 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</si>
  <si>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R1 </t>
    </r>
    <r>
      <rPr>
        <sz val="11"/>
        <color theme="1"/>
        <rFont val="Calibri"/>
        <family val="2"/>
        <scheme val="minor"/>
      </rPr>
      <t xml:space="preserve">= </t>
    </r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</si>
  <si>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R2 </t>
    </r>
    <r>
      <rPr>
        <sz val="11"/>
        <color theme="1"/>
        <rFont val="Calibri"/>
        <family val="2"/>
        <scheme val="minor"/>
      </rPr>
      <t>=</t>
    </r>
    <r>
      <rPr>
        <vertAlign val="subscript"/>
        <sz val="11"/>
        <color theme="1"/>
        <rFont val="Calibri"/>
        <family val="2"/>
        <scheme val="minor"/>
      </rPr>
      <t xml:space="preserve"> </t>
    </r>
  </si>
  <si>
    <r>
      <t>C</t>
    </r>
    <r>
      <rPr>
        <vertAlign val="subscript"/>
        <sz val="11"/>
        <color theme="1"/>
        <rFont val="Calibri"/>
        <family val="2"/>
        <scheme val="minor"/>
      </rPr>
      <t>OUT</t>
    </r>
    <r>
      <rPr>
        <sz val="11"/>
        <color theme="1"/>
        <rFont val="Calibri"/>
        <family val="2"/>
        <scheme val="minor"/>
      </rPr>
      <t xml:space="preserve"> =</t>
    </r>
  </si>
  <si>
    <r>
      <t>DT</t>
    </r>
    <r>
      <rPr>
        <vertAlign val="subscript"/>
        <sz val="11"/>
        <color theme="1"/>
        <rFont val="Calibri"/>
        <family val="2"/>
        <scheme val="minor"/>
      </rPr>
      <t xml:space="preserve">MAX </t>
    </r>
  </si>
  <si>
    <r>
      <t>L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 </t>
    </r>
  </si>
  <si>
    <t>µ-Wb</t>
  </si>
  <si>
    <t>Primary inductance</t>
  </si>
  <si>
    <r>
      <t>N</t>
    </r>
    <r>
      <rPr>
        <vertAlign val="subscript"/>
        <sz val="11"/>
        <color theme="1"/>
        <rFont val="Calibri"/>
        <family val="2"/>
        <scheme val="minor"/>
      </rPr>
      <t>SP</t>
    </r>
    <r>
      <rPr>
        <sz val="11"/>
        <color theme="1"/>
        <rFont val="Calibri"/>
        <family val="2"/>
        <scheme val="minor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</si>
  <si>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  <scheme val="minor"/>
      </rPr>
      <t xml:space="preserve">P_RMS </t>
    </r>
    <r>
      <rPr>
        <sz val="11"/>
        <color theme="1"/>
        <rFont val="Calibri"/>
        <family val="2"/>
        <scheme val="minor"/>
      </rPr>
      <t>=</t>
    </r>
  </si>
  <si>
    <r>
      <t>I</t>
    </r>
    <r>
      <rPr>
        <vertAlign val="subscript"/>
        <sz val="11"/>
        <color theme="1"/>
        <rFont val="Calibri"/>
        <family val="2"/>
        <scheme val="minor"/>
      </rPr>
      <t xml:space="preserve">S_RMS </t>
    </r>
    <r>
      <rPr>
        <sz val="11"/>
        <color theme="1"/>
        <rFont val="Calibri"/>
        <family val="2"/>
        <scheme val="minor"/>
      </rPr>
      <t>=</t>
    </r>
  </si>
  <si>
    <t>m =</t>
  </si>
  <si>
    <t>VS =</t>
  </si>
  <si>
    <t>Lp =</t>
  </si>
  <si>
    <r>
      <t>Inductance ratio Lp/L</t>
    </r>
    <r>
      <rPr>
        <vertAlign val="subscript"/>
        <sz val="11"/>
        <color theme="1"/>
        <rFont val="Calibri"/>
        <family val="2"/>
        <scheme val="minor"/>
      </rPr>
      <t>I</t>
    </r>
  </si>
  <si>
    <t>Inductance from volt-second (consider 50% tolerance)</t>
  </si>
  <si>
    <t>Inductance with margin x2</t>
  </si>
  <si>
    <t>seen from primary-side</t>
  </si>
  <si>
    <t>Note: Leakage inductance is used for series resonance inductance</t>
  </si>
  <si>
    <t>User selection, suggest select m &gt; 20</t>
  </si>
  <si>
    <t>Fill in corresponding current value</t>
  </si>
  <si>
    <r>
      <t>OCP1 limits I</t>
    </r>
    <r>
      <rPr>
        <vertAlign val="subscript"/>
        <sz val="11"/>
        <color theme="1"/>
        <rFont val="Calibri"/>
        <family val="2"/>
        <scheme val="minor"/>
      </rPr>
      <t>OUT</t>
    </r>
    <r>
      <rPr>
        <sz val="11"/>
        <color theme="1"/>
        <rFont val="Calibri"/>
        <family val="2"/>
        <scheme val="minor"/>
      </rPr>
      <t xml:space="preserve"> along with V</t>
    </r>
    <r>
      <rPr>
        <vertAlign val="subscript"/>
        <sz val="11"/>
        <color theme="1"/>
        <rFont val="Calibri"/>
        <family val="2"/>
        <scheme val="minor"/>
      </rPr>
      <t>IN</t>
    </r>
    <r>
      <rPr>
        <sz val="11"/>
        <color theme="1"/>
        <rFont val="Calibri"/>
        <family val="2"/>
        <scheme val="minor"/>
      </rPr>
      <t xml:space="preserve"> and V</t>
    </r>
    <r>
      <rPr>
        <vertAlign val="subscript"/>
        <sz val="11"/>
        <color theme="1"/>
        <rFont val="Calibri"/>
        <family val="2"/>
        <scheme val="minor"/>
      </rPr>
      <t>OUT</t>
    </r>
  </si>
  <si>
    <t>UCC25800-Q1 Design Calculator, Rev 1.0</t>
  </si>
  <si>
    <r>
      <t>Maximum P</t>
    </r>
    <r>
      <rPr>
        <vertAlign val="subscript"/>
        <sz val="11"/>
        <color theme="1"/>
        <rFont val="Calibri"/>
        <family val="2"/>
        <scheme val="minor"/>
      </rPr>
      <t>OUT</t>
    </r>
    <r>
      <rPr>
        <sz val="11"/>
        <color theme="1"/>
        <rFont val="Calibri"/>
        <family val="2"/>
        <scheme val="minor"/>
      </rPr>
      <t xml:space="preserve"> depends on V</t>
    </r>
    <r>
      <rPr>
        <vertAlign val="subscript"/>
        <sz val="11"/>
        <color theme="1"/>
        <rFont val="Calibri"/>
        <family val="2"/>
        <scheme val="minor"/>
      </rPr>
      <t xml:space="preserve">IN  </t>
    </r>
    <r>
      <rPr>
        <sz val="11"/>
        <color theme="1"/>
        <rFont val="Calibri"/>
        <family val="2"/>
        <scheme val="minor"/>
      </rPr>
      <t>and frequency</t>
    </r>
  </si>
  <si>
    <t>R, see the diagram on right</t>
  </si>
  <si>
    <t>Voltage on OC/DT pin</t>
  </si>
  <si>
    <t>C, see the diagram on right</t>
  </si>
  <si>
    <t>Output capacitor value</t>
  </si>
  <si>
    <t>VCC capacitor value</t>
  </si>
  <si>
    <t>UCC25800 Design Calculator, Rev 1.0, 2021-03-18</t>
  </si>
  <si>
    <r>
      <rPr>
        <b/>
        <sz val="14"/>
        <color theme="0"/>
        <rFont val="Calibri"/>
        <family val="2"/>
        <scheme val="minor"/>
      </rPr>
      <t>TI Literature Number:</t>
    </r>
    <r>
      <rPr>
        <b/>
        <sz val="16"/>
        <color theme="0"/>
        <rFont val="Calibri"/>
        <family val="2"/>
        <scheme val="minor"/>
      </rPr>
      <t xml:space="preserve"> SLUC705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</si>
</sst>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E+0"/>
  </numFmts>
  <fonts count="2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sz val="8.8000000000000007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vertAlign val="subscript"/>
      <sz val="12"/>
      <color theme="1"/>
      <name val="Arial"/>
      <family val="2"/>
    </font>
    <font>
      <b/>
      <sz val="11"/>
      <color rgb="FFFF00FF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4">
    <xf numFmtId="0" fontId="0" fillId="0" borderId="0" xfId="0"/>
    <xf numFmtId="0" fontId="1" fillId="0" borderId="0" xfId="0" applyFont="1"/>
    <xf numFmtId="11" fontId="0" fillId="0" borderId="0" xfId="0" applyNumberFormat="1"/>
    <xf numFmtId="48" fontId="0" fillId="0" borderId="0" xfId="0" applyNumberFormat="1"/>
    <xf numFmtId="20" fontId="0" fillId="0" borderId="0" xfId="0" quotePrefix="1" applyNumberFormat="1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8" fontId="0" fillId="3" borderId="0" xfId="0" applyNumberFormat="1" applyFill="1" applyAlignment="1">
      <alignment horizontal="center" vertical="center"/>
    </xf>
    <xf numFmtId="0" fontId="10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8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4" borderId="0" xfId="0" applyNumberFormat="1" applyFill="1" applyAlignment="1">
      <alignment horizontal="center" vertical="center"/>
    </xf>
    <xf numFmtId="48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0" fontId="0" fillId="3" borderId="1" xfId="0" applyFill="1" applyBorder="1"/>
    <xf numFmtId="0" fontId="12" fillId="5" borderId="7" xfId="1" applyFont="1" applyFill="1" applyBorder="1" applyAlignment="1">
      <alignment vertical="center"/>
    </xf>
    <xf numFmtId="0" fontId="13" fillId="5" borderId="13" xfId="1" applyFont="1" applyFill="1" applyBorder="1" applyAlignment="1">
      <alignment vertical="center"/>
    </xf>
    <xf numFmtId="0" fontId="13" fillId="5" borderId="14" xfId="1" applyFont="1" applyFill="1" applyBorder="1" applyAlignment="1">
      <alignment vertical="center"/>
    </xf>
    <xf numFmtId="0" fontId="13" fillId="5" borderId="15" xfId="1" applyFont="1" applyFill="1" applyBorder="1" applyAlignment="1">
      <alignment vertical="center"/>
    </xf>
    <xf numFmtId="0" fontId="13" fillId="5" borderId="19" xfId="1" applyFont="1" applyFill="1" applyBorder="1" applyAlignment="1">
      <alignment horizontal="left" vertical="center"/>
    </xf>
    <xf numFmtId="0" fontId="14" fillId="5" borderId="19" xfId="1" applyFont="1" applyFill="1" applyBorder="1" applyAlignment="1">
      <alignment horizontal="left" vertical="center"/>
    </xf>
    <xf numFmtId="0" fontId="13" fillId="5" borderId="17" xfId="1" applyFont="1" applyFill="1" applyBorder="1" applyAlignment="1">
      <alignment vertical="center"/>
    </xf>
    <xf numFmtId="0" fontId="13" fillId="5" borderId="20" xfId="1" applyFont="1" applyFill="1" applyBorder="1" applyAlignment="1">
      <alignment vertical="center"/>
    </xf>
    <xf numFmtId="0" fontId="15" fillId="5" borderId="3" xfId="1" applyFont="1" applyFill="1" applyBorder="1" applyAlignment="1">
      <alignment vertical="center"/>
    </xf>
    <xf numFmtId="165" fontId="15" fillId="5" borderId="17" xfId="1" applyNumberFormat="1" applyFont="1" applyFill="1" applyBorder="1" applyAlignment="1">
      <alignment vertical="center"/>
    </xf>
    <xf numFmtId="0" fontId="15" fillId="5" borderId="17" xfId="1" applyFont="1" applyFill="1" applyBorder="1" applyAlignment="1">
      <alignment vertical="center"/>
    </xf>
    <xf numFmtId="0" fontId="15" fillId="5" borderId="20" xfId="1" applyFont="1" applyFill="1" applyBorder="1" applyAlignment="1">
      <alignment vertical="center"/>
    </xf>
    <xf numFmtId="2" fontId="15" fillId="5" borderId="17" xfId="1" applyNumberFormat="1" applyFont="1" applyFill="1" applyBorder="1" applyAlignment="1">
      <alignment vertical="center"/>
    </xf>
    <xf numFmtId="164" fontId="15" fillId="5" borderId="17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4" fontId="13" fillId="5" borderId="17" xfId="1" quotePrefix="1" applyNumberFormat="1" applyFont="1" applyFill="1" applyBorder="1" applyAlignment="1">
      <alignment horizontal="right" vertical="center"/>
    </xf>
    <xf numFmtId="165" fontId="13" fillId="5" borderId="14" xfId="1" applyNumberFormat="1" applyFont="1" applyFill="1" applyBorder="1" applyAlignment="1">
      <alignment vertical="center"/>
    </xf>
    <xf numFmtId="165" fontId="13" fillId="5" borderId="19" xfId="1" applyNumberFormat="1" applyFont="1" applyFill="1" applyBorder="1" applyAlignment="1">
      <alignment vertical="center"/>
    </xf>
    <xf numFmtId="0" fontId="20" fillId="5" borderId="18" xfId="1" applyFont="1" applyFill="1" applyBorder="1" applyAlignment="1">
      <alignment horizontal="center" vertical="center"/>
    </xf>
    <xf numFmtId="0" fontId="20" fillId="5" borderId="4" xfId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/>
    </xf>
    <xf numFmtId="0" fontId="0" fillId="0" borderId="2" xfId="0" applyBorder="1"/>
    <xf numFmtId="165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8" fontId="0" fillId="2" borderId="1" xfId="0" applyNumberFormat="1" applyFill="1" applyBorder="1" applyAlignment="1" applyProtection="1">
      <alignment horizontal="center"/>
      <protection locked="0"/>
    </xf>
    <xf numFmtId="0" fontId="5" fillId="5" borderId="0" xfId="1" applyFill="1" applyAlignment="1">
      <alignment vertic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19" fillId="5" borderId="20" xfId="1" applyFont="1" applyFill="1" applyBorder="1" applyAlignment="1">
      <alignment vertical="center"/>
    </xf>
    <xf numFmtId="0" fontId="13" fillId="5" borderId="19" xfId="1" applyFont="1" applyFill="1" applyBorder="1" applyAlignment="1">
      <alignment vertical="center"/>
    </xf>
    <xf numFmtId="0" fontId="13" fillId="5" borderId="22" xfId="1" applyFont="1" applyFill="1" applyBorder="1" applyAlignment="1">
      <alignment vertical="center"/>
    </xf>
    <xf numFmtId="0" fontId="13" fillId="5" borderId="11" xfId="1" applyFont="1" applyFill="1" applyBorder="1" applyAlignment="1">
      <alignment vertical="center"/>
    </xf>
    <xf numFmtId="164" fontId="13" fillId="5" borderId="19" xfId="1" applyNumberFormat="1" applyFont="1" applyFill="1" applyBorder="1" applyAlignment="1">
      <alignment vertical="center"/>
    </xf>
    <xf numFmtId="0" fontId="24" fillId="7" borderId="0" xfId="0" applyFont="1" applyFill="1" applyAlignment="1">
      <alignment vertical="center"/>
    </xf>
    <xf numFmtId="166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26" fillId="9" borderId="0" xfId="0" applyFont="1" applyFill="1" applyAlignment="1">
      <alignment horizontal="center"/>
    </xf>
    <xf numFmtId="0" fontId="0" fillId="8" borderId="1" xfId="0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1" fillId="4" borderId="27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3" fillId="7" borderId="0" xfId="0" applyFont="1" applyFill="1" applyAlignment="1">
      <alignment horizontal="left" vertical="center"/>
    </xf>
    <xf numFmtId="0" fontId="24" fillId="7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7" borderId="0" xfId="0" applyFont="1" applyFill="1" applyAlignment="1">
      <alignment horizontal="left" vertical="center" wrapText="1"/>
    </xf>
    <xf numFmtId="0" fontId="6" fillId="2" borderId="25" xfId="0" applyFont="1" applyFill="1" applyBorder="1" applyAlignment="1">
      <alignment horizontal="left"/>
    </xf>
    <xf numFmtId="0" fontId="13" fillId="6" borderId="10" xfId="1" applyFont="1" applyFill="1" applyBorder="1" applyAlignment="1">
      <alignment horizontal="center" vertical="center"/>
    </xf>
    <xf numFmtId="0" fontId="13" fillId="6" borderId="11" xfId="1" applyFont="1" applyFill="1" applyBorder="1" applyAlignment="1">
      <alignment horizontal="center" vertical="center"/>
    </xf>
    <xf numFmtId="0" fontId="13" fillId="6" borderId="12" xfId="1" applyFont="1" applyFill="1" applyBorder="1" applyAlignment="1">
      <alignment horizontal="center" vertical="center"/>
    </xf>
    <xf numFmtId="0" fontId="20" fillId="5" borderId="4" xfId="1" applyFont="1" applyFill="1" applyBorder="1" applyAlignment="1">
      <alignment horizontal="center" vertical="center" wrapText="1"/>
    </xf>
    <xf numFmtId="0" fontId="20" fillId="5" borderId="21" xfId="1" applyFont="1" applyFill="1" applyBorder="1" applyAlignment="1">
      <alignment horizontal="center" vertical="center" wrapText="1"/>
    </xf>
    <xf numFmtId="0" fontId="20" fillId="5" borderId="21" xfId="1" applyFont="1" applyFill="1" applyBorder="1" applyAlignment="1">
      <alignment horizontal="center" vertical="center"/>
    </xf>
    <xf numFmtId="0" fontId="20" fillId="5" borderId="16" xfId="1" applyFont="1" applyFill="1" applyBorder="1" applyAlignment="1">
      <alignment horizontal="center" vertical="center"/>
    </xf>
    <xf numFmtId="0" fontId="13" fillId="6" borderId="10" xfId="1" applyFont="1" applyFill="1" applyBorder="1" applyAlignment="1">
      <alignment horizontal="left" vertical="center"/>
    </xf>
    <xf numFmtId="0" fontId="13" fillId="6" borderId="11" xfId="1" applyFont="1" applyFill="1" applyBorder="1" applyAlignment="1">
      <alignment horizontal="left" vertical="center"/>
    </xf>
    <xf numFmtId="0" fontId="13" fillId="6" borderId="12" xfId="1" applyFont="1" applyFill="1" applyBorder="1" applyAlignment="1">
      <alignment horizontal="left" vertical="center"/>
    </xf>
    <xf numFmtId="0" fontId="20" fillId="5" borderId="23" xfId="1" applyFont="1" applyFill="1" applyBorder="1" applyAlignment="1">
      <alignment horizontal="center" vertical="center"/>
    </xf>
    <xf numFmtId="0" fontId="20" fillId="5" borderId="24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/>
    </xf>
    <xf numFmtId="0" fontId="22" fillId="2" borderId="5" xfId="1" applyFont="1" applyFill="1" applyBorder="1" applyAlignment="1">
      <alignment horizontal="center" vertical="center"/>
    </xf>
    <xf numFmtId="0" fontId="22" fillId="2" borderId="6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left" vertical="center"/>
    </xf>
    <xf numFmtId="0" fontId="12" fillId="5" borderId="9" xfId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5">
    <cellStyle name="Normal" xfId="0" builtinId="0"/>
    <cellStyle name="Normal 2 2 2 2" xfId="4" xr:uid="{00000000-0005-0000-0000-000001000000}"/>
    <cellStyle name="Normal 4" xfId="1" xr:uid="{00000000-0005-0000-0000-000002000000}"/>
    <cellStyle name="Normal 4 2 2 2" xfId="2" xr:uid="{00000000-0005-0000-0000-000003000000}"/>
    <cellStyle name="Normal 7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2906184</xdr:colOff>
      <xdr:row>19</xdr:row>
      <xdr:rowOff>114336</xdr:rowOff>
    </xdr:from>
    <xdr:to>
      <xdr:col>6</xdr:col>
      <xdr:colOff>47625</xdr:colOff>
      <xdr:row>31</xdr:row>
      <xdr:rowOff>14968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9659" y="3867186"/>
          <a:ext cx="3170766" cy="2224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2705100</xdr:colOff>
          <xdr:row>5</xdr:row>
          <xdr:rowOff>180975</xdr:rowOff>
        </xdr:from>
        <xdr:to>
          <xdr:col>8</xdr:col>
          <xdr:colOff>1457325</xdr:colOff>
          <xdr:row>20</xdr:row>
          <xdr:rowOff>38100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1058</xdr:colOff>
      <xdr:row>19</xdr:row>
      <xdr:rowOff>91013</xdr:rowOff>
    </xdr:from>
    <xdr:to>
      <xdr:col>9</xdr:col>
      <xdr:colOff>251397</xdr:colOff>
      <xdr:row>31</xdr:row>
      <xdr:rowOff>74080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3458" y="3843863"/>
          <a:ext cx="3079264" cy="2307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3141133</xdr:colOff>
      <xdr:row>31</xdr:row>
      <xdr:rowOff>46561</xdr:rowOff>
    </xdr:from>
    <xdr:to>
      <xdr:col>10</xdr:col>
      <xdr:colOff>354656</xdr:colOff>
      <xdr:row>39</xdr:row>
      <xdr:rowOff>60108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4608" y="6123511"/>
          <a:ext cx="7290973" cy="1575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</xdr:row>
          <xdr:rowOff>57150</xdr:rowOff>
        </xdr:from>
        <xdr:to>
          <xdr:col>19</xdr:col>
          <xdr:colOff>571500</xdr:colOff>
          <xdr:row>18</xdr:row>
          <xdr:rowOff>209550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18</xdr:row>
      <xdr:rowOff>85725</xdr:rowOff>
    </xdr:from>
    <xdr:to>
      <xdr:col>11</xdr:col>
      <xdr:colOff>94955</xdr:colOff>
      <xdr:row>24</xdr:row>
      <xdr:rowOff>138914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181350"/>
          <a:ext cx="2361905" cy="12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</xdr:colOff>
      <xdr:row>43</xdr:row>
      <xdr:rowOff>15240</xdr:rowOff>
    </xdr:from>
    <xdr:to>
      <xdr:col>9</xdr:col>
      <xdr:colOff>119859</xdr:colOff>
      <xdr:row>47</xdr:row>
      <xdr:rowOff>30385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4040" y="8686800"/>
          <a:ext cx="1247619" cy="7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103216</xdr:colOff>
      <xdr:row>28</xdr:row>
      <xdr:rowOff>147551</xdr:rowOff>
    </xdr:from>
    <xdr:to>
      <xdr:col>12</xdr:col>
      <xdr:colOff>780358</xdr:colOff>
      <xdr:row>41</xdr:row>
      <xdr:rowOff>156591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9598" y="4913515"/>
          <a:ext cx="3942857" cy="2392022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590551</xdr:colOff>
      <xdr:row>10</xdr:row>
      <xdr:rowOff>107496</xdr:rowOff>
    </xdr:from>
    <xdr:to>
      <xdr:col>20</xdr:col>
      <xdr:colOff>164655</xdr:colOff>
      <xdr:row>25</xdr:row>
      <xdr:rowOff>40076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1" y="2154010"/>
          <a:ext cx="3841304" cy="2719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563336</xdr:colOff>
      <xdr:row>1</xdr:row>
      <xdr:rowOff>115202</xdr:rowOff>
    </xdr:from>
    <xdr:to>
      <xdr:col>24</xdr:col>
      <xdr:colOff>394564</xdr:colOff>
      <xdr:row>9</xdr:row>
      <xdr:rowOff>4081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3736" y="430888"/>
          <a:ext cx="6536828" cy="1430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26</xdr:row>
          <xdr:rowOff>19050</xdr:rowOff>
        </xdr:from>
        <xdr:to>
          <xdr:col>25</xdr:col>
          <xdr:colOff>9525</xdr:colOff>
          <xdr:row>43</xdr:row>
          <xdr:rowOff>47625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0798737\Downloads\UCC28782EVM-030\UCC28782%20Excel%20Design%20Calculator%20RevA_unlo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Here"/>
      <sheetName val="Calculations"/>
      <sheetName val="BUR Pin"/>
      <sheetName val="Schematic and Values"/>
      <sheetName val="Secondary Resonance"/>
      <sheetName val="Hidden"/>
      <sheetName val="Revision History"/>
    </sheetNames>
    <sheetDataSet>
      <sheetData sheetId="0">
        <row r="28">
          <cell r="D28">
            <v>20</v>
          </cell>
        </row>
        <row r="73">
          <cell r="D73">
            <v>78</v>
          </cell>
        </row>
        <row r="74">
          <cell r="D74">
            <v>400</v>
          </cell>
        </row>
        <row r="76">
          <cell r="D76">
            <v>20</v>
          </cell>
        </row>
        <row r="80">
          <cell r="D80">
            <v>680</v>
          </cell>
        </row>
      </sheetData>
      <sheetData sheetId="1">
        <row r="49">
          <cell r="D49">
            <v>5</v>
          </cell>
        </row>
        <row r="50">
          <cell r="D50">
            <v>25</v>
          </cell>
        </row>
        <row r="52">
          <cell r="D52">
            <v>5</v>
          </cell>
        </row>
        <row r="55">
          <cell r="D55">
            <v>5</v>
          </cell>
        </row>
        <row r="60">
          <cell r="D60">
            <v>110</v>
          </cell>
        </row>
        <row r="61">
          <cell r="D61">
            <v>2.5</v>
          </cell>
        </row>
        <row r="78">
          <cell r="D78">
            <v>0.66</v>
          </cell>
        </row>
        <row r="83">
          <cell r="D83">
            <v>3.3</v>
          </cell>
        </row>
        <row r="88">
          <cell r="D88">
            <v>56.2</v>
          </cell>
        </row>
        <row r="97">
          <cell r="D97">
            <v>14</v>
          </cell>
        </row>
        <row r="104">
          <cell r="D104">
            <v>0.12</v>
          </cell>
        </row>
        <row r="106">
          <cell r="D106">
            <v>0.59609378939463531</v>
          </cell>
        </row>
        <row r="111">
          <cell r="D111">
            <v>1000</v>
          </cell>
        </row>
        <row r="114">
          <cell r="D114">
            <v>100</v>
          </cell>
        </row>
        <row r="120">
          <cell r="D120">
            <v>191</v>
          </cell>
        </row>
        <row r="126">
          <cell r="D126">
            <v>243</v>
          </cell>
        </row>
        <row r="133">
          <cell r="D133">
            <v>169</v>
          </cell>
        </row>
        <row r="136">
          <cell r="D136">
            <v>37.4</v>
          </cell>
        </row>
        <row r="140">
          <cell r="D140">
            <v>330</v>
          </cell>
        </row>
        <row r="145">
          <cell r="D145">
            <v>22</v>
          </cell>
        </row>
        <row r="148">
          <cell r="D148">
            <v>510</v>
          </cell>
        </row>
        <row r="153">
          <cell r="D153">
            <v>1</v>
          </cell>
        </row>
        <row r="156">
          <cell r="D156">
            <v>0.22</v>
          </cell>
        </row>
        <row r="161">
          <cell r="D161">
            <v>22</v>
          </cell>
        </row>
        <row r="163">
          <cell r="D163">
            <v>1</v>
          </cell>
        </row>
        <row r="165">
          <cell r="D165">
            <v>2.2000000000000002</v>
          </cell>
        </row>
        <row r="171">
          <cell r="D171">
            <v>3.3</v>
          </cell>
        </row>
        <row r="177">
          <cell r="D177">
            <v>22</v>
          </cell>
        </row>
        <row r="182">
          <cell r="D182">
            <v>22</v>
          </cell>
        </row>
        <row r="183">
          <cell r="D183">
            <v>100</v>
          </cell>
        </row>
        <row r="186">
          <cell r="D186">
            <v>13</v>
          </cell>
        </row>
        <row r="191">
          <cell r="D191">
            <v>11</v>
          </cell>
        </row>
        <row r="197">
          <cell r="D197">
            <v>33.200000000000003</v>
          </cell>
        </row>
        <row r="200">
          <cell r="D200">
            <v>232</v>
          </cell>
        </row>
        <row r="214">
          <cell r="D214">
            <v>10</v>
          </cell>
        </row>
        <row r="220">
          <cell r="D22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Visio_2003-2010_Drawing1.vsd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2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55"/>
  <sheetViews>
    <sheetView topLeftCell="A31" zoomScale="130" zoomScaleNormal="130" workbookViewId="0">
      <selection activeCell="D56" sqref="D56"/>
    </sheetView>
  </sheetViews>
  <sheetFormatPr defaultRowHeight="15" x14ac:dyDescent="0.25"/>
  <cols>
    <col min="1" max="1" width="3.140625" customWidth="1"/>
    <col min="2" max="2" width="26.140625" customWidth="1"/>
    <col min="3" max="3" width="21.140625" customWidth="1"/>
    <col min="4" max="4" width="12.7109375" customWidth="1"/>
    <col min="6" max="6" width="87.85546875" customWidth="1"/>
    <col min="9" max="9" width="32.28515625" customWidth="1"/>
    <col min="12" max="12" width="9.28515625" customWidth="1"/>
    <col min="22" max="22" width="2.28515625" customWidth="1"/>
  </cols>
  <sheetData>
    <row r="1" spans="2:21" ht="21" x14ac:dyDescent="0.35">
      <c r="B1" s="73" t="s">
        <v>183</v>
      </c>
      <c r="C1" s="73"/>
      <c r="F1" s="72" t="s">
        <v>184</v>
      </c>
    </row>
    <row r="2" spans="2:21" x14ac:dyDescent="0.25">
      <c r="B2" s="80" t="s">
        <v>143</v>
      </c>
      <c r="C2" s="80"/>
      <c r="D2" s="80"/>
      <c r="E2" s="80"/>
      <c r="F2" s="80"/>
      <c r="G2" s="80"/>
      <c r="H2" s="80"/>
      <c r="I2" s="80"/>
    </row>
    <row r="3" spans="2:21" x14ac:dyDescent="0.25">
      <c r="B3" s="81" t="s">
        <v>144</v>
      </c>
      <c r="C3" s="82"/>
      <c r="D3" s="82"/>
      <c r="E3" s="82"/>
      <c r="F3" s="82"/>
      <c r="G3" s="82"/>
      <c r="H3" s="82"/>
      <c r="I3" s="82"/>
    </row>
    <row r="4" spans="2:21" x14ac:dyDescent="0.25">
      <c r="B4" s="69" t="s">
        <v>145</v>
      </c>
      <c r="C4" s="69"/>
      <c r="D4" s="69"/>
      <c r="E4" s="69"/>
      <c r="F4" s="69"/>
      <c r="G4" s="69"/>
      <c r="H4" s="69"/>
      <c r="I4" s="69"/>
    </row>
    <row r="5" spans="2:21" x14ac:dyDescent="0.25">
      <c r="B5" s="83" t="s">
        <v>146</v>
      </c>
      <c r="C5" s="83"/>
      <c r="D5" s="83"/>
      <c r="E5" s="83"/>
      <c r="F5" s="83"/>
      <c r="G5" s="83"/>
      <c r="H5" s="83"/>
      <c r="I5" s="83"/>
    </row>
    <row r="6" spans="2:21" ht="15.75" thickBot="1" x14ac:dyDescent="0.3">
      <c r="B6" s="83" t="s">
        <v>147</v>
      </c>
      <c r="C6" s="83"/>
      <c r="D6" s="83"/>
      <c r="E6" s="83"/>
      <c r="F6" s="83"/>
      <c r="G6" s="83"/>
      <c r="H6" s="83"/>
      <c r="I6" s="83"/>
    </row>
    <row r="7" spans="2:21" ht="21.75" thickBot="1" x14ac:dyDescent="0.4">
      <c r="B7" s="75" t="s">
        <v>176</v>
      </c>
      <c r="C7" s="76"/>
      <c r="D7" s="76"/>
      <c r="E7" s="77"/>
      <c r="H7" s="21"/>
      <c r="I7" s="21"/>
      <c r="J7" s="21"/>
      <c r="K7" s="21"/>
      <c r="L7" s="21"/>
      <c r="M7" s="21"/>
      <c r="N7" s="21"/>
    </row>
    <row r="8" spans="2:21" ht="18.600000000000001" customHeight="1" x14ac:dyDescent="0.35">
      <c r="B8" s="84" t="s">
        <v>58</v>
      </c>
      <c r="C8" s="84"/>
      <c r="D8" s="78" t="s">
        <v>56</v>
      </c>
      <c r="E8" s="78"/>
      <c r="H8" s="21"/>
      <c r="I8" s="21"/>
      <c r="J8" s="21"/>
      <c r="K8" s="21"/>
      <c r="L8" s="21"/>
      <c r="M8" s="21"/>
      <c r="N8" s="21"/>
    </row>
    <row r="9" spans="2:21" ht="15.6" customHeight="1" x14ac:dyDescent="0.35">
      <c r="B9" s="74" t="s">
        <v>57</v>
      </c>
      <c r="C9" s="74"/>
      <c r="D9" s="79" t="s">
        <v>56</v>
      </c>
      <c r="E9" s="79"/>
      <c r="H9" s="21"/>
      <c r="I9" s="21"/>
      <c r="J9" s="21"/>
      <c r="K9" s="21"/>
      <c r="L9" s="21"/>
      <c r="M9" s="21"/>
      <c r="N9" s="21"/>
    </row>
    <row r="10" spans="2:21" x14ac:dyDescent="0.25">
      <c r="B10" s="62" t="s">
        <v>4</v>
      </c>
      <c r="C10" s="63" t="s">
        <v>74</v>
      </c>
      <c r="D10" s="63" t="s">
        <v>46</v>
      </c>
      <c r="E10" s="63" t="s">
        <v>6</v>
      </c>
    </row>
    <row r="11" spans="2:21" ht="18" x14ac:dyDescent="0.35">
      <c r="B11" s="22" t="s">
        <v>1</v>
      </c>
      <c r="C11" s="29" t="s">
        <v>78</v>
      </c>
      <c r="D11" s="58">
        <v>24</v>
      </c>
      <c r="E11" s="23" t="s">
        <v>5</v>
      </c>
      <c r="F11" t="s">
        <v>177</v>
      </c>
    </row>
    <row r="12" spans="2:21" ht="18" x14ac:dyDescent="0.35">
      <c r="B12" s="22" t="s">
        <v>2</v>
      </c>
      <c r="C12" s="29" t="s">
        <v>77</v>
      </c>
      <c r="D12" s="58">
        <v>24</v>
      </c>
      <c r="E12" s="23" t="s">
        <v>5</v>
      </c>
    </row>
    <row r="13" spans="2:21" ht="18" x14ac:dyDescent="0.35">
      <c r="B13" s="22" t="s">
        <v>59</v>
      </c>
      <c r="C13" s="29" t="s">
        <v>149</v>
      </c>
      <c r="D13" s="59">
        <v>0.2</v>
      </c>
      <c r="E13" s="23" t="s">
        <v>7</v>
      </c>
      <c r="F13" t="s">
        <v>175</v>
      </c>
    </row>
    <row r="14" spans="2:21" ht="18" x14ac:dyDescent="0.35">
      <c r="B14" s="22" t="s">
        <v>54</v>
      </c>
      <c r="C14" s="29" t="s">
        <v>150</v>
      </c>
      <c r="D14" s="60">
        <v>510000</v>
      </c>
      <c r="E14" s="23" t="s">
        <v>8</v>
      </c>
      <c r="U14" s="2"/>
    </row>
    <row r="15" spans="2:21" ht="18" x14ac:dyDescent="0.35">
      <c r="B15" s="22" t="s">
        <v>60</v>
      </c>
      <c r="C15" s="29" t="s">
        <v>151</v>
      </c>
      <c r="D15" s="60">
        <v>0.02</v>
      </c>
      <c r="E15" s="23" t="s">
        <v>5</v>
      </c>
      <c r="U15" s="2"/>
    </row>
    <row r="16" spans="2:21" ht="18" x14ac:dyDescent="0.35">
      <c r="B16" s="22" t="s">
        <v>61</v>
      </c>
      <c r="C16" s="29" t="s">
        <v>152</v>
      </c>
      <c r="D16" s="26">
        <f>(D12+1)/D11</f>
        <v>1.0416666666666667</v>
      </c>
      <c r="E16" s="23" t="s">
        <v>91</v>
      </c>
    </row>
    <row r="17" spans="2:28" x14ac:dyDescent="0.25">
      <c r="B17" s="22" t="s">
        <v>14</v>
      </c>
      <c r="C17" s="22" t="s">
        <v>93</v>
      </c>
      <c r="D17" s="27" t="str">
        <f>Calculation!D15</f>
        <v>OCP1_6</v>
      </c>
      <c r="E17" s="23" t="s">
        <v>92</v>
      </c>
      <c r="F17" t="s">
        <v>81</v>
      </c>
    </row>
    <row r="18" spans="2:28" x14ac:dyDescent="0.25">
      <c r="B18" s="22"/>
      <c r="C18" s="29" t="s">
        <v>112</v>
      </c>
      <c r="D18" s="59">
        <v>0.5</v>
      </c>
      <c r="E18" s="23" t="s">
        <v>7</v>
      </c>
      <c r="F18" t="s">
        <v>174</v>
      </c>
    </row>
    <row r="19" spans="2:28" ht="18" x14ac:dyDescent="0.35">
      <c r="B19" s="22" t="s">
        <v>62</v>
      </c>
      <c r="C19" s="22" t="s">
        <v>158</v>
      </c>
      <c r="D19" s="28">
        <f>0.1*1/D14</f>
        <v>1.9607843137254904E-7</v>
      </c>
      <c r="E19" s="23" t="s">
        <v>9</v>
      </c>
      <c r="F19" t="s">
        <v>90</v>
      </c>
    </row>
    <row r="20" spans="2:28" ht="18" x14ac:dyDescent="0.35">
      <c r="B20" s="22"/>
      <c r="C20" s="29" t="s">
        <v>153</v>
      </c>
      <c r="D20" s="60">
        <v>1.9999999999999999E-7</v>
      </c>
      <c r="E20" s="23" t="s">
        <v>9</v>
      </c>
      <c r="F20" t="s">
        <v>94</v>
      </c>
    </row>
    <row r="21" spans="2:28" x14ac:dyDescent="0.25">
      <c r="B21" s="22" t="s">
        <v>178</v>
      </c>
      <c r="C21" s="22" t="s">
        <v>10</v>
      </c>
      <c r="D21" s="28">
        <f>Calculation!D25</f>
        <v>7500</v>
      </c>
      <c r="E21" s="24" t="s">
        <v>23</v>
      </c>
      <c r="F21" t="s">
        <v>90</v>
      </c>
    </row>
    <row r="22" spans="2:28" x14ac:dyDescent="0.25">
      <c r="B22" s="22"/>
      <c r="C22" s="29" t="s">
        <v>85</v>
      </c>
      <c r="D22" s="60">
        <v>7500</v>
      </c>
      <c r="E22" s="24" t="s">
        <v>23</v>
      </c>
      <c r="F22" t="s">
        <v>94</v>
      </c>
    </row>
    <row r="23" spans="2:28" x14ac:dyDescent="0.25">
      <c r="B23" s="22" t="s">
        <v>178</v>
      </c>
      <c r="C23" s="22" t="s">
        <v>11</v>
      </c>
      <c r="D23" s="28">
        <f>Calculation!D26</f>
        <v>3650</v>
      </c>
      <c r="E23" s="24" t="s">
        <v>23</v>
      </c>
      <c r="F23" t="s">
        <v>90</v>
      </c>
    </row>
    <row r="24" spans="2:28" x14ac:dyDescent="0.25">
      <c r="B24" s="22"/>
      <c r="C24" s="29" t="s">
        <v>86</v>
      </c>
      <c r="D24" s="60">
        <v>3600</v>
      </c>
      <c r="E24" s="24" t="s">
        <v>23</v>
      </c>
      <c r="F24" t="s">
        <v>94</v>
      </c>
    </row>
    <row r="25" spans="2:28" ht="18" x14ac:dyDescent="0.35">
      <c r="B25" s="22" t="s">
        <v>178</v>
      </c>
      <c r="C25" s="22" t="s">
        <v>34</v>
      </c>
      <c r="D25" s="28">
        <f>Calculation!D39</f>
        <v>51100</v>
      </c>
      <c r="E25" s="24" t="s">
        <v>23</v>
      </c>
      <c r="F25" t="s">
        <v>90</v>
      </c>
      <c r="AA25" s="3"/>
    </row>
    <row r="26" spans="2:28" ht="18" x14ac:dyDescent="0.35">
      <c r="B26" s="22"/>
      <c r="C26" s="29" t="s">
        <v>82</v>
      </c>
      <c r="D26" s="60">
        <v>51000</v>
      </c>
      <c r="E26" s="24" t="s">
        <v>23</v>
      </c>
      <c r="F26" t="s">
        <v>94</v>
      </c>
      <c r="AA26" s="3"/>
    </row>
    <row r="27" spans="2:28" ht="18" x14ac:dyDescent="0.35">
      <c r="B27" s="22" t="s">
        <v>179</v>
      </c>
      <c r="C27" s="29" t="s">
        <v>89</v>
      </c>
      <c r="D27" s="26">
        <f>Calculation!D21</f>
        <v>1.65</v>
      </c>
      <c r="E27" s="24" t="s">
        <v>5</v>
      </c>
      <c r="F27" t="s">
        <v>95</v>
      </c>
      <c r="AA27" s="3"/>
    </row>
    <row r="28" spans="2:28" ht="18" x14ac:dyDescent="0.35">
      <c r="B28" s="22"/>
      <c r="C28" s="29" t="s">
        <v>141</v>
      </c>
      <c r="D28" s="28">
        <v>9.9999999999999995E-7</v>
      </c>
      <c r="E28" s="24" t="s">
        <v>36</v>
      </c>
      <c r="F28" t="s">
        <v>90</v>
      </c>
      <c r="S28" s="2"/>
      <c r="V28" s="4"/>
      <c r="W28" s="5"/>
    </row>
    <row r="29" spans="2:28" ht="18" x14ac:dyDescent="0.35">
      <c r="B29" s="22" t="s">
        <v>182</v>
      </c>
      <c r="C29" s="29" t="s">
        <v>142</v>
      </c>
      <c r="D29" s="28">
        <v>9.9999999999999995E-7</v>
      </c>
      <c r="E29" s="24" t="s">
        <v>36</v>
      </c>
      <c r="F29" t="s">
        <v>90</v>
      </c>
    </row>
    <row r="30" spans="2:28" ht="18" x14ac:dyDescent="0.35">
      <c r="B30" s="22" t="s">
        <v>180</v>
      </c>
      <c r="C30" s="29" t="s">
        <v>148</v>
      </c>
      <c r="D30" s="28">
        <v>2.2000000000000001E-6</v>
      </c>
      <c r="E30" s="24" t="s">
        <v>36</v>
      </c>
      <c r="F30" t="s">
        <v>90</v>
      </c>
    </row>
    <row r="31" spans="2:28" ht="18" x14ac:dyDescent="0.35">
      <c r="B31" s="22" t="s">
        <v>180</v>
      </c>
      <c r="C31" s="29" t="s">
        <v>154</v>
      </c>
      <c r="D31" s="28">
        <v>2.2000000000000001E-6</v>
      </c>
      <c r="E31" s="23" t="s">
        <v>36</v>
      </c>
      <c r="F31" t="s">
        <v>90</v>
      </c>
    </row>
    <row r="32" spans="2:28" ht="18" x14ac:dyDescent="0.35">
      <c r="B32" s="22" t="s">
        <v>180</v>
      </c>
      <c r="C32" s="29" t="s">
        <v>155</v>
      </c>
      <c r="D32" s="28">
        <f>Calculation!D43</f>
        <v>2.2000000000000002E-8</v>
      </c>
      <c r="E32" s="23" t="s">
        <v>36</v>
      </c>
      <c r="F32" t="s">
        <v>95</v>
      </c>
      <c r="AB32" s="3"/>
    </row>
    <row r="33" spans="2:18" ht="18" x14ac:dyDescent="0.35">
      <c r="B33" s="22" t="s">
        <v>180</v>
      </c>
      <c r="C33" s="29" t="s">
        <v>156</v>
      </c>
      <c r="D33" s="28">
        <f>Calculation!D44</f>
        <v>2.2000000000000002E-8</v>
      </c>
      <c r="E33" s="23" t="s">
        <v>36</v>
      </c>
      <c r="F33" t="s">
        <v>95</v>
      </c>
    </row>
    <row r="34" spans="2:18" ht="18" x14ac:dyDescent="0.35">
      <c r="B34" s="22" t="s">
        <v>181</v>
      </c>
      <c r="C34" s="22" t="s">
        <v>73</v>
      </c>
      <c r="D34" s="28">
        <f>Calculation!D50</f>
        <v>2.806227945969145E-6</v>
      </c>
      <c r="E34" s="23" t="s">
        <v>36</v>
      </c>
      <c r="F34" t="s">
        <v>97</v>
      </c>
    </row>
    <row r="35" spans="2:18" ht="18" x14ac:dyDescent="0.35">
      <c r="B35" s="22"/>
      <c r="C35" s="29" t="s">
        <v>157</v>
      </c>
      <c r="D35" s="70">
        <v>4.6999999999999999E-6</v>
      </c>
      <c r="E35" s="23" t="s">
        <v>36</v>
      </c>
      <c r="F35" t="s">
        <v>94</v>
      </c>
    </row>
    <row r="36" spans="2:18" ht="18" x14ac:dyDescent="0.35">
      <c r="B36" s="22" t="s">
        <v>3</v>
      </c>
      <c r="C36" s="29" t="s">
        <v>88</v>
      </c>
      <c r="D36" s="28">
        <f>D26*10</f>
        <v>510000</v>
      </c>
      <c r="E36" s="23" t="s">
        <v>8</v>
      </c>
      <c r="F36" t="s">
        <v>95</v>
      </c>
    </row>
    <row r="37" spans="2:18" ht="18" x14ac:dyDescent="0.35">
      <c r="B37" s="22" t="s">
        <v>54</v>
      </c>
      <c r="C37" s="29" t="s">
        <v>87</v>
      </c>
      <c r="D37" s="28">
        <f>Calculation!D45</f>
        <v>594729.38474461343</v>
      </c>
      <c r="E37" s="23" t="s">
        <v>8</v>
      </c>
      <c r="F37" t="s">
        <v>95</v>
      </c>
    </row>
    <row r="38" spans="2:18" x14ac:dyDescent="0.25">
      <c r="B38" s="22" t="s">
        <v>137</v>
      </c>
      <c r="C38" s="29"/>
      <c r="D38" s="28">
        <f>D37/D36</f>
        <v>1.1661360485188499</v>
      </c>
      <c r="E38" s="23"/>
    </row>
    <row r="39" spans="2:18" x14ac:dyDescent="0.25">
      <c r="B39" s="62" t="s">
        <v>75</v>
      </c>
      <c r="C39" s="62" t="s">
        <v>74</v>
      </c>
      <c r="D39" s="63" t="s">
        <v>46</v>
      </c>
      <c r="E39" s="63" t="s">
        <v>6</v>
      </c>
      <c r="I39" s="2"/>
    </row>
    <row r="40" spans="2:18" ht="18" x14ac:dyDescent="0.35">
      <c r="B40" s="22" t="s">
        <v>63</v>
      </c>
      <c r="C40" s="22" t="s">
        <v>64</v>
      </c>
      <c r="D40" s="26">
        <f>D16</f>
        <v>1.0416666666666667</v>
      </c>
      <c r="E40" s="23" t="s">
        <v>91</v>
      </c>
      <c r="F40" s="57" t="s">
        <v>95</v>
      </c>
    </row>
    <row r="41" spans="2:18" ht="18" x14ac:dyDescent="0.35">
      <c r="B41" s="22" t="s">
        <v>63</v>
      </c>
      <c r="C41" s="29" t="s">
        <v>162</v>
      </c>
      <c r="D41" s="71">
        <v>1</v>
      </c>
      <c r="E41" s="23" t="s">
        <v>91</v>
      </c>
      <c r="F41" s="57" t="s">
        <v>94</v>
      </c>
    </row>
    <row r="42" spans="2:18" ht="18" x14ac:dyDescent="0.35">
      <c r="B42" s="22" t="s">
        <v>65</v>
      </c>
      <c r="C42" s="29" t="s">
        <v>163</v>
      </c>
      <c r="D42" s="26">
        <f>Calculation!D16</f>
        <v>0.53968812015998069</v>
      </c>
      <c r="E42" s="23" t="s">
        <v>7</v>
      </c>
      <c r="F42" s="57" t="s">
        <v>95</v>
      </c>
      <c r="L42" s="3"/>
      <c r="M42" s="8"/>
      <c r="Q42" s="3"/>
      <c r="R42" s="8"/>
    </row>
    <row r="43" spans="2:18" ht="18" x14ac:dyDescent="0.35">
      <c r="B43" s="22" t="s">
        <v>66</v>
      </c>
      <c r="C43" s="29" t="s">
        <v>164</v>
      </c>
      <c r="D43" s="26">
        <f>Calculation!D17</f>
        <v>0.51810059535358144</v>
      </c>
      <c r="E43" s="23" t="s">
        <v>7</v>
      </c>
      <c r="F43" s="57" t="s">
        <v>95</v>
      </c>
    </row>
    <row r="44" spans="2:18" x14ac:dyDescent="0.25">
      <c r="B44" s="22" t="s">
        <v>67</v>
      </c>
      <c r="C44" s="29" t="s">
        <v>166</v>
      </c>
      <c r="D44" s="28">
        <f>(D11/2)/(4*D26*10)</f>
        <v>5.8823529411764709E-6</v>
      </c>
      <c r="E44" s="23" t="s">
        <v>72</v>
      </c>
      <c r="F44" t="s">
        <v>96</v>
      </c>
      <c r="G44" s="2">
        <v>2.2000000000000001E-6</v>
      </c>
    </row>
    <row r="45" spans="2:18" x14ac:dyDescent="0.25">
      <c r="B45" s="22" t="s">
        <v>161</v>
      </c>
      <c r="C45" s="29" t="s">
        <v>167</v>
      </c>
      <c r="D45" s="28">
        <f>'Schematics and Values'!D29*10^-6</f>
        <v>3.5294117647058827E-5</v>
      </c>
      <c r="E45" s="23" t="s">
        <v>37</v>
      </c>
      <c r="F45" t="s">
        <v>95</v>
      </c>
      <c r="I45" s="11"/>
    </row>
    <row r="46" spans="2:18" x14ac:dyDescent="0.25">
      <c r="B46" s="22" t="s">
        <v>161</v>
      </c>
      <c r="C46" s="29" t="s">
        <v>167</v>
      </c>
      <c r="D46" s="70">
        <v>3.4600000000000001E-5</v>
      </c>
      <c r="E46" s="23" t="s">
        <v>37</v>
      </c>
      <c r="F46" t="s">
        <v>94</v>
      </c>
      <c r="G46" s="3"/>
    </row>
    <row r="47" spans="2:18" ht="18" x14ac:dyDescent="0.35">
      <c r="B47" s="22" t="s">
        <v>168</v>
      </c>
      <c r="C47" s="29" t="s">
        <v>165</v>
      </c>
      <c r="D47" s="58">
        <v>23.2</v>
      </c>
      <c r="E47" s="23" t="s">
        <v>91</v>
      </c>
      <c r="F47" t="s">
        <v>173</v>
      </c>
    </row>
    <row r="48" spans="2:18" ht="18" x14ac:dyDescent="0.35">
      <c r="B48" s="22" t="s">
        <v>68</v>
      </c>
      <c r="C48" s="29" t="s">
        <v>159</v>
      </c>
      <c r="D48" s="28">
        <f>D46/D47</f>
        <v>1.4913793103448277E-6</v>
      </c>
      <c r="E48" s="23" t="s">
        <v>37</v>
      </c>
      <c r="F48" t="s">
        <v>96</v>
      </c>
    </row>
    <row r="49" spans="2:7" ht="18" x14ac:dyDescent="0.35">
      <c r="B49" s="22" t="s">
        <v>68</v>
      </c>
      <c r="C49" s="29" t="s">
        <v>159</v>
      </c>
      <c r="D49" s="70">
        <v>1.5E-6</v>
      </c>
      <c r="E49" s="23" t="s">
        <v>37</v>
      </c>
      <c r="F49" s="57" t="s">
        <v>94</v>
      </c>
      <c r="G49" s="2"/>
    </row>
    <row r="50" spans="2:7" x14ac:dyDescent="0.25">
      <c r="B50" s="22" t="s">
        <v>68</v>
      </c>
      <c r="C50" s="22"/>
      <c r="D50" s="56">
        <f>D49*D40^2</f>
        <v>1.627604166666667E-6</v>
      </c>
      <c r="E50" s="23" t="s">
        <v>37</v>
      </c>
      <c r="F50" t="s">
        <v>129</v>
      </c>
    </row>
    <row r="51" spans="2:7" x14ac:dyDescent="0.25">
      <c r="B51" s="62" t="s">
        <v>76</v>
      </c>
      <c r="C51" s="62" t="s">
        <v>74</v>
      </c>
      <c r="D51" s="63" t="s">
        <v>46</v>
      </c>
      <c r="E51" s="63" t="s">
        <v>6</v>
      </c>
    </row>
    <row r="52" spans="2:7" x14ac:dyDescent="0.25">
      <c r="B52" s="22" t="s">
        <v>47</v>
      </c>
      <c r="C52" s="22" t="s">
        <v>69</v>
      </c>
      <c r="D52" s="27">
        <f>D12*1.5</f>
        <v>36</v>
      </c>
      <c r="E52" s="23" t="s">
        <v>5</v>
      </c>
      <c r="F52" t="s">
        <v>52</v>
      </c>
    </row>
    <row r="53" spans="2:7" x14ac:dyDescent="0.25">
      <c r="B53" s="22" t="s">
        <v>48</v>
      </c>
      <c r="C53" s="22" t="s">
        <v>70</v>
      </c>
      <c r="D53" s="26">
        <f>Calculation!D14/Calculation!D13*1.2</f>
        <v>0.87924586634713175</v>
      </c>
      <c r="E53" s="23" t="s">
        <v>7</v>
      </c>
      <c r="F53" t="s">
        <v>53</v>
      </c>
    </row>
    <row r="54" spans="2:7" x14ac:dyDescent="0.25">
      <c r="B54" s="22" t="s">
        <v>51</v>
      </c>
      <c r="C54" s="22" t="s">
        <v>71</v>
      </c>
      <c r="D54" s="26">
        <f>D13*1.2*D38</f>
        <v>0.27987265164452396</v>
      </c>
      <c r="E54" s="23" t="s">
        <v>7</v>
      </c>
      <c r="F54" t="s">
        <v>53</v>
      </c>
    </row>
    <row r="55" spans="2:7" x14ac:dyDescent="0.25">
      <c r="B55" s="22" t="s">
        <v>49</v>
      </c>
      <c r="C55" s="25" t="s">
        <v>50</v>
      </c>
      <c r="D55" s="35"/>
      <c r="E55" s="23" t="s">
        <v>92</v>
      </c>
      <c r="F55" t="s">
        <v>90</v>
      </c>
    </row>
  </sheetData>
  <sheetProtection password="EFBD" sheet="1" objects="1" scenarios="1"/>
  <mergeCells count="10">
    <mergeCell ref="B1:C1"/>
    <mergeCell ref="B9:C9"/>
    <mergeCell ref="B7:E7"/>
    <mergeCell ref="D8:E8"/>
    <mergeCell ref="D9:E9"/>
    <mergeCell ref="B2:I2"/>
    <mergeCell ref="B3:I3"/>
    <mergeCell ref="B5:I5"/>
    <mergeCell ref="B6:I6"/>
    <mergeCell ref="B8:C8"/>
  </mergeCells>
  <pageMargins left="0.7" right="0.7" top="0.75" bottom="0.75" header="0.3" footer="0.3"/>
  <pageSetup paperSize="17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1039" r:id="rId4">
          <objectPr defaultSize="0" autoPict="0" r:id="rId5">
            <anchor moveWithCells="1">
              <from>
                <xdr:col>5</xdr:col>
                <xdr:colOff>2705100</xdr:colOff>
                <xdr:row>5</xdr:row>
                <xdr:rowOff>180975</xdr:rowOff>
              </from>
              <to>
                <xdr:col>8</xdr:col>
                <xdr:colOff>1457325</xdr:colOff>
                <xdr:row>20</xdr:row>
                <xdr:rowOff>38100</xdr:rowOff>
              </to>
            </anchor>
          </objectPr>
        </oleObject>
      </mc:Choice>
      <mc:Fallback>
        <oleObject progId="Visio.Drawing.11" shapeId="103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8"/>
  <sheetViews>
    <sheetView tabSelected="1" topLeftCell="A7" zoomScale="115" zoomScaleNormal="115" workbookViewId="0">
      <selection activeCell="H21" sqref="H21"/>
    </sheetView>
  </sheetViews>
  <sheetFormatPr defaultRowHeight="15" x14ac:dyDescent="0.25"/>
  <cols>
    <col min="1" max="1" width="4.28515625" customWidth="1"/>
    <col min="2" max="2" width="30.42578125" customWidth="1"/>
    <col min="3" max="3" width="40.140625" customWidth="1"/>
    <col min="4" max="4" width="8.42578125" customWidth="1"/>
    <col min="5" max="5" width="7.140625" customWidth="1"/>
    <col min="6" max="6" width="8.85546875" customWidth="1"/>
    <col min="9" max="10" width="8.85546875" customWidth="1"/>
  </cols>
  <sheetData>
    <row r="1" spans="2:6" ht="15.75" thickBot="1" x14ac:dyDescent="0.3"/>
    <row r="2" spans="2:6" ht="20.25" x14ac:dyDescent="0.25">
      <c r="B2" s="97" t="s">
        <v>108</v>
      </c>
      <c r="C2" s="98"/>
      <c r="D2" s="98"/>
      <c r="E2" s="98"/>
      <c r="F2" s="99"/>
    </row>
    <row r="3" spans="2:6" ht="18.75" thickBot="1" x14ac:dyDescent="0.3">
      <c r="B3" s="36" t="s">
        <v>98</v>
      </c>
      <c r="C3" s="100" t="s">
        <v>99</v>
      </c>
      <c r="D3" s="100"/>
      <c r="E3" s="100"/>
      <c r="F3" s="101"/>
    </row>
    <row r="4" spans="2:6" ht="15.75" thickBot="1" x14ac:dyDescent="0.3">
      <c r="B4" s="85"/>
      <c r="C4" s="86"/>
      <c r="D4" s="86"/>
      <c r="E4" s="86"/>
      <c r="F4" s="87"/>
    </row>
    <row r="5" spans="2:6" ht="19.5" thickBot="1" x14ac:dyDescent="0.3">
      <c r="B5" s="54" t="s">
        <v>118</v>
      </c>
      <c r="C5" s="37" t="s">
        <v>100</v>
      </c>
      <c r="D5" s="52">
        <f>Input_Here!D22/1000</f>
        <v>7.5</v>
      </c>
      <c r="E5" s="38" t="s">
        <v>102</v>
      </c>
      <c r="F5" s="39" t="s">
        <v>101</v>
      </c>
    </row>
    <row r="6" spans="2:6" ht="15.75" thickBot="1" x14ac:dyDescent="0.3">
      <c r="B6" s="85"/>
      <c r="C6" s="86"/>
      <c r="D6" s="86"/>
      <c r="E6" s="86"/>
      <c r="F6" s="87"/>
    </row>
    <row r="7" spans="2:6" ht="19.5" thickBot="1" x14ac:dyDescent="0.3">
      <c r="B7" s="55" t="s">
        <v>119</v>
      </c>
      <c r="C7" s="37" t="s">
        <v>100</v>
      </c>
      <c r="D7" s="53">
        <f>Input_Here!D24/1000</f>
        <v>3.6</v>
      </c>
      <c r="E7" s="41" t="s">
        <v>103</v>
      </c>
      <c r="F7" s="39" t="s">
        <v>101</v>
      </c>
    </row>
    <row r="8" spans="2:6" ht="15.75" thickBot="1" x14ac:dyDescent="0.3">
      <c r="B8" s="85"/>
      <c r="C8" s="86"/>
      <c r="D8" s="86"/>
      <c r="E8" s="86"/>
      <c r="F8" s="87"/>
    </row>
    <row r="9" spans="2:6" ht="19.5" thickBot="1" x14ac:dyDescent="0.3">
      <c r="B9" s="55" t="s">
        <v>120</v>
      </c>
      <c r="C9" s="37" t="s">
        <v>100</v>
      </c>
      <c r="D9" s="53">
        <f>Input_Here!D26/1000</f>
        <v>51</v>
      </c>
      <c r="E9" s="40" t="s">
        <v>102</v>
      </c>
      <c r="F9" s="39" t="s">
        <v>101</v>
      </c>
    </row>
    <row r="10" spans="2:6" ht="15.75" thickBot="1" x14ac:dyDescent="0.3">
      <c r="B10" s="85"/>
      <c r="C10" s="86"/>
      <c r="D10" s="86"/>
      <c r="E10" s="86"/>
      <c r="F10" s="87"/>
    </row>
    <row r="11" spans="2:6" ht="19.5" thickBot="1" x14ac:dyDescent="0.3">
      <c r="B11" s="54" t="s">
        <v>122</v>
      </c>
      <c r="C11" s="37" t="s">
        <v>100</v>
      </c>
      <c r="D11" s="52">
        <f>Input_Here!D28*10^6</f>
        <v>1</v>
      </c>
      <c r="E11" s="42" t="s">
        <v>104</v>
      </c>
      <c r="F11" s="39" t="s">
        <v>121</v>
      </c>
    </row>
    <row r="12" spans="2:6" ht="15.75" thickBot="1" x14ac:dyDescent="0.3">
      <c r="B12" s="85"/>
      <c r="C12" s="86"/>
      <c r="D12" s="86"/>
      <c r="E12" s="86"/>
      <c r="F12" s="87"/>
    </row>
    <row r="13" spans="2:6" ht="19.5" thickBot="1" x14ac:dyDescent="0.3">
      <c r="B13" s="55" t="s">
        <v>123</v>
      </c>
      <c r="C13" s="37" t="s">
        <v>100</v>
      </c>
      <c r="D13" s="52">
        <f>Input_Here!D29*10^6</f>
        <v>1</v>
      </c>
      <c r="E13" s="42" t="s">
        <v>104</v>
      </c>
      <c r="F13" s="39" t="s">
        <v>121</v>
      </c>
    </row>
    <row r="14" spans="2:6" ht="15.75" thickBot="1" x14ac:dyDescent="0.3">
      <c r="B14" s="85"/>
      <c r="C14" s="86"/>
      <c r="D14" s="86"/>
      <c r="E14" s="86"/>
      <c r="F14" s="87"/>
    </row>
    <row r="15" spans="2:6" ht="19.5" thickBot="1" x14ac:dyDescent="0.3">
      <c r="B15" s="54" t="s">
        <v>124</v>
      </c>
      <c r="C15" s="37" t="s">
        <v>100</v>
      </c>
      <c r="D15" s="52">
        <f>Input_Here!D30*10^6</f>
        <v>2.2000000000000002</v>
      </c>
      <c r="E15" s="42" t="s">
        <v>104</v>
      </c>
      <c r="F15" s="39" t="s">
        <v>121</v>
      </c>
    </row>
    <row r="16" spans="2:6" ht="15.75" thickBot="1" x14ac:dyDescent="0.3">
      <c r="B16" s="85"/>
      <c r="C16" s="86"/>
      <c r="D16" s="86"/>
      <c r="E16" s="86"/>
      <c r="F16" s="87"/>
    </row>
    <row r="17" spans="2:7" ht="19.5" thickBot="1" x14ac:dyDescent="0.3">
      <c r="B17" s="54" t="s">
        <v>125</v>
      </c>
      <c r="C17" s="37" t="s">
        <v>100</v>
      </c>
      <c r="D17" s="52">
        <f>Input_Here!D31*10^6</f>
        <v>2.2000000000000002</v>
      </c>
      <c r="E17" s="42" t="s">
        <v>104</v>
      </c>
      <c r="F17" s="39" t="s">
        <v>121</v>
      </c>
    </row>
    <row r="18" spans="2:7" ht="15.75" thickBot="1" x14ac:dyDescent="0.3">
      <c r="B18" s="85"/>
      <c r="C18" s="86"/>
      <c r="D18" s="86"/>
      <c r="E18" s="86"/>
      <c r="F18" s="87"/>
    </row>
    <row r="19" spans="2:7" ht="19.5" thickBot="1" x14ac:dyDescent="0.3">
      <c r="B19" s="54" t="s">
        <v>126</v>
      </c>
      <c r="C19" s="37" t="s">
        <v>100</v>
      </c>
      <c r="D19" s="52">
        <f>Input_Here!D32*10^9</f>
        <v>22.000000000000004</v>
      </c>
      <c r="E19" s="42" t="s">
        <v>107</v>
      </c>
      <c r="F19" s="39" t="s">
        <v>121</v>
      </c>
    </row>
    <row r="20" spans="2:7" ht="15.75" thickBot="1" x14ac:dyDescent="0.3">
      <c r="B20" s="85"/>
      <c r="C20" s="86"/>
      <c r="D20" s="86"/>
      <c r="E20" s="86"/>
      <c r="F20" s="87"/>
    </row>
    <row r="21" spans="2:7" ht="19.5" thickBot="1" x14ac:dyDescent="0.3">
      <c r="B21" s="54" t="s">
        <v>127</v>
      </c>
      <c r="C21" s="37" t="s">
        <v>100</v>
      </c>
      <c r="D21" s="52">
        <f>Input_Here!D33*10^9</f>
        <v>22.000000000000004</v>
      </c>
      <c r="E21" s="42" t="s">
        <v>107</v>
      </c>
      <c r="F21" s="39" t="s">
        <v>121</v>
      </c>
    </row>
    <row r="22" spans="2:7" ht="15.75" thickBot="1" x14ac:dyDescent="0.3">
      <c r="B22" s="85"/>
      <c r="C22" s="86"/>
      <c r="D22" s="86"/>
      <c r="E22" s="86"/>
      <c r="F22" s="87"/>
    </row>
    <row r="23" spans="2:7" ht="19.5" thickBot="1" x14ac:dyDescent="0.3">
      <c r="B23" s="55" t="s">
        <v>128</v>
      </c>
      <c r="C23" s="37" t="s">
        <v>100</v>
      </c>
      <c r="D23" s="52">
        <f>Input_Here!D35*10^6</f>
        <v>4.7</v>
      </c>
      <c r="E23" s="67" t="s">
        <v>104</v>
      </c>
      <c r="F23" s="39" t="s">
        <v>121</v>
      </c>
      <c r="G23" s="61" t="s">
        <v>132</v>
      </c>
    </row>
    <row r="24" spans="2:7" ht="15.75" thickBot="1" x14ac:dyDescent="0.3">
      <c r="B24" s="85"/>
      <c r="C24" s="86"/>
      <c r="D24" s="86"/>
      <c r="E24" s="86"/>
      <c r="F24" s="87"/>
    </row>
    <row r="25" spans="2:7" ht="16.149999999999999" customHeight="1" thickBot="1" x14ac:dyDescent="0.3">
      <c r="B25" s="95" t="s">
        <v>138</v>
      </c>
      <c r="C25" s="65" t="s">
        <v>139</v>
      </c>
      <c r="D25" s="53">
        <f>Input_Here!D52</f>
        <v>36</v>
      </c>
      <c r="E25" s="67" t="s">
        <v>5</v>
      </c>
      <c r="F25" s="66"/>
    </row>
    <row r="26" spans="2:7" ht="16.5" thickBot="1" x14ac:dyDescent="0.3">
      <c r="B26" s="96"/>
      <c r="C26" s="65" t="s">
        <v>140</v>
      </c>
      <c r="D26" s="68">
        <f>Input_Here!D54</f>
        <v>0.27987265164452396</v>
      </c>
      <c r="E26" s="67" t="s">
        <v>7</v>
      </c>
      <c r="F26" s="66"/>
    </row>
    <row r="27" spans="2:7" ht="15.75" thickBot="1" x14ac:dyDescent="0.3">
      <c r="B27" s="85"/>
      <c r="C27" s="86"/>
      <c r="D27" s="86"/>
      <c r="E27" s="86"/>
      <c r="F27" s="87"/>
    </row>
    <row r="28" spans="2:7" ht="19.5" x14ac:dyDescent="0.25">
      <c r="B28" s="88" t="s">
        <v>105</v>
      </c>
      <c r="C28" s="44" t="s">
        <v>113</v>
      </c>
      <c r="D28" s="45">
        <f>Input_Here!D44/(Input_Here!D18)*1.5*10^6</f>
        <v>17.647058823529413</v>
      </c>
      <c r="E28" s="46" t="s">
        <v>106</v>
      </c>
      <c r="F28" s="47" t="s">
        <v>133</v>
      </c>
      <c r="G28" t="s">
        <v>169</v>
      </c>
    </row>
    <row r="29" spans="2:7" ht="19.5" x14ac:dyDescent="0.25">
      <c r="B29" s="89"/>
      <c r="C29" s="44" t="s">
        <v>113</v>
      </c>
      <c r="D29" s="45">
        <f>2*D28</f>
        <v>35.294117647058826</v>
      </c>
      <c r="E29" s="46" t="s">
        <v>106</v>
      </c>
      <c r="F29" s="47" t="s">
        <v>133</v>
      </c>
      <c r="G29" t="s">
        <v>170</v>
      </c>
    </row>
    <row r="30" spans="2:7" ht="15.75" x14ac:dyDescent="0.25">
      <c r="B30" s="89"/>
      <c r="C30" s="44" t="s">
        <v>114</v>
      </c>
      <c r="D30" s="45">
        <f>Input_Here!D44*10^6</f>
        <v>5.882352941176471</v>
      </c>
      <c r="E30" s="46" t="s">
        <v>160</v>
      </c>
      <c r="F30" s="64" t="s">
        <v>135</v>
      </c>
    </row>
    <row r="31" spans="2:7" ht="19.5" x14ac:dyDescent="0.25">
      <c r="B31" s="90"/>
      <c r="C31" s="44" t="s">
        <v>131</v>
      </c>
      <c r="D31" s="48">
        <f>Input_Here!D50*10^6</f>
        <v>1.627604166666667</v>
      </c>
      <c r="E31" s="46" t="s">
        <v>106</v>
      </c>
      <c r="F31" s="47" t="s">
        <v>134</v>
      </c>
      <c r="G31" t="s">
        <v>130</v>
      </c>
    </row>
    <row r="32" spans="2:7" ht="19.5" x14ac:dyDescent="0.25">
      <c r="B32" s="90"/>
      <c r="C32" s="44" t="s">
        <v>131</v>
      </c>
      <c r="D32" s="48">
        <f>Input_Here!D49*10^6</f>
        <v>1.5</v>
      </c>
      <c r="E32" s="46" t="s">
        <v>106</v>
      </c>
      <c r="F32" s="47" t="s">
        <v>134</v>
      </c>
      <c r="G32" t="s">
        <v>171</v>
      </c>
    </row>
    <row r="33" spans="2:6" ht="19.5" x14ac:dyDescent="0.25">
      <c r="B33" s="91"/>
      <c r="C33" s="44" t="s">
        <v>109</v>
      </c>
      <c r="D33" s="49">
        <f>Input_Here!D41</f>
        <v>1</v>
      </c>
      <c r="E33" s="46"/>
      <c r="F33" s="47" t="s">
        <v>110</v>
      </c>
    </row>
    <row r="34" spans="2:6" ht="19.5" x14ac:dyDescent="0.25">
      <c r="B34" s="91"/>
      <c r="C34" s="44" t="s">
        <v>116</v>
      </c>
      <c r="D34" s="49">
        <f>Input_Here!D42</f>
        <v>0.53968812015998069</v>
      </c>
      <c r="E34" s="46" t="s">
        <v>7</v>
      </c>
      <c r="F34" s="47" t="s">
        <v>111</v>
      </c>
    </row>
    <row r="35" spans="2:6" ht="20.25" thickBot="1" x14ac:dyDescent="0.3">
      <c r="B35" s="91"/>
      <c r="C35" s="44" t="s">
        <v>115</v>
      </c>
      <c r="D35" s="51">
        <f>Input_Here!D43</f>
        <v>0.51810059535358144</v>
      </c>
      <c r="E35" s="42" t="s">
        <v>7</v>
      </c>
      <c r="F35" s="43" t="s">
        <v>117</v>
      </c>
    </row>
    <row r="36" spans="2:6" ht="15.75" thickBot="1" x14ac:dyDescent="0.3">
      <c r="B36" s="92" t="s">
        <v>172</v>
      </c>
      <c r="C36" s="93"/>
      <c r="D36" s="93"/>
      <c r="E36" s="93"/>
      <c r="F36" s="94"/>
    </row>
    <row r="37" spans="2:6" x14ac:dyDescent="0.25">
      <c r="B37" s="9"/>
      <c r="C37" s="50"/>
      <c r="D37" s="9"/>
      <c r="E37" s="9"/>
      <c r="F37" s="9"/>
    </row>
    <row r="38" spans="2:6" x14ac:dyDescent="0.25">
      <c r="B38" s="9"/>
      <c r="C38" s="9"/>
      <c r="D38" s="9"/>
      <c r="E38" s="9"/>
      <c r="F38" s="9"/>
    </row>
  </sheetData>
  <sheetProtection password="EFBD" sheet="1" objects="1" scenarios="1"/>
  <mergeCells count="17">
    <mergeCell ref="B2:F2"/>
    <mergeCell ref="C3:F3"/>
    <mergeCell ref="B4:F4"/>
    <mergeCell ref="B16:F16"/>
    <mergeCell ref="B18:F18"/>
    <mergeCell ref="B20:F20"/>
    <mergeCell ref="B22:F22"/>
    <mergeCell ref="B6:F6"/>
    <mergeCell ref="B8:F8"/>
    <mergeCell ref="B10:F10"/>
    <mergeCell ref="B12:F12"/>
    <mergeCell ref="B14:F14"/>
    <mergeCell ref="B27:F27"/>
    <mergeCell ref="B28:B35"/>
    <mergeCell ref="B36:F36"/>
    <mergeCell ref="B25:B26"/>
    <mergeCell ref="B24:F2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3074" r:id="rId4">
          <objectPr defaultSize="0" autoPict="0" r:id="rId5">
            <anchor moveWithCells="1">
              <from>
                <xdr:col>6</xdr:col>
                <xdr:colOff>390525</xdr:colOff>
                <xdr:row>1</xdr:row>
                <xdr:rowOff>57150</xdr:rowOff>
              </from>
              <to>
                <xdr:col>19</xdr:col>
                <xdr:colOff>571500</xdr:colOff>
                <xdr:row>18</xdr:row>
                <xdr:rowOff>209550</xdr:rowOff>
              </to>
            </anchor>
          </objectPr>
        </oleObject>
      </mc:Choice>
      <mc:Fallback>
        <oleObject progId="Visio.Drawing.11" shapeId="307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53"/>
  <sheetViews>
    <sheetView zoomScale="70" zoomScaleNormal="70" workbookViewId="0">
      <selection activeCell="B1" sqref="B1:D1"/>
    </sheetView>
  </sheetViews>
  <sheetFormatPr defaultRowHeight="15" x14ac:dyDescent="0.25"/>
  <cols>
    <col min="2" max="2" width="35" customWidth="1"/>
    <col min="3" max="3" width="15.42578125" customWidth="1"/>
    <col min="4" max="4" width="12" bestFit="1" customWidth="1"/>
    <col min="12" max="13" width="12" bestFit="1" customWidth="1"/>
  </cols>
  <sheetData>
    <row r="1" spans="2:12" ht="24.6" customHeight="1" x14ac:dyDescent="0.35">
      <c r="B1" s="103" t="s">
        <v>0</v>
      </c>
      <c r="C1" s="103"/>
      <c r="D1" s="103"/>
    </row>
    <row r="2" spans="2:12" x14ac:dyDescent="0.25">
      <c r="B2" s="14" t="s">
        <v>55</v>
      </c>
    </row>
    <row r="3" spans="2:12" ht="15.75" x14ac:dyDescent="0.25">
      <c r="B3" s="102" t="s">
        <v>83</v>
      </c>
      <c r="C3" s="102"/>
      <c r="D3" s="30"/>
      <c r="E3" s="15"/>
    </row>
    <row r="4" spans="2:12" ht="15.75" x14ac:dyDescent="0.25">
      <c r="B4" s="102" t="s">
        <v>57</v>
      </c>
      <c r="C4" s="102"/>
      <c r="D4" s="17" t="s">
        <v>56</v>
      </c>
      <c r="E4" s="16"/>
    </row>
    <row r="6" spans="2:12" ht="18.75" x14ac:dyDescent="0.3">
      <c r="B6" s="1" t="s">
        <v>4</v>
      </c>
      <c r="C6" s="1"/>
      <c r="D6" s="13" t="s">
        <v>46</v>
      </c>
      <c r="E6" s="13" t="s">
        <v>6</v>
      </c>
    </row>
    <row r="7" spans="2:12" x14ac:dyDescent="0.25">
      <c r="B7" t="s">
        <v>1</v>
      </c>
      <c r="D7" s="30">
        <f>Input_Here!D11</f>
        <v>24</v>
      </c>
      <c r="E7" s="11" t="s">
        <v>5</v>
      </c>
    </row>
    <row r="8" spans="2:12" x14ac:dyDescent="0.25">
      <c r="B8" t="s">
        <v>2</v>
      </c>
      <c r="D8" s="30">
        <f>Input_Here!D12</f>
        <v>24</v>
      </c>
      <c r="E8" s="11" t="s">
        <v>5</v>
      </c>
    </row>
    <row r="9" spans="2:12" x14ac:dyDescent="0.25">
      <c r="B9" t="s">
        <v>43</v>
      </c>
      <c r="D9" s="31">
        <f>Input_Here!D15</f>
        <v>0.02</v>
      </c>
      <c r="E9" s="11" t="s">
        <v>5</v>
      </c>
    </row>
    <row r="10" spans="2:12" x14ac:dyDescent="0.25">
      <c r="B10" t="s">
        <v>84</v>
      </c>
      <c r="D10" s="32">
        <f>Input_Here!D13</f>
        <v>0.2</v>
      </c>
      <c r="E10" s="11" t="s">
        <v>7</v>
      </c>
    </row>
    <row r="11" spans="2:12" x14ac:dyDescent="0.25">
      <c r="B11" t="s">
        <v>3</v>
      </c>
      <c r="D11" s="31">
        <f>Input_Here!D36</f>
        <v>510000</v>
      </c>
      <c r="E11" s="11" t="s">
        <v>8</v>
      </c>
      <c r="H11" t="s">
        <v>15</v>
      </c>
      <c r="I11" s="6">
        <f>1/6</f>
        <v>0.16666666666666666</v>
      </c>
      <c r="J11" s="2">
        <v>22250</v>
      </c>
      <c r="K11" s="2">
        <v>23150</v>
      </c>
      <c r="L11" s="2">
        <f>AVERAGE(J11:K11)</f>
        <v>22700</v>
      </c>
    </row>
    <row r="12" spans="2:12" x14ac:dyDescent="0.25">
      <c r="D12" s="10"/>
      <c r="E12" s="11"/>
      <c r="H12" t="s">
        <v>16</v>
      </c>
      <c r="I12" s="6">
        <f>2/6</f>
        <v>0.33333333333333331</v>
      </c>
      <c r="J12" s="2">
        <v>16400</v>
      </c>
      <c r="K12" s="2">
        <v>17000</v>
      </c>
      <c r="L12" s="2">
        <f t="shared" ref="L12:L16" si="0">AVERAGE(J12:K12)</f>
        <v>16700</v>
      </c>
    </row>
    <row r="13" spans="2:12" x14ac:dyDescent="0.25">
      <c r="B13" t="s">
        <v>13</v>
      </c>
      <c r="D13" s="33">
        <f>Input_Here!D16</f>
        <v>1.0416666666666667</v>
      </c>
      <c r="E13" s="11"/>
      <c r="H13" t="s">
        <v>17</v>
      </c>
      <c r="I13" s="6">
        <f>3/6</f>
        <v>0.5</v>
      </c>
      <c r="J13" s="2">
        <v>11700</v>
      </c>
      <c r="K13" s="2">
        <v>12100</v>
      </c>
      <c r="L13" s="2">
        <f t="shared" si="0"/>
        <v>11900</v>
      </c>
    </row>
    <row r="14" spans="2:12" x14ac:dyDescent="0.25">
      <c r="B14" t="s">
        <v>12</v>
      </c>
      <c r="D14" s="18">
        <f>PI()*D10*D13*Input_Here!D38</f>
        <v>0.76323425898188535</v>
      </c>
      <c r="E14" s="11" t="s">
        <v>7</v>
      </c>
      <c r="F14">
        <f>D14*1.2</f>
        <v>0.9158811107782624</v>
      </c>
      <c r="H14" t="s">
        <v>18</v>
      </c>
      <c r="I14" s="6">
        <f>4/6</f>
        <v>0.66666666666666663</v>
      </c>
      <c r="J14" s="2">
        <v>7950</v>
      </c>
      <c r="K14" s="2">
        <v>8250</v>
      </c>
      <c r="L14" s="2">
        <f t="shared" si="0"/>
        <v>8100</v>
      </c>
    </row>
    <row r="15" spans="2:12" x14ac:dyDescent="0.25">
      <c r="B15" t="s">
        <v>14</v>
      </c>
      <c r="D15" s="19" t="str">
        <f>IF(D14*1.2&lt;I11,H11,IF(D14*1.2&lt;I12,H12,IF(D14*1.2&lt;I13,H13,IF(D14*1.2&lt;I14,H14,IF(D14*1.2&lt;I15,H15,IF(D14*1.2&lt;I16,H16,H17))))))</f>
        <v>OCP1_6</v>
      </c>
      <c r="E15" s="11"/>
      <c r="H15" t="s">
        <v>19</v>
      </c>
      <c r="I15" s="6">
        <f>5/6</f>
        <v>0.83333333333333337</v>
      </c>
      <c r="J15" s="2">
        <v>4900</v>
      </c>
      <c r="K15" s="2">
        <v>5100</v>
      </c>
      <c r="L15" s="2">
        <f t="shared" si="0"/>
        <v>5000</v>
      </c>
    </row>
    <row r="16" spans="2:12" x14ac:dyDescent="0.25">
      <c r="B16" t="s">
        <v>40</v>
      </c>
      <c r="D16" s="18">
        <f>D14/SQRT(2)</f>
        <v>0.53968812015998069</v>
      </c>
      <c r="E16" s="11" t="s">
        <v>7</v>
      </c>
      <c r="H16" t="s">
        <v>20</v>
      </c>
      <c r="I16" s="6">
        <v>1</v>
      </c>
      <c r="J16" s="2">
        <v>2450</v>
      </c>
      <c r="K16" s="2">
        <v>2550</v>
      </c>
      <c r="L16" s="2">
        <f t="shared" si="0"/>
        <v>2500</v>
      </c>
    </row>
    <row r="17" spans="2:8" x14ac:dyDescent="0.25">
      <c r="B17" t="s">
        <v>41</v>
      </c>
      <c r="D17" s="18">
        <f>D16/D13</f>
        <v>0.51810059535358144</v>
      </c>
      <c r="E17" s="11" t="s">
        <v>7</v>
      </c>
      <c r="H17" s="7" t="s">
        <v>21</v>
      </c>
    </row>
    <row r="18" spans="2:8" x14ac:dyDescent="0.25">
      <c r="D18" s="10"/>
      <c r="E18" s="11"/>
    </row>
    <row r="19" spans="2:8" x14ac:dyDescent="0.25">
      <c r="B19" t="s">
        <v>22</v>
      </c>
      <c r="D19" s="20">
        <f>IF(D15=H11,L11,IF(D15=H12,L12,IF(D15=H13,L13,IF(D15=H14,L14,IF(D15=H15,L15,IF(D15=H16,L16,IF(D15=H17,H17,H17)))))))</f>
        <v>2500</v>
      </c>
      <c r="E19" s="12" t="s">
        <v>23</v>
      </c>
    </row>
    <row r="20" spans="2:8" x14ac:dyDescent="0.25">
      <c r="B20" t="s">
        <v>79</v>
      </c>
      <c r="D20" s="20">
        <f>Input_Here!D20</f>
        <v>1.9999999999999999E-7</v>
      </c>
      <c r="E20" s="11" t="s">
        <v>9</v>
      </c>
    </row>
    <row r="21" spans="2:8" ht="18" x14ac:dyDescent="0.35">
      <c r="B21" t="s">
        <v>80</v>
      </c>
      <c r="D21" s="18">
        <f>0.00000015/D20+0.9</f>
        <v>1.65</v>
      </c>
      <c r="E21" s="11" t="s">
        <v>5</v>
      </c>
    </row>
    <row r="22" spans="2:8" x14ac:dyDescent="0.25">
      <c r="B22" t="s">
        <v>10</v>
      </c>
      <c r="D22" s="20">
        <f>D19*5/D21</f>
        <v>7575.757575757576</v>
      </c>
      <c r="E22" s="12" t="s">
        <v>23</v>
      </c>
    </row>
    <row r="23" spans="2:8" x14ac:dyDescent="0.25">
      <c r="B23" t="s">
        <v>11</v>
      </c>
      <c r="D23" s="20">
        <f>D19*5/(5-D21)</f>
        <v>3731.3432835820895</v>
      </c>
      <c r="E23" s="12" t="s">
        <v>23</v>
      </c>
    </row>
    <row r="24" spans="2:8" x14ac:dyDescent="0.25">
      <c r="D24" s="10"/>
      <c r="E24" s="11"/>
    </row>
    <row r="25" spans="2:8" x14ac:dyDescent="0.25">
      <c r="B25" t="s">
        <v>24</v>
      </c>
      <c r="D25" s="20">
        <f>ROUND((10^(ROUND(48*LOG(D22),0)/48))/10^INT(LOG((10^(ROUND(48*LOG(D22),0)/48)))),2)*10^INT(LOG((10^(ROUND(48*LOG(D22),0)/48))))</f>
        <v>7500</v>
      </c>
      <c r="E25" s="12" t="s">
        <v>23</v>
      </c>
    </row>
    <row r="26" spans="2:8" x14ac:dyDescent="0.25">
      <c r="B26" t="s">
        <v>25</v>
      </c>
      <c r="D26" s="20">
        <f>ROUND((10^(ROUND(48*LOG(D23),0)/48))/10^INT(LOG((10^(ROUND(48*LOG(D23),0)/48)))),2)*10^INT(LOG((10^(ROUND(48*LOG(D23),0)/48))))</f>
        <v>3650</v>
      </c>
      <c r="E26" s="12" t="s">
        <v>23</v>
      </c>
    </row>
    <row r="27" spans="2:8" x14ac:dyDescent="0.25">
      <c r="B27" t="s">
        <v>10</v>
      </c>
      <c r="D27" s="31">
        <f>Input_Here!D22</f>
        <v>7500</v>
      </c>
      <c r="E27" s="12"/>
    </row>
    <row r="28" spans="2:8" x14ac:dyDescent="0.25">
      <c r="B28" t="s">
        <v>11</v>
      </c>
      <c r="D28" s="31">
        <f>Input_Here!D24</f>
        <v>3600</v>
      </c>
      <c r="E28" s="12"/>
    </row>
    <row r="29" spans="2:8" x14ac:dyDescent="0.25">
      <c r="B29" t="s">
        <v>27</v>
      </c>
      <c r="D29" s="34">
        <f>D27*D28/(D27+D28)</f>
        <v>2432.4324324324325</v>
      </c>
      <c r="E29" s="12" t="s">
        <v>23</v>
      </c>
    </row>
    <row r="30" spans="2:8" x14ac:dyDescent="0.25">
      <c r="B30" t="s">
        <v>28</v>
      </c>
      <c r="D30" s="19">
        <f t="shared" ref="D30:D35" si="1">($D$29&gt;=J11)*(K11&gt;=$D$29)</f>
        <v>0</v>
      </c>
      <c r="E30" s="11"/>
    </row>
    <row r="31" spans="2:8" x14ac:dyDescent="0.25">
      <c r="B31" t="s">
        <v>29</v>
      </c>
      <c r="D31" s="19">
        <f t="shared" si="1"/>
        <v>0</v>
      </c>
      <c r="E31" s="11"/>
    </row>
    <row r="32" spans="2:8" x14ac:dyDescent="0.25">
      <c r="B32" t="s">
        <v>30</v>
      </c>
      <c r="D32" s="19">
        <f t="shared" si="1"/>
        <v>0</v>
      </c>
      <c r="E32" s="11"/>
    </row>
    <row r="33" spans="2:11" x14ac:dyDescent="0.25">
      <c r="B33" t="s">
        <v>31</v>
      </c>
      <c r="D33" s="19">
        <f t="shared" si="1"/>
        <v>0</v>
      </c>
      <c r="E33" s="11"/>
    </row>
    <row r="34" spans="2:11" x14ac:dyDescent="0.25">
      <c r="B34" t="s">
        <v>32</v>
      </c>
      <c r="D34" s="19">
        <f t="shared" si="1"/>
        <v>0</v>
      </c>
      <c r="E34" s="11"/>
    </row>
    <row r="35" spans="2:11" x14ac:dyDescent="0.25">
      <c r="B35" t="s">
        <v>33</v>
      </c>
      <c r="D35" s="19">
        <f t="shared" si="1"/>
        <v>0</v>
      </c>
      <c r="E35" s="11"/>
    </row>
    <row r="36" spans="2:11" x14ac:dyDescent="0.25">
      <c r="B36" t="s">
        <v>26</v>
      </c>
      <c r="D36" s="19">
        <f>SUM(D30:D35)</f>
        <v>0</v>
      </c>
      <c r="E36" s="11"/>
    </row>
    <row r="37" spans="2:11" x14ac:dyDescent="0.25">
      <c r="D37" s="10"/>
      <c r="E37" s="11"/>
    </row>
    <row r="38" spans="2:11" ht="18" x14ac:dyDescent="0.35">
      <c r="B38" t="s">
        <v>34</v>
      </c>
      <c r="D38" s="31">
        <f>D11/10</f>
        <v>51000</v>
      </c>
      <c r="E38" s="12" t="s">
        <v>23</v>
      </c>
    </row>
    <row r="39" spans="2:11" ht="18" x14ac:dyDescent="0.35">
      <c r="B39" t="s">
        <v>35</v>
      </c>
      <c r="D39" s="20">
        <f>ROUND((10^(ROUND(48*LOG(D38),0)/48))/10^INT(LOG((10^(ROUND(48*LOG(D38),0)/48)))),2)*10^INT(LOG((10^(ROUND(48*LOG(D38),0)/48))))</f>
        <v>51100</v>
      </c>
      <c r="E39" s="12" t="s">
        <v>23</v>
      </c>
    </row>
    <row r="40" spans="2:11" x14ac:dyDescent="0.25">
      <c r="D40" s="10"/>
      <c r="E40" s="11"/>
    </row>
    <row r="41" spans="2:11" x14ac:dyDescent="0.25">
      <c r="B41" t="s">
        <v>38</v>
      </c>
      <c r="D41" s="20">
        <f>1/(8*PI()*PI()*Input_Here!D50*(Calculation!D11*1.2)^2)</f>
        <v>2.0775841833620458E-8</v>
      </c>
      <c r="E41" s="11" t="s">
        <v>36</v>
      </c>
    </row>
    <row r="42" spans="2:11" x14ac:dyDescent="0.25">
      <c r="B42" t="s">
        <v>39</v>
      </c>
      <c r="D42" s="20">
        <f>D41</f>
        <v>2.0775841833620458E-8</v>
      </c>
      <c r="E42" s="11" t="s">
        <v>36</v>
      </c>
    </row>
    <row r="43" spans="2:11" x14ac:dyDescent="0.25">
      <c r="B43" t="s">
        <v>42</v>
      </c>
      <c r="D43" s="20">
        <f>ROUND((10^(ROUND(12*LOG(D41),0)/12))/10^INT(LOG((10^(ROUND(12*LOG(D41),0)/12)))),1)*10^INT(LOG((10^(ROUND(12*LOG(D41),0)/12))))</f>
        <v>2.2000000000000002E-8</v>
      </c>
      <c r="E43" s="11" t="s">
        <v>36</v>
      </c>
    </row>
    <row r="44" spans="2:11" x14ac:dyDescent="0.25">
      <c r="B44" t="s">
        <v>42</v>
      </c>
      <c r="D44" s="20">
        <f>D43</f>
        <v>2.2000000000000002E-8</v>
      </c>
      <c r="E44" s="11" t="s">
        <v>36</v>
      </c>
    </row>
    <row r="45" spans="2:11" x14ac:dyDescent="0.25">
      <c r="B45" t="s">
        <v>54</v>
      </c>
      <c r="D45" s="20">
        <f>1/(2*PI()*SQRT(Input_Here!D50*2*D43))</f>
        <v>594729.38474461343</v>
      </c>
      <c r="E45" s="11" t="s">
        <v>8</v>
      </c>
    </row>
    <row r="46" spans="2:11" x14ac:dyDescent="0.25">
      <c r="B46" t="s">
        <v>45</v>
      </c>
      <c r="D46" s="20">
        <f>D9</f>
        <v>0.02</v>
      </c>
      <c r="E46" s="11" t="s">
        <v>5</v>
      </c>
    </row>
    <row r="47" spans="2:11" ht="18" x14ac:dyDescent="0.35">
      <c r="B47" t="s">
        <v>44</v>
      </c>
      <c r="D47" s="20">
        <f>0.0335*(D45/Input_Here!D36)*D14/D13/D46/D11</f>
        <v>2.806227945969145E-6</v>
      </c>
      <c r="E47" s="11" t="s">
        <v>36</v>
      </c>
      <c r="K47" t="s">
        <v>136</v>
      </c>
    </row>
    <row r="50" spans="2:13" ht="18" x14ac:dyDescent="0.35">
      <c r="B50" t="s">
        <v>44</v>
      </c>
      <c r="D50" s="20">
        <f>0.0335*(D45/Input_Here!D36)*D14/D13/D46/D11</f>
        <v>2.806227945969145E-6</v>
      </c>
      <c r="E50" s="11" t="s">
        <v>36</v>
      </c>
      <c r="K50">
        <f>0.637*0.6</f>
        <v>0.38219999999999998</v>
      </c>
    </row>
    <row r="51" spans="2:13" x14ac:dyDescent="0.25">
      <c r="K51">
        <f>1/1.667</f>
        <v>0.59988002399520091</v>
      </c>
    </row>
    <row r="53" spans="2:13" x14ac:dyDescent="0.25">
      <c r="K53">
        <f>610/500</f>
        <v>1.22</v>
      </c>
      <c r="L53">
        <f>0.637*0.445*0.6/(0.05*500000)</f>
        <v>6.8031600000000001E-6</v>
      </c>
      <c r="M53">
        <f>K53*L53</f>
        <v>8.2998552000000001E-6</v>
      </c>
    </row>
  </sheetData>
  <sheetProtection password="EFBD" sheet="1" objects="1" scenarios="1"/>
  <mergeCells count="3">
    <mergeCell ref="B3:C3"/>
    <mergeCell ref="B4:C4"/>
    <mergeCell ref="B1:D1"/>
  </mergeCell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1" shapeId="2088" r:id="rId4">
          <objectPr defaultSize="0" autoPict="0" r:id="rId5">
            <anchor moveWithCells="1">
              <from>
                <xdr:col>14</xdr:col>
                <xdr:colOff>104775</xdr:colOff>
                <xdr:row>26</xdr:row>
                <xdr:rowOff>19050</xdr:rowOff>
              </from>
              <to>
                <xdr:col>25</xdr:col>
                <xdr:colOff>9525</xdr:colOff>
                <xdr:row>43</xdr:row>
                <xdr:rowOff>47625</xdr:rowOff>
              </to>
            </anchor>
          </objectPr>
        </oleObject>
      </mc:Choice>
      <mc:Fallback>
        <oleObject progId="Visio.Drawing.11" shapeId="208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Input_Here</vt:lpstr>
      <vt:lpstr>Schematics and Values</vt:lpstr>
      <vt:lpstr>Calculation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Lu, Bing -PSC</dc:creator>
  <cp:lastModifiedBy>Udhaya Kumar</cp:lastModifiedBy>
  <dcterms:created xsi:type="dcterms:W3CDTF">2020-12-14T20:22:50Z</dcterms:created>
  <dcterms:modified xsi:type="dcterms:W3CDTF">2025-05-14T07:15:33Z</dcterms:modified>
</cp:coreProperties>
</file>