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defaultThemeVersion="166925"/>
  <mc:AlternateContent xmlns:mc="http://schemas.openxmlformats.org/markup-compatibility/2006">
    <mc:Choice Requires="x15">
      <x15ac:absPath xmlns:x15ac="http://schemas.microsoft.com/office/spreadsheetml/2010/11/ac" url="/Users/a0132725/Downloads/"/>
    </mc:Choice>
  </mc:AlternateContent>
  <xr:revisionPtr revIDLastSave="0" documentId="8_{FE5167E0-33BD-9243-9C12-3DAC08CF03F8}" xr6:coauthVersionLast="47" xr6:coauthVersionMax="47" xr10:uidLastSave="{00000000-0000-0000-0000-000000000000}"/>
  <bookViews>
    <workbookView xWindow="0" yWindow="760" windowWidth="31860" windowHeight="20400" xr2:uid="{0B51F365-3858-4D33-BD19-1FD7DB3AED4D}"/>
  </bookViews>
  <sheets>
    <sheet name="Start" sheetId="1" r:id="rId1"/>
    <sheet name="Constants" sheetId="3" r:id="rId2"/>
    <sheet name="Options" sheetId="2" r:id="rId3"/>
    <sheet name="Calculations" sheetId="4" r:id="rId4"/>
    <sheet name="Loop Gain" sheetId="6" r:id="rId5"/>
    <sheet name="Revision Log" sheetId="7" r:id="rId6"/>
    <sheet name="Important Notice and Disclaimer" sheetId="8" r:id="rId7"/>
  </sheets>
  <definedNames>
    <definedName name="atto">Constants!$B$13</definedName>
    <definedName name="BodeCa">Calculations!$C$137</definedName>
    <definedName name="BodeCb">Calculations!$C$136</definedName>
    <definedName name="BodeCTR">Calculations!$C$131</definedName>
    <definedName name="BodeD">Calculations!$C$121</definedName>
    <definedName name="BodeESR">Calculations!$C$130</definedName>
    <definedName name="BodeFsw">Calculations!$C$122</definedName>
    <definedName name="BodeGFb">Calculations!$C$128</definedName>
    <definedName name="BodeM">Calculations!$C$123</definedName>
    <definedName name="BodeN">Calculations!$C$124</definedName>
    <definedName name="BodeR">Calculations!$C$129</definedName>
    <definedName name="BodeRa">Calculations!$C$133</definedName>
    <definedName name="BodeRb">Calculations!$C$134</definedName>
    <definedName name="BodeRc3">Calculations!$C$135</definedName>
    <definedName name="BodeRFb">Calculations!$C$132</definedName>
    <definedName name="BodeSe">Calculations!$C$127</definedName>
    <definedName name="BodeSn">Calculations!$C$126</definedName>
    <definedName name="BodeTauL">Calculations!$C$125</definedName>
    <definedName name="CalcBi">Calculations!$C$107</definedName>
    <definedName name="CalcBiFromUsrBo">Calculations!$C$111</definedName>
    <definedName name="CalcBo">Calculations!$C$108</definedName>
    <definedName name="CalcBoRTop">Calculations!$C$110</definedName>
    <definedName name="CalcCoutTrans">Calculations!$C$77</definedName>
    <definedName name="CalcDutyMax">Calculations!$C$20</definedName>
    <definedName name="CalcEstPin">Calculations!$C$12</definedName>
    <definedName name="CalcIMean">Calculations!$C$42</definedName>
    <definedName name="CalcIPk">Calculations!$C$41</definedName>
    <definedName name="CalcIRms">Calculations!$C$43</definedName>
    <definedName name="CalcLm">Calculations!$C$24</definedName>
    <definedName name="CalcMosLeakLeft">Calculations!$C$19</definedName>
    <definedName name="CalcNPS">Calculations!$E$16</definedName>
    <definedName name="CalcNS">Calculations!$E$17</definedName>
    <definedName name="CalcOffRamp">Calculations!$C$54</definedName>
    <definedName name="CalcPo">Start!$D$54</definedName>
    <definedName name="CalcPout">Start!$D$54</definedName>
    <definedName name="CalcRawLm">Calculations!$C$23</definedName>
    <definedName name="CalcRCs">Calculations!$C$52</definedName>
    <definedName name="CalcRCsSlopeComp">Calculations!$C$57</definedName>
    <definedName name="CalcRecInputBulkCap">Calculations!$C$10</definedName>
    <definedName name="CalcRhpZeroDiv5">Calculations!$C$82</definedName>
    <definedName name="CalcRSlope">Calculations!$C$55</definedName>
    <definedName name="CalcRslopeFixedRcs">Calculations!$C$58</definedName>
    <definedName name="CalcRStart">Calculations!$C$91</definedName>
    <definedName name="CalcSOff">Calculations!$C$53</definedName>
    <definedName name="CalcSSVdd">Calculations!$E$20</definedName>
    <definedName name="CalcTDecayVoutOvershoot">Calculations!$C$94</definedName>
    <definedName name="CalcTsdRecoveryTemp">Calculations!$C$116</definedName>
    <definedName name="CalcTsdTemp">Calculations!$C$115</definedName>
    <definedName name="CalcTVoutRise">Calculations!$C$84</definedName>
    <definedName name="CalcUserDutyMax">Calculations!$C$31</definedName>
    <definedName name="CalcUsrDutyMax">Calculations!$C$31</definedName>
    <definedName name="CalcUsrLm">Calculations!$C$34</definedName>
    <definedName name="CalcUsrPo">Calculations!$C$11</definedName>
    <definedName name="CalcVoutOvershoot">Calculations!$C$85</definedName>
    <definedName name="CalcVoVF">Calculations!$E$15</definedName>
    <definedName name="CcmGo">Calculations!$C$140</definedName>
    <definedName name="CcmWp1">Calculations!$C$141</definedName>
    <definedName name="CcmWz1">Calculations!$C$142</definedName>
    <definedName name="CcmWz2">Calculations!$C$143</definedName>
    <definedName name="centi">Constants!#REF!</definedName>
    <definedName name="CompA">Calculations!$C$153</definedName>
    <definedName name="CompWp1">Calculations!$C$155</definedName>
    <definedName name="CompWz1">Calculations!$C$154</definedName>
    <definedName name="CompZ1">Calculations!$C$154</definedName>
    <definedName name="ConvUsrBoRBot">Calculations!$C$106</definedName>
    <definedName name="ConvUsrBoRTop">Calculations!$C$105</definedName>
    <definedName name="ConvUsrRCs">Calculations!$C$62</definedName>
    <definedName name="ConvUsrRSlope">Calculations!$C$63</definedName>
    <definedName name="CrossoverFreq">'Loop Gain'!$AD$5</definedName>
    <definedName name="CsMargin">Constants!$B$17</definedName>
    <definedName name="CsMax">Constants!$B$16</definedName>
    <definedName name="CurrConstraint">Calculations!$C$89</definedName>
    <definedName name="CurrConstraintMargin">Calculations!$C$90</definedName>
    <definedName name="DCcm">Calculations!$C$38</definedName>
    <definedName name="DcmGo">Calculations!$C$146</definedName>
    <definedName name="DcmWp1">Calculations!$C$149</definedName>
    <definedName name="DcmWp2">Calculations!$C$150</definedName>
    <definedName name="DcmWz1">Calculations!$C$147</definedName>
    <definedName name="DcmWz2">Calculations!$C$148</definedName>
    <definedName name="DDcm">Calculations!$E$38</definedName>
    <definedName name="DeviceVerSum">Options!$M$3</definedName>
    <definedName name="DutyMax">Constants!$B$36</definedName>
    <definedName name="Exa">Constants!$B$1</definedName>
    <definedName name="FaultResponse">Options!$F$3:$F$4</definedName>
    <definedName name="femto">Constants!$B$12</definedName>
    <definedName name="FltOption">Options!$D$3:$D$4</definedName>
    <definedName name="FSw">Calculations!$C$3</definedName>
    <definedName name="Giga">Constants!$B$4</definedName>
    <definedName name="IBo">Constants!$B$29</definedName>
    <definedName name="Idis">Constants!$B$26</definedName>
    <definedName name="IFault">Constants!$B$23</definedName>
    <definedName name="INtc">Constants!$B$30</definedName>
    <definedName name="IOff">Constants!$B$25</definedName>
    <definedName name="Ion">Constants!$B$24</definedName>
    <definedName name="IPk">Calculations!$C$41</definedName>
    <definedName name="IRamp">Calculations!$C$51</definedName>
    <definedName name="IsDcmBode">Calculations!$C$120</definedName>
    <definedName name="IsDcmFullLoad">Calculations!$C$39</definedName>
    <definedName name="ISlope">Constants!$B$20</definedName>
    <definedName name="IStart">Constants!$B$22</definedName>
    <definedName name="kilo">Constants!$B$6</definedName>
    <definedName name="Mega">Constants!$B$5</definedName>
    <definedName name="MesRCs">Calculations!$E$67</definedName>
    <definedName name="MesRSlope">Calculations!$E$63</definedName>
    <definedName name="micro">Constants!$B$9</definedName>
    <definedName name="milli">Constants!$B$8</definedName>
    <definedName name="MsgCrossoverFreq">'Loop Gain'!$AF$5</definedName>
    <definedName name="MsgCVDD2">Calculations!$E$97</definedName>
    <definedName name="MsgLkgLeft">Calculations!$E$43</definedName>
    <definedName name="MsgNPS">Calculations!$C$25</definedName>
    <definedName name="MsgNs">Calculations!$C$26</definedName>
    <definedName name="MsgNSA">Calculations!$C$27</definedName>
    <definedName name="MsgNSAVdd">Calculations!$F$21</definedName>
    <definedName name="MsgPhaseMargin">'Loop Gain'!$AF$6</definedName>
    <definedName name="MsgUsrRCs">Calculations!$D$65</definedName>
    <definedName name="nano">Constants!$B$10</definedName>
    <definedName name="Np">Constants!$B$38</definedName>
    <definedName name="OptBodeCap">Options!$A$24:$A$26</definedName>
    <definedName name="OptBoRTop">Options!$A$18:$A$20</definedName>
    <definedName name="OptNtc">Options!$G$18:$G$19</definedName>
    <definedName name="OptoCathodeI">Constants!$B$35</definedName>
    <definedName name="OptRCs">Options!$C$18:$C$19</definedName>
    <definedName name="OptRSlope">Options!$E$18:$E$19</definedName>
    <definedName name="Peta">Constants!$B$2</definedName>
    <definedName name="PhaseMargin">'Loop Gain'!$AD$6</definedName>
    <definedName name="pico">Constants!$B$11</definedName>
    <definedName name="PrettyBodeRa">Calculations!$E$133</definedName>
    <definedName name="PrettyBodeRb">Calculations!$E$134</definedName>
    <definedName name="PrettyBoRTop">Calculations!$E$110</definedName>
    <definedName name="PrettyIMean">Calculations!$E$48</definedName>
    <definedName name="PrettyInputBulkCap">Calculations!$E$10</definedName>
    <definedName name="PrettyIPk">Calculations!$E$47</definedName>
    <definedName name="PrettyLm">Calculations!$E$45</definedName>
    <definedName name="PrettyMosLeakLeft">Calculations!$C$44</definedName>
    <definedName name="PrettyPin">Calculations!$E$12</definedName>
    <definedName name="PrettyPo">Calculations!$E$11</definedName>
    <definedName name="PrettyRCs">Calculations!$E$68</definedName>
    <definedName name="PrettyROpto">Calculations!$E$135</definedName>
    <definedName name="PrettyRSlope">Calculations!$E$69</definedName>
    <definedName name="PrettyRStart">Calculations!$E$91</definedName>
    <definedName name="PrettyUnitBodeRa">Calculations!$F$133</definedName>
    <definedName name="PrettyUnitBodeRb">Calculations!$F$134</definedName>
    <definedName name="PrettyUnitBoRTop">Calculations!$F$110</definedName>
    <definedName name="PrettyUnitInputBulkCap">Calculations!$F$10</definedName>
    <definedName name="PrettyUnitIPk">Calculations!$F$47</definedName>
    <definedName name="PrettyUnitIRms">Calculations!$F$48</definedName>
    <definedName name="PrettyUnitLm">Calculations!$F$45</definedName>
    <definedName name="PrettyUnitPo">Calculations!$F$11</definedName>
    <definedName name="PrettyUnitRCs">Calculations!$F$68</definedName>
    <definedName name="PrettyUnitROpto">Calculations!$F$135</definedName>
    <definedName name="PrettyUnitRSlope">Calculations!$F$69</definedName>
    <definedName name="PrettyUnitRStart">Calculations!$F$91</definedName>
    <definedName name="PrettyUnitUsrLm">Calculations!$F$46</definedName>
    <definedName name="PrettyUnitUsrVCs">Calculations!$F$67</definedName>
    <definedName name="PrettyUnitVCs">Calculations!$F$70</definedName>
    <definedName name="PrettyUsrLm">Calculations!$E$46</definedName>
    <definedName name="PrettyUsrVCs">Calculations!$E$67</definedName>
    <definedName name="PrettyVCs">Calculations!$E$70</definedName>
    <definedName name="ResCout">Calculations!$E$77</definedName>
    <definedName name="ResCVDD1">Calculations!$D$92</definedName>
    <definedName name="ResLm">Calculations!$C$24</definedName>
    <definedName name="ResRCs">Calculations!#REF!</definedName>
    <definedName name="ResRSlope">Calculations!$C$60</definedName>
    <definedName name="ResRStartMin">Calculations!$D$91</definedName>
    <definedName name="ResUsrVCs">Calculations!$C$64</definedName>
    <definedName name="ResVCs">Calculations!$C$61</definedName>
    <definedName name="ResVoDiodeBlock">Calculations!$D$72</definedName>
    <definedName name="RFb">Constants!$B$32</definedName>
    <definedName name="SelBodeIntCap">Start!$E$128</definedName>
    <definedName name="SelBodeOptoCap">Start!$E$127</definedName>
    <definedName name="SelBoRBot">Start!$E$105</definedName>
    <definedName name="SelBoRTop">Start!$E$104</definedName>
    <definedName name="SelDevice">Options!$J$4</definedName>
    <definedName name="SelFLT">Start!$G$15</definedName>
    <definedName name="SelFreq">Start!$G$14</definedName>
    <definedName name="SelRCs">Start!$E$84</definedName>
    <definedName name="SelRNtc">Start!$E$114</definedName>
    <definedName name="SelRSlope">Start!$E$85</definedName>
    <definedName name="SelVinType">Start!$D$39</definedName>
    <definedName name="SwFreq">Options!$B$3:$B$4</definedName>
    <definedName name="Tera">Constants!$B$3</definedName>
    <definedName name="Tl431I">Constants!$B$34</definedName>
    <definedName name="Tl431Ref">Constants!$B$33</definedName>
    <definedName name="Tsw">Constants!$B$21</definedName>
    <definedName name="UnitBoRTop">Calculations!$F$110</definedName>
    <definedName name="UnitExpo">Constants!$D$1:$D$14</definedName>
    <definedName name="UnitSymbolExa">Constants!$C$1</definedName>
    <definedName name="UsedDutyMax">Calculations!$C$36</definedName>
    <definedName name="UsedLm">Calculations!$C$37</definedName>
    <definedName name="UsedNS">Calculations!$E$37</definedName>
    <definedName name="UsedRNtcRef">Calculations!$C$114</definedName>
    <definedName name="UsrBo">Start!$D$109</definedName>
    <definedName name="UsrBodeVin">Start!$D$123</definedName>
    <definedName name="UsrBoRBot">Start!$D$105</definedName>
    <definedName name="UsrBoRTop">Start!$D$104</definedName>
    <definedName name="UsrDutyMax">Start!$D$47</definedName>
    <definedName name="UsrEstEff">Start!$D$48</definedName>
    <definedName name="UsrIntCap">Start!$D$128</definedName>
    <definedName name="UsrIout">Start!$D$53</definedName>
    <definedName name="UsrLineFMin">Start!$D$44</definedName>
    <definedName name="UsrMaxDuty">Start!$D$47</definedName>
    <definedName name="UsrMosDerating">Start!$D$46</definedName>
    <definedName name="UsrMosVds">Start!$D$45</definedName>
    <definedName name="UsrNPS">Start!$D$70</definedName>
    <definedName name="UsrNSA">Start!$D$71</definedName>
    <definedName name="UsrOptoCTR">Start!$D$126</definedName>
    <definedName name="UsrOptoLed">Start!$D$125</definedName>
    <definedName name="UsrOptoParaCap">Start!$D$127</definedName>
    <definedName name="UsrPoCcm">Start!$D$65</definedName>
    <definedName name="UsrRCs">Start!$D$84</definedName>
    <definedName name="UsrRNtcBeta">Start!$D$116</definedName>
    <definedName name="UsrRNtcRef">Start!$D$114</definedName>
    <definedName name="UsrRNtcTref">Start!$D$115</definedName>
    <definedName name="UsrRSlope">Start!$D$85</definedName>
    <definedName name="UsrTimeTurnOn">Start!$D$95</definedName>
    <definedName name="UsrTotalESR">Start!$D$124</definedName>
    <definedName name="UsrUsingDisable">Start!$D$96</definedName>
    <definedName name="UsrVF">Start!$D$58</definedName>
    <definedName name="UsrVinMax">Start!$D$42</definedName>
    <definedName name="UsrVinMin">Start!$D$40</definedName>
    <definedName name="UsrVinMinBulk">Start!$D$41</definedName>
    <definedName name="UsrVinNom">Start!$D$43</definedName>
    <definedName name="UsrVout">Start!$D$52</definedName>
    <definedName name="UsrVoutRipple">Start!$D$57</definedName>
    <definedName name="UsrVTransDrop">Start!$D$56</definedName>
    <definedName name="VBi">Constants!$B$28</definedName>
    <definedName name="VBo">Constants!$B$27</definedName>
    <definedName name="VddOvlo">Constants!$B$37</definedName>
    <definedName name="VinMin">Start!$D$40</definedName>
    <definedName name="VinType">Options!$A$7:$A$8</definedName>
    <definedName name="VTsd">Constants!$B$31</definedName>
    <definedName name="VUvloOff">Constants!$B$19</definedName>
    <definedName name="VUvloOn">Constants!$B$18</definedName>
    <definedName name="zepto">Constants!$B$14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4" l="1"/>
  <c r="F37" i="4" l="1"/>
  <c r="E37" i="4"/>
  <c r="C27" i="4" l="1"/>
  <c r="C98" i="4"/>
  <c r="C135" i="4" l="1"/>
  <c r="J3" i="2"/>
  <c r="C134" i="4"/>
  <c r="C133" i="4"/>
  <c r="C89" i="4"/>
  <c r="C90" i="4" s="1"/>
  <c r="C91" i="4" s="1"/>
  <c r="C136" i="4" l="1"/>
  <c r="C3" i="4" l="1"/>
  <c r="C122" i="4" s="1"/>
  <c r="B21" i="3" l="1"/>
  <c r="D83" i="4" s="1"/>
  <c r="C137" i="4"/>
  <c r="C114" i="4"/>
  <c r="C63" i="4"/>
  <c r="C62" i="4"/>
  <c r="C106" i="4"/>
  <c r="C110" i="4" s="1"/>
  <c r="C105" i="4"/>
  <c r="C11" i="4"/>
  <c r="C12" i="4" s="1"/>
  <c r="D7" i="3"/>
  <c r="D6" i="3"/>
  <c r="D5" i="3"/>
  <c r="D4" i="3"/>
  <c r="D91" i="4" s="1"/>
  <c r="D11" i="3"/>
  <c r="D10" i="3"/>
  <c r="D9" i="3"/>
  <c r="D8" i="3"/>
  <c r="D12" i="4" l="1"/>
  <c r="F12" i="4" s="1"/>
  <c r="C115" i="4"/>
  <c r="C116" i="4"/>
  <c r="D119" i="1" s="1"/>
  <c r="C107" i="4"/>
  <c r="C108" i="4"/>
  <c r="C111" i="4"/>
  <c r="D11" i="4"/>
  <c r="C129" i="4"/>
  <c r="C130" i="4"/>
  <c r="C131" i="4"/>
  <c r="Z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2" i="6"/>
  <c r="E12" i="4" l="1"/>
  <c r="D55" i="1" s="1"/>
  <c r="F11" i="4"/>
  <c r="E54" i="1" s="1"/>
  <c r="E11" i="4"/>
  <c r="D134" i="4"/>
  <c r="D133" i="4"/>
  <c r="C132" i="4"/>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 i="6"/>
  <c r="B4" i="6"/>
  <c r="B5" i="6"/>
  <c r="B6" i="6"/>
  <c r="B7" i="6"/>
  <c r="B8" i="6"/>
  <c r="B9" i="6"/>
  <c r="B10" i="6"/>
  <c r="B11" i="6"/>
  <c r="B12" i="6"/>
  <c r="B13" i="6"/>
  <c r="B14" i="6"/>
  <c r="B15" i="6"/>
  <c r="B16" i="6"/>
  <c r="B17" i="6"/>
  <c r="B18" i="6"/>
  <c r="B19" i="6"/>
  <c r="B20" i="6"/>
  <c r="B21" i="6"/>
  <c r="B22" i="6"/>
  <c r="B23" i="6"/>
  <c r="B24" i="6"/>
  <c r="B25" i="6"/>
  <c r="B26" i="6"/>
  <c r="B2" i="6"/>
  <c r="C155" i="4" l="1"/>
  <c r="U8" i="6" s="1"/>
  <c r="E133" i="4"/>
  <c r="D129" i="1" s="1"/>
  <c r="F133" i="4"/>
  <c r="E129" i="1" s="1"/>
  <c r="E134" i="4"/>
  <c r="D130" i="1" s="1"/>
  <c r="F134" i="4"/>
  <c r="E130" i="1" s="1"/>
  <c r="D135" i="4"/>
  <c r="F135" i="4" s="1"/>
  <c r="E131" i="1" s="1"/>
  <c r="C154" i="4"/>
  <c r="T214" i="6" s="1"/>
  <c r="U159" i="6"/>
  <c r="U135" i="6"/>
  <c r="U174" i="6"/>
  <c r="U110" i="6"/>
  <c r="U335" i="6"/>
  <c r="U119" i="6"/>
  <c r="U213" i="6"/>
  <c r="U77" i="6"/>
  <c r="U61" i="6"/>
  <c r="U151" i="6"/>
  <c r="U204" i="6"/>
  <c r="U76" i="6"/>
  <c r="U28" i="6"/>
  <c r="U12" i="6"/>
  <c r="U115" i="6"/>
  <c r="U51" i="6"/>
  <c r="U378" i="6"/>
  <c r="U330" i="6"/>
  <c r="U146" i="6"/>
  <c r="U50" i="6"/>
  <c r="U42" i="6"/>
  <c r="U18" i="6"/>
  <c r="U79" i="6"/>
  <c r="C153" i="4"/>
  <c r="V64" i="6" s="1"/>
  <c r="U377" i="6"/>
  <c r="U369" i="6"/>
  <c r="U361" i="6"/>
  <c r="U329" i="6"/>
  <c r="U321" i="6"/>
  <c r="U313" i="6"/>
  <c r="U305" i="6"/>
  <c r="U297" i="6"/>
  <c r="U265" i="6"/>
  <c r="U257" i="6"/>
  <c r="U249" i="6"/>
  <c r="U241" i="6"/>
  <c r="U233" i="6"/>
  <c r="U201" i="6"/>
  <c r="U193" i="6"/>
  <c r="U185" i="6"/>
  <c r="U177" i="6"/>
  <c r="U169" i="6"/>
  <c r="U137" i="6"/>
  <c r="U129" i="6"/>
  <c r="U121" i="6"/>
  <c r="U113" i="6"/>
  <c r="U105" i="6"/>
  <c r="U97" i="6"/>
  <c r="U89" i="6"/>
  <c r="U81" i="6"/>
  <c r="U73" i="6"/>
  <c r="U65" i="6"/>
  <c r="U57" i="6"/>
  <c r="U49" i="6"/>
  <c r="U41" i="6"/>
  <c r="U33" i="6"/>
  <c r="U25" i="6"/>
  <c r="U17" i="6"/>
  <c r="U9" i="6"/>
  <c r="U327" i="6"/>
  <c r="U231" i="6"/>
  <c r="U103" i="6"/>
  <c r="U376" i="6"/>
  <c r="U368" i="6"/>
  <c r="U360" i="6"/>
  <c r="U352" i="6"/>
  <c r="U344" i="6"/>
  <c r="U336" i="6"/>
  <c r="U328" i="6"/>
  <c r="U320" i="6"/>
  <c r="U312" i="6"/>
  <c r="U304" i="6"/>
  <c r="U296" i="6"/>
  <c r="U288" i="6"/>
  <c r="U280" i="6"/>
  <c r="U272" i="6"/>
  <c r="U264" i="6"/>
  <c r="U256" i="6"/>
  <c r="U248" i="6"/>
  <c r="U240" i="6"/>
  <c r="U232" i="6"/>
  <c r="U224" i="6"/>
  <c r="U216" i="6"/>
  <c r="U208" i="6"/>
  <c r="U200" i="6"/>
  <c r="U192" i="6"/>
  <c r="U184" i="6"/>
  <c r="U176" i="6"/>
  <c r="U168" i="6"/>
  <c r="U160" i="6"/>
  <c r="U152" i="6"/>
  <c r="U144" i="6"/>
  <c r="U136" i="6"/>
  <c r="U128" i="6"/>
  <c r="U120" i="6"/>
  <c r="U112" i="6"/>
  <c r="U104" i="6"/>
  <c r="U96" i="6"/>
  <c r="U88" i="6"/>
  <c r="U80" i="6"/>
  <c r="U72" i="6"/>
  <c r="U64" i="6"/>
  <c r="U56" i="6"/>
  <c r="U48" i="6"/>
  <c r="U40" i="6"/>
  <c r="U32" i="6"/>
  <c r="U24" i="6"/>
  <c r="U16" i="6"/>
  <c r="D118" i="1"/>
  <c r="U74" i="6" l="1"/>
  <c r="U91" i="6"/>
  <c r="U164" i="6"/>
  <c r="U125" i="6"/>
  <c r="U126" i="6"/>
  <c r="U145" i="6"/>
  <c r="U209" i="6"/>
  <c r="U273" i="6"/>
  <c r="U337" i="6"/>
  <c r="U271" i="6"/>
  <c r="U178" i="6"/>
  <c r="U235" i="6"/>
  <c r="U228" i="6"/>
  <c r="U253" i="6"/>
  <c r="U262" i="6"/>
  <c r="U153" i="6"/>
  <c r="U217" i="6"/>
  <c r="U281" i="6"/>
  <c r="U345" i="6"/>
  <c r="U367" i="6"/>
  <c r="U202" i="6"/>
  <c r="U243" i="6"/>
  <c r="U348" i="6"/>
  <c r="U277" i="6"/>
  <c r="U302" i="6"/>
  <c r="U161" i="6"/>
  <c r="U225" i="6"/>
  <c r="U289" i="6"/>
  <c r="U353" i="6"/>
  <c r="U10" i="6"/>
  <c r="U314" i="6"/>
  <c r="U299" i="6"/>
  <c r="U356" i="6"/>
  <c r="U71" i="6"/>
  <c r="U326" i="6"/>
  <c r="U58" i="6"/>
  <c r="U186" i="6"/>
  <c r="U338" i="6"/>
  <c r="U107" i="6"/>
  <c r="U283" i="6"/>
  <c r="U36" i="6"/>
  <c r="U220" i="6"/>
  <c r="U95" i="6"/>
  <c r="U85" i="6"/>
  <c r="U269" i="6"/>
  <c r="U255" i="6"/>
  <c r="U134" i="6"/>
  <c r="U318" i="6"/>
  <c r="U311" i="6"/>
  <c r="U82" i="6"/>
  <c r="U210" i="6"/>
  <c r="U87" i="6"/>
  <c r="U155" i="6"/>
  <c r="U307" i="6"/>
  <c r="U92" i="6"/>
  <c r="U268" i="6"/>
  <c r="U183" i="6"/>
  <c r="U141" i="6"/>
  <c r="U317" i="6"/>
  <c r="U6" i="6"/>
  <c r="U190" i="6"/>
  <c r="U366" i="6"/>
  <c r="U114" i="6"/>
  <c r="U250" i="6"/>
  <c r="U263" i="6"/>
  <c r="U171" i="6"/>
  <c r="U347" i="6"/>
  <c r="U100" i="6"/>
  <c r="U284" i="6"/>
  <c r="U351" i="6"/>
  <c r="U149" i="6"/>
  <c r="U333" i="6"/>
  <c r="U46" i="6"/>
  <c r="U198" i="6"/>
  <c r="U2" i="6"/>
  <c r="U26" i="6"/>
  <c r="U122" i="6"/>
  <c r="U266" i="6"/>
  <c r="U27" i="6"/>
  <c r="U179" i="6"/>
  <c r="U363" i="6"/>
  <c r="U140" i="6"/>
  <c r="U292" i="6"/>
  <c r="U13" i="6"/>
  <c r="U189" i="6"/>
  <c r="U341" i="6"/>
  <c r="U62" i="6"/>
  <c r="U238" i="6"/>
  <c r="U7" i="6"/>
  <c r="U34" i="6"/>
  <c r="U138" i="6"/>
  <c r="U274" i="6"/>
  <c r="U43" i="6"/>
  <c r="U219" i="6"/>
  <c r="U371" i="6"/>
  <c r="U156" i="6"/>
  <c r="U332" i="6"/>
  <c r="U21" i="6"/>
  <c r="U205" i="6"/>
  <c r="U381" i="6"/>
  <c r="U70" i="6"/>
  <c r="U254" i="6"/>
  <c r="U63" i="6"/>
  <c r="U66" i="6"/>
  <c r="U130" i="6"/>
  <c r="U194" i="6"/>
  <c r="U258" i="6"/>
  <c r="U322" i="6"/>
  <c r="U379" i="6"/>
  <c r="U35" i="6"/>
  <c r="U99" i="6"/>
  <c r="U163" i="6"/>
  <c r="U227" i="6"/>
  <c r="U291" i="6"/>
  <c r="U355" i="6"/>
  <c r="U20" i="6"/>
  <c r="U84" i="6"/>
  <c r="U148" i="6"/>
  <c r="U212" i="6"/>
  <c r="U276" i="6"/>
  <c r="U340" i="6"/>
  <c r="U127" i="6"/>
  <c r="U5" i="6"/>
  <c r="U69" i="6"/>
  <c r="U133" i="6"/>
  <c r="U197" i="6"/>
  <c r="U261" i="6"/>
  <c r="U325" i="6"/>
  <c r="U23" i="6"/>
  <c r="U295" i="6"/>
  <c r="U54" i="6"/>
  <c r="U118" i="6"/>
  <c r="U182" i="6"/>
  <c r="U246" i="6"/>
  <c r="U310" i="6"/>
  <c r="U374" i="6"/>
  <c r="U111" i="6"/>
  <c r="U343" i="6"/>
  <c r="U90" i="6"/>
  <c r="U154" i="6"/>
  <c r="U218" i="6"/>
  <c r="U282" i="6"/>
  <c r="U346" i="6"/>
  <c r="U359" i="6"/>
  <c r="U59" i="6"/>
  <c r="U123" i="6"/>
  <c r="U187" i="6"/>
  <c r="U251" i="6"/>
  <c r="U315" i="6"/>
  <c r="U167" i="6"/>
  <c r="U44" i="6"/>
  <c r="U108" i="6"/>
  <c r="U172" i="6"/>
  <c r="U236" i="6"/>
  <c r="U300" i="6"/>
  <c r="U364" i="6"/>
  <c r="U207" i="6"/>
  <c r="U29" i="6"/>
  <c r="U93" i="6"/>
  <c r="U157" i="6"/>
  <c r="U221" i="6"/>
  <c r="U285" i="6"/>
  <c r="U349" i="6"/>
  <c r="U143" i="6"/>
  <c r="U14" i="6"/>
  <c r="U78" i="6"/>
  <c r="U142" i="6"/>
  <c r="U206" i="6"/>
  <c r="U270" i="6"/>
  <c r="U334" i="6"/>
  <c r="U31" i="6"/>
  <c r="U191" i="6"/>
  <c r="U98" i="6"/>
  <c r="U162" i="6"/>
  <c r="U226" i="6"/>
  <c r="U290" i="6"/>
  <c r="U354" i="6"/>
  <c r="U3" i="6"/>
  <c r="U67" i="6"/>
  <c r="U131" i="6"/>
  <c r="U195" i="6"/>
  <c r="U259" i="6"/>
  <c r="U323" i="6"/>
  <c r="U303" i="6"/>
  <c r="U52" i="6"/>
  <c r="U116" i="6"/>
  <c r="U180" i="6"/>
  <c r="U244" i="6"/>
  <c r="U308" i="6"/>
  <c r="U372" i="6"/>
  <c r="U239" i="6"/>
  <c r="U37" i="6"/>
  <c r="U101" i="6"/>
  <c r="U165" i="6"/>
  <c r="U229" i="6"/>
  <c r="U293" i="6"/>
  <c r="U357" i="6"/>
  <c r="U175" i="6"/>
  <c r="U22" i="6"/>
  <c r="U86" i="6"/>
  <c r="U150" i="6"/>
  <c r="U214" i="6"/>
  <c r="U278" i="6"/>
  <c r="U342" i="6"/>
  <c r="U39" i="6"/>
  <c r="U215" i="6"/>
  <c r="U106" i="6"/>
  <c r="U170" i="6"/>
  <c r="U234" i="6"/>
  <c r="U298" i="6"/>
  <c r="U362" i="6"/>
  <c r="U11" i="6"/>
  <c r="U75" i="6"/>
  <c r="U139" i="6"/>
  <c r="U203" i="6"/>
  <c r="U267" i="6"/>
  <c r="U331" i="6"/>
  <c r="U375" i="6"/>
  <c r="U60" i="6"/>
  <c r="U124" i="6"/>
  <c r="U188" i="6"/>
  <c r="U252" i="6"/>
  <c r="U316" i="6"/>
  <c r="U380" i="6"/>
  <c r="U279" i="6"/>
  <c r="U45" i="6"/>
  <c r="U109" i="6"/>
  <c r="U173" i="6"/>
  <c r="U237" i="6"/>
  <c r="U301" i="6"/>
  <c r="U365" i="6"/>
  <c r="U199" i="6"/>
  <c r="U30" i="6"/>
  <c r="U94" i="6"/>
  <c r="U158" i="6"/>
  <c r="U222" i="6"/>
  <c r="U286" i="6"/>
  <c r="U350" i="6"/>
  <c r="U47" i="6"/>
  <c r="U247" i="6"/>
  <c r="U242" i="6"/>
  <c r="U306" i="6"/>
  <c r="U370" i="6"/>
  <c r="U19" i="6"/>
  <c r="U83" i="6"/>
  <c r="U147" i="6"/>
  <c r="U211" i="6"/>
  <c r="U275" i="6"/>
  <c r="U339" i="6"/>
  <c r="U4" i="6"/>
  <c r="U68" i="6"/>
  <c r="U132" i="6"/>
  <c r="U196" i="6"/>
  <c r="U260" i="6"/>
  <c r="U324" i="6"/>
  <c r="U15" i="6"/>
  <c r="U319" i="6"/>
  <c r="U53" i="6"/>
  <c r="U117" i="6"/>
  <c r="U181" i="6"/>
  <c r="U245" i="6"/>
  <c r="U309" i="6"/>
  <c r="U373" i="6"/>
  <c r="U223" i="6"/>
  <c r="U38" i="6"/>
  <c r="U102" i="6"/>
  <c r="U166" i="6"/>
  <c r="U230" i="6"/>
  <c r="U294" i="6"/>
  <c r="U358" i="6"/>
  <c r="U55" i="6"/>
  <c r="U287" i="6"/>
  <c r="T334" i="6"/>
  <c r="T259" i="6"/>
  <c r="T260" i="6"/>
  <c r="T140" i="6"/>
  <c r="T246" i="6"/>
  <c r="T131" i="6"/>
  <c r="T167" i="6"/>
  <c r="T377" i="6"/>
  <c r="T31" i="6"/>
  <c r="T120" i="6"/>
  <c r="T269" i="6"/>
  <c r="T205" i="6"/>
  <c r="T74" i="6"/>
  <c r="T368" i="6"/>
  <c r="T310" i="6"/>
  <c r="T95" i="6"/>
  <c r="T261" i="6"/>
  <c r="T196" i="6"/>
  <c r="T203" i="6"/>
  <c r="T66" i="6"/>
  <c r="T240" i="6"/>
  <c r="T11" i="6"/>
  <c r="T254" i="6"/>
  <c r="T133" i="6"/>
  <c r="T112" i="6"/>
  <c r="T351" i="6"/>
  <c r="T134" i="6"/>
  <c r="T69" i="6"/>
  <c r="T76" i="6"/>
  <c r="T3" i="6"/>
  <c r="T193" i="6"/>
  <c r="T56" i="6"/>
  <c r="T142" i="6"/>
  <c r="T132" i="6"/>
  <c r="T321" i="6"/>
  <c r="T287" i="6"/>
  <c r="T78" i="6"/>
  <c r="T13" i="6"/>
  <c r="T4" i="6"/>
  <c r="T330" i="6"/>
  <c r="T121" i="6"/>
  <c r="T48" i="6"/>
  <c r="T231" i="6"/>
  <c r="T6" i="6"/>
  <c r="T5" i="6"/>
  <c r="T323" i="6"/>
  <c r="T322" i="6"/>
  <c r="T65" i="6"/>
  <c r="T223" i="6"/>
  <c r="T325" i="6"/>
  <c r="T332" i="6"/>
  <c r="T267" i="6"/>
  <c r="T138" i="6"/>
  <c r="T376" i="6"/>
  <c r="E135" i="4"/>
  <c r="D131" i="1" s="1"/>
  <c r="T190" i="6"/>
  <c r="T159" i="6"/>
  <c r="T70" i="6"/>
  <c r="T197" i="6"/>
  <c r="T324" i="6"/>
  <c r="T68" i="6"/>
  <c r="T195" i="6"/>
  <c r="T258" i="6"/>
  <c r="T257" i="6"/>
  <c r="T312" i="6"/>
  <c r="T222" i="6"/>
  <c r="T359" i="6"/>
  <c r="T103" i="6"/>
  <c r="T14" i="6"/>
  <c r="T141" i="6"/>
  <c r="T268" i="6"/>
  <c r="T12" i="6"/>
  <c r="T139" i="6"/>
  <c r="T202" i="6"/>
  <c r="T249" i="6"/>
  <c r="T304" i="6"/>
  <c r="T295" i="6"/>
  <c r="T39" i="6"/>
  <c r="T333" i="6"/>
  <c r="T77" i="6"/>
  <c r="T204" i="6"/>
  <c r="T331" i="6"/>
  <c r="T75" i="6"/>
  <c r="T130" i="6"/>
  <c r="T185" i="6"/>
  <c r="T184" i="6"/>
  <c r="T266" i="6"/>
  <c r="T10" i="6"/>
  <c r="T129" i="6"/>
  <c r="T248" i="6"/>
  <c r="T342" i="6"/>
  <c r="T67" i="6"/>
  <c r="T194" i="6"/>
  <c r="T313" i="6"/>
  <c r="T57" i="6"/>
  <c r="T176" i="6"/>
  <c r="T343" i="6"/>
  <c r="T23" i="6"/>
  <c r="T381" i="6"/>
  <c r="T61" i="6"/>
  <c r="T188" i="6"/>
  <c r="T379" i="6"/>
  <c r="T59" i="6"/>
  <c r="T250" i="6"/>
  <c r="T58" i="6"/>
  <c r="T177" i="6"/>
  <c r="T360" i="6"/>
  <c r="T104" i="6"/>
  <c r="T206" i="6"/>
  <c r="T366" i="6"/>
  <c r="T294" i="6"/>
  <c r="T335" i="6"/>
  <c r="T271" i="6"/>
  <c r="T207" i="6"/>
  <c r="T143" i="6"/>
  <c r="T79" i="6"/>
  <c r="T15" i="6"/>
  <c r="T118" i="6"/>
  <c r="T54" i="6"/>
  <c r="T373" i="6"/>
  <c r="T309" i="6"/>
  <c r="T245" i="6"/>
  <c r="T181" i="6"/>
  <c r="T117" i="6"/>
  <c r="T53" i="6"/>
  <c r="T372" i="6"/>
  <c r="T308" i="6"/>
  <c r="T244" i="6"/>
  <c r="T180" i="6"/>
  <c r="T116" i="6"/>
  <c r="T52" i="6"/>
  <c r="T371" i="6"/>
  <c r="T307" i="6"/>
  <c r="T243" i="6"/>
  <c r="T179" i="6"/>
  <c r="T115" i="6"/>
  <c r="T51" i="6"/>
  <c r="T370" i="6"/>
  <c r="T306" i="6"/>
  <c r="T242" i="6"/>
  <c r="T178" i="6"/>
  <c r="T114" i="6"/>
  <c r="T50" i="6"/>
  <c r="T361" i="6"/>
  <c r="T297" i="6"/>
  <c r="T233" i="6"/>
  <c r="T169" i="6"/>
  <c r="T105" i="6"/>
  <c r="T41" i="6"/>
  <c r="T352" i="6"/>
  <c r="T288" i="6"/>
  <c r="T224" i="6"/>
  <c r="T160" i="6"/>
  <c r="T96" i="6"/>
  <c r="T32" i="6"/>
  <c r="T350" i="6"/>
  <c r="T358" i="6"/>
  <c r="T87" i="6"/>
  <c r="T253" i="6"/>
  <c r="T252" i="6"/>
  <c r="T123" i="6"/>
  <c r="T241" i="6"/>
  <c r="T327" i="6"/>
  <c r="T263" i="6"/>
  <c r="T199" i="6"/>
  <c r="T135" i="6"/>
  <c r="T71" i="6"/>
  <c r="T7" i="6"/>
  <c r="T110" i="6"/>
  <c r="T46" i="6"/>
  <c r="T365" i="6"/>
  <c r="T301" i="6"/>
  <c r="T237" i="6"/>
  <c r="T173" i="6"/>
  <c r="T109" i="6"/>
  <c r="T45" i="6"/>
  <c r="T364" i="6"/>
  <c r="T300" i="6"/>
  <c r="T236" i="6"/>
  <c r="T172" i="6"/>
  <c r="T108" i="6"/>
  <c r="T44" i="6"/>
  <c r="T363" i="6"/>
  <c r="T299" i="6"/>
  <c r="T235" i="6"/>
  <c r="T171" i="6"/>
  <c r="T107" i="6"/>
  <c r="T43" i="6"/>
  <c r="T362" i="6"/>
  <c r="T298" i="6"/>
  <c r="T234" i="6"/>
  <c r="T170" i="6"/>
  <c r="T106" i="6"/>
  <c r="T42" i="6"/>
  <c r="T353" i="6"/>
  <c r="T289" i="6"/>
  <c r="T225" i="6"/>
  <c r="T161" i="6"/>
  <c r="T97" i="6"/>
  <c r="T33" i="6"/>
  <c r="T344" i="6"/>
  <c r="T280" i="6"/>
  <c r="T216" i="6"/>
  <c r="T152" i="6"/>
  <c r="T88" i="6"/>
  <c r="T24" i="6"/>
  <c r="T151" i="6"/>
  <c r="T125" i="6"/>
  <c r="T251" i="6"/>
  <c r="T168" i="6"/>
  <c r="T230" i="6"/>
  <c r="T262" i="6"/>
  <c r="T238" i="6"/>
  <c r="T2" i="6"/>
  <c r="T319" i="6"/>
  <c r="T255" i="6"/>
  <c r="T191" i="6"/>
  <c r="T127" i="6"/>
  <c r="T63" i="6"/>
  <c r="T166" i="6"/>
  <c r="T102" i="6"/>
  <c r="T38" i="6"/>
  <c r="T357" i="6"/>
  <c r="T293" i="6"/>
  <c r="T229" i="6"/>
  <c r="T165" i="6"/>
  <c r="T101" i="6"/>
  <c r="T37" i="6"/>
  <c r="T356" i="6"/>
  <c r="T292" i="6"/>
  <c r="T228" i="6"/>
  <c r="T164" i="6"/>
  <c r="T100" i="6"/>
  <c r="T36" i="6"/>
  <c r="T355" i="6"/>
  <c r="T291" i="6"/>
  <c r="T227" i="6"/>
  <c r="T163" i="6"/>
  <c r="T99" i="6"/>
  <c r="T35" i="6"/>
  <c r="T354" i="6"/>
  <c r="T290" i="6"/>
  <c r="T226" i="6"/>
  <c r="T162" i="6"/>
  <c r="T98" i="6"/>
  <c r="T34" i="6"/>
  <c r="T345" i="6"/>
  <c r="T281" i="6"/>
  <c r="T217" i="6"/>
  <c r="T153" i="6"/>
  <c r="T89" i="6"/>
  <c r="T25" i="6"/>
  <c r="T336" i="6"/>
  <c r="T272" i="6"/>
  <c r="T208" i="6"/>
  <c r="T144" i="6"/>
  <c r="T80" i="6"/>
  <c r="T16" i="6"/>
  <c r="T182" i="6"/>
  <c r="T215" i="6"/>
  <c r="T62" i="6"/>
  <c r="T189" i="6"/>
  <c r="T316" i="6"/>
  <c r="T60" i="6"/>
  <c r="T187" i="6"/>
  <c r="T314" i="6"/>
  <c r="T122" i="6"/>
  <c r="T305" i="6"/>
  <c r="T49" i="6"/>
  <c r="T232" i="6"/>
  <c r="T40" i="6"/>
  <c r="T302" i="6"/>
  <c r="T198" i="6"/>
  <c r="T174" i="6"/>
  <c r="T375" i="6"/>
  <c r="T311" i="6"/>
  <c r="T247" i="6"/>
  <c r="T183" i="6"/>
  <c r="T119" i="6"/>
  <c r="T55" i="6"/>
  <c r="T158" i="6"/>
  <c r="T94" i="6"/>
  <c r="T30" i="6"/>
  <c r="T349" i="6"/>
  <c r="T285" i="6"/>
  <c r="T221" i="6"/>
  <c r="T157" i="6"/>
  <c r="T93" i="6"/>
  <c r="T29" i="6"/>
  <c r="T348" i="6"/>
  <c r="T284" i="6"/>
  <c r="T220" i="6"/>
  <c r="T156" i="6"/>
  <c r="T92" i="6"/>
  <c r="T28" i="6"/>
  <c r="T347" i="6"/>
  <c r="T283" i="6"/>
  <c r="T219" i="6"/>
  <c r="T155" i="6"/>
  <c r="T91" i="6"/>
  <c r="T27" i="6"/>
  <c r="T346" i="6"/>
  <c r="T282" i="6"/>
  <c r="T218" i="6"/>
  <c r="T154" i="6"/>
  <c r="T90" i="6"/>
  <c r="T26" i="6"/>
  <c r="T337" i="6"/>
  <c r="T273" i="6"/>
  <c r="T209" i="6"/>
  <c r="T145" i="6"/>
  <c r="T81" i="6"/>
  <c r="T17" i="6"/>
  <c r="T328" i="6"/>
  <c r="T264" i="6"/>
  <c r="T200" i="6"/>
  <c r="T136" i="6"/>
  <c r="T72" i="6"/>
  <c r="T8" i="6"/>
  <c r="T270" i="6"/>
  <c r="T279" i="6"/>
  <c r="T126" i="6"/>
  <c r="T317" i="6"/>
  <c r="T380" i="6"/>
  <c r="T124" i="6"/>
  <c r="T315" i="6"/>
  <c r="T378" i="6"/>
  <c r="T186" i="6"/>
  <c r="T369" i="6"/>
  <c r="T113" i="6"/>
  <c r="T296" i="6"/>
  <c r="T278" i="6"/>
  <c r="T326" i="6"/>
  <c r="T374" i="6"/>
  <c r="T318" i="6"/>
  <c r="T367" i="6"/>
  <c r="T303" i="6"/>
  <c r="T239" i="6"/>
  <c r="T175" i="6"/>
  <c r="T111" i="6"/>
  <c r="T47" i="6"/>
  <c r="T150" i="6"/>
  <c r="T86" i="6"/>
  <c r="T22" i="6"/>
  <c r="T341" i="6"/>
  <c r="T277" i="6"/>
  <c r="T213" i="6"/>
  <c r="T149" i="6"/>
  <c r="T85" i="6"/>
  <c r="T21" i="6"/>
  <c r="T340" i="6"/>
  <c r="T276" i="6"/>
  <c r="T212" i="6"/>
  <c r="T148" i="6"/>
  <c r="T84" i="6"/>
  <c r="T20" i="6"/>
  <c r="T339" i="6"/>
  <c r="T275" i="6"/>
  <c r="T211" i="6"/>
  <c r="T147" i="6"/>
  <c r="T83" i="6"/>
  <c r="T19" i="6"/>
  <c r="T338" i="6"/>
  <c r="T274" i="6"/>
  <c r="T210" i="6"/>
  <c r="T146" i="6"/>
  <c r="T82" i="6"/>
  <c r="T18" i="6"/>
  <c r="T329" i="6"/>
  <c r="T265" i="6"/>
  <c r="T201" i="6"/>
  <c r="T137" i="6"/>
  <c r="T73" i="6"/>
  <c r="T9" i="6"/>
  <c r="T320" i="6"/>
  <c r="T256" i="6"/>
  <c r="T192" i="6"/>
  <c r="T128" i="6"/>
  <c r="T64" i="6"/>
  <c r="W64" i="6" s="1"/>
  <c r="X64" i="6" s="1"/>
  <c r="T286" i="6"/>
  <c r="D110" i="4"/>
  <c r="V65" i="6"/>
  <c r="V173" i="6"/>
  <c r="V4" i="6"/>
  <c r="V126" i="6"/>
  <c r="V129" i="6"/>
  <c r="V266" i="6"/>
  <c r="V379" i="6"/>
  <c r="V62" i="6"/>
  <c r="V202" i="6"/>
  <c r="V68" i="6"/>
  <c r="V55" i="6"/>
  <c r="V193" i="6"/>
  <c r="V330" i="6"/>
  <c r="V198" i="6"/>
  <c r="V132" i="6"/>
  <c r="V257" i="6"/>
  <c r="V196" i="6"/>
  <c r="V183" i="6"/>
  <c r="V321" i="6"/>
  <c r="V260" i="6"/>
  <c r="V247" i="6"/>
  <c r="V10" i="6"/>
  <c r="V119" i="6"/>
  <c r="V324" i="6"/>
  <c r="V311" i="6"/>
  <c r="V74" i="6"/>
  <c r="V144" i="6"/>
  <c r="V11" i="6"/>
  <c r="V375" i="6"/>
  <c r="V138" i="6"/>
  <c r="V333" i="6"/>
  <c r="V75" i="6"/>
  <c r="V264" i="6"/>
  <c r="V5" i="6"/>
  <c r="V59" i="6"/>
  <c r="V123" i="6"/>
  <c r="V52" i="6"/>
  <c r="V116" i="6"/>
  <c r="V180" i="6"/>
  <c r="V244" i="6"/>
  <c r="V308" i="6"/>
  <c r="V372" i="6"/>
  <c r="V46" i="6"/>
  <c r="V110" i="6"/>
  <c r="V39" i="6"/>
  <c r="V103" i="6"/>
  <c r="V167" i="6"/>
  <c r="V231" i="6"/>
  <c r="V295" i="6"/>
  <c r="V359" i="6"/>
  <c r="V49" i="6"/>
  <c r="V113" i="6"/>
  <c r="V177" i="6"/>
  <c r="V241" i="6"/>
  <c r="V305" i="6"/>
  <c r="V369" i="6"/>
  <c r="V58" i="6"/>
  <c r="V122" i="6"/>
  <c r="V186" i="6"/>
  <c r="V250" i="6"/>
  <c r="V314" i="6"/>
  <c r="V378" i="6"/>
  <c r="V208" i="6"/>
  <c r="V174" i="6"/>
  <c r="V205" i="6"/>
  <c r="V365" i="6"/>
  <c r="V283" i="6"/>
  <c r="V155" i="6"/>
  <c r="V211" i="6"/>
  <c r="V381" i="6"/>
  <c r="V296" i="6"/>
  <c r="V168" i="6"/>
  <c r="V323" i="6"/>
  <c r="V120" i="6"/>
  <c r="V358" i="6"/>
  <c r="V230" i="6"/>
  <c r="V69" i="6"/>
  <c r="V93" i="6"/>
  <c r="V222" i="6"/>
  <c r="V341" i="6"/>
  <c r="V213" i="6"/>
  <c r="V32" i="6"/>
  <c r="V67" i="6"/>
  <c r="V131" i="6"/>
  <c r="V60" i="6"/>
  <c r="V124" i="6"/>
  <c r="V188" i="6"/>
  <c r="V252" i="6"/>
  <c r="V316" i="6"/>
  <c r="V380" i="6"/>
  <c r="V54" i="6"/>
  <c r="V118" i="6"/>
  <c r="V47" i="6"/>
  <c r="V111" i="6"/>
  <c r="V175" i="6"/>
  <c r="V239" i="6"/>
  <c r="V303" i="6"/>
  <c r="V367" i="6"/>
  <c r="V57" i="6"/>
  <c r="V121" i="6"/>
  <c r="W121" i="6" s="1"/>
  <c r="X121" i="6" s="1"/>
  <c r="V185" i="6"/>
  <c r="V249" i="6"/>
  <c r="V313" i="6"/>
  <c r="V377" i="6"/>
  <c r="V66" i="6"/>
  <c r="V130" i="6"/>
  <c r="V194" i="6"/>
  <c r="V258" i="6"/>
  <c r="V322" i="6"/>
  <c r="V176" i="6"/>
  <c r="V53" i="6"/>
  <c r="V189" i="6"/>
  <c r="V80" i="6"/>
  <c r="V267" i="6"/>
  <c r="V139" i="6"/>
  <c r="V163" i="6"/>
  <c r="V301" i="6"/>
  <c r="V280" i="6"/>
  <c r="V152" i="6"/>
  <c r="V275" i="6"/>
  <c r="V2" i="6"/>
  <c r="V342" i="6"/>
  <c r="V214" i="6"/>
  <c r="W214" i="6" s="1"/>
  <c r="X214" i="6" s="1"/>
  <c r="V37" i="6"/>
  <c r="V368" i="6"/>
  <c r="V190" i="6"/>
  <c r="V325" i="6"/>
  <c r="V197" i="6"/>
  <c r="V3" i="6"/>
  <c r="V109" i="6"/>
  <c r="V243" i="6"/>
  <c r="V158" i="6"/>
  <c r="V19" i="6"/>
  <c r="V83" i="6"/>
  <c r="V12" i="6"/>
  <c r="V76" i="6"/>
  <c r="W76" i="6" s="1"/>
  <c r="V140" i="6"/>
  <c r="V204" i="6"/>
  <c r="V268" i="6"/>
  <c r="V332" i="6"/>
  <c r="V6" i="6"/>
  <c r="V70" i="6"/>
  <c r="V134" i="6"/>
  <c r="V63" i="6"/>
  <c r="V127" i="6"/>
  <c r="V191" i="6"/>
  <c r="V255" i="6"/>
  <c r="V319" i="6"/>
  <c r="V9" i="6"/>
  <c r="V73" i="6"/>
  <c r="V137" i="6"/>
  <c r="V201" i="6"/>
  <c r="V265" i="6"/>
  <c r="V329" i="6"/>
  <c r="V18" i="6"/>
  <c r="V82" i="6"/>
  <c r="V146" i="6"/>
  <c r="V210" i="6"/>
  <c r="V274" i="6"/>
  <c r="V338" i="6"/>
  <c r="V56" i="6"/>
  <c r="V285" i="6"/>
  <c r="V48" i="6"/>
  <c r="V363" i="6"/>
  <c r="V235" i="6"/>
  <c r="V77" i="6"/>
  <c r="V288" i="6"/>
  <c r="V376" i="6"/>
  <c r="V248" i="6"/>
  <c r="V104" i="6"/>
  <c r="V179" i="6"/>
  <c r="V238" i="6"/>
  <c r="V310" i="6"/>
  <c r="V182" i="6"/>
  <c r="W182" i="6" s="1"/>
  <c r="X182" i="6" s="1"/>
  <c r="V371" i="6"/>
  <c r="V256" i="6"/>
  <c r="V21" i="6"/>
  <c r="V293" i="6"/>
  <c r="V165" i="6"/>
  <c r="V61" i="6"/>
  <c r="V302" i="6"/>
  <c r="V181" i="6"/>
  <c r="V27" i="6"/>
  <c r="V91" i="6"/>
  <c r="V20" i="6"/>
  <c r="V84" i="6"/>
  <c r="V148" i="6"/>
  <c r="V212" i="6"/>
  <c r="V276" i="6"/>
  <c r="V340" i="6"/>
  <c r="V14" i="6"/>
  <c r="V78" i="6"/>
  <c r="V7" i="6"/>
  <c r="V71" i="6"/>
  <c r="V135" i="6"/>
  <c r="V199" i="6"/>
  <c r="V263" i="6"/>
  <c r="V327" i="6"/>
  <c r="W327" i="6" s="1"/>
  <c r="V17" i="6"/>
  <c r="V81" i="6"/>
  <c r="V145" i="6"/>
  <c r="V209" i="6"/>
  <c r="V273" i="6"/>
  <c r="V337" i="6"/>
  <c r="V26" i="6"/>
  <c r="V90" i="6"/>
  <c r="V154" i="6"/>
  <c r="V218" i="6"/>
  <c r="V282" i="6"/>
  <c r="V346" i="6"/>
  <c r="V227" i="6"/>
  <c r="V366" i="6"/>
  <c r="V269" i="6"/>
  <c r="V16" i="6"/>
  <c r="V347" i="6"/>
  <c r="V219" i="6"/>
  <c r="V45" i="6"/>
  <c r="V240" i="6"/>
  <c r="V360" i="6"/>
  <c r="V232" i="6"/>
  <c r="V72" i="6"/>
  <c r="V125" i="6"/>
  <c r="V85" i="6"/>
  <c r="V294" i="6"/>
  <c r="V166" i="6"/>
  <c r="V307" i="6"/>
  <c r="V192" i="6"/>
  <c r="V317" i="6"/>
  <c r="V277" i="6"/>
  <c r="V149" i="6"/>
  <c r="V35" i="6"/>
  <c r="V99" i="6"/>
  <c r="V28" i="6"/>
  <c r="V92" i="6"/>
  <c r="V156" i="6"/>
  <c r="V220" i="6"/>
  <c r="V284" i="6"/>
  <c r="V348" i="6"/>
  <c r="V22" i="6"/>
  <c r="V86" i="6"/>
  <c r="V15" i="6"/>
  <c r="V79" i="6"/>
  <c r="V143" i="6"/>
  <c r="V207" i="6"/>
  <c r="W207" i="6" s="1"/>
  <c r="Y207" i="6" s="1"/>
  <c r="V271" i="6"/>
  <c r="V335" i="6"/>
  <c r="V25" i="6"/>
  <c r="V89" i="6"/>
  <c r="V153" i="6"/>
  <c r="V217" i="6"/>
  <c r="V281" i="6"/>
  <c r="V345" i="6"/>
  <c r="V34" i="6"/>
  <c r="V98" i="6"/>
  <c r="V162" i="6"/>
  <c r="V226" i="6"/>
  <c r="V290" i="6"/>
  <c r="V354" i="6"/>
  <c r="V352" i="6"/>
  <c r="V286" i="6"/>
  <c r="V253" i="6"/>
  <c r="V350" i="6"/>
  <c r="V331" i="6"/>
  <c r="V203" i="6"/>
  <c r="V13" i="6"/>
  <c r="V88" i="6"/>
  <c r="V344" i="6"/>
  <c r="V216" i="6"/>
  <c r="V40" i="6"/>
  <c r="V29" i="6"/>
  <c r="V349" i="6"/>
  <c r="V278" i="6"/>
  <c r="V150" i="6"/>
  <c r="V259" i="6"/>
  <c r="V160" i="6"/>
  <c r="V157" i="6"/>
  <c r="V261" i="6"/>
  <c r="V128" i="6"/>
  <c r="V251" i="6"/>
  <c r="V136" i="6"/>
  <c r="W136" i="6" s="1"/>
  <c r="X136" i="6" s="1"/>
  <c r="V320" i="6"/>
  <c r="V43" i="6"/>
  <c r="V107" i="6"/>
  <c r="V36" i="6"/>
  <c r="V100" i="6"/>
  <c r="V164" i="6"/>
  <c r="V228" i="6"/>
  <c r="V292" i="6"/>
  <c r="V356" i="6"/>
  <c r="W356" i="6" s="1"/>
  <c r="V30" i="6"/>
  <c r="V94" i="6"/>
  <c r="V23" i="6"/>
  <c r="V87" i="6"/>
  <c r="V151" i="6"/>
  <c r="V215" i="6"/>
  <c r="V279" i="6"/>
  <c r="V343" i="6"/>
  <c r="W343" i="6" s="1"/>
  <c r="V33" i="6"/>
  <c r="V97" i="6"/>
  <c r="V161" i="6"/>
  <c r="V225" i="6"/>
  <c r="V289" i="6"/>
  <c r="V353" i="6"/>
  <c r="V42" i="6"/>
  <c r="V106" i="6"/>
  <c r="V170" i="6"/>
  <c r="V234" i="6"/>
  <c r="V298" i="6"/>
  <c r="V362" i="6"/>
  <c r="V336" i="6"/>
  <c r="V254" i="6"/>
  <c r="V237" i="6"/>
  <c r="W237" i="6" s="1"/>
  <c r="X237" i="6" s="1"/>
  <c r="V270" i="6"/>
  <c r="V315" i="6"/>
  <c r="V187" i="6"/>
  <c r="V339" i="6"/>
  <c r="V334" i="6"/>
  <c r="W334" i="6" s="1"/>
  <c r="X334" i="6" s="1"/>
  <c r="V328" i="6"/>
  <c r="V200" i="6"/>
  <c r="V8" i="6"/>
  <c r="V304" i="6"/>
  <c r="V141" i="6"/>
  <c r="V262" i="6"/>
  <c r="V133" i="6"/>
  <c r="V195" i="6"/>
  <c r="V24" i="6"/>
  <c r="V373" i="6"/>
  <c r="V245" i="6"/>
  <c r="V96" i="6"/>
  <c r="V112" i="6"/>
  <c r="V326" i="6"/>
  <c r="V309" i="6"/>
  <c r="V51" i="6"/>
  <c r="W51" i="6" s="1"/>
  <c r="V115" i="6"/>
  <c r="V44" i="6"/>
  <c r="V108" i="6"/>
  <c r="V172" i="6"/>
  <c r="V236" i="6"/>
  <c r="V300" i="6"/>
  <c r="V364" i="6"/>
  <c r="V38" i="6"/>
  <c r="V102" i="6"/>
  <c r="V31" i="6"/>
  <c r="V95" i="6"/>
  <c r="V159" i="6"/>
  <c r="W159" i="6" s="1"/>
  <c r="V223" i="6"/>
  <c r="V287" i="6"/>
  <c r="V351" i="6"/>
  <c r="V41" i="6"/>
  <c r="V105" i="6"/>
  <c r="V169" i="6"/>
  <c r="V233" i="6"/>
  <c r="V297" i="6"/>
  <c r="V361" i="6"/>
  <c r="V50" i="6"/>
  <c r="V114" i="6"/>
  <c r="V178" i="6"/>
  <c r="V242" i="6"/>
  <c r="V306" i="6"/>
  <c r="V370" i="6"/>
  <c r="V272" i="6"/>
  <c r="V206" i="6"/>
  <c r="V221" i="6"/>
  <c r="V117" i="6"/>
  <c r="V299" i="6"/>
  <c r="V171" i="6"/>
  <c r="V291" i="6"/>
  <c r="V142" i="6"/>
  <c r="V312" i="6"/>
  <c r="V184" i="6"/>
  <c r="V355" i="6"/>
  <c r="V224" i="6"/>
  <c r="V374" i="6"/>
  <c r="V246" i="6"/>
  <c r="V101" i="6"/>
  <c r="V147" i="6"/>
  <c r="V318" i="6"/>
  <c r="V357" i="6"/>
  <c r="V229" i="6"/>
  <c r="C72" i="4"/>
  <c r="C124" i="4"/>
  <c r="C38" i="4"/>
  <c r="W297" i="6" l="1"/>
  <c r="W112" i="6"/>
  <c r="X112" i="6" s="1"/>
  <c r="W249" i="6"/>
  <c r="W312" i="6"/>
  <c r="W23" i="6"/>
  <c r="W381" i="6"/>
  <c r="Y381" i="6" s="1"/>
  <c r="W295" i="6"/>
  <c r="W351" i="6"/>
  <c r="W223" i="6"/>
  <c r="W15" i="6"/>
  <c r="X15" i="6" s="1"/>
  <c r="W108" i="6"/>
  <c r="W332" i="6"/>
  <c r="Y332" i="6" s="1"/>
  <c r="W321" i="6"/>
  <c r="X321" i="6" s="1"/>
  <c r="W269" i="6"/>
  <c r="Y269" i="6" s="1"/>
  <c r="W52" i="6"/>
  <c r="X52" i="6" s="1"/>
  <c r="W360" i="6"/>
  <c r="W342" i="6"/>
  <c r="X342" i="6" s="1"/>
  <c r="W231" i="6"/>
  <c r="W31" i="6"/>
  <c r="X31" i="6" s="1"/>
  <c r="W134" i="6"/>
  <c r="Y134" i="6" s="1"/>
  <c r="W229" i="6"/>
  <c r="X229" i="6" s="1"/>
  <c r="W160" i="6"/>
  <c r="Y160" i="6" s="1"/>
  <c r="W259" i="6"/>
  <c r="X259" i="6" s="1"/>
  <c r="W197" i="6"/>
  <c r="W78" i="6"/>
  <c r="W309" i="6"/>
  <c r="W260" i="6"/>
  <c r="X260" i="6" s="1"/>
  <c r="W106" i="6"/>
  <c r="X106" i="6" s="1"/>
  <c r="W142" i="6"/>
  <c r="X142" i="6" s="1"/>
  <c r="W203" i="6"/>
  <c r="X203" i="6" s="1"/>
  <c r="W181" i="6"/>
  <c r="X181" i="6" s="1"/>
  <c r="W261" i="6"/>
  <c r="W364" i="6"/>
  <c r="W143" i="6"/>
  <c r="W204" i="6"/>
  <c r="Y204" i="6" s="1"/>
  <c r="W100" i="6"/>
  <c r="W271" i="6"/>
  <c r="X271" i="6" s="1"/>
  <c r="W187" i="6"/>
  <c r="X187" i="6" s="1"/>
  <c r="W344" i="6"/>
  <c r="Y344" i="6" s="1"/>
  <c r="W139" i="6"/>
  <c r="X139" i="6" s="1"/>
  <c r="W283" i="6"/>
  <c r="W58" i="6"/>
  <c r="Y58" i="6" s="1"/>
  <c r="W29" i="6"/>
  <c r="X29" i="6" s="1"/>
  <c r="W235" i="6"/>
  <c r="W129" i="6"/>
  <c r="Y129" i="6" s="1"/>
  <c r="W192" i="6"/>
  <c r="X192" i="6" s="1"/>
  <c r="W279" i="6"/>
  <c r="X279" i="6" s="1"/>
  <c r="W341" i="6"/>
  <c r="X341" i="6" s="1"/>
  <c r="W140" i="6"/>
  <c r="X140" i="6" s="1"/>
  <c r="W205" i="6"/>
  <c r="X205" i="6" s="1"/>
  <c r="W103" i="6"/>
  <c r="X103" i="6" s="1"/>
  <c r="W242" i="6"/>
  <c r="X242" i="6" s="1"/>
  <c r="W289" i="6"/>
  <c r="X289" i="6" s="1"/>
  <c r="W149" i="6"/>
  <c r="X149" i="6" s="1"/>
  <c r="W111" i="6"/>
  <c r="X111" i="6" s="1"/>
  <c r="W350" i="6"/>
  <c r="X350" i="6" s="1"/>
  <c r="W105" i="6"/>
  <c r="Y105" i="6" s="1"/>
  <c r="W28" i="6"/>
  <c r="Y28" i="6" s="1"/>
  <c r="W145" i="6"/>
  <c r="Y145" i="6" s="1"/>
  <c r="W316" i="6"/>
  <c r="Y316" i="6" s="1"/>
  <c r="W318" i="6"/>
  <c r="X318" i="6" s="1"/>
  <c r="W320" i="6"/>
  <c r="X320" i="6" s="1"/>
  <c r="W308" i="6"/>
  <c r="X308" i="6" s="1"/>
  <c r="W282" i="6"/>
  <c r="Y282" i="6" s="1"/>
  <c r="W107" i="6"/>
  <c r="X107" i="6" s="1"/>
  <c r="W26" i="6"/>
  <c r="Y26" i="6" s="1"/>
  <c r="W355" i="6"/>
  <c r="X355" i="6" s="1"/>
  <c r="W236" i="6"/>
  <c r="Y236" i="6" s="1"/>
  <c r="W30" i="6"/>
  <c r="Y30" i="6" s="1"/>
  <c r="W375" i="6"/>
  <c r="X375" i="6" s="1"/>
  <c r="W226" i="6"/>
  <c r="X226" i="6" s="1"/>
  <c r="W89" i="6"/>
  <c r="Y89" i="6" s="1"/>
  <c r="W101" i="6"/>
  <c r="X101" i="6" s="1"/>
  <c r="W306" i="6"/>
  <c r="X306" i="6" s="1"/>
  <c r="W169" i="6"/>
  <c r="X169" i="6" s="1"/>
  <c r="W353" i="6"/>
  <c r="X353" i="6" s="1"/>
  <c r="W284" i="6"/>
  <c r="X284" i="6" s="1"/>
  <c r="W36" i="6"/>
  <c r="X36" i="6" s="1"/>
  <c r="W216" i="6"/>
  <c r="Y216" i="6" s="1"/>
  <c r="W317" i="6"/>
  <c r="X317" i="6" s="1"/>
  <c r="W113" i="6"/>
  <c r="Y113" i="6" s="1"/>
  <c r="W247" i="6"/>
  <c r="X247" i="6" s="1"/>
  <c r="W206" i="6"/>
  <c r="X206" i="6" s="1"/>
  <c r="W88" i="6"/>
  <c r="Y88" i="6" s="1"/>
  <c r="W307" i="6"/>
  <c r="X307" i="6" s="1"/>
  <c r="W240" i="6"/>
  <c r="Y240" i="6" s="1"/>
  <c r="W285" i="6"/>
  <c r="X285" i="6" s="1"/>
  <c r="W5" i="6"/>
  <c r="X5" i="6" s="1"/>
  <c r="W74" i="6"/>
  <c r="X74" i="6" s="1"/>
  <c r="W68" i="6"/>
  <c r="X68" i="6" s="1"/>
  <c r="W85" i="6"/>
  <c r="Y85" i="6" s="1"/>
  <c r="W14" i="6"/>
  <c r="X14" i="6" s="1"/>
  <c r="W27" i="6"/>
  <c r="X27" i="6" s="1"/>
  <c r="W53" i="6"/>
  <c r="X53" i="6" s="1"/>
  <c r="W188" i="6"/>
  <c r="X188" i="6" s="1"/>
  <c r="W138" i="6"/>
  <c r="X138" i="6" s="1"/>
  <c r="W376" i="6"/>
  <c r="X376" i="6" s="1"/>
  <c r="W246" i="6"/>
  <c r="Y246" i="6" s="1"/>
  <c r="C123" i="4"/>
  <c r="W254" i="6"/>
  <c r="Y254" i="6" s="1"/>
  <c r="W167" i="6"/>
  <c r="Y167" i="6" s="1"/>
  <c r="W310" i="6"/>
  <c r="Y310" i="6" s="1"/>
  <c r="W357" i="6"/>
  <c r="X357" i="6" s="1"/>
  <c r="W99" i="6"/>
  <c r="Y99" i="6" s="1"/>
  <c r="W333" i="6"/>
  <c r="Y333" i="6" s="1"/>
  <c r="W266" i="6"/>
  <c r="Y266" i="6" s="1"/>
  <c r="W8" i="6"/>
  <c r="X8" i="6" s="1"/>
  <c r="W86" i="6"/>
  <c r="Y86" i="6" s="1"/>
  <c r="W294" i="6"/>
  <c r="Y294" i="6" s="1"/>
  <c r="W179" i="6"/>
  <c r="X179" i="6" s="1"/>
  <c r="W268" i="6"/>
  <c r="X268" i="6" s="1"/>
  <c r="W95" i="6"/>
  <c r="X95" i="6" s="1"/>
  <c r="W184" i="6"/>
  <c r="Y184" i="6" s="1"/>
  <c r="W141" i="6"/>
  <c r="Y141" i="6" s="1"/>
  <c r="W144" i="6"/>
  <c r="Y144" i="6" s="1"/>
  <c r="W330" i="6"/>
  <c r="X330" i="6" s="1"/>
  <c r="W377" i="6"/>
  <c r="Y377" i="6" s="1"/>
  <c r="W257" i="6"/>
  <c r="X257" i="6" s="1"/>
  <c r="W368" i="6"/>
  <c r="Y368" i="6" s="1"/>
  <c r="W47" i="6"/>
  <c r="Y47" i="6" s="1"/>
  <c r="W185" i="6"/>
  <c r="Y185" i="6" s="1"/>
  <c r="W336" i="6"/>
  <c r="Y336" i="6" s="1"/>
  <c r="W73" i="6"/>
  <c r="Y73" i="6" s="1"/>
  <c r="W102" i="6"/>
  <c r="X102" i="6" s="1"/>
  <c r="W124" i="6"/>
  <c r="Y124" i="6" s="1"/>
  <c r="W178" i="6"/>
  <c r="Y178" i="6" s="1"/>
  <c r="W41" i="6"/>
  <c r="X41" i="6" s="1"/>
  <c r="W362" i="6"/>
  <c r="X362" i="6" s="1"/>
  <c r="W225" i="6"/>
  <c r="X225" i="6" s="1"/>
  <c r="W322" i="6"/>
  <c r="X322" i="6" s="1"/>
  <c r="W98" i="6"/>
  <c r="X98" i="6" s="1"/>
  <c r="W210" i="6"/>
  <c r="X210" i="6" s="1"/>
  <c r="W339" i="6"/>
  <c r="X339" i="6" s="1"/>
  <c r="W199" i="6"/>
  <c r="X199" i="6" s="1"/>
  <c r="W238" i="6"/>
  <c r="X238" i="6" s="1"/>
  <c r="W258" i="6"/>
  <c r="X258" i="6" s="1"/>
  <c r="W193" i="6"/>
  <c r="Y193" i="6" s="1"/>
  <c r="W326" i="6"/>
  <c r="X326" i="6" s="1"/>
  <c r="W156" i="6"/>
  <c r="Y156" i="6" s="1"/>
  <c r="W227" i="6"/>
  <c r="X227" i="6" s="1"/>
  <c r="W273" i="6"/>
  <c r="Y273" i="6" s="1"/>
  <c r="W194" i="6"/>
  <c r="X194" i="6" s="1"/>
  <c r="W57" i="6"/>
  <c r="X57" i="6" s="1"/>
  <c r="W358" i="6"/>
  <c r="Y358" i="6" s="1"/>
  <c r="W4" i="6"/>
  <c r="Y4" i="6" s="1"/>
  <c r="W272" i="6"/>
  <c r="Y272" i="6" s="1"/>
  <c r="W270" i="6"/>
  <c r="Y270" i="6" s="1"/>
  <c r="W13" i="6"/>
  <c r="Y13" i="6" s="1"/>
  <c r="W56" i="6"/>
  <c r="X56" i="6" s="1"/>
  <c r="W3" i="6"/>
  <c r="Y3" i="6" s="1"/>
  <c r="W323" i="6"/>
  <c r="Y323" i="6" s="1"/>
  <c r="W65" i="6"/>
  <c r="X65" i="6" s="1"/>
  <c r="W44" i="6"/>
  <c r="X44" i="6" s="1"/>
  <c r="W12" i="6"/>
  <c r="Y12" i="6" s="1"/>
  <c r="W77" i="6"/>
  <c r="Y77" i="6" s="1"/>
  <c r="W190" i="6"/>
  <c r="X190" i="6" s="1"/>
  <c r="W176" i="6"/>
  <c r="X176" i="6" s="1"/>
  <c r="W10" i="6"/>
  <c r="X10" i="6" s="1"/>
  <c r="W195" i="6"/>
  <c r="Y195" i="6" s="1"/>
  <c r="W39" i="6"/>
  <c r="Y39" i="6" s="1"/>
  <c r="W133" i="6"/>
  <c r="X133" i="6" s="1"/>
  <c r="W131" i="6"/>
  <c r="Y131" i="6" s="1"/>
  <c r="W11" i="6"/>
  <c r="Y11" i="6" s="1"/>
  <c r="W120" i="6"/>
  <c r="X120" i="6" s="1"/>
  <c r="W128" i="6"/>
  <c r="X128" i="6" s="1"/>
  <c r="W171" i="6"/>
  <c r="X171" i="6" s="1"/>
  <c r="W328" i="6"/>
  <c r="Y328" i="6" s="1"/>
  <c r="W267" i="6"/>
  <c r="Y267" i="6" s="1"/>
  <c r="W177" i="6"/>
  <c r="Y177" i="6" s="1"/>
  <c r="W196" i="6"/>
  <c r="X196" i="6" s="1"/>
  <c r="W16" i="6"/>
  <c r="X16" i="6" s="1"/>
  <c r="W90" i="6"/>
  <c r="Y90" i="6" s="1"/>
  <c r="W70" i="6"/>
  <c r="X70" i="6" s="1"/>
  <c r="W280" i="6"/>
  <c r="X280" i="6" s="1"/>
  <c r="W241" i="6"/>
  <c r="X241" i="6" s="1"/>
  <c r="W116" i="6"/>
  <c r="Y116" i="6" s="1"/>
  <c r="W69" i="6"/>
  <c r="X69" i="6" s="1"/>
  <c r="W348" i="6"/>
  <c r="Y348" i="6" s="1"/>
  <c r="W277" i="6"/>
  <c r="X277" i="6" s="1"/>
  <c r="W19" i="6"/>
  <c r="Y19" i="6" s="1"/>
  <c r="W314" i="6"/>
  <c r="Y314" i="6" s="1"/>
  <c r="W300" i="6"/>
  <c r="Y300" i="6" s="1"/>
  <c r="W94" i="6"/>
  <c r="X94" i="6" s="1"/>
  <c r="W148" i="6"/>
  <c r="Y148" i="6" s="1"/>
  <c r="W165" i="6"/>
  <c r="Y165" i="6" s="1"/>
  <c r="W48" i="6"/>
  <c r="X48" i="6" s="1"/>
  <c r="W46" i="6"/>
  <c r="Y46" i="6" s="1"/>
  <c r="W96" i="6"/>
  <c r="Y96" i="6" s="1"/>
  <c r="W290" i="6"/>
  <c r="Y290" i="6" s="1"/>
  <c r="W153" i="6"/>
  <c r="X153" i="6" s="1"/>
  <c r="W248" i="6"/>
  <c r="X248" i="6" s="1"/>
  <c r="W265" i="6"/>
  <c r="X265" i="6" s="1"/>
  <c r="W127" i="6"/>
  <c r="X127" i="6" s="1"/>
  <c r="W202" i="6"/>
  <c r="X202" i="6" s="1"/>
  <c r="W370" i="6"/>
  <c r="Y370" i="6" s="1"/>
  <c r="W245" i="6"/>
  <c r="X245" i="6" s="1"/>
  <c r="W42" i="6"/>
  <c r="X42" i="6" s="1"/>
  <c r="W239" i="6"/>
  <c r="Y239" i="6" s="1"/>
  <c r="W168" i="6"/>
  <c r="Y168" i="6" s="1"/>
  <c r="W174" i="6"/>
  <c r="Y174" i="6" s="1"/>
  <c r="W233" i="6"/>
  <c r="X233" i="6" s="1"/>
  <c r="W219" i="6"/>
  <c r="X219" i="6" s="1"/>
  <c r="W331" i="6"/>
  <c r="X331" i="6" s="1"/>
  <c r="W325" i="6"/>
  <c r="Y325" i="6" s="1"/>
  <c r="W222" i="6"/>
  <c r="X222" i="6" s="1"/>
  <c r="W132" i="6"/>
  <c r="X132" i="6" s="1"/>
  <c r="W6" i="6"/>
  <c r="X6" i="6" s="1"/>
  <c r="W301" i="6"/>
  <c r="X301" i="6" s="1"/>
  <c r="W287" i="6"/>
  <c r="X287" i="6" s="1"/>
  <c r="W49" i="6"/>
  <c r="Y49" i="6" s="1"/>
  <c r="W45" i="6"/>
  <c r="Y45" i="6" s="1"/>
  <c r="W7" i="6"/>
  <c r="X7" i="6" s="1"/>
  <c r="W66" i="6"/>
  <c r="Y66" i="6" s="1"/>
  <c r="W62" i="6"/>
  <c r="X62" i="6" s="1"/>
  <c r="W198" i="6"/>
  <c r="X198" i="6" s="1"/>
  <c r="W263" i="6"/>
  <c r="Y263" i="6" s="1"/>
  <c r="W304" i="6"/>
  <c r="X304" i="6" s="1"/>
  <c r="W278" i="6"/>
  <c r="Y278" i="6" s="1"/>
  <c r="W91" i="6"/>
  <c r="Y91" i="6" s="1"/>
  <c r="W338" i="6"/>
  <c r="Y338" i="6" s="1"/>
  <c r="W201" i="6"/>
  <c r="X201" i="6" s="1"/>
  <c r="W63" i="6"/>
  <c r="Y63" i="6" s="1"/>
  <c r="W75" i="6"/>
  <c r="Y75" i="6" s="1"/>
  <c r="W324" i="6"/>
  <c r="Y324" i="6" s="1"/>
  <c r="W172" i="6"/>
  <c r="X172" i="6" s="1"/>
  <c r="W291" i="6"/>
  <c r="X291" i="6" s="1"/>
  <c r="W200" i="6"/>
  <c r="X200" i="6" s="1"/>
  <c r="W215" i="6"/>
  <c r="X215" i="6" s="1"/>
  <c r="W349" i="6"/>
  <c r="X349" i="6" s="1"/>
  <c r="W162" i="6"/>
  <c r="X162" i="6" s="1"/>
  <c r="W25" i="6"/>
  <c r="X25" i="6" s="1"/>
  <c r="W371" i="6"/>
  <c r="Y371" i="6" s="1"/>
  <c r="W175" i="6"/>
  <c r="X175" i="6" s="1"/>
  <c r="W230" i="6"/>
  <c r="Y230" i="6" s="1"/>
  <c r="W155" i="6"/>
  <c r="X155" i="6" s="1"/>
  <c r="W61" i="6"/>
  <c r="Y61" i="6" s="1"/>
  <c r="W262" i="6"/>
  <c r="X262" i="6" s="1"/>
  <c r="W67" i="6"/>
  <c r="X67" i="6" s="1"/>
  <c r="W117" i="6"/>
  <c r="Y117" i="6" s="1"/>
  <c r="W43" i="6"/>
  <c r="Y43" i="6" s="1"/>
  <c r="W79" i="6"/>
  <c r="Y79" i="6" s="1"/>
  <c r="W84" i="6"/>
  <c r="X84" i="6" s="1"/>
  <c r="W104" i="6"/>
  <c r="X104" i="6" s="1"/>
  <c r="W130" i="6"/>
  <c r="X130" i="6" s="1"/>
  <c r="W32" i="6"/>
  <c r="X32" i="6" s="1"/>
  <c r="W365" i="6"/>
  <c r="X365" i="6" s="1"/>
  <c r="W122" i="6"/>
  <c r="X122" i="6" s="1"/>
  <c r="W359" i="6"/>
  <c r="Y359" i="6" s="1"/>
  <c r="W220" i="6"/>
  <c r="X220" i="6" s="1"/>
  <c r="W166" i="6"/>
  <c r="Y166" i="6" s="1"/>
  <c r="W213" i="6"/>
  <c r="X213" i="6" s="1"/>
  <c r="W264" i="6"/>
  <c r="X264" i="6" s="1"/>
  <c r="W369" i="6"/>
  <c r="X369" i="6" s="1"/>
  <c r="W251" i="6"/>
  <c r="X251" i="6" s="1"/>
  <c r="W154" i="6"/>
  <c r="X154" i="6" s="1"/>
  <c r="W17" i="6"/>
  <c r="X17" i="6" s="1"/>
  <c r="W274" i="6"/>
  <c r="Y274" i="6" s="1"/>
  <c r="W137" i="6"/>
  <c r="X137" i="6" s="1"/>
  <c r="W152" i="6"/>
  <c r="Y152" i="6" s="1"/>
  <c r="W305" i="6"/>
  <c r="X305" i="6" s="1"/>
  <c r="W180" i="6"/>
  <c r="X180" i="6" s="1"/>
  <c r="W286" i="6"/>
  <c r="X286" i="6" s="1"/>
  <c r="W337" i="6"/>
  <c r="Y337" i="6" s="1"/>
  <c r="W212" i="6"/>
  <c r="X212" i="6" s="1"/>
  <c r="W158" i="6"/>
  <c r="Y158" i="6" s="1"/>
  <c r="W37" i="6"/>
  <c r="X37" i="6" s="1"/>
  <c r="W110" i="6"/>
  <c r="Y110" i="6" s="1"/>
  <c r="W123" i="6"/>
  <c r="X123" i="6" s="1"/>
  <c r="W354" i="6"/>
  <c r="X354" i="6" s="1"/>
  <c r="W217" i="6"/>
  <c r="X217" i="6" s="1"/>
  <c r="W329" i="6"/>
  <c r="X329" i="6" s="1"/>
  <c r="W191" i="6"/>
  <c r="Y191" i="6" s="1"/>
  <c r="W380" i="6"/>
  <c r="Y380" i="6" s="1"/>
  <c r="W20" i="6"/>
  <c r="Y20" i="6" s="1"/>
  <c r="W80" i="6"/>
  <c r="X80" i="6" s="1"/>
  <c r="W303" i="6"/>
  <c r="X303" i="6" s="1"/>
  <c r="W311" i="6"/>
  <c r="Y311" i="6" s="1"/>
  <c r="W313" i="6"/>
  <c r="X313" i="6" s="1"/>
  <c r="W379" i="6"/>
  <c r="X379" i="6" s="1"/>
  <c r="F110" i="4"/>
  <c r="E110" i="1" s="1"/>
  <c r="E110" i="4"/>
  <c r="D110" i="1" s="1"/>
  <c r="W114" i="6"/>
  <c r="X114" i="6" s="1"/>
  <c r="W150" i="6"/>
  <c r="X150" i="6" s="1"/>
  <c r="W93" i="6"/>
  <c r="X93" i="6" s="1"/>
  <c r="W292" i="6"/>
  <c r="Y292" i="6" s="1"/>
  <c r="W211" i="6"/>
  <c r="Y211" i="6" s="1"/>
  <c r="W24" i="6"/>
  <c r="X24" i="6" s="1"/>
  <c r="W374" i="6"/>
  <c r="X374" i="6" s="1"/>
  <c r="W38" i="6"/>
  <c r="Y38" i="6" s="1"/>
  <c r="W87" i="6"/>
  <c r="X87" i="6" s="1"/>
  <c r="W34" i="6"/>
  <c r="X34" i="6" s="1"/>
  <c r="W72" i="6"/>
  <c r="X72" i="6" s="1"/>
  <c r="W146" i="6"/>
  <c r="X146" i="6" s="1"/>
  <c r="W9" i="6"/>
  <c r="X9" i="6" s="1"/>
  <c r="W298" i="6"/>
  <c r="X298" i="6" s="1"/>
  <c r="W161" i="6"/>
  <c r="Y161" i="6" s="1"/>
  <c r="W232" i="6"/>
  <c r="X232" i="6" s="1"/>
  <c r="W366" i="6"/>
  <c r="Y366" i="6" s="1"/>
  <c r="W163" i="6"/>
  <c r="Y163" i="6" s="1"/>
  <c r="W118" i="6"/>
  <c r="X118" i="6" s="1"/>
  <c r="W126" i="6"/>
  <c r="X126" i="6" s="1"/>
  <c r="W221" i="6"/>
  <c r="X221" i="6" s="1"/>
  <c r="W352" i="6"/>
  <c r="Y352" i="6" s="1"/>
  <c r="W135" i="6"/>
  <c r="X135" i="6" s="1"/>
  <c r="W243" i="6"/>
  <c r="Y243" i="6" s="1"/>
  <c r="W315" i="6"/>
  <c r="Y315" i="6" s="1"/>
  <c r="W92" i="6"/>
  <c r="X92" i="6" s="1"/>
  <c r="W346" i="6"/>
  <c r="Y346" i="6" s="1"/>
  <c r="W209" i="6"/>
  <c r="X209" i="6" s="1"/>
  <c r="W372" i="6"/>
  <c r="Y372" i="6" s="1"/>
  <c r="W183" i="6"/>
  <c r="X183" i="6" s="1"/>
  <c r="W173" i="6"/>
  <c r="Y173" i="6" s="1"/>
  <c r="W21" i="6"/>
  <c r="Y21" i="6" s="1"/>
  <c r="W2" i="6"/>
  <c r="Y2" i="6" s="1"/>
  <c r="W275" i="6"/>
  <c r="X275" i="6" s="1"/>
  <c r="W189" i="6"/>
  <c r="X189" i="6" s="1"/>
  <c r="W119" i="6"/>
  <c r="Y119" i="6" s="1"/>
  <c r="W59" i="6"/>
  <c r="X59" i="6" s="1"/>
  <c r="W218" i="6"/>
  <c r="X218" i="6" s="1"/>
  <c r="W373" i="6"/>
  <c r="X373" i="6" s="1"/>
  <c r="W228" i="6"/>
  <c r="X228" i="6" s="1"/>
  <c r="W22" i="6"/>
  <c r="X22" i="6" s="1"/>
  <c r="W35" i="6"/>
  <c r="Y35" i="6" s="1"/>
  <c r="W347" i="6"/>
  <c r="X347" i="6" s="1"/>
  <c r="W288" i="6"/>
  <c r="X288" i="6" s="1"/>
  <c r="W296" i="6"/>
  <c r="Y296" i="6" s="1"/>
  <c r="W208" i="6"/>
  <c r="X208" i="6" s="1"/>
  <c r="W147" i="6"/>
  <c r="X147" i="6" s="1"/>
  <c r="W115" i="6"/>
  <c r="X115" i="6" s="1"/>
  <c r="W151" i="6"/>
  <c r="X151" i="6" s="1"/>
  <c r="W164" i="6"/>
  <c r="X164" i="6" s="1"/>
  <c r="W335" i="6"/>
  <c r="Y335" i="6" s="1"/>
  <c r="W125" i="6"/>
  <c r="X125" i="6" s="1"/>
  <c r="W340" i="6"/>
  <c r="Y340" i="6" s="1"/>
  <c r="W83" i="6"/>
  <c r="X83" i="6" s="1"/>
  <c r="W378" i="6"/>
  <c r="X378" i="6" s="1"/>
  <c r="W81" i="6"/>
  <c r="Y81" i="6" s="1"/>
  <c r="W299" i="6"/>
  <c r="Y299" i="6" s="1"/>
  <c r="W40" i="6"/>
  <c r="X40" i="6" s="1"/>
  <c r="W253" i="6"/>
  <c r="Y253" i="6" s="1"/>
  <c r="W276" i="6"/>
  <c r="Y276" i="6" s="1"/>
  <c r="W302" i="6"/>
  <c r="Y302" i="6" s="1"/>
  <c r="W60" i="6"/>
  <c r="Y60" i="6" s="1"/>
  <c r="W252" i="6"/>
  <c r="X252" i="6" s="1"/>
  <c r="W224" i="6"/>
  <c r="X224" i="6" s="1"/>
  <c r="W157" i="6"/>
  <c r="Y157" i="6" s="1"/>
  <c r="W345" i="6"/>
  <c r="X345" i="6" s="1"/>
  <c r="W363" i="6"/>
  <c r="Y363" i="6" s="1"/>
  <c r="W82" i="6"/>
  <c r="X82" i="6" s="1"/>
  <c r="W319" i="6"/>
  <c r="Y319" i="6" s="1"/>
  <c r="W250" i="6"/>
  <c r="X250" i="6" s="1"/>
  <c r="W256" i="6"/>
  <c r="X256" i="6" s="1"/>
  <c r="W244" i="6"/>
  <c r="X244" i="6" s="1"/>
  <c r="W50" i="6"/>
  <c r="X50" i="6" s="1"/>
  <c r="W234" i="6"/>
  <c r="X234" i="6" s="1"/>
  <c r="W97" i="6"/>
  <c r="X97" i="6" s="1"/>
  <c r="W281" i="6"/>
  <c r="X281" i="6" s="1"/>
  <c r="W18" i="6"/>
  <c r="X18" i="6" s="1"/>
  <c r="W255" i="6"/>
  <c r="X255" i="6" s="1"/>
  <c r="W54" i="6"/>
  <c r="Y54" i="6" s="1"/>
  <c r="W186" i="6"/>
  <c r="W55" i="6"/>
  <c r="Y55" i="6" s="1"/>
  <c r="W361" i="6"/>
  <c r="X361" i="6" s="1"/>
  <c r="W170" i="6"/>
  <c r="X170" i="6" s="1"/>
  <c r="W33" i="6"/>
  <c r="Y33" i="6" s="1"/>
  <c r="W71" i="6"/>
  <c r="Y71" i="6" s="1"/>
  <c r="W293" i="6"/>
  <c r="X293" i="6" s="1"/>
  <c r="W109" i="6"/>
  <c r="Y109" i="6" s="1"/>
  <c r="W367" i="6"/>
  <c r="Y367" i="6" s="1"/>
  <c r="X58" i="6"/>
  <c r="X381" i="6"/>
  <c r="Y334" i="6"/>
  <c r="Y261" i="6"/>
  <c r="X261" i="6"/>
  <c r="Y214" i="6"/>
  <c r="X356" i="6"/>
  <c r="Y356" i="6"/>
  <c r="X197" i="6"/>
  <c r="Y197" i="6"/>
  <c r="Y249" i="6"/>
  <c r="X249" i="6"/>
  <c r="X78" i="6"/>
  <c r="Y78" i="6"/>
  <c r="Y121" i="6"/>
  <c r="Y64" i="6"/>
  <c r="Y237" i="6"/>
  <c r="Y342" i="6"/>
  <c r="X332" i="6"/>
  <c r="Y136" i="6"/>
  <c r="X207" i="6"/>
  <c r="Y182" i="6"/>
  <c r="Y112" i="6"/>
  <c r="Y106" i="6"/>
  <c r="X309" i="6"/>
  <c r="Y309" i="6"/>
  <c r="X295" i="6"/>
  <c r="Y295" i="6"/>
  <c r="Y100" i="6"/>
  <c r="X100" i="6"/>
  <c r="X223" i="6"/>
  <c r="Y223" i="6"/>
  <c r="X297" i="6"/>
  <c r="Y297" i="6"/>
  <c r="Y327" i="6"/>
  <c r="X327" i="6"/>
  <c r="Y143" i="6"/>
  <c r="X143" i="6"/>
  <c r="X235" i="6"/>
  <c r="Y235" i="6"/>
  <c r="Y321" i="6"/>
  <c r="Y364" i="6"/>
  <c r="X364" i="6"/>
  <c r="X159" i="6"/>
  <c r="Y159" i="6"/>
  <c r="X351" i="6"/>
  <c r="Y351" i="6"/>
  <c r="Y23" i="6"/>
  <c r="X23" i="6"/>
  <c r="X51" i="6"/>
  <c r="Y51" i="6"/>
  <c r="Y231" i="6"/>
  <c r="X231" i="6"/>
  <c r="X283" i="6"/>
  <c r="Y283" i="6"/>
  <c r="X108" i="6"/>
  <c r="Y108" i="6"/>
  <c r="X76" i="6"/>
  <c r="Y76" i="6"/>
  <c r="Y343" i="6"/>
  <c r="X343" i="6"/>
  <c r="Y360" i="6"/>
  <c r="X360" i="6"/>
  <c r="X129" i="6"/>
  <c r="Y312" i="6"/>
  <c r="X312" i="6"/>
  <c r="X134" i="6" l="1"/>
  <c r="Y205" i="6"/>
  <c r="Y15" i="6"/>
  <c r="Y140" i="6"/>
  <c r="Y139" i="6"/>
  <c r="Y203" i="6"/>
  <c r="Y375" i="6"/>
  <c r="X160" i="6"/>
  <c r="Y320" i="6"/>
  <c r="X344" i="6"/>
  <c r="X269" i="6"/>
  <c r="Y259" i="6"/>
  <c r="Y187" i="6"/>
  <c r="Y52" i="6"/>
  <c r="Y192" i="6"/>
  <c r="Y279" i="6"/>
  <c r="Y149" i="6"/>
  <c r="Y181" i="6"/>
  <c r="Y260" i="6"/>
  <c r="Y31" i="6"/>
  <c r="Y142" i="6"/>
  <c r="Y229" i="6"/>
  <c r="Y271" i="6"/>
  <c r="Y29" i="6"/>
  <c r="Y36" i="6"/>
  <c r="Y53" i="6"/>
  <c r="X240" i="6"/>
  <c r="X204" i="6"/>
  <c r="Y103" i="6"/>
  <c r="Y341" i="6"/>
  <c r="Y307" i="6"/>
  <c r="X30" i="6"/>
  <c r="Y289" i="6"/>
  <c r="Y27" i="6"/>
  <c r="X167" i="6"/>
  <c r="Y318" i="6"/>
  <c r="X377" i="6"/>
  <c r="Y284" i="6"/>
  <c r="X236" i="6"/>
  <c r="Y242" i="6"/>
  <c r="Y353" i="6"/>
  <c r="Y14" i="6"/>
  <c r="X88" i="6"/>
  <c r="X254" i="6"/>
  <c r="X316" i="6"/>
  <c r="Y350" i="6"/>
  <c r="Y68" i="6"/>
  <c r="X141" i="6"/>
  <c r="Y306" i="6"/>
  <c r="Y95" i="6"/>
  <c r="X294" i="6"/>
  <c r="Y128" i="6"/>
  <c r="X216" i="6"/>
  <c r="Y111" i="6"/>
  <c r="Y176" i="6"/>
  <c r="X124" i="6"/>
  <c r="X105" i="6"/>
  <c r="Y355" i="6"/>
  <c r="Y206" i="6"/>
  <c r="X85" i="6"/>
  <c r="X145" i="6"/>
  <c r="Y169" i="6"/>
  <c r="Y308" i="6"/>
  <c r="Y247" i="6"/>
  <c r="X28" i="6"/>
  <c r="X26" i="6"/>
  <c r="X113" i="6"/>
  <c r="Y226" i="6"/>
  <c r="Y101" i="6"/>
  <c r="Y107" i="6"/>
  <c r="X282" i="6"/>
  <c r="X89" i="6"/>
  <c r="Y357" i="6"/>
  <c r="Y138" i="6"/>
  <c r="Y268" i="6"/>
  <c r="Y5" i="6"/>
  <c r="Y317" i="6"/>
  <c r="Y56" i="6"/>
  <c r="Y339" i="6"/>
  <c r="Y258" i="6"/>
  <c r="Y376" i="6"/>
  <c r="X310" i="6"/>
  <c r="Y285" i="6"/>
  <c r="Y188" i="6"/>
  <c r="X148" i="6"/>
  <c r="X246" i="6"/>
  <c r="Y74" i="6"/>
  <c r="Y70" i="6"/>
  <c r="X273" i="6"/>
  <c r="Y354" i="6"/>
  <c r="X99" i="6"/>
  <c r="Y374" i="6"/>
  <c r="X174" i="6"/>
  <c r="X39" i="6"/>
  <c r="X371" i="6"/>
  <c r="X267" i="6"/>
  <c r="Y362" i="6"/>
  <c r="X184" i="6"/>
  <c r="X263" i="6"/>
  <c r="X272" i="6"/>
  <c r="X131" i="6"/>
  <c r="X266" i="6"/>
  <c r="X358" i="6"/>
  <c r="X116" i="6"/>
  <c r="Y265" i="6"/>
  <c r="X185" i="6"/>
  <c r="X333" i="6"/>
  <c r="Y17" i="6"/>
  <c r="X47" i="6"/>
  <c r="X43" i="6"/>
  <c r="Y127" i="6"/>
  <c r="Y233" i="6"/>
  <c r="X324" i="6"/>
  <c r="Y65" i="6"/>
  <c r="X359" i="6"/>
  <c r="X144" i="6"/>
  <c r="Y8" i="6"/>
  <c r="X191" i="6"/>
  <c r="X73" i="6"/>
  <c r="X11" i="6"/>
  <c r="X77" i="6"/>
  <c r="Y98" i="6"/>
  <c r="X270" i="6"/>
  <c r="Y330" i="6"/>
  <c r="Y190" i="6"/>
  <c r="X86" i="6"/>
  <c r="Y102" i="6"/>
  <c r="Y93" i="6"/>
  <c r="X13" i="6"/>
  <c r="Y210" i="6"/>
  <c r="X156" i="6"/>
  <c r="Y123" i="6"/>
  <c r="Y72" i="6"/>
  <c r="Y227" i="6"/>
  <c r="Y179" i="6"/>
  <c r="Y118" i="6"/>
  <c r="X338" i="6"/>
  <c r="X90" i="6"/>
  <c r="Y303" i="6"/>
  <c r="Y120" i="6"/>
  <c r="X96" i="6"/>
  <c r="Y245" i="6"/>
  <c r="Y7" i="6"/>
  <c r="X61" i="6"/>
  <c r="X325" i="6"/>
  <c r="Y349" i="6"/>
  <c r="Y305" i="6"/>
  <c r="X19" i="6"/>
  <c r="Y130" i="6"/>
  <c r="Y215" i="6"/>
  <c r="Y264" i="6"/>
  <c r="X328" i="6"/>
  <c r="X368" i="6"/>
  <c r="Y57" i="6"/>
  <c r="X168" i="6"/>
  <c r="Y62" i="6"/>
  <c r="Y326" i="6"/>
  <c r="Y10" i="6"/>
  <c r="X79" i="6"/>
  <c r="X3" i="6"/>
  <c r="Y132" i="6"/>
  <c r="Y322" i="6"/>
  <c r="X12" i="6"/>
  <c r="X63" i="6"/>
  <c r="Y196" i="6"/>
  <c r="Y153" i="6"/>
  <c r="Y135" i="6"/>
  <c r="X336" i="6"/>
  <c r="Y194" i="6"/>
  <c r="X346" i="6"/>
  <c r="Y347" i="6"/>
  <c r="Y251" i="6"/>
  <c r="Y257" i="6"/>
  <c r="Y147" i="6"/>
  <c r="X300" i="6"/>
  <c r="Y280" i="6"/>
  <c r="Y162" i="6"/>
  <c r="Y301" i="6"/>
  <c r="Y171" i="6"/>
  <c r="X296" i="6"/>
  <c r="X178" i="6"/>
  <c r="X161" i="6"/>
  <c r="Y189" i="6"/>
  <c r="Y199" i="6"/>
  <c r="X239" i="6"/>
  <c r="Y212" i="6"/>
  <c r="X193" i="6"/>
  <c r="Y225" i="6"/>
  <c r="Y41" i="6"/>
  <c r="Y94" i="6"/>
  <c r="Y248" i="6"/>
  <c r="Y175" i="6"/>
  <c r="X173" i="6"/>
  <c r="Y44" i="6"/>
  <c r="X195" i="6"/>
  <c r="X165" i="6"/>
  <c r="Y238" i="6"/>
  <c r="X323" i="6"/>
  <c r="X4" i="6"/>
  <c r="Y6" i="6"/>
  <c r="Y304" i="6"/>
  <c r="Y232" i="6"/>
  <c r="X158" i="6"/>
  <c r="Y220" i="6"/>
  <c r="Y133" i="6"/>
  <c r="X177" i="6"/>
  <c r="Y241" i="6"/>
  <c r="Y154" i="6"/>
  <c r="Y172" i="6"/>
  <c r="Y286" i="6"/>
  <c r="Y287" i="6"/>
  <c r="Y69" i="6"/>
  <c r="X211" i="6"/>
  <c r="Y198" i="6"/>
  <c r="X274" i="6"/>
  <c r="Y217" i="6"/>
  <c r="X243" i="6"/>
  <c r="X75" i="6"/>
  <c r="X380" i="6"/>
  <c r="Y122" i="6"/>
  <c r="Y224" i="6"/>
  <c r="X152" i="6"/>
  <c r="X45" i="6"/>
  <c r="X46" i="6"/>
  <c r="Y331" i="6"/>
  <c r="Y104" i="6"/>
  <c r="Y213" i="6"/>
  <c r="X110" i="6"/>
  <c r="X370" i="6"/>
  <c r="Y80" i="6"/>
  <c r="X91" i="6"/>
  <c r="Y164" i="6"/>
  <c r="Y200" i="6"/>
  <c r="Y277" i="6"/>
  <c r="Y150" i="6"/>
  <c r="Y155" i="6"/>
  <c r="Y16" i="6"/>
  <c r="Y222" i="6"/>
  <c r="Y32" i="6"/>
  <c r="X311" i="6"/>
  <c r="Y180" i="6"/>
  <c r="Y42" i="6"/>
  <c r="X290" i="6"/>
  <c r="Y201" i="6"/>
  <c r="X314" i="6"/>
  <c r="Y262" i="6"/>
  <c r="X292" i="6"/>
  <c r="X66" i="6"/>
  <c r="Y369" i="6"/>
  <c r="Y48" i="6"/>
  <c r="Y114" i="6"/>
  <c r="X166" i="6"/>
  <c r="Y202" i="6"/>
  <c r="X278" i="6"/>
  <c r="X230" i="6"/>
  <c r="Y37" i="6"/>
  <c r="Y219" i="6"/>
  <c r="X49" i="6"/>
  <c r="Y291" i="6"/>
  <c r="X348" i="6"/>
  <c r="Y137" i="6"/>
  <c r="Y84" i="6"/>
  <c r="Y293" i="6"/>
  <c r="Y255" i="6"/>
  <c r="Y59" i="6"/>
  <c r="Y379" i="6"/>
  <c r="Y373" i="6"/>
  <c r="Y313" i="6"/>
  <c r="Y24" i="6"/>
  <c r="Y67" i="6"/>
  <c r="Y25" i="6"/>
  <c r="X337" i="6"/>
  <c r="Y83" i="6"/>
  <c r="Y250" i="6"/>
  <c r="Y365" i="6"/>
  <c r="X60" i="6"/>
  <c r="X117" i="6"/>
  <c r="Y329" i="6"/>
  <c r="Y87" i="6"/>
  <c r="Y22" i="6"/>
  <c r="X20" i="6"/>
  <c r="Y115" i="6"/>
  <c r="X81" i="6"/>
  <c r="X366" i="6"/>
  <c r="X2" i="6"/>
  <c r="X315" i="6"/>
  <c r="X71" i="6"/>
  <c r="X119" i="6"/>
  <c r="Y288" i="6"/>
  <c r="X253" i="6"/>
  <c r="X340" i="6"/>
  <c r="X302" i="6"/>
  <c r="X319" i="6"/>
  <c r="Y218" i="6"/>
  <c r="X352" i="6"/>
  <c r="Y208" i="6"/>
  <c r="Y183" i="6"/>
  <c r="Y298" i="6"/>
  <c r="X157" i="6"/>
  <c r="Y146" i="6"/>
  <c r="Y244" i="6"/>
  <c r="X367" i="6"/>
  <c r="Y275" i="6"/>
  <c r="X55" i="6"/>
  <c r="X299" i="6"/>
  <c r="Y126" i="6"/>
  <c r="Y18" i="6"/>
  <c r="X35" i="6"/>
  <c r="X163" i="6"/>
  <c r="Y92" i="6"/>
  <c r="Y34" i="6"/>
  <c r="Y151" i="6"/>
  <c r="Y97" i="6"/>
  <c r="Y50" i="6"/>
  <c r="X109" i="6"/>
  <c r="X21" i="6"/>
  <c r="Y256" i="6"/>
  <c r="X38" i="6"/>
  <c r="Y252" i="6"/>
  <c r="X54" i="6"/>
  <c r="Y378" i="6"/>
  <c r="Y228" i="6"/>
  <c r="Y281" i="6"/>
  <c r="Y170" i="6"/>
  <c r="Y9" i="6"/>
  <c r="Y221" i="6"/>
  <c r="Y209" i="6"/>
  <c r="X363" i="6"/>
  <c r="X372" i="6"/>
  <c r="X335" i="6"/>
  <c r="X276" i="6"/>
  <c r="Y82" i="6"/>
  <c r="Y345" i="6"/>
  <c r="X186" i="6"/>
  <c r="Y186" i="6"/>
  <c r="Y40" i="6"/>
  <c r="Y234" i="6"/>
  <c r="X33" i="6"/>
  <c r="Y361" i="6"/>
  <c r="Y125" i="6"/>
  <c r="D111" i="1"/>
  <c r="D106" i="1" l="1"/>
  <c r="D107" i="1"/>
  <c r="D98" i="4"/>
  <c r="E91" i="4" l="1"/>
  <c r="D99" i="1" s="1"/>
  <c r="D94" i="4"/>
  <c r="C92" i="4"/>
  <c r="D92" i="4" s="1"/>
  <c r="D97" i="1" s="1"/>
  <c r="E20" i="4"/>
  <c r="D73" i="1" s="1"/>
  <c r="E21" i="4"/>
  <c r="E15" i="4"/>
  <c r="C15" i="4"/>
  <c r="E14" i="4"/>
  <c r="C44" i="4" s="1"/>
  <c r="E43" i="4" s="1"/>
  <c r="C6" i="4"/>
  <c r="C9" i="4" s="1"/>
  <c r="C16" i="4" l="1"/>
  <c r="E16" i="4" s="1"/>
  <c r="E17" i="4" s="1"/>
  <c r="C31" i="4"/>
  <c r="D76" i="1"/>
  <c r="G76" i="1"/>
  <c r="F21" i="4"/>
  <c r="G73" i="1" s="1"/>
  <c r="C121" i="4"/>
  <c r="E7" i="4"/>
  <c r="D72" i="1" l="1"/>
  <c r="F16" i="4"/>
  <c r="F17" i="4" s="1"/>
  <c r="D74" i="1"/>
  <c r="C36" i="4"/>
  <c r="C42" i="4" s="1"/>
  <c r="C32" i="4"/>
  <c r="C18" i="4"/>
  <c r="C19" i="4" s="1"/>
  <c r="C26" i="4"/>
  <c r="D67" i="1" s="1"/>
  <c r="C20" i="4" l="1"/>
  <c r="C25" i="4"/>
  <c r="D66" i="1" s="1"/>
  <c r="C150" i="4"/>
  <c r="D72" i="4"/>
  <c r="D89" i="1" s="1"/>
  <c r="D18" i="4"/>
  <c r="D19" i="4" s="1"/>
  <c r="C76" i="4"/>
  <c r="C79" i="4"/>
  <c r="C51" i="4"/>
  <c r="C127" i="4" s="1"/>
  <c r="N328" i="6" l="1"/>
  <c r="N9" i="6"/>
  <c r="N205" i="6"/>
  <c r="N266" i="6"/>
  <c r="N50" i="6"/>
  <c r="N57" i="6"/>
  <c r="N142" i="6"/>
  <c r="N78" i="6"/>
  <c r="N62" i="6"/>
  <c r="N314" i="6"/>
  <c r="N130" i="6"/>
  <c r="N372" i="6"/>
  <c r="N148" i="6"/>
  <c r="N74" i="6"/>
  <c r="N58" i="6"/>
  <c r="N40" i="6"/>
  <c r="N169" i="6"/>
  <c r="N105" i="6"/>
  <c r="N12" i="6"/>
  <c r="N2" i="6"/>
  <c r="N118" i="6"/>
  <c r="N273" i="6"/>
  <c r="N26" i="6"/>
  <c r="N276" i="6"/>
  <c r="N339" i="6"/>
  <c r="N42" i="6"/>
  <c r="N240" i="6"/>
  <c r="N242" i="6"/>
  <c r="N201" i="6"/>
  <c r="N73" i="6"/>
  <c r="N41" i="6"/>
  <c r="N184" i="6"/>
  <c r="N19" i="6"/>
  <c r="N11" i="6"/>
  <c r="N110" i="6"/>
  <c r="N86" i="6"/>
  <c r="N34" i="6"/>
  <c r="N192" i="6"/>
  <c r="N106" i="6"/>
  <c r="N100" i="6"/>
  <c r="N104" i="6"/>
  <c r="N145" i="6"/>
  <c r="N89" i="6"/>
  <c r="N14" i="6"/>
  <c r="N87" i="6"/>
  <c r="N71" i="6"/>
  <c r="N5" i="6"/>
  <c r="N175" i="6"/>
  <c r="N166" i="6"/>
  <c r="N82" i="6"/>
  <c r="N75" i="6"/>
  <c r="N7" i="6"/>
  <c r="N49" i="6"/>
  <c r="N39" i="6"/>
  <c r="N20" i="6"/>
  <c r="N3" i="6"/>
  <c r="N278" i="6"/>
  <c r="N246" i="6"/>
  <c r="N190" i="6"/>
  <c r="N158" i="6"/>
  <c r="N46" i="6"/>
  <c r="N94" i="6"/>
  <c r="N194" i="6"/>
  <c r="N98" i="6"/>
  <c r="N154" i="6"/>
  <c r="N177" i="6"/>
  <c r="N97" i="6"/>
  <c r="N64" i="6"/>
  <c r="N134" i="6"/>
  <c r="N70" i="6"/>
  <c r="N30" i="6"/>
  <c r="N361" i="6"/>
  <c r="N66" i="6"/>
  <c r="N290" i="6"/>
  <c r="N6" i="6"/>
  <c r="N81" i="6"/>
  <c r="N137" i="6"/>
  <c r="N200" i="6"/>
  <c r="N152" i="6"/>
  <c r="N55" i="6"/>
  <c r="N103" i="6"/>
  <c r="N136" i="6"/>
  <c r="N206" i="6"/>
  <c r="N150" i="6"/>
  <c r="N65" i="6"/>
  <c r="N222" i="6"/>
  <c r="N210" i="6"/>
  <c r="N31" i="6"/>
  <c r="N18" i="6"/>
  <c r="N269" i="6"/>
  <c r="N77" i="6"/>
  <c r="N29" i="6"/>
  <c r="N224" i="6"/>
  <c r="N47" i="6"/>
  <c r="N68" i="6"/>
  <c r="N52" i="6"/>
  <c r="N83" i="6"/>
  <c r="N351" i="6"/>
  <c r="N303" i="6"/>
  <c r="N61" i="6"/>
  <c r="N37" i="6"/>
  <c r="N159" i="6"/>
  <c r="N252" i="6"/>
  <c r="N228" i="6"/>
  <c r="N172" i="6"/>
  <c r="N76" i="6"/>
  <c r="N36" i="6"/>
  <c r="N24" i="6"/>
  <c r="N359" i="6"/>
  <c r="N292" i="6"/>
  <c r="N54" i="6"/>
  <c r="N21" i="6"/>
  <c r="N135" i="6"/>
  <c r="N79" i="6"/>
  <c r="N88" i="6"/>
  <c r="N56" i="6"/>
  <c r="N108" i="6"/>
  <c r="N72" i="6"/>
  <c r="N107" i="6"/>
  <c r="N91" i="6"/>
  <c r="N51" i="6"/>
  <c r="N375" i="6"/>
  <c r="N327" i="6"/>
  <c r="N218" i="6"/>
  <c r="N4" i="6"/>
  <c r="N167" i="6"/>
  <c r="N237" i="6"/>
  <c r="N93" i="6"/>
  <c r="N13" i="6"/>
  <c r="N95" i="6"/>
  <c r="N92" i="6"/>
  <c r="N45" i="6"/>
  <c r="N8" i="6"/>
  <c r="N85" i="6"/>
  <c r="N367" i="6"/>
  <c r="N178" i="6"/>
  <c r="N63" i="6"/>
  <c r="N48" i="6"/>
  <c r="N261" i="6"/>
  <c r="N69" i="6"/>
  <c r="N143" i="6"/>
  <c r="N25" i="6"/>
  <c r="N17" i="6"/>
  <c r="N180" i="6"/>
  <c r="N60" i="6"/>
  <c r="N27" i="6"/>
  <c r="N198" i="6"/>
  <c r="N90" i="6"/>
  <c r="N272" i="6"/>
  <c r="N151" i="6"/>
  <c r="N213" i="6"/>
  <c r="N220" i="6"/>
  <c r="N84" i="6"/>
  <c r="N44" i="6"/>
  <c r="N111" i="6"/>
  <c r="N99" i="6"/>
  <c r="N59" i="6"/>
  <c r="N22" i="6"/>
  <c r="N38" i="6"/>
  <c r="N23" i="6"/>
  <c r="N102" i="6"/>
  <c r="N109" i="6"/>
  <c r="N53" i="6"/>
  <c r="N96" i="6"/>
  <c r="N176" i="6"/>
  <c r="N183" i="6"/>
  <c r="N284" i="6"/>
  <c r="N124" i="6"/>
  <c r="N67" i="6"/>
  <c r="N368" i="6"/>
  <c r="N335" i="6"/>
  <c r="N238" i="6"/>
  <c r="N288" i="6"/>
  <c r="N80" i="6"/>
  <c r="N10" i="6"/>
  <c r="N253" i="6"/>
  <c r="N229" i="6"/>
  <c r="N101" i="6"/>
  <c r="N28" i="6"/>
  <c r="N16" i="6"/>
  <c r="N43" i="6"/>
  <c r="N352" i="6"/>
  <c r="N326" i="6"/>
  <c r="N357" i="6"/>
  <c r="N308" i="6"/>
  <c r="N300" i="6"/>
  <c r="N371" i="6"/>
  <c r="N355" i="6"/>
  <c r="N346" i="6"/>
  <c r="N298" i="6"/>
  <c r="N239" i="6"/>
  <c r="N231" i="6"/>
  <c r="N227" i="6"/>
  <c r="N289" i="6"/>
  <c r="N374" i="6"/>
  <c r="N334" i="6"/>
  <c r="N293" i="6"/>
  <c r="N380" i="6"/>
  <c r="N340" i="6"/>
  <c r="N296" i="6"/>
  <c r="N330" i="6"/>
  <c r="N358" i="6"/>
  <c r="N377" i="6"/>
  <c r="N215" i="6"/>
  <c r="N243" i="6"/>
  <c r="N287" i="6"/>
  <c r="N343" i="6"/>
  <c r="N342" i="6"/>
  <c r="N294" i="6"/>
  <c r="N320" i="6"/>
  <c r="N364" i="6"/>
  <c r="N307" i="6"/>
  <c r="N311" i="6"/>
  <c r="N354" i="6"/>
  <c r="N306" i="6"/>
  <c r="N336" i="6"/>
  <c r="N304" i="6"/>
  <c r="N337" i="6"/>
  <c r="N305" i="6"/>
  <c r="N263" i="6"/>
  <c r="N247" i="6"/>
  <c r="N251" i="6"/>
  <c r="N265" i="6"/>
  <c r="N295" i="6"/>
  <c r="N381" i="6"/>
  <c r="N365" i="6"/>
  <c r="N341" i="6"/>
  <c r="N324" i="6"/>
  <c r="N344" i="6"/>
  <c r="N379" i="6"/>
  <c r="N345" i="6"/>
  <c r="N313" i="6"/>
  <c r="N297" i="6"/>
  <c r="N283" i="6"/>
  <c r="N211" i="6"/>
  <c r="N223" i="6"/>
  <c r="N319" i="6"/>
  <c r="N366" i="6"/>
  <c r="N310" i="6"/>
  <c r="N325" i="6"/>
  <c r="N348" i="6"/>
  <c r="N363" i="6"/>
  <c r="N315" i="6"/>
  <c r="N362" i="6"/>
  <c r="N369" i="6"/>
  <c r="N353" i="6"/>
  <c r="N207" i="6"/>
  <c r="N281" i="6"/>
  <c r="N350" i="6"/>
  <c r="N373" i="6"/>
  <c r="N301" i="6"/>
  <c r="N376" i="6"/>
  <c r="N312" i="6"/>
  <c r="N323" i="6"/>
  <c r="N299" i="6"/>
  <c r="N338" i="6"/>
  <c r="N322" i="6"/>
  <c r="N275" i="6"/>
  <c r="N235" i="6"/>
  <c r="N318" i="6"/>
  <c r="N360" i="6"/>
  <c r="N317" i="6"/>
  <c r="N356" i="6"/>
  <c r="N316" i="6"/>
  <c r="N378" i="6"/>
  <c r="N329" i="6"/>
  <c r="N271" i="6"/>
  <c r="N267" i="6"/>
  <c r="N259" i="6"/>
  <c r="N255" i="6"/>
  <c r="N257" i="6"/>
  <c r="N349" i="6"/>
  <c r="N249" i="6"/>
  <c r="N233" i="6"/>
  <c r="N216" i="6"/>
  <c r="N280" i="6"/>
  <c r="N179" i="6"/>
  <c r="N163" i="6"/>
  <c r="N139" i="6"/>
  <c r="N155" i="6"/>
  <c r="N140" i="6"/>
  <c r="N193" i="6"/>
  <c r="N138" i="6"/>
  <c r="N191" i="6"/>
  <c r="N122" i="6"/>
  <c r="N302" i="6"/>
  <c r="N333" i="6"/>
  <c r="N291" i="6"/>
  <c r="N285" i="6"/>
  <c r="N232" i="6"/>
  <c r="N245" i="6"/>
  <c r="N248" i="6"/>
  <c r="N221" i="6"/>
  <c r="N264" i="6"/>
  <c r="N256" i="6"/>
  <c r="N204" i="6"/>
  <c r="N181" i="6"/>
  <c r="N146" i="6"/>
  <c r="N144" i="6"/>
  <c r="N115" i="6"/>
  <c r="N119" i="6"/>
  <c r="N332" i="6"/>
  <c r="N347" i="6"/>
  <c r="N321" i="6"/>
  <c r="N219" i="6"/>
  <c r="N225" i="6"/>
  <c r="N209" i="6"/>
  <c r="N282" i="6"/>
  <c r="N234" i="6"/>
  <c r="N268" i="6"/>
  <c r="N236" i="6"/>
  <c r="N274" i="6"/>
  <c r="N212" i="6"/>
  <c r="N171" i="6"/>
  <c r="N133" i="6"/>
  <c r="N164" i="6"/>
  <c r="N188" i="6"/>
  <c r="N185" i="6"/>
  <c r="N160" i="6"/>
  <c r="N131" i="6"/>
  <c r="N309" i="6"/>
  <c r="N370" i="6"/>
  <c r="N258" i="6"/>
  <c r="N277" i="6"/>
  <c r="N250" i="6"/>
  <c r="N208" i="6"/>
  <c r="N197" i="6"/>
  <c r="N189" i="6"/>
  <c r="N157" i="6"/>
  <c r="N161" i="6"/>
  <c r="N162" i="6"/>
  <c r="N132" i="6"/>
  <c r="N331" i="6"/>
  <c r="N279" i="6"/>
  <c r="N241" i="6"/>
  <c r="N230" i="6"/>
  <c r="N173" i="6"/>
  <c r="N195" i="6"/>
  <c r="N147" i="6"/>
  <c r="N186" i="6"/>
  <c r="N182" i="6"/>
  <c r="N156" i="6"/>
  <c r="N170" i="6"/>
  <c r="N214" i="6"/>
  <c r="N286" i="6"/>
  <c r="N226" i="6"/>
  <c r="N260" i="6"/>
  <c r="N202" i="6"/>
  <c r="N165" i="6"/>
  <c r="N141" i="6"/>
  <c r="N199" i="6"/>
  <c r="N153" i="6"/>
  <c r="N125" i="6"/>
  <c r="N217" i="6"/>
  <c r="N270" i="6"/>
  <c r="N244" i="6"/>
  <c r="N262" i="6"/>
  <c r="N254" i="6"/>
  <c r="N196" i="6"/>
  <c r="N174" i="6"/>
  <c r="N149" i="6"/>
  <c r="N203" i="6"/>
  <c r="N121" i="6"/>
  <c r="N127" i="6"/>
  <c r="N113" i="6"/>
  <c r="N112" i="6"/>
  <c r="N35" i="6"/>
  <c r="N126" i="6"/>
  <c r="N123" i="6"/>
  <c r="N120" i="6"/>
  <c r="N114" i="6"/>
  <c r="N168" i="6"/>
  <c r="N117" i="6"/>
  <c r="N15" i="6"/>
  <c r="N187" i="6"/>
  <c r="N116" i="6"/>
  <c r="N32" i="6"/>
  <c r="N128" i="6"/>
  <c r="N129" i="6"/>
  <c r="N33" i="6"/>
  <c r="C21" i="4"/>
  <c r="D68" i="1"/>
  <c r="E43" i="1" l="1"/>
  <c r="E42" i="1"/>
  <c r="E40" i="1"/>
  <c r="K3" i="2"/>
  <c r="L3" i="2"/>
  <c r="M3" i="2" l="1"/>
  <c r="J4" i="2" s="1"/>
  <c r="F19" i="1" s="1"/>
  <c r="F91" i="4" l="1"/>
  <c r="E99" i="1" s="1"/>
  <c r="D54" i="1"/>
  <c r="C33" i="4" l="1"/>
  <c r="C34" i="4" s="1"/>
  <c r="D46" i="4" s="1"/>
  <c r="C22" i="4"/>
  <c r="C7" i="4"/>
  <c r="C8" i="4" s="1"/>
  <c r="C10" i="4" s="1"/>
  <c r="D10" i="4" s="1"/>
  <c r="F10" i="4" s="1"/>
  <c r="E62" i="1" s="1"/>
  <c r="C37" i="4" l="1"/>
  <c r="C53" i="4" s="1"/>
  <c r="F46" i="4"/>
  <c r="E75" i="1" s="1"/>
  <c r="C23" i="4"/>
  <c r="C24" i="4"/>
  <c r="C120" i="4" s="1"/>
  <c r="E10" i="4"/>
  <c r="D62" i="1" s="1"/>
  <c r="C126" i="4" l="1"/>
  <c r="C146" i="4" s="1"/>
  <c r="O237" i="6" s="1"/>
  <c r="C64" i="4"/>
  <c r="C148" i="4"/>
  <c r="L353" i="6" s="1"/>
  <c r="C40" i="4"/>
  <c r="C143" i="4"/>
  <c r="D134" i="6" s="1"/>
  <c r="C80" i="4"/>
  <c r="C81" i="4" s="1"/>
  <c r="C82" i="4" s="1"/>
  <c r="C83" i="4" s="1"/>
  <c r="C77" i="4" s="1"/>
  <c r="C125" i="4"/>
  <c r="E38" i="4"/>
  <c r="E40" i="4"/>
  <c r="E46" i="4"/>
  <c r="D75" i="1" s="1"/>
  <c r="C39" i="4"/>
  <c r="D45" i="4"/>
  <c r="F45" i="4" s="1"/>
  <c r="E69" i="1" s="1"/>
  <c r="O142" i="6" l="1"/>
  <c r="O215" i="6"/>
  <c r="O73" i="6"/>
  <c r="O190" i="6"/>
  <c r="O358" i="6"/>
  <c r="O270" i="6"/>
  <c r="O57" i="6"/>
  <c r="O216" i="6"/>
  <c r="O301" i="6"/>
  <c r="O238" i="6"/>
  <c r="O86" i="6"/>
  <c r="O357" i="6"/>
  <c r="O164" i="6"/>
  <c r="O5" i="6"/>
  <c r="O242" i="6"/>
  <c r="O340" i="6"/>
  <c r="O180" i="6"/>
  <c r="O266" i="6"/>
  <c r="O16" i="6"/>
  <c r="O9" i="6"/>
  <c r="O286" i="6"/>
  <c r="O118" i="6"/>
  <c r="O42" i="6"/>
  <c r="O290" i="6"/>
  <c r="O18" i="6"/>
  <c r="O209" i="6"/>
  <c r="O173" i="6"/>
  <c r="O99" i="6"/>
  <c r="O22" i="6"/>
  <c r="O255" i="6"/>
  <c r="O230" i="6"/>
  <c r="O128" i="6"/>
  <c r="O104" i="6"/>
  <c r="O343" i="6"/>
  <c r="O241" i="6"/>
  <c r="O374" i="6"/>
  <c r="O350" i="6"/>
  <c r="O342" i="6"/>
  <c r="O275" i="6"/>
  <c r="O158" i="6"/>
  <c r="O245" i="6"/>
  <c r="O170" i="6"/>
  <c r="O287" i="6"/>
  <c r="O212" i="6"/>
  <c r="O300" i="6"/>
  <c r="O306" i="6"/>
  <c r="O364" i="6"/>
  <c r="O12" i="6"/>
  <c r="O108" i="6"/>
  <c r="O291" i="6"/>
  <c r="O223" i="6"/>
  <c r="O321" i="6"/>
  <c r="O87" i="6"/>
  <c r="O29" i="6"/>
  <c r="O371" i="6"/>
  <c r="O349" i="6"/>
  <c r="O239" i="6"/>
  <c r="O44" i="6"/>
  <c r="O221" i="6"/>
  <c r="O146" i="6"/>
  <c r="O360" i="6"/>
  <c r="O289" i="6"/>
  <c r="O179" i="6"/>
  <c r="O143" i="6"/>
  <c r="O94" i="6"/>
  <c r="O89" i="6"/>
  <c r="O55" i="6"/>
  <c r="O151" i="6"/>
  <c r="O157" i="6"/>
  <c r="O191" i="6"/>
  <c r="O120" i="6"/>
  <c r="O49" i="6"/>
  <c r="O183" i="6"/>
  <c r="O116" i="6"/>
  <c r="O97" i="6"/>
  <c r="O226" i="6"/>
  <c r="O187" i="6"/>
  <c r="O145" i="6"/>
  <c r="O40" i="6"/>
  <c r="O177" i="6"/>
  <c r="O269" i="6"/>
  <c r="O207" i="6"/>
  <c r="O186" i="6"/>
  <c r="O318" i="6"/>
  <c r="O111" i="6"/>
  <c r="O81" i="6"/>
  <c r="O14" i="6"/>
  <c r="O6" i="6"/>
  <c r="O10" i="6"/>
  <c r="O33" i="6"/>
  <c r="O233" i="6"/>
  <c r="O297" i="6"/>
  <c r="O100" i="6"/>
  <c r="O30" i="6"/>
  <c r="O121" i="6"/>
  <c r="O311" i="6"/>
  <c r="O345" i="6"/>
  <c r="O256" i="6"/>
  <c r="O197" i="6"/>
  <c r="O148" i="6"/>
  <c r="O379" i="6"/>
  <c r="O75" i="6"/>
  <c r="O304" i="6"/>
  <c r="O144" i="6"/>
  <c r="O171" i="6"/>
  <c r="O129" i="6"/>
  <c r="O7" i="6"/>
  <c r="O169" i="6"/>
  <c r="O28" i="6"/>
  <c r="O344" i="6"/>
  <c r="O328" i="6"/>
  <c r="O27" i="6"/>
  <c r="O227" i="6"/>
  <c r="O248" i="6"/>
  <c r="O323" i="6"/>
  <c r="O34" i="6"/>
  <c r="O113" i="6"/>
  <c r="O200" i="6"/>
  <c r="O339" i="6"/>
  <c r="O367" i="6"/>
  <c r="O54" i="6"/>
  <c r="O228" i="6"/>
  <c r="O125" i="6"/>
  <c r="O260" i="6"/>
  <c r="O376" i="6"/>
  <c r="O106" i="6"/>
  <c r="O313" i="6"/>
  <c r="O117" i="6"/>
  <c r="O302" i="6"/>
  <c r="O231" i="6"/>
  <c r="O63" i="6"/>
  <c r="O90" i="6"/>
  <c r="O259" i="6"/>
  <c r="O112" i="6"/>
  <c r="O220" i="6"/>
  <c r="O88" i="6"/>
  <c r="O46" i="6"/>
  <c r="O163" i="6"/>
  <c r="O80" i="6"/>
  <c r="O20" i="6"/>
  <c r="O240" i="6"/>
  <c r="O76" i="6"/>
  <c r="O211" i="6"/>
  <c r="O83" i="6"/>
  <c r="O257" i="6"/>
  <c r="O123" i="6"/>
  <c r="O282" i="6"/>
  <c r="O161" i="6"/>
  <c r="O292" i="6"/>
  <c r="O98" i="6"/>
  <c r="O134" i="6"/>
  <c r="O320" i="6"/>
  <c r="O202" i="6"/>
  <c r="O363" i="6"/>
  <c r="O288" i="6"/>
  <c r="O354" i="6"/>
  <c r="O78" i="6"/>
  <c r="O352" i="6"/>
  <c r="O17" i="6"/>
  <c r="O252" i="6"/>
  <c r="O77" i="6"/>
  <c r="O271" i="6"/>
  <c r="O176" i="6"/>
  <c r="O331" i="6"/>
  <c r="O314" i="6"/>
  <c r="O295" i="6"/>
  <c r="O278" i="6"/>
  <c r="O110" i="6"/>
  <c r="O299" i="6"/>
  <c r="O26" i="6"/>
  <c r="O132" i="6"/>
  <c r="O309" i="6"/>
  <c r="O61" i="6"/>
  <c r="O232" i="6"/>
  <c r="O263" i="6"/>
  <c r="O91" i="6"/>
  <c r="O67" i="6"/>
  <c r="O64" i="6"/>
  <c r="O337" i="6"/>
  <c r="O60" i="6"/>
  <c r="O258" i="6"/>
  <c r="O147" i="6"/>
  <c r="O172" i="6"/>
  <c r="O365" i="6"/>
  <c r="O36" i="6"/>
  <c r="O189" i="6"/>
  <c r="O56" i="6"/>
  <c r="O332" i="6"/>
  <c r="O298" i="6"/>
  <c r="O45" i="6"/>
  <c r="O247" i="6"/>
  <c r="O326" i="6"/>
  <c r="O103" i="6"/>
  <c r="O264" i="6"/>
  <c r="O39" i="6"/>
  <c r="O38" i="6"/>
  <c r="O122" i="6"/>
  <c r="O294" i="6"/>
  <c r="O280" i="6"/>
  <c r="O208" i="6"/>
  <c r="O315" i="6"/>
  <c r="O70" i="6"/>
  <c r="O229" i="6"/>
  <c r="O305" i="6"/>
  <c r="O368" i="6"/>
  <c r="O210" i="6"/>
  <c r="O267" i="6"/>
  <c r="O285" i="6"/>
  <c r="O325" i="6"/>
  <c r="O347" i="6"/>
  <c r="O154" i="6"/>
  <c r="O359" i="6"/>
  <c r="O205" i="6"/>
  <c r="O71" i="6"/>
  <c r="O58" i="6"/>
  <c r="O178" i="6"/>
  <c r="O277" i="6"/>
  <c r="O235" i="6"/>
  <c r="O296" i="6"/>
  <c r="O160" i="6"/>
  <c r="O93" i="6"/>
  <c r="O308" i="6"/>
  <c r="O253" i="6"/>
  <c r="O141" i="6"/>
  <c r="O155" i="6"/>
  <c r="O346" i="6"/>
  <c r="O21" i="6"/>
  <c r="O380" i="6"/>
  <c r="O23" i="6"/>
  <c r="O131" i="6"/>
  <c r="O25" i="6"/>
  <c r="O225" i="6"/>
  <c r="O150" i="6"/>
  <c r="O307" i="6"/>
  <c r="O82" i="6"/>
  <c r="O166" i="6"/>
  <c r="O327" i="6"/>
  <c r="O362" i="6"/>
  <c r="O254" i="6"/>
  <c r="O322" i="6"/>
  <c r="O52" i="6"/>
  <c r="O198" i="6"/>
  <c r="O316" i="6"/>
  <c r="O283" i="6"/>
  <c r="O165" i="6"/>
  <c r="O119" i="6"/>
  <c r="O310" i="6"/>
  <c r="O262" i="6"/>
  <c r="O333" i="6"/>
  <c r="O281" i="6"/>
  <c r="O244" i="6"/>
  <c r="O268" i="6"/>
  <c r="O168" i="6"/>
  <c r="O203" i="6"/>
  <c r="O261" i="6"/>
  <c r="O19" i="6"/>
  <c r="O274" i="6"/>
  <c r="O47" i="6"/>
  <c r="O355" i="6"/>
  <c r="O195" i="6"/>
  <c r="O272" i="6"/>
  <c r="O115" i="6"/>
  <c r="O167" i="6"/>
  <c r="O126" i="6"/>
  <c r="O101" i="6"/>
  <c r="O139" i="6"/>
  <c r="O184" i="6"/>
  <c r="O51" i="6"/>
  <c r="O11" i="6"/>
  <c r="O312" i="6"/>
  <c r="O3" i="6"/>
  <c r="O219" i="6"/>
  <c r="O336" i="6"/>
  <c r="O13" i="6"/>
  <c r="O194" i="6"/>
  <c r="O8" i="6"/>
  <c r="O37" i="6"/>
  <c r="O107" i="6"/>
  <c r="O279" i="6"/>
  <c r="O35" i="6"/>
  <c r="O353" i="6"/>
  <c r="O102" i="6"/>
  <c r="O140" i="6"/>
  <c r="O236" i="6"/>
  <c r="O130" i="6"/>
  <c r="O59" i="6"/>
  <c r="O351" i="6"/>
  <c r="O204" i="6"/>
  <c r="O196" i="6"/>
  <c r="O234" i="6"/>
  <c r="O72" i="6"/>
  <c r="O276" i="6"/>
  <c r="O293" i="6"/>
  <c r="O193" i="6"/>
  <c r="O138" i="6"/>
  <c r="O370" i="6"/>
  <c r="O133" i="6"/>
  <c r="O136" i="6"/>
  <c r="O303" i="6"/>
  <c r="O249" i="6"/>
  <c r="O206" i="6"/>
  <c r="O181" i="6"/>
  <c r="O68" i="6"/>
  <c r="O66" i="6"/>
  <c r="O375" i="6"/>
  <c r="O188" i="6"/>
  <c r="O217" i="6"/>
  <c r="O199" i="6"/>
  <c r="O185" i="6"/>
  <c r="O69" i="6"/>
  <c r="O84" i="6"/>
  <c r="O62" i="6"/>
  <c r="O366" i="6"/>
  <c r="O32" i="6"/>
  <c r="O65" i="6"/>
  <c r="O341" i="6"/>
  <c r="O361" i="6"/>
  <c r="O338" i="6"/>
  <c r="O85" i="6"/>
  <c r="O152" i="6"/>
  <c r="O24" i="6"/>
  <c r="O162" i="6"/>
  <c r="O50" i="6"/>
  <c r="O159" i="6"/>
  <c r="O15" i="6"/>
  <c r="O48" i="6"/>
  <c r="O137" i="6"/>
  <c r="O329" i="6"/>
  <c r="O201" i="6"/>
  <c r="O251" i="6"/>
  <c r="O96" i="6"/>
  <c r="O373" i="6"/>
  <c r="O356" i="6"/>
  <c r="O330" i="6"/>
  <c r="O335" i="6"/>
  <c r="O114" i="6"/>
  <c r="O53" i="6"/>
  <c r="O372" i="6"/>
  <c r="O109" i="6"/>
  <c r="O124" i="6"/>
  <c r="O214" i="6"/>
  <c r="O2" i="6"/>
  <c r="O182" i="6"/>
  <c r="O378" i="6"/>
  <c r="O273" i="6"/>
  <c r="O41" i="6"/>
  <c r="O175" i="6"/>
  <c r="O95" i="6"/>
  <c r="O218" i="6"/>
  <c r="O324" i="6"/>
  <c r="O246" i="6"/>
  <c r="O250" i="6"/>
  <c r="O4" i="6"/>
  <c r="O156" i="6"/>
  <c r="O222" i="6"/>
  <c r="O284" i="6"/>
  <c r="O92" i="6"/>
  <c r="O381" i="6"/>
  <c r="O265" i="6"/>
  <c r="O153" i="6"/>
  <c r="O43" i="6"/>
  <c r="O369" i="6"/>
  <c r="O224" i="6"/>
  <c r="O149" i="6"/>
  <c r="O192" i="6"/>
  <c r="O31" i="6"/>
  <c r="O317" i="6"/>
  <c r="O334" i="6"/>
  <c r="O174" i="6"/>
  <c r="O243" i="6"/>
  <c r="O377" i="6"/>
  <c r="O127" i="6"/>
  <c r="O135" i="6"/>
  <c r="O348" i="6"/>
  <c r="O213" i="6"/>
  <c r="O74" i="6"/>
  <c r="O79" i="6"/>
  <c r="D35" i="6"/>
  <c r="D142" i="6"/>
  <c r="O319" i="6"/>
  <c r="O105" i="6"/>
  <c r="D169" i="6"/>
  <c r="D266" i="6"/>
  <c r="D369" i="6"/>
  <c r="D19" i="6"/>
  <c r="D66" i="6"/>
  <c r="D112" i="6"/>
  <c r="D359" i="6"/>
  <c r="D13" i="6"/>
  <c r="D361" i="6"/>
  <c r="D6" i="6"/>
  <c r="D181" i="6"/>
  <c r="D249" i="6"/>
  <c r="D365" i="6"/>
  <c r="D176" i="6"/>
  <c r="D357" i="6"/>
  <c r="D214" i="6"/>
  <c r="D199" i="6"/>
  <c r="D53" i="6"/>
  <c r="D165" i="6"/>
  <c r="D364" i="6"/>
  <c r="D381" i="6"/>
  <c r="D222" i="6"/>
  <c r="D44" i="6"/>
  <c r="D32" i="6"/>
  <c r="D149" i="6"/>
  <c r="D314" i="6"/>
  <c r="D42" i="6"/>
  <c r="D70" i="6"/>
  <c r="D83" i="6"/>
  <c r="D125" i="6"/>
  <c r="D278" i="6"/>
  <c r="D213" i="6"/>
  <c r="D192" i="6"/>
  <c r="D184" i="6"/>
  <c r="D56" i="6"/>
  <c r="D340" i="6"/>
  <c r="D28" i="6"/>
  <c r="D295" i="6"/>
  <c r="D282" i="6"/>
  <c r="D182" i="6"/>
  <c r="D124" i="6"/>
  <c r="D123" i="6"/>
  <c r="D247" i="6"/>
  <c r="D191" i="6"/>
  <c r="D146" i="6"/>
  <c r="D267" i="6"/>
  <c r="D374" i="6"/>
  <c r="D223" i="6"/>
  <c r="D313" i="6"/>
  <c r="D362" i="6"/>
  <c r="D220" i="6"/>
  <c r="D127" i="6"/>
  <c r="D101" i="6"/>
  <c r="D126" i="6"/>
  <c r="D196" i="6"/>
  <c r="D52" i="6"/>
  <c r="D141" i="6"/>
  <c r="D262" i="6"/>
  <c r="D22" i="6"/>
  <c r="D62" i="6"/>
  <c r="D64" i="6"/>
  <c r="D331" i="6"/>
  <c r="D51" i="6"/>
  <c r="D58" i="6"/>
  <c r="D304" i="6"/>
  <c r="D171" i="6"/>
  <c r="D254" i="6"/>
  <c r="D367" i="6"/>
  <c r="D343" i="6"/>
  <c r="D60" i="6"/>
  <c r="D49" i="6"/>
  <c r="D219" i="6"/>
  <c r="D310" i="6"/>
  <c r="D85" i="6"/>
  <c r="D242" i="6"/>
  <c r="D47" i="6"/>
  <c r="D344" i="6"/>
  <c r="D324" i="6"/>
  <c r="D312" i="6"/>
  <c r="D31" i="6"/>
  <c r="D150" i="6"/>
  <c r="D250" i="6"/>
  <c r="D232" i="6"/>
  <c r="D177" i="6"/>
  <c r="D379" i="6"/>
  <c r="D263" i="6"/>
  <c r="D99" i="6"/>
  <c r="D156" i="6"/>
  <c r="D204" i="6"/>
  <c r="D48" i="6"/>
  <c r="D180" i="6"/>
  <c r="D246" i="6"/>
  <c r="D72" i="6"/>
  <c r="D11" i="6"/>
  <c r="D284" i="6"/>
  <c r="D5" i="6"/>
  <c r="D224" i="6"/>
  <c r="D139" i="6"/>
  <c r="D372" i="6"/>
  <c r="D63" i="6"/>
  <c r="D330" i="6"/>
  <c r="D301" i="6"/>
  <c r="D218" i="6"/>
  <c r="D287" i="6"/>
  <c r="D23" i="6"/>
  <c r="D114" i="6"/>
  <c r="D265" i="6"/>
  <c r="D43" i="6"/>
  <c r="D79" i="6"/>
  <c r="D355" i="6"/>
  <c r="D173" i="6"/>
  <c r="D46" i="6"/>
  <c r="D315" i="6"/>
  <c r="D377" i="6"/>
  <c r="D116" i="6"/>
  <c r="D236" i="6"/>
  <c r="D269" i="6"/>
  <c r="D12" i="6"/>
  <c r="D279" i="6"/>
  <c r="D136" i="6"/>
  <c r="D97" i="6"/>
  <c r="D326" i="6"/>
  <c r="D186" i="6"/>
  <c r="D133" i="6"/>
  <c r="D17" i="6"/>
  <c r="D166" i="6"/>
  <c r="D319" i="6"/>
  <c r="D108" i="6"/>
  <c r="D14" i="6"/>
  <c r="D289" i="6"/>
  <c r="D34" i="6"/>
  <c r="D138" i="6"/>
  <c r="D309" i="6"/>
  <c r="D208" i="6"/>
  <c r="D73" i="6"/>
  <c r="D253" i="6"/>
  <c r="D260" i="6"/>
  <c r="D21" i="6"/>
  <c r="D15" i="6"/>
  <c r="D100" i="6"/>
  <c r="D229" i="6"/>
  <c r="D178" i="6"/>
  <c r="D290" i="6"/>
  <c r="D351" i="6"/>
  <c r="D130" i="6"/>
  <c r="D94" i="6"/>
  <c r="L127" i="6"/>
  <c r="D294" i="6"/>
  <c r="D54" i="6"/>
  <c r="D256" i="6"/>
  <c r="D210" i="6"/>
  <c r="D132" i="6"/>
  <c r="D155" i="6"/>
  <c r="D119" i="6"/>
  <c r="D285" i="6"/>
  <c r="D200" i="6"/>
  <c r="D275" i="6"/>
  <c r="D283" i="6"/>
  <c r="D292" i="6"/>
  <c r="D16" i="6"/>
  <c r="D302" i="6"/>
  <c r="D153" i="6"/>
  <c r="D288" i="6"/>
  <c r="D215" i="6"/>
  <c r="D305" i="6"/>
  <c r="D115" i="6"/>
  <c r="D159" i="6"/>
  <c r="D337" i="6"/>
  <c r="D80" i="6"/>
  <c r="D161" i="6"/>
  <c r="D303" i="6"/>
  <c r="L42" i="6"/>
  <c r="D187" i="6"/>
  <c r="D325" i="6"/>
  <c r="D135" i="6"/>
  <c r="D18" i="6"/>
  <c r="D40" i="6"/>
  <c r="D276" i="6"/>
  <c r="D140" i="6"/>
  <c r="D50" i="6"/>
  <c r="D106" i="6"/>
  <c r="D376" i="6"/>
  <c r="D280" i="6"/>
  <c r="D244" i="6"/>
  <c r="D231" i="6"/>
  <c r="D255" i="6"/>
  <c r="D228" i="6"/>
  <c r="D363" i="6"/>
  <c r="D111" i="6"/>
  <c r="D151" i="6"/>
  <c r="D38" i="6"/>
  <c r="D230" i="6"/>
  <c r="D360" i="6"/>
  <c r="D353" i="6"/>
  <c r="D8" i="6"/>
  <c r="D308" i="6"/>
  <c r="D7" i="6"/>
  <c r="D27" i="6"/>
  <c r="D121" i="6"/>
  <c r="D268" i="6"/>
  <c r="D193" i="6"/>
  <c r="D245" i="6"/>
  <c r="D84" i="6"/>
  <c r="D102" i="6"/>
  <c r="D164" i="6"/>
  <c r="D320" i="6"/>
  <c r="D240" i="6"/>
  <c r="D77" i="6"/>
  <c r="D272" i="6"/>
  <c r="D321" i="6"/>
  <c r="D37" i="6"/>
  <c r="D45" i="6"/>
  <c r="D273" i="6"/>
  <c r="D197" i="6"/>
  <c r="D90" i="6"/>
  <c r="D212" i="6"/>
  <c r="D9" i="6"/>
  <c r="D207" i="6"/>
  <c r="D174" i="6"/>
  <c r="D74" i="6"/>
  <c r="D41" i="6"/>
  <c r="D274" i="6"/>
  <c r="D356" i="6"/>
  <c r="D55" i="6"/>
  <c r="D20" i="6"/>
  <c r="D378" i="6"/>
  <c r="D158" i="6"/>
  <c r="D24" i="6"/>
  <c r="D202" i="6"/>
  <c r="D195" i="6"/>
  <c r="D333" i="6"/>
  <c r="D147" i="6"/>
  <c r="D113" i="6"/>
  <c r="D86" i="6"/>
  <c r="D68" i="6"/>
  <c r="D4" i="6"/>
  <c r="D339" i="6"/>
  <c r="D117" i="6"/>
  <c r="D264" i="6"/>
  <c r="D75" i="6"/>
  <c r="D261" i="6"/>
  <c r="D109" i="6"/>
  <c r="D188" i="6"/>
  <c r="D168" i="6"/>
  <c r="D332" i="6"/>
  <c r="D2" i="6"/>
  <c r="D271" i="6"/>
  <c r="D258" i="6"/>
  <c r="D248" i="6"/>
  <c r="D107" i="6"/>
  <c r="D323" i="6"/>
  <c r="D234" i="6"/>
  <c r="D352" i="6"/>
  <c r="D170" i="6"/>
  <c r="D277" i="6"/>
  <c r="D162" i="6"/>
  <c r="D354" i="6"/>
  <c r="D172" i="6"/>
  <c r="D375" i="6"/>
  <c r="D286" i="6"/>
  <c r="D29" i="6"/>
  <c r="D298" i="6"/>
  <c r="D71" i="6"/>
  <c r="D293" i="6"/>
  <c r="D270" i="6"/>
  <c r="D145" i="6"/>
  <c r="D82" i="6"/>
  <c r="D349" i="6"/>
  <c r="D152" i="6"/>
  <c r="D76" i="6"/>
  <c r="D154" i="6"/>
  <c r="D257" i="6"/>
  <c r="D373" i="6"/>
  <c r="D217" i="6"/>
  <c r="D235" i="6"/>
  <c r="D179" i="6"/>
  <c r="D345" i="6"/>
  <c r="D329" i="6"/>
  <c r="D57" i="6"/>
  <c r="D341" i="6"/>
  <c r="D194" i="6"/>
  <c r="D350" i="6"/>
  <c r="D122" i="6"/>
  <c r="D342" i="6"/>
  <c r="D185" i="6"/>
  <c r="D299" i="6"/>
  <c r="D183" i="6"/>
  <c r="D148" i="6"/>
  <c r="D189" i="6"/>
  <c r="D120" i="6"/>
  <c r="D221" i="6"/>
  <c r="D163" i="6"/>
  <c r="D67" i="6"/>
  <c r="D348" i="6"/>
  <c r="D281" i="6"/>
  <c r="D297" i="6"/>
  <c r="D65" i="6"/>
  <c r="D167" i="6"/>
  <c r="D243" i="6"/>
  <c r="D211" i="6"/>
  <c r="D157" i="6"/>
  <c r="D92" i="6"/>
  <c r="D110" i="6"/>
  <c r="D129" i="6"/>
  <c r="D69" i="6"/>
  <c r="D160" i="6"/>
  <c r="D368" i="6"/>
  <c r="D87" i="6"/>
  <c r="D227" i="6"/>
  <c r="D366" i="6"/>
  <c r="D103" i="6"/>
  <c r="D98" i="6"/>
  <c r="D198" i="6"/>
  <c r="D128" i="6"/>
  <c r="D78" i="6"/>
  <c r="D93" i="6"/>
  <c r="D144" i="6"/>
  <c r="D252" i="6"/>
  <c r="D25" i="6"/>
  <c r="D209" i="6"/>
  <c r="D334" i="6"/>
  <c r="D300" i="6"/>
  <c r="D328" i="6"/>
  <c r="D317" i="6"/>
  <c r="D327" i="6"/>
  <c r="D96" i="6"/>
  <c r="D233" i="6"/>
  <c r="L133" i="6"/>
  <c r="L114" i="6"/>
  <c r="L198" i="6"/>
  <c r="L27" i="6"/>
  <c r="L177" i="6"/>
  <c r="L302" i="6"/>
  <c r="L99" i="6"/>
  <c r="L85" i="6"/>
  <c r="L72" i="6"/>
  <c r="L57" i="6"/>
  <c r="L77" i="6"/>
  <c r="L171" i="6"/>
  <c r="L335" i="6"/>
  <c r="L61" i="6"/>
  <c r="L231" i="6"/>
  <c r="D380" i="6"/>
  <c r="D3" i="6"/>
  <c r="D59" i="6"/>
  <c r="D335" i="6"/>
  <c r="D216" i="6"/>
  <c r="D61" i="6"/>
  <c r="D33" i="6"/>
  <c r="D238" i="6"/>
  <c r="D370" i="6"/>
  <c r="D137" i="6"/>
  <c r="D318" i="6"/>
  <c r="D206" i="6"/>
  <c r="D203" i="6"/>
  <c r="D241" i="6"/>
  <c r="D226" i="6"/>
  <c r="D175" i="6"/>
  <c r="D36" i="6"/>
  <c r="D131" i="6"/>
  <c r="D104" i="6"/>
  <c r="D346" i="6"/>
  <c r="D311" i="6"/>
  <c r="D201" i="6"/>
  <c r="D30" i="6"/>
  <c r="D143" i="6"/>
  <c r="D322" i="6"/>
  <c r="D251" i="6"/>
  <c r="D316" i="6"/>
  <c r="D225" i="6"/>
  <c r="D190" i="6"/>
  <c r="D39" i="6"/>
  <c r="D89" i="6"/>
  <c r="D118" i="6"/>
  <c r="D296" i="6"/>
  <c r="D81" i="6"/>
  <c r="D10" i="6"/>
  <c r="D306" i="6"/>
  <c r="D358" i="6"/>
  <c r="D95" i="6"/>
  <c r="D371" i="6"/>
  <c r="D26" i="6"/>
  <c r="D336" i="6"/>
  <c r="D205" i="6"/>
  <c r="D347" i="6"/>
  <c r="D259" i="6"/>
  <c r="D91" i="6"/>
  <c r="D88" i="6"/>
  <c r="D338" i="6"/>
  <c r="D237" i="6"/>
  <c r="D239" i="6"/>
  <c r="D307" i="6"/>
  <c r="D291" i="6"/>
  <c r="D105" i="6"/>
  <c r="L15" i="6"/>
  <c r="L310" i="6"/>
  <c r="L139" i="6"/>
  <c r="L48" i="6"/>
  <c r="L51" i="6"/>
  <c r="L279" i="6"/>
  <c r="L241" i="6"/>
  <c r="L13" i="6"/>
  <c r="L119" i="6"/>
  <c r="L333" i="6"/>
  <c r="L326" i="6"/>
  <c r="L58" i="6"/>
  <c r="L332" i="6"/>
  <c r="L104" i="6"/>
  <c r="L230" i="6"/>
  <c r="L369" i="6"/>
  <c r="L313" i="6"/>
  <c r="L134" i="6"/>
  <c r="L285" i="6"/>
  <c r="L89" i="6"/>
  <c r="L242" i="6"/>
  <c r="L213" i="6"/>
  <c r="L102" i="6"/>
  <c r="L268" i="6"/>
  <c r="L108" i="6"/>
  <c r="L207" i="6"/>
  <c r="L338" i="6"/>
  <c r="L96" i="6"/>
  <c r="C41" i="4"/>
  <c r="D47" i="4" s="1"/>
  <c r="L170" i="6"/>
  <c r="L11" i="6"/>
  <c r="L174" i="6"/>
  <c r="L243" i="6"/>
  <c r="L356" i="6"/>
  <c r="L340" i="6"/>
  <c r="L22" i="6"/>
  <c r="L210" i="6"/>
  <c r="L148" i="6"/>
  <c r="L12" i="6"/>
  <c r="L244" i="6"/>
  <c r="L278" i="6"/>
  <c r="L10" i="6"/>
  <c r="L163" i="6"/>
  <c r="L128" i="6"/>
  <c r="L113" i="6"/>
  <c r="L238" i="6"/>
  <c r="L175" i="6"/>
  <c r="L144" i="6"/>
  <c r="L140" i="6"/>
  <c r="L211" i="6"/>
  <c r="L31" i="6"/>
  <c r="L209" i="6"/>
  <c r="L264" i="6"/>
  <c r="L281" i="6"/>
  <c r="L43" i="6"/>
  <c r="L377" i="6"/>
  <c r="L295" i="6"/>
  <c r="L172" i="6"/>
  <c r="L311" i="6"/>
  <c r="L137" i="6"/>
  <c r="L44" i="6"/>
  <c r="L298" i="6"/>
  <c r="L62" i="6"/>
  <c r="L249" i="6"/>
  <c r="L111" i="6"/>
  <c r="L124" i="6"/>
  <c r="L379" i="6"/>
  <c r="L184" i="6"/>
  <c r="L225" i="6"/>
  <c r="L153" i="6"/>
  <c r="L156" i="6"/>
  <c r="L59" i="6"/>
  <c r="L324" i="6"/>
  <c r="L93" i="6"/>
  <c r="L47" i="6"/>
  <c r="L95" i="6"/>
  <c r="L180" i="6"/>
  <c r="L164" i="6"/>
  <c r="L375" i="6"/>
  <c r="L28" i="6"/>
  <c r="L37" i="6"/>
  <c r="L296" i="6"/>
  <c r="L372" i="6"/>
  <c r="L63" i="6"/>
  <c r="L351" i="6"/>
  <c r="L378" i="6"/>
  <c r="L176" i="6"/>
  <c r="L20" i="6"/>
  <c r="L256" i="6"/>
  <c r="L60" i="6"/>
  <c r="L135" i="6"/>
  <c r="L350" i="6"/>
  <c r="L289" i="6"/>
  <c r="L159" i="6"/>
  <c r="L265" i="6"/>
  <c r="L254" i="6"/>
  <c r="L178" i="6"/>
  <c r="L74" i="6"/>
  <c r="L347" i="6"/>
  <c r="L121" i="6"/>
  <c r="L83" i="6"/>
  <c r="L277" i="6"/>
  <c r="L251" i="6"/>
  <c r="L266" i="6"/>
  <c r="L252" i="6"/>
  <c r="L54" i="6"/>
  <c r="L19" i="6"/>
  <c r="L29" i="6"/>
  <c r="L275" i="6"/>
  <c r="L215" i="6"/>
  <c r="L203" i="6"/>
  <c r="L233" i="6"/>
  <c r="L253" i="6"/>
  <c r="L55" i="6"/>
  <c r="L370" i="6"/>
  <c r="L132" i="6"/>
  <c r="L30" i="6"/>
  <c r="L318" i="6"/>
  <c r="L303" i="6"/>
  <c r="L329" i="6"/>
  <c r="L103" i="6"/>
  <c r="L196" i="6"/>
  <c r="L192" i="6"/>
  <c r="L155" i="6"/>
  <c r="L126" i="6"/>
  <c r="L345" i="6"/>
  <c r="L197" i="6"/>
  <c r="L52" i="6"/>
  <c r="L117" i="6"/>
  <c r="L368" i="6"/>
  <c r="L131" i="6"/>
  <c r="L359" i="6"/>
  <c r="L300" i="6"/>
  <c r="L320" i="6"/>
  <c r="L161" i="6"/>
  <c r="L115" i="6"/>
  <c r="L339" i="6"/>
  <c r="L248" i="6"/>
  <c r="L116" i="6"/>
  <c r="L284" i="6"/>
  <c r="L169" i="6"/>
  <c r="L183" i="6"/>
  <c r="L346" i="6"/>
  <c r="L360" i="6"/>
  <c r="L101" i="6"/>
  <c r="L334" i="6"/>
  <c r="L269" i="6"/>
  <c r="L349" i="6"/>
  <c r="L65" i="6"/>
  <c r="L274" i="6"/>
  <c r="L199" i="6"/>
  <c r="L247" i="6"/>
  <c r="L323" i="6"/>
  <c r="L304" i="6"/>
  <c r="L261" i="6"/>
  <c r="L321" i="6"/>
  <c r="L270" i="6"/>
  <c r="L218" i="6"/>
  <c r="L188" i="6"/>
  <c r="L283" i="6"/>
  <c r="L212" i="6"/>
  <c r="L366" i="6"/>
  <c r="L246" i="6"/>
  <c r="L299" i="6"/>
  <c r="L8" i="6"/>
  <c r="L16" i="6"/>
  <c r="L160" i="6"/>
  <c r="L39" i="6"/>
  <c r="L69" i="6"/>
  <c r="L293" i="6"/>
  <c r="L129" i="6"/>
  <c r="L343" i="6"/>
  <c r="L236" i="6"/>
  <c r="L288" i="6"/>
  <c r="L381" i="6"/>
  <c r="L373" i="6"/>
  <c r="L272" i="6"/>
  <c r="L185" i="6"/>
  <c r="L186" i="6"/>
  <c r="L342" i="6"/>
  <c r="L94" i="6"/>
  <c r="L315" i="6"/>
  <c r="L234" i="6"/>
  <c r="L204" i="6"/>
  <c r="L224" i="6"/>
  <c r="L358" i="6"/>
  <c r="L181" i="6"/>
  <c r="L314" i="6"/>
  <c r="L325" i="6"/>
  <c r="L291" i="6"/>
  <c r="L337" i="6"/>
  <c r="L35" i="6"/>
  <c r="L75" i="6"/>
  <c r="L282" i="6"/>
  <c r="L319" i="6"/>
  <c r="L146" i="6"/>
  <c r="L32" i="6"/>
  <c r="L328" i="6"/>
  <c r="L193" i="6"/>
  <c r="L271" i="6"/>
  <c r="L36" i="6"/>
  <c r="L149" i="6"/>
  <c r="L182" i="6"/>
  <c r="L262" i="6"/>
  <c r="L92" i="6"/>
  <c r="L330" i="6"/>
  <c r="L122" i="6"/>
  <c r="L105" i="6"/>
  <c r="L228" i="6"/>
  <c r="L23" i="6"/>
  <c r="L363" i="6"/>
  <c r="L165" i="6"/>
  <c r="L168" i="6"/>
  <c r="L364" i="6"/>
  <c r="L312" i="6"/>
  <c r="L2" i="6"/>
  <c r="L200" i="6"/>
  <c r="L49" i="6"/>
  <c r="L301" i="6"/>
  <c r="L130" i="6"/>
  <c r="L245" i="6"/>
  <c r="L46" i="6"/>
  <c r="L205" i="6"/>
  <c r="L167" i="6"/>
  <c r="L308" i="6"/>
  <c r="L173" i="6"/>
  <c r="L195" i="6"/>
  <c r="L53" i="6"/>
  <c r="L297" i="6"/>
  <c r="L202" i="6"/>
  <c r="L305" i="6"/>
  <c r="L86" i="6"/>
  <c r="L316" i="6"/>
  <c r="L50" i="6"/>
  <c r="L40" i="6"/>
  <c r="L187" i="6"/>
  <c r="L81" i="6"/>
  <c r="L341" i="6"/>
  <c r="L9" i="6"/>
  <c r="L235" i="6"/>
  <c r="L88" i="6"/>
  <c r="L276" i="6"/>
  <c r="L67" i="6"/>
  <c r="L6" i="6"/>
  <c r="L232" i="6"/>
  <c r="L179" i="6"/>
  <c r="L109" i="6"/>
  <c r="L223" i="6"/>
  <c r="L142" i="6"/>
  <c r="L143" i="6"/>
  <c r="L136" i="6"/>
  <c r="L380" i="6"/>
  <c r="L78" i="6"/>
  <c r="L162" i="6"/>
  <c r="L64" i="6"/>
  <c r="L98" i="6"/>
  <c r="L70" i="6"/>
  <c r="L259" i="6"/>
  <c r="L151" i="6"/>
  <c r="L41" i="6"/>
  <c r="L110" i="6"/>
  <c r="L26" i="6"/>
  <c r="L191" i="6"/>
  <c r="L355" i="6"/>
  <c r="L217" i="6"/>
  <c r="L33" i="6"/>
  <c r="L258" i="6"/>
  <c r="L56" i="6"/>
  <c r="L352" i="6"/>
  <c r="L3" i="6"/>
  <c r="L189" i="6"/>
  <c r="L25" i="6"/>
  <c r="L201" i="6"/>
  <c r="L84" i="6"/>
  <c r="L306" i="6"/>
  <c r="L68" i="6"/>
  <c r="L317" i="6"/>
  <c r="L106" i="6"/>
  <c r="L24" i="6"/>
  <c r="L237" i="6"/>
  <c r="L220" i="6"/>
  <c r="L125" i="6"/>
  <c r="L287" i="6"/>
  <c r="L97" i="6"/>
  <c r="L229" i="6"/>
  <c r="L80" i="6"/>
  <c r="L376" i="6"/>
  <c r="L344" i="6"/>
  <c r="L309" i="6"/>
  <c r="L290" i="6"/>
  <c r="L267" i="6"/>
  <c r="L331" i="6"/>
  <c r="L348" i="6"/>
  <c r="L73" i="6"/>
  <c r="L123" i="6"/>
  <c r="L118" i="6"/>
  <c r="L5" i="6"/>
  <c r="L257" i="6"/>
  <c r="L166" i="6"/>
  <c r="L21" i="6"/>
  <c r="L17" i="6"/>
  <c r="L214" i="6"/>
  <c r="L138" i="6"/>
  <c r="L194" i="6"/>
  <c r="L222" i="6"/>
  <c r="L239" i="6"/>
  <c r="L14" i="6"/>
  <c r="L45" i="6"/>
  <c r="L79" i="6"/>
  <c r="L221" i="6"/>
  <c r="L365" i="6"/>
  <c r="L336" i="6"/>
  <c r="L66" i="6"/>
  <c r="L362" i="6"/>
  <c r="L361" i="6"/>
  <c r="L286" i="6"/>
  <c r="L145" i="6"/>
  <c r="L292" i="6"/>
  <c r="L7" i="6"/>
  <c r="L112" i="6"/>
  <c r="L90" i="6"/>
  <c r="L240" i="6"/>
  <c r="L154" i="6"/>
  <c r="L255" i="6"/>
  <c r="L147" i="6"/>
  <c r="L357" i="6"/>
  <c r="L18" i="6"/>
  <c r="L152" i="6"/>
  <c r="L227" i="6"/>
  <c r="L219" i="6"/>
  <c r="L216" i="6"/>
  <c r="L91" i="6"/>
  <c r="L157" i="6"/>
  <c r="L208" i="6"/>
  <c r="L260" i="6"/>
  <c r="L294" i="6"/>
  <c r="L158" i="6"/>
  <c r="L190" i="6"/>
  <c r="L76" i="6"/>
  <c r="L371" i="6"/>
  <c r="L374" i="6"/>
  <c r="L280" i="6"/>
  <c r="L322" i="6"/>
  <c r="L71" i="6"/>
  <c r="L87" i="6"/>
  <c r="L273" i="6"/>
  <c r="L354" i="6"/>
  <c r="L120" i="6"/>
  <c r="L107" i="6"/>
  <c r="L38" i="6"/>
  <c r="L34" i="6"/>
  <c r="L327" i="6"/>
  <c r="L100" i="6"/>
  <c r="L141" i="6"/>
  <c r="L4" i="6"/>
  <c r="L263" i="6"/>
  <c r="L250" i="6"/>
  <c r="L206" i="6"/>
  <c r="L82" i="6"/>
  <c r="L226" i="6"/>
  <c r="L150" i="6"/>
  <c r="L307" i="6"/>
  <c r="L367" i="6"/>
  <c r="C84" i="4"/>
  <c r="C96" i="4"/>
  <c r="C78" i="4"/>
  <c r="D78" i="4" s="1"/>
  <c r="C141" i="4"/>
  <c r="E274" i="6" s="1"/>
  <c r="E77" i="4"/>
  <c r="D92" i="1" s="1"/>
  <c r="C149" i="4"/>
  <c r="M80" i="6" s="1"/>
  <c r="C147" i="4"/>
  <c r="K243" i="6" s="1"/>
  <c r="C142" i="4"/>
  <c r="C14" i="6" s="1"/>
  <c r="E45" i="4"/>
  <c r="D69" i="1" s="1"/>
  <c r="C52" i="4" l="1"/>
  <c r="E47" i="4"/>
  <c r="D77" i="1" s="1"/>
  <c r="C43" i="4"/>
  <c r="D48" i="4" s="1"/>
  <c r="F47" i="4"/>
  <c r="E77" i="1" s="1"/>
  <c r="C85" i="4"/>
  <c r="C94" i="4" s="1"/>
  <c r="E174" i="6"/>
  <c r="E201" i="6"/>
  <c r="E63" i="6"/>
  <c r="E84" i="6"/>
  <c r="E333" i="6"/>
  <c r="E365" i="6"/>
  <c r="E200" i="6"/>
  <c r="M25" i="6"/>
  <c r="M296" i="6"/>
  <c r="M367" i="6"/>
  <c r="M198" i="6"/>
  <c r="M282" i="6"/>
  <c r="M2" i="6"/>
  <c r="M272" i="6"/>
  <c r="M312" i="6"/>
  <c r="M95" i="6"/>
  <c r="M273" i="6"/>
  <c r="M17" i="6"/>
  <c r="M185" i="6"/>
  <c r="M269" i="6"/>
  <c r="M372" i="6"/>
  <c r="M152" i="6"/>
  <c r="E327" i="6"/>
  <c r="E308" i="6"/>
  <c r="E234" i="6"/>
  <c r="E5" i="6"/>
  <c r="E13" i="6"/>
  <c r="E313" i="6"/>
  <c r="E205" i="6"/>
  <c r="E287" i="6"/>
  <c r="E123" i="6"/>
  <c r="E106" i="6"/>
  <c r="E9" i="6"/>
  <c r="E168" i="6"/>
  <c r="E298" i="6"/>
  <c r="E125" i="6"/>
  <c r="E199" i="6"/>
  <c r="E240" i="6"/>
  <c r="E368" i="6"/>
  <c r="E358" i="6"/>
  <c r="E364" i="6"/>
  <c r="E216" i="6"/>
  <c r="E263" i="6"/>
  <c r="E112" i="6"/>
  <c r="E281" i="6"/>
  <c r="E109" i="6"/>
  <c r="E142" i="6"/>
  <c r="M147" i="6"/>
  <c r="M234" i="6"/>
  <c r="M133" i="6"/>
  <c r="M140" i="6"/>
  <c r="M308" i="6"/>
  <c r="E289" i="6"/>
  <c r="E33" i="6"/>
  <c r="E132" i="6"/>
  <c r="E40" i="6"/>
  <c r="M184" i="6"/>
  <c r="M166" i="6"/>
  <c r="M207" i="6"/>
  <c r="M77" i="6"/>
  <c r="M51" i="6"/>
  <c r="E114" i="6"/>
  <c r="E269" i="6"/>
  <c r="E321" i="6"/>
  <c r="E66" i="6"/>
  <c r="E303" i="6"/>
  <c r="E178" i="6"/>
  <c r="E238" i="6"/>
  <c r="E302" i="6"/>
  <c r="E284" i="6"/>
  <c r="E224" i="6"/>
  <c r="E272" i="6"/>
  <c r="E24" i="6"/>
  <c r="M316" i="6"/>
  <c r="M44" i="6"/>
  <c r="M344" i="6"/>
  <c r="M251" i="6"/>
  <c r="M340" i="6"/>
  <c r="E283" i="6"/>
  <c r="E348" i="6"/>
  <c r="E361" i="6"/>
  <c r="E347" i="6"/>
  <c r="E169" i="6"/>
  <c r="E147" i="6"/>
  <c r="E223" i="6"/>
  <c r="E326" i="6"/>
  <c r="E68" i="6"/>
  <c r="M205" i="6"/>
  <c r="M214" i="6"/>
  <c r="M30" i="6"/>
  <c r="M174" i="6"/>
  <c r="M22" i="6"/>
  <c r="E103" i="6"/>
  <c r="E245" i="6"/>
  <c r="E378" i="6"/>
  <c r="E316" i="6"/>
  <c r="E322" i="6"/>
  <c r="E257" i="6"/>
  <c r="E250" i="6"/>
  <c r="E377" i="6"/>
  <c r="M170" i="6"/>
  <c r="M241" i="6"/>
  <c r="M114" i="6"/>
  <c r="M224" i="6"/>
  <c r="M120" i="6"/>
  <c r="M371" i="6"/>
  <c r="E183" i="6"/>
  <c r="E59" i="6"/>
  <c r="E95" i="6"/>
  <c r="E116" i="6"/>
  <c r="E46" i="6"/>
  <c r="E279" i="6"/>
  <c r="E80" i="6"/>
  <c r="E324" i="6"/>
  <c r="E273" i="6"/>
  <c r="E237" i="6"/>
  <c r="E100" i="6"/>
  <c r="E312" i="6"/>
  <c r="E266" i="6"/>
  <c r="E265" i="6"/>
  <c r="E10" i="6"/>
  <c r="E99" i="6"/>
  <c r="E293" i="6"/>
  <c r="E101" i="6"/>
  <c r="E128" i="6"/>
  <c r="E150" i="6"/>
  <c r="E227" i="6"/>
  <c r="E370" i="6"/>
  <c r="E233" i="6"/>
  <c r="E4" i="6"/>
  <c r="E173" i="6"/>
  <c r="E251" i="6"/>
  <c r="E83" i="6"/>
  <c r="E65" i="6"/>
  <c r="E184" i="6"/>
  <c r="E337" i="6"/>
  <c r="E190" i="6"/>
  <c r="E131" i="6"/>
  <c r="E235" i="6"/>
  <c r="E140" i="6"/>
  <c r="E93" i="6"/>
  <c r="E295" i="6"/>
  <c r="E126" i="6"/>
  <c r="E344" i="6"/>
  <c r="E185" i="6"/>
  <c r="E133" i="6"/>
  <c r="E74" i="6"/>
  <c r="E301" i="6"/>
  <c r="E290" i="6"/>
  <c r="E170" i="6"/>
  <c r="E15" i="6"/>
  <c r="E355" i="6"/>
  <c r="E359" i="6"/>
  <c r="E339" i="6"/>
  <c r="E136" i="6"/>
  <c r="E105" i="6"/>
  <c r="E231" i="6"/>
  <c r="E282" i="6"/>
  <c r="E31" i="6"/>
  <c r="E328" i="6"/>
  <c r="E29" i="6"/>
  <c r="E215" i="6"/>
  <c r="E191" i="6"/>
  <c r="E143" i="6"/>
  <c r="E236" i="6"/>
  <c r="E151" i="6"/>
  <c r="E120" i="6"/>
  <c r="E155" i="6"/>
  <c r="E135" i="6"/>
  <c r="E47" i="6"/>
  <c r="E16" i="6"/>
  <c r="E144" i="6"/>
  <c r="E97" i="6"/>
  <c r="E38" i="6"/>
  <c r="E214" i="6"/>
  <c r="E334" i="6"/>
  <c r="E192" i="6"/>
  <c r="E249" i="6"/>
  <c r="E89" i="6"/>
  <c r="E320" i="6"/>
  <c r="E2" i="6"/>
  <c r="E363" i="6"/>
  <c r="E145" i="6"/>
  <c r="E188" i="6"/>
  <c r="E331" i="6"/>
  <c r="E73" i="6"/>
  <c r="E7" i="6"/>
  <c r="E244" i="6"/>
  <c r="E286" i="6"/>
  <c r="E87" i="6"/>
  <c r="E219" i="6"/>
  <c r="E104" i="6"/>
  <c r="E177" i="6"/>
  <c r="E264" i="6"/>
  <c r="E11" i="6"/>
  <c r="E3" i="6"/>
  <c r="E276" i="6"/>
  <c r="E32" i="6"/>
  <c r="E60" i="6"/>
  <c r="E69" i="6"/>
  <c r="E374" i="6"/>
  <c r="E246" i="6"/>
  <c r="E209" i="6"/>
  <c r="E366" i="6"/>
  <c r="E204" i="6"/>
  <c r="E362" i="6"/>
  <c r="E163" i="6"/>
  <c r="E352" i="6"/>
  <c r="E211" i="6"/>
  <c r="E12" i="6"/>
  <c r="E138" i="6"/>
  <c r="E156" i="6"/>
  <c r="E253" i="6"/>
  <c r="E20" i="6"/>
  <c r="E34" i="6"/>
  <c r="E335" i="6"/>
  <c r="E213" i="6"/>
  <c r="E255" i="6"/>
  <c r="E35" i="6"/>
  <c r="E343" i="6"/>
  <c r="E319" i="6"/>
  <c r="E381" i="6"/>
  <c r="E134" i="6"/>
  <c r="E88" i="6"/>
  <c r="E42" i="6"/>
  <c r="E75" i="6"/>
  <c r="E221" i="6"/>
  <c r="E342" i="6"/>
  <c r="E259" i="6"/>
  <c r="E261" i="6"/>
  <c r="E50" i="6"/>
  <c r="E180" i="6"/>
  <c r="E30" i="6"/>
  <c r="E154" i="6"/>
  <c r="E129" i="6"/>
  <c r="E21" i="6"/>
  <c r="E228" i="6"/>
  <c r="E380" i="6"/>
  <c r="E26" i="6"/>
  <c r="E25" i="6"/>
  <c r="E336" i="6"/>
  <c r="E81" i="6"/>
  <c r="E294" i="6"/>
  <c r="E299" i="6"/>
  <c r="E350" i="6"/>
  <c r="E239" i="6"/>
  <c r="E243" i="6"/>
  <c r="E318" i="6"/>
  <c r="E161" i="6"/>
  <c r="E225" i="6"/>
  <c r="E367" i="6"/>
  <c r="E379" i="6"/>
  <c r="E56" i="6"/>
  <c r="E340" i="6"/>
  <c r="E61" i="6"/>
  <c r="E193" i="6"/>
  <c r="E222" i="6"/>
  <c r="E325" i="6"/>
  <c r="E149" i="6"/>
  <c r="E341" i="6"/>
  <c r="E86" i="6"/>
  <c r="E117" i="6"/>
  <c r="E254" i="6"/>
  <c r="E127" i="6"/>
  <c r="E280" i="6"/>
  <c r="E346" i="6"/>
  <c r="E137" i="6"/>
  <c r="E230" i="6"/>
  <c r="E175" i="6"/>
  <c r="E77" i="6"/>
  <c r="E130" i="6"/>
  <c r="E54" i="6"/>
  <c r="E107" i="6"/>
  <c r="E181" i="6"/>
  <c r="E98" i="6"/>
  <c r="E212" i="6"/>
  <c r="E360" i="6"/>
  <c r="E285" i="6"/>
  <c r="E165" i="6"/>
  <c r="E297" i="6"/>
  <c r="E330" i="6"/>
  <c r="E189" i="6"/>
  <c r="E252" i="6"/>
  <c r="E371" i="6"/>
  <c r="E51" i="6"/>
  <c r="E270" i="6"/>
  <c r="E271" i="6"/>
  <c r="E164" i="6"/>
  <c r="E207" i="6"/>
  <c r="E296" i="6"/>
  <c r="E48" i="6"/>
  <c r="E139" i="6"/>
  <c r="E41" i="6"/>
  <c r="E94" i="6"/>
  <c r="E159" i="6"/>
  <c r="E85" i="6"/>
  <c r="E206" i="6"/>
  <c r="E208" i="6"/>
  <c r="E158" i="6"/>
  <c r="E351" i="6"/>
  <c r="E64" i="6"/>
  <c r="E17" i="6"/>
  <c r="E306" i="6"/>
  <c r="E146" i="6"/>
  <c r="E115" i="6"/>
  <c r="E152" i="6"/>
  <c r="E121" i="6"/>
  <c r="E92" i="6"/>
  <c r="E111" i="6"/>
  <c r="E23" i="6"/>
  <c r="E291" i="6"/>
  <c r="E96" i="6"/>
  <c r="E6" i="6"/>
  <c r="E267" i="6"/>
  <c r="E78" i="6"/>
  <c r="E67" i="6"/>
  <c r="E72" i="6"/>
  <c r="E197" i="6"/>
  <c r="E58" i="6"/>
  <c r="E198" i="6"/>
  <c r="E90" i="6"/>
  <c r="E305" i="6"/>
  <c r="E310" i="6"/>
  <c r="E53" i="6"/>
  <c r="E317" i="6"/>
  <c r="E241" i="6"/>
  <c r="E108" i="6"/>
  <c r="E62" i="6"/>
  <c r="E353" i="6"/>
  <c r="E314" i="6"/>
  <c r="E57" i="6"/>
  <c r="E268" i="6"/>
  <c r="E52" i="6"/>
  <c r="E369" i="6"/>
  <c r="E124" i="6"/>
  <c r="E376" i="6"/>
  <c r="E217" i="6"/>
  <c r="E277" i="6"/>
  <c r="E19" i="6"/>
  <c r="E186" i="6"/>
  <c r="E275" i="6"/>
  <c r="E196" i="6"/>
  <c r="E113" i="6"/>
  <c r="E220" i="6"/>
  <c r="E232" i="6"/>
  <c r="E307" i="6"/>
  <c r="E256" i="6"/>
  <c r="E36" i="6"/>
  <c r="E309" i="6"/>
  <c r="E76" i="6"/>
  <c r="E311" i="6"/>
  <c r="E49" i="6"/>
  <c r="E278" i="6"/>
  <c r="E357" i="6"/>
  <c r="E172" i="6"/>
  <c r="E248" i="6"/>
  <c r="E345" i="6"/>
  <c r="E43" i="6"/>
  <c r="E171" i="6"/>
  <c r="E91" i="6"/>
  <c r="E375" i="6"/>
  <c r="E70" i="6"/>
  <c r="E260" i="6"/>
  <c r="E329" i="6"/>
  <c r="E372" i="6"/>
  <c r="E71" i="6"/>
  <c r="E187" i="6"/>
  <c r="E160" i="6"/>
  <c r="E229" i="6"/>
  <c r="E226" i="6"/>
  <c r="E288" i="6"/>
  <c r="E202" i="6"/>
  <c r="E79" i="6"/>
  <c r="E195" i="6"/>
  <c r="E354" i="6"/>
  <c r="E247" i="6"/>
  <c r="E148" i="6"/>
  <c r="E242" i="6"/>
  <c r="E39" i="6"/>
  <c r="E300" i="6"/>
  <c r="E323" i="6"/>
  <c r="E44" i="6"/>
  <c r="E332" i="6"/>
  <c r="E262" i="6"/>
  <c r="E194" i="6"/>
  <c r="E349" i="6"/>
  <c r="E14" i="6"/>
  <c r="E167" i="6"/>
  <c r="E119" i="6"/>
  <c r="E55" i="6"/>
  <c r="E258" i="6"/>
  <c r="E315" i="6"/>
  <c r="E153" i="6"/>
  <c r="E110" i="6"/>
  <c r="M209" i="6"/>
  <c r="M173" i="6"/>
  <c r="M286" i="6"/>
  <c r="M154" i="6"/>
  <c r="M188" i="6"/>
  <c r="M64" i="6"/>
  <c r="M183" i="6"/>
  <c r="M355" i="6"/>
  <c r="E373" i="6"/>
  <c r="E176" i="6"/>
  <c r="E82" i="6"/>
  <c r="E37" i="6"/>
  <c r="E304" i="6"/>
  <c r="E28" i="6"/>
  <c r="M149" i="6"/>
  <c r="M178" i="6"/>
  <c r="M40" i="6"/>
  <c r="M160" i="6"/>
  <c r="M330" i="6"/>
  <c r="M82" i="6"/>
  <c r="M356" i="6"/>
  <c r="M306" i="6"/>
  <c r="M181" i="6"/>
  <c r="M238" i="6"/>
  <c r="M245" i="6"/>
  <c r="M100" i="6"/>
  <c r="E8" i="6"/>
  <c r="E210" i="6"/>
  <c r="E122" i="6"/>
  <c r="E27" i="6"/>
  <c r="E356" i="6"/>
  <c r="E292" i="6"/>
  <c r="E162" i="6"/>
  <c r="E182" i="6"/>
  <c r="M7" i="6"/>
  <c r="M321" i="6"/>
  <c r="M47" i="6"/>
  <c r="M161" i="6"/>
  <c r="M168" i="6"/>
  <c r="M138" i="6"/>
  <c r="M309" i="6"/>
  <c r="M215" i="6"/>
  <c r="M84" i="6"/>
  <c r="M105" i="6"/>
  <c r="M380" i="6"/>
  <c r="M247" i="6"/>
  <c r="E118" i="6"/>
  <c r="E203" i="6"/>
  <c r="E22" i="6"/>
  <c r="E179" i="6"/>
  <c r="E141" i="6"/>
  <c r="E102" i="6"/>
  <c r="M71" i="6"/>
  <c r="M200" i="6"/>
  <c r="M331" i="6"/>
  <c r="M302" i="6"/>
  <c r="M90" i="6"/>
  <c r="M115" i="6"/>
  <c r="M189" i="6"/>
  <c r="M10" i="6"/>
  <c r="M304" i="6"/>
  <c r="M194" i="6"/>
  <c r="M342" i="6"/>
  <c r="M230" i="6"/>
  <c r="M159" i="6"/>
  <c r="E18" i="6"/>
  <c r="E157" i="6"/>
  <c r="E218" i="6"/>
  <c r="E166" i="6"/>
  <c r="E45" i="6"/>
  <c r="E338" i="6"/>
  <c r="M197" i="6"/>
  <c r="M366" i="6"/>
  <c r="M271" i="6"/>
  <c r="M357" i="6"/>
  <c r="M339" i="6"/>
  <c r="M204" i="6"/>
  <c r="M235" i="6"/>
  <c r="M50" i="6"/>
  <c r="M131" i="6"/>
  <c r="M212" i="6"/>
  <c r="M349" i="6"/>
  <c r="M151" i="6"/>
  <c r="M48" i="6"/>
  <c r="M12" i="6"/>
  <c r="K316" i="6"/>
  <c r="M336" i="6"/>
  <c r="M220" i="6"/>
  <c r="M246" i="6"/>
  <c r="M217" i="6"/>
  <c r="M191" i="6"/>
  <c r="M135" i="6"/>
  <c r="M320" i="6"/>
  <c r="M126" i="6"/>
  <c r="M14" i="6"/>
  <c r="M203" i="6"/>
  <c r="M108" i="6"/>
  <c r="M264" i="6"/>
  <c r="M248" i="6"/>
  <c r="M39" i="6"/>
  <c r="M143" i="6"/>
  <c r="M98" i="6"/>
  <c r="M268" i="6"/>
  <c r="M52" i="6"/>
  <c r="M274" i="6"/>
  <c r="M119" i="6"/>
  <c r="M193" i="6"/>
  <c r="M35" i="6"/>
  <c r="M263" i="6"/>
  <c r="M279" i="6"/>
  <c r="M139" i="6"/>
  <c r="M192" i="6"/>
  <c r="M293" i="6"/>
  <c r="M341" i="6"/>
  <c r="M6" i="6"/>
  <c r="M334" i="6"/>
  <c r="M236" i="6"/>
  <c r="M165" i="6"/>
  <c r="M62" i="6"/>
  <c r="M292" i="6"/>
  <c r="M262" i="6"/>
  <c r="M74" i="6"/>
  <c r="M128" i="6"/>
  <c r="M132" i="6"/>
  <c r="M163" i="6"/>
  <c r="M211" i="6"/>
  <c r="M75" i="6"/>
  <c r="M81" i="6"/>
  <c r="M231" i="6"/>
  <c r="M376" i="6"/>
  <c r="M38" i="6"/>
  <c r="M347" i="6"/>
  <c r="M223" i="6"/>
  <c r="M36" i="6"/>
  <c r="M66" i="6"/>
  <c r="M196" i="6"/>
  <c r="M363" i="6"/>
  <c r="M338" i="6"/>
  <c r="M305" i="6"/>
  <c r="M267" i="6"/>
  <c r="M354" i="6"/>
  <c r="M258" i="6"/>
  <c r="M116" i="6"/>
  <c r="M326" i="6"/>
  <c r="M318" i="6"/>
  <c r="M177" i="6"/>
  <c r="M374" i="6"/>
  <c r="M311" i="6"/>
  <c r="M199" i="6"/>
  <c r="M301" i="6"/>
  <c r="M343" i="6"/>
  <c r="M69" i="6"/>
  <c r="M145" i="6"/>
  <c r="M283" i="6"/>
  <c r="M348" i="6"/>
  <c r="M89" i="6"/>
  <c r="M255" i="6"/>
  <c r="M208" i="6"/>
  <c r="M287" i="6"/>
  <c r="M28" i="6"/>
  <c r="M270" i="6"/>
  <c r="M237" i="6"/>
  <c r="M29" i="6"/>
  <c r="M106" i="6"/>
  <c r="M284" i="6"/>
  <c r="M67" i="6"/>
  <c r="M157" i="6"/>
  <c r="M167" i="6"/>
  <c r="M158" i="6"/>
  <c r="M370" i="6"/>
  <c r="M360" i="6"/>
  <c r="M109" i="6"/>
  <c r="M280" i="6"/>
  <c r="M359" i="6"/>
  <c r="M266" i="6"/>
  <c r="M72" i="6"/>
  <c r="M113" i="6"/>
  <c r="M332" i="6"/>
  <c r="M345" i="6"/>
  <c r="M99" i="6"/>
  <c r="M300" i="6"/>
  <c r="M102" i="6"/>
  <c r="M68" i="6"/>
  <c r="M86" i="6"/>
  <c r="M144" i="6"/>
  <c r="M43" i="6"/>
  <c r="M278" i="6"/>
  <c r="M276" i="6"/>
  <c r="M232" i="6"/>
  <c r="M249" i="6"/>
  <c r="M8" i="6"/>
  <c r="M303" i="6"/>
  <c r="M21" i="6"/>
  <c r="M210" i="6"/>
  <c r="M78" i="6"/>
  <c r="M20" i="6"/>
  <c r="M24" i="6"/>
  <c r="M85" i="6"/>
  <c r="M79" i="6"/>
  <c r="M290" i="6"/>
  <c r="M31" i="6"/>
  <c r="M104" i="6"/>
  <c r="M53" i="6"/>
  <c r="M15" i="6"/>
  <c r="M328" i="6"/>
  <c r="M19" i="6"/>
  <c r="M307" i="6"/>
  <c r="M45" i="6"/>
  <c r="M350" i="6"/>
  <c r="M337" i="6"/>
  <c r="M299" i="6"/>
  <c r="M375" i="6"/>
  <c r="M361" i="6"/>
  <c r="M118" i="6"/>
  <c r="M294" i="6"/>
  <c r="M295" i="6"/>
  <c r="M46" i="6"/>
  <c r="M127" i="6"/>
  <c r="M243" i="6"/>
  <c r="P243" i="6" s="1"/>
  <c r="Q243" i="6" s="1"/>
  <c r="M297" i="6"/>
  <c r="M54" i="6"/>
  <c r="M182" i="6"/>
  <c r="M41" i="6"/>
  <c r="M11" i="6"/>
  <c r="M26" i="6"/>
  <c r="M277" i="6"/>
  <c r="M242" i="6"/>
  <c r="M289" i="6"/>
  <c r="M49" i="6"/>
  <c r="M125" i="6"/>
  <c r="M314" i="6"/>
  <c r="M4" i="6"/>
  <c r="M96" i="6"/>
  <c r="M122" i="6"/>
  <c r="M179" i="6"/>
  <c r="M221" i="6"/>
  <c r="M172" i="6"/>
  <c r="M261" i="6"/>
  <c r="M213" i="6"/>
  <c r="M107" i="6"/>
  <c r="M219" i="6"/>
  <c r="M369" i="6"/>
  <c r="M239" i="6"/>
  <c r="M16" i="6"/>
  <c r="M206" i="6"/>
  <c r="M180" i="6"/>
  <c r="M57" i="6"/>
  <c r="M265" i="6"/>
  <c r="M195" i="6"/>
  <c r="M73" i="6"/>
  <c r="M134" i="6"/>
  <c r="M60" i="6"/>
  <c r="M37" i="6"/>
  <c r="M351" i="6"/>
  <c r="M27" i="6"/>
  <c r="M335" i="6"/>
  <c r="M319" i="6"/>
  <c r="M186" i="6"/>
  <c r="M378" i="6"/>
  <c r="M142" i="6"/>
  <c r="M317" i="6"/>
  <c r="M33" i="6"/>
  <c r="M285" i="6"/>
  <c r="M103" i="6"/>
  <c r="M124" i="6"/>
  <c r="M155" i="6"/>
  <c r="M222" i="6"/>
  <c r="M92" i="6"/>
  <c r="M275" i="6"/>
  <c r="M175" i="6"/>
  <c r="M202" i="6"/>
  <c r="M381" i="6"/>
  <c r="M252" i="6"/>
  <c r="M358" i="6"/>
  <c r="M253" i="6"/>
  <c r="M362" i="6"/>
  <c r="M101" i="6"/>
  <c r="M83" i="6"/>
  <c r="M56" i="6"/>
  <c r="M87" i="6"/>
  <c r="M136" i="6"/>
  <c r="M34" i="6"/>
  <c r="M153" i="6"/>
  <c r="M121" i="6"/>
  <c r="M148" i="6"/>
  <c r="M323" i="6"/>
  <c r="M364" i="6"/>
  <c r="M379" i="6"/>
  <c r="M5" i="6"/>
  <c r="M325" i="6"/>
  <c r="M228" i="6"/>
  <c r="M169" i="6"/>
  <c r="M352" i="6"/>
  <c r="M260" i="6"/>
  <c r="M59" i="6"/>
  <c r="M111" i="6"/>
  <c r="M129" i="6"/>
  <c r="M13" i="6"/>
  <c r="M315" i="6"/>
  <c r="M281" i="6"/>
  <c r="M218" i="6"/>
  <c r="M257" i="6"/>
  <c r="M123" i="6"/>
  <c r="M254" i="6"/>
  <c r="M61" i="6"/>
  <c r="M201" i="6"/>
  <c r="M377" i="6"/>
  <c r="M97" i="6"/>
  <c r="M244" i="6"/>
  <c r="M88" i="6"/>
  <c r="M329" i="6"/>
  <c r="M333" i="6"/>
  <c r="M70" i="6"/>
  <c r="M229" i="6"/>
  <c r="M346" i="6"/>
  <c r="M216" i="6"/>
  <c r="M23" i="6"/>
  <c r="M9" i="6"/>
  <c r="M365" i="6"/>
  <c r="M373" i="6"/>
  <c r="M291" i="6"/>
  <c r="M322" i="6"/>
  <c r="M137" i="6"/>
  <c r="M156" i="6"/>
  <c r="M65" i="6"/>
  <c r="M3" i="6"/>
  <c r="M176" i="6"/>
  <c r="M298" i="6"/>
  <c r="M150" i="6"/>
  <c r="M91" i="6"/>
  <c r="M313" i="6"/>
  <c r="M310" i="6"/>
  <c r="M250" i="6"/>
  <c r="M130" i="6"/>
  <c r="M146" i="6"/>
  <c r="M171" i="6"/>
  <c r="M288" i="6"/>
  <c r="M190" i="6"/>
  <c r="M324" i="6"/>
  <c r="M18" i="6"/>
  <c r="M226" i="6"/>
  <c r="M256" i="6"/>
  <c r="M55" i="6"/>
  <c r="M353" i="6"/>
  <c r="M259" i="6"/>
  <c r="M42" i="6"/>
  <c r="M94" i="6"/>
  <c r="M141" i="6"/>
  <c r="M187" i="6"/>
  <c r="M240" i="6"/>
  <c r="M76" i="6"/>
  <c r="M32" i="6"/>
  <c r="M227" i="6"/>
  <c r="M58" i="6"/>
  <c r="M110" i="6"/>
  <c r="M117" i="6"/>
  <c r="M162" i="6"/>
  <c r="M164" i="6"/>
  <c r="M112" i="6"/>
  <c r="M63" i="6"/>
  <c r="M225" i="6"/>
  <c r="M233" i="6"/>
  <c r="M327" i="6"/>
  <c r="M93" i="6"/>
  <c r="M368" i="6"/>
  <c r="K190" i="6"/>
  <c r="K275" i="6"/>
  <c r="K250" i="6"/>
  <c r="K2" i="6"/>
  <c r="K121" i="6"/>
  <c r="K223" i="6"/>
  <c r="K25" i="6"/>
  <c r="K216" i="6"/>
  <c r="K11" i="6"/>
  <c r="K69" i="6"/>
  <c r="K7" i="6"/>
  <c r="K369" i="6"/>
  <c r="K285" i="6"/>
  <c r="K52" i="6"/>
  <c r="K193" i="6"/>
  <c r="K279" i="6"/>
  <c r="K32" i="6"/>
  <c r="K335" i="6"/>
  <c r="K136" i="6"/>
  <c r="K27" i="6"/>
  <c r="K153" i="6"/>
  <c r="K219" i="6"/>
  <c r="K145" i="6"/>
  <c r="K187" i="6"/>
  <c r="P187" i="6" s="1"/>
  <c r="Q187" i="6" s="1"/>
  <c r="K297" i="6"/>
  <c r="K116" i="6"/>
  <c r="K162" i="6"/>
  <c r="K371" i="6"/>
  <c r="K245" i="6"/>
  <c r="K5" i="6"/>
  <c r="K255" i="6"/>
  <c r="K150" i="6"/>
  <c r="K181" i="6"/>
  <c r="K228" i="6"/>
  <c r="K149" i="6"/>
  <c r="K251" i="6"/>
  <c r="K133" i="6"/>
  <c r="K137" i="6"/>
  <c r="P137" i="6" s="1"/>
  <c r="R137" i="6" s="1"/>
  <c r="K123" i="6"/>
  <c r="K225" i="6"/>
  <c r="K33" i="6"/>
  <c r="P33" i="6" s="1"/>
  <c r="Q33" i="6" s="1"/>
  <c r="K29" i="6"/>
  <c r="K376" i="6"/>
  <c r="K188" i="6"/>
  <c r="K79" i="6"/>
  <c r="K57" i="6"/>
  <c r="K226" i="6"/>
  <c r="K313" i="6"/>
  <c r="K362" i="6"/>
  <c r="K167" i="6"/>
  <c r="K8" i="6"/>
  <c r="K340" i="6"/>
  <c r="K261" i="6"/>
  <c r="K130" i="6"/>
  <c r="K44" i="6"/>
  <c r="K59" i="6"/>
  <c r="K37" i="6"/>
  <c r="K272" i="6"/>
  <c r="K354" i="6"/>
  <c r="K164" i="6"/>
  <c r="K293" i="6"/>
  <c r="K135" i="6"/>
  <c r="K63" i="6"/>
  <c r="K284" i="6"/>
  <c r="K48" i="6"/>
  <c r="K195" i="6"/>
  <c r="K15" i="6"/>
  <c r="K140" i="6"/>
  <c r="P140" i="6" s="1"/>
  <c r="R140" i="6" s="1"/>
  <c r="K295" i="6"/>
  <c r="K105" i="6"/>
  <c r="K191" i="6"/>
  <c r="K315" i="6"/>
  <c r="K253" i="6"/>
  <c r="K220" i="6"/>
  <c r="K26" i="6"/>
  <c r="K132" i="6"/>
  <c r="K234" i="6"/>
  <c r="K336" i="6"/>
  <c r="K111" i="6"/>
  <c r="K127" i="6"/>
  <c r="K154" i="6"/>
  <c r="K13" i="6"/>
  <c r="K230" i="6"/>
  <c r="K53" i="6"/>
  <c r="K258" i="6"/>
  <c r="K34" i="6"/>
  <c r="K377" i="6"/>
  <c r="K20" i="6"/>
  <c r="K217" i="6"/>
  <c r="K241" i="6"/>
  <c r="K113" i="6"/>
  <c r="K64" i="6"/>
  <c r="K364" i="6"/>
  <c r="K270" i="6"/>
  <c r="K281" i="6"/>
  <c r="P281" i="6" s="1"/>
  <c r="R281" i="6" s="1"/>
  <c r="K100" i="6"/>
  <c r="K235" i="6"/>
  <c r="K330" i="6"/>
  <c r="K299" i="6"/>
  <c r="K294" i="6"/>
  <c r="K125" i="6"/>
  <c r="K229" i="6"/>
  <c r="K345" i="6"/>
  <c r="K201" i="6"/>
  <c r="K172" i="6"/>
  <c r="K9" i="6"/>
  <c r="K58" i="6"/>
  <c r="K71" i="6"/>
  <c r="K240" i="6"/>
  <c r="K19" i="6"/>
  <c r="K45" i="6"/>
  <c r="K117" i="6"/>
  <c r="K317" i="6"/>
  <c r="K274" i="6"/>
  <c r="K381" i="6"/>
  <c r="K139" i="6"/>
  <c r="K288" i="6"/>
  <c r="K338" i="6"/>
  <c r="K213" i="6"/>
  <c r="K110" i="6"/>
  <c r="K144" i="6"/>
  <c r="K35" i="6"/>
  <c r="K246" i="6"/>
  <c r="K115" i="6"/>
  <c r="K106" i="6"/>
  <c r="K165" i="6"/>
  <c r="K363" i="6"/>
  <c r="K237" i="6"/>
  <c r="K74" i="6"/>
  <c r="K3" i="6"/>
  <c r="K286" i="6"/>
  <c r="K170" i="6"/>
  <c r="K124" i="6"/>
  <c r="K321" i="6"/>
  <c r="K233" i="6"/>
  <c r="K28" i="6"/>
  <c r="K209" i="6"/>
  <c r="K17" i="6"/>
  <c r="K61" i="6"/>
  <c r="K168" i="6"/>
  <c r="K108" i="6"/>
  <c r="K30" i="6"/>
  <c r="K166" i="6"/>
  <c r="K178" i="6"/>
  <c r="K320" i="6"/>
  <c r="K264" i="6"/>
  <c r="K24" i="6"/>
  <c r="K90" i="6"/>
  <c r="P90" i="6" s="1"/>
  <c r="R90" i="6" s="1"/>
  <c r="K242" i="6"/>
  <c r="K224" i="6"/>
  <c r="K143" i="6"/>
  <c r="K182" i="6"/>
  <c r="K333" i="6"/>
  <c r="K236" i="6"/>
  <c r="K205" i="6"/>
  <c r="K325" i="6"/>
  <c r="K68" i="6"/>
  <c r="K360" i="6"/>
  <c r="K221" i="6"/>
  <c r="K92" i="6"/>
  <c r="K169" i="6"/>
  <c r="K16" i="6"/>
  <c r="K126" i="6"/>
  <c r="K91" i="6"/>
  <c r="K49" i="6"/>
  <c r="K267" i="6"/>
  <c r="K287" i="6"/>
  <c r="K302" i="6"/>
  <c r="K72" i="6"/>
  <c r="K62" i="6"/>
  <c r="K300" i="6"/>
  <c r="K332" i="6"/>
  <c r="K238" i="6"/>
  <c r="K77" i="6"/>
  <c r="K93" i="6"/>
  <c r="K296" i="6"/>
  <c r="K80" i="6"/>
  <c r="P80" i="6" s="1"/>
  <c r="R80" i="6" s="1"/>
  <c r="K306" i="6"/>
  <c r="K343" i="6"/>
  <c r="K107" i="6"/>
  <c r="K67" i="6"/>
  <c r="K349" i="6"/>
  <c r="K271" i="6"/>
  <c r="K204" i="6"/>
  <c r="P204" i="6" s="1"/>
  <c r="R204" i="6" s="1"/>
  <c r="K198" i="6"/>
  <c r="K252" i="6"/>
  <c r="K206" i="6"/>
  <c r="K353" i="6"/>
  <c r="K269" i="6"/>
  <c r="P269" i="6" s="1"/>
  <c r="R269" i="6" s="1"/>
  <c r="K65" i="6"/>
  <c r="K207" i="6"/>
  <c r="K97" i="6"/>
  <c r="K334" i="6"/>
  <c r="K155" i="6"/>
  <c r="K99" i="6"/>
  <c r="K75" i="6"/>
  <c r="K232" i="6"/>
  <c r="K351" i="6"/>
  <c r="K119" i="6"/>
  <c r="K308" i="6"/>
  <c r="K312" i="6"/>
  <c r="K346" i="6"/>
  <c r="K83" i="6"/>
  <c r="K102" i="6"/>
  <c r="K4" i="6"/>
  <c r="K21" i="6"/>
  <c r="K319" i="6"/>
  <c r="K138" i="6"/>
  <c r="K175" i="6"/>
  <c r="K348" i="6"/>
  <c r="K142" i="6"/>
  <c r="K379" i="6"/>
  <c r="K273" i="6"/>
  <c r="K329" i="6"/>
  <c r="K222" i="6"/>
  <c r="K43" i="6"/>
  <c r="K301" i="6"/>
  <c r="K87" i="6"/>
  <c r="K254" i="6"/>
  <c r="P254" i="6" s="1"/>
  <c r="Q254" i="6" s="1"/>
  <c r="K120" i="6"/>
  <c r="K147" i="6"/>
  <c r="K370" i="6"/>
  <c r="K373" i="6"/>
  <c r="K194" i="6"/>
  <c r="K6" i="6"/>
  <c r="K94" i="6"/>
  <c r="K361" i="6"/>
  <c r="K146" i="6"/>
  <c r="K78" i="6"/>
  <c r="K95" i="6"/>
  <c r="K176" i="6"/>
  <c r="K280" i="6"/>
  <c r="K328" i="6"/>
  <c r="K192" i="6"/>
  <c r="K259" i="6"/>
  <c r="K218" i="6"/>
  <c r="K173" i="6"/>
  <c r="P173" i="6" s="1"/>
  <c r="R173" i="6" s="1"/>
  <c r="K161" i="6"/>
  <c r="K129" i="6"/>
  <c r="K326" i="6"/>
  <c r="K174" i="6"/>
  <c r="K96" i="6"/>
  <c r="K22" i="6"/>
  <c r="K112" i="6"/>
  <c r="K81" i="6"/>
  <c r="K231" i="6"/>
  <c r="K47" i="6"/>
  <c r="K344" i="6"/>
  <c r="K160" i="6"/>
  <c r="K323" i="6"/>
  <c r="K331" i="6"/>
  <c r="K66" i="6"/>
  <c r="K249" i="6"/>
  <c r="K10" i="6"/>
  <c r="K185" i="6"/>
  <c r="K42" i="6"/>
  <c r="K200" i="6"/>
  <c r="K131" i="6"/>
  <c r="K14" i="6"/>
  <c r="K214" i="6"/>
  <c r="K82" i="6"/>
  <c r="K244" i="6"/>
  <c r="K163" i="6"/>
  <c r="K134" i="6"/>
  <c r="K23" i="6"/>
  <c r="K18" i="6"/>
  <c r="K366" i="6"/>
  <c r="K88" i="6"/>
  <c r="K367" i="6"/>
  <c r="K208" i="6"/>
  <c r="K378" i="6"/>
  <c r="K202" i="6"/>
  <c r="K38" i="6"/>
  <c r="K309" i="6"/>
  <c r="K118" i="6"/>
  <c r="K374" i="6"/>
  <c r="K355" i="6"/>
  <c r="K158" i="6"/>
  <c r="K55" i="6"/>
  <c r="K372" i="6"/>
  <c r="K268" i="6"/>
  <c r="K310" i="6"/>
  <c r="K290" i="6"/>
  <c r="K60" i="6"/>
  <c r="K311" i="6"/>
  <c r="K183" i="6"/>
  <c r="K356" i="6"/>
  <c r="K36" i="6"/>
  <c r="K291" i="6"/>
  <c r="K266" i="6"/>
  <c r="P266" i="6" s="1"/>
  <c r="Q266" i="6" s="1"/>
  <c r="K109" i="6"/>
  <c r="K322" i="6"/>
  <c r="K84" i="6"/>
  <c r="K257" i="6"/>
  <c r="K152" i="6"/>
  <c r="K151" i="6"/>
  <c r="K98" i="6"/>
  <c r="P98" i="6" s="1"/>
  <c r="Q98" i="6" s="1"/>
  <c r="K50" i="6"/>
  <c r="K342" i="6"/>
  <c r="K199" i="6"/>
  <c r="K227" i="6"/>
  <c r="K128" i="6"/>
  <c r="K31" i="6"/>
  <c r="K157" i="6"/>
  <c r="K276" i="6"/>
  <c r="K318" i="6"/>
  <c r="K189" i="6"/>
  <c r="K89" i="6"/>
  <c r="K46" i="6"/>
  <c r="K41" i="6"/>
  <c r="K203" i="6"/>
  <c r="K282" i="6"/>
  <c r="K196" i="6"/>
  <c r="K76" i="6"/>
  <c r="K177" i="6"/>
  <c r="K314" i="6"/>
  <c r="K262" i="6"/>
  <c r="K278" i="6"/>
  <c r="K298" i="6"/>
  <c r="K265" i="6"/>
  <c r="K148" i="6"/>
  <c r="K184" i="6"/>
  <c r="P184" i="6" s="1"/>
  <c r="Q184" i="6" s="1"/>
  <c r="K277" i="6"/>
  <c r="K375" i="6"/>
  <c r="K54" i="6"/>
  <c r="K350" i="6"/>
  <c r="K337" i="6"/>
  <c r="K248" i="6"/>
  <c r="K103" i="6"/>
  <c r="K211" i="6"/>
  <c r="K247" i="6"/>
  <c r="K141" i="6"/>
  <c r="K212" i="6"/>
  <c r="K304" i="6"/>
  <c r="K380" i="6"/>
  <c r="K179" i="6"/>
  <c r="K114" i="6"/>
  <c r="K283" i="6"/>
  <c r="K12" i="6"/>
  <c r="K260" i="6"/>
  <c r="K171" i="6"/>
  <c r="K40" i="6"/>
  <c r="K70" i="6"/>
  <c r="K339" i="6"/>
  <c r="K39" i="6"/>
  <c r="K256" i="6"/>
  <c r="K180" i="6"/>
  <c r="K324" i="6"/>
  <c r="K263" i="6"/>
  <c r="K347" i="6"/>
  <c r="K307" i="6"/>
  <c r="K359" i="6"/>
  <c r="K341" i="6"/>
  <c r="K51" i="6"/>
  <c r="K292" i="6"/>
  <c r="P292" i="6" s="1"/>
  <c r="K104" i="6"/>
  <c r="K85" i="6"/>
  <c r="K239" i="6"/>
  <c r="P239" i="6" s="1"/>
  <c r="Q239" i="6" s="1"/>
  <c r="K215" i="6"/>
  <c r="K156" i="6"/>
  <c r="K56" i="6"/>
  <c r="K73" i="6"/>
  <c r="K365" i="6"/>
  <c r="K305" i="6"/>
  <c r="K186" i="6"/>
  <c r="K122" i="6"/>
  <c r="K101" i="6"/>
  <c r="K303" i="6"/>
  <c r="K289" i="6"/>
  <c r="K357" i="6"/>
  <c r="K352" i="6"/>
  <c r="K327" i="6"/>
  <c r="K210" i="6"/>
  <c r="K197" i="6"/>
  <c r="K86" i="6"/>
  <c r="K358" i="6"/>
  <c r="K159" i="6"/>
  <c r="C309" i="6"/>
  <c r="C265" i="6"/>
  <c r="C320" i="6"/>
  <c r="C225" i="6"/>
  <c r="C224" i="6"/>
  <c r="C381" i="6"/>
  <c r="C201" i="6"/>
  <c r="C171" i="6"/>
  <c r="C296" i="6"/>
  <c r="K368" i="6"/>
  <c r="C152" i="6"/>
  <c r="C375" i="6"/>
  <c r="C129" i="6"/>
  <c r="C19" i="6"/>
  <c r="C335" i="6"/>
  <c r="C68" i="6"/>
  <c r="C227" i="6"/>
  <c r="C212" i="6"/>
  <c r="C329" i="6"/>
  <c r="C239" i="6"/>
  <c r="C286" i="6"/>
  <c r="C282" i="6"/>
  <c r="C149" i="6"/>
  <c r="C84" i="6"/>
  <c r="C319" i="6"/>
  <c r="C237" i="6"/>
  <c r="C312" i="6"/>
  <c r="C72" i="6"/>
  <c r="C342" i="6"/>
  <c r="C153" i="6"/>
  <c r="C21" i="6"/>
  <c r="C216" i="6"/>
  <c r="C285" i="6"/>
  <c r="C27" i="6"/>
  <c r="C192" i="6"/>
  <c r="C46" i="6"/>
  <c r="C54" i="6"/>
  <c r="C315" i="6"/>
  <c r="C73" i="6"/>
  <c r="C88" i="6"/>
  <c r="C61" i="6"/>
  <c r="C36" i="6"/>
  <c r="C58" i="6"/>
  <c r="C172" i="6"/>
  <c r="C173" i="6"/>
  <c r="C295" i="6"/>
  <c r="C179" i="6"/>
  <c r="C325" i="6"/>
  <c r="C366" i="6"/>
  <c r="C316" i="6"/>
  <c r="C217" i="6"/>
  <c r="C6" i="6"/>
  <c r="C197" i="6"/>
  <c r="C146" i="6"/>
  <c r="C59" i="6"/>
  <c r="C71" i="6"/>
  <c r="C367" i="6"/>
  <c r="C120" i="6"/>
  <c r="C290" i="6"/>
  <c r="C47" i="6"/>
  <c r="C233" i="6"/>
  <c r="C163" i="6"/>
  <c r="C136" i="6"/>
  <c r="C122" i="6"/>
  <c r="C302" i="6"/>
  <c r="C115" i="6"/>
  <c r="C279" i="6"/>
  <c r="C70" i="6"/>
  <c r="C280" i="6"/>
  <c r="C22" i="6"/>
  <c r="C106" i="6"/>
  <c r="C244" i="6"/>
  <c r="C170" i="6"/>
  <c r="C74" i="6"/>
  <c r="C96" i="6"/>
  <c r="C253" i="6"/>
  <c r="C157" i="6"/>
  <c r="C107" i="6"/>
  <c r="C151" i="6"/>
  <c r="C121" i="6"/>
  <c r="C165" i="6"/>
  <c r="C17" i="6"/>
  <c r="C13" i="6"/>
  <c r="C49" i="6"/>
  <c r="C4" i="6"/>
  <c r="C274" i="6"/>
  <c r="C283" i="6"/>
  <c r="C141" i="6"/>
  <c r="C235" i="6"/>
  <c r="C378" i="6"/>
  <c r="C370" i="6"/>
  <c r="C333" i="6"/>
  <c r="C222" i="6"/>
  <c r="C349" i="6"/>
  <c r="C218" i="6"/>
  <c r="C221" i="6"/>
  <c r="C85" i="6"/>
  <c r="C87" i="6"/>
  <c r="C50" i="6"/>
  <c r="C43" i="6"/>
  <c r="C183" i="6"/>
  <c r="C169" i="6"/>
  <c r="C31" i="6"/>
  <c r="C205" i="6"/>
  <c r="C275" i="6"/>
  <c r="C41" i="6"/>
  <c r="C82" i="6"/>
  <c r="C362" i="6"/>
  <c r="C98" i="6"/>
  <c r="C303" i="6"/>
  <c r="C3" i="6"/>
  <c r="C131" i="6"/>
  <c r="C24" i="6"/>
  <c r="C313" i="6"/>
  <c r="C338" i="6"/>
  <c r="C252" i="6"/>
  <c r="C134" i="6"/>
  <c r="C139" i="6"/>
  <c r="C90" i="6"/>
  <c r="C75" i="6"/>
  <c r="C193" i="6"/>
  <c r="C155" i="6"/>
  <c r="C352" i="6"/>
  <c r="C23" i="6"/>
  <c r="C103" i="6"/>
  <c r="C299" i="6"/>
  <c r="C213" i="6"/>
  <c r="C314" i="6"/>
  <c r="C164" i="6"/>
  <c r="C269" i="6"/>
  <c r="C220" i="6"/>
  <c r="C364" i="6"/>
  <c r="C159" i="6"/>
  <c r="C348" i="6"/>
  <c r="C196" i="6"/>
  <c r="C308" i="6"/>
  <c r="C273" i="6"/>
  <c r="C307" i="6"/>
  <c r="C293" i="6"/>
  <c r="C226" i="6"/>
  <c r="C317" i="6"/>
  <c r="C138" i="6"/>
  <c r="C184" i="6"/>
  <c r="C154" i="6"/>
  <c r="C209" i="6"/>
  <c r="C123" i="6"/>
  <c r="C93" i="6"/>
  <c r="C284" i="6"/>
  <c r="C298" i="6"/>
  <c r="C240" i="6"/>
  <c r="C190" i="6"/>
  <c r="C270" i="6"/>
  <c r="C30" i="6"/>
  <c r="C175" i="6"/>
  <c r="C108" i="6"/>
  <c r="C231" i="6"/>
  <c r="C294" i="6"/>
  <c r="C355" i="6"/>
  <c r="C144" i="6"/>
  <c r="C45" i="6"/>
  <c r="C101" i="6"/>
  <c r="C259" i="6"/>
  <c r="C78" i="6"/>
  <c r="C330" i="6"/>
  <c r="C51" i="6"/>
  <c r="C178" i="6"/>
  <c r="C60" i="6"/>
  <c r="C292" i="6"/>
  <c r="C242" i="6"/>
  <c r="C268" i="6"/>
  <c r="C372" i="6"/>
  <c r="C65" i="6"/>
  <c r="C143" i="6"/>
  <c r="C256" i="6"/>
  <c r="C262" i="6"/>
  <c r="C18" i="6"/>
  <c r="C219" i="6"/>
  <c r="C167" i="6"/>
  <c r="C350" i="6"/>
  <c r="C92" i="6"/>
  <c r="C195" i="6"/>
  <c r="C380" i="6"/>
  <c r="C332" i="6"/>
  <c r="C322" i="6"/>
  <c r="C288" i="6"/>
  <c r="C249" i="6"/>
  <c r="C306" i="6"/>
  <c r="C150" i="6"/>
  <c r="C198" i="6"/>
  <c r="C266" i="6"/>
  <c r="C185" i="6"/>
  <c r="C245" i="6"/>
  <c r="C191" i="6"/>
  <c r="C32" i="6"/>
  <c r="C102" i="6"/>
  <c r="C223" i="6"/>
  <c r="C255" i="6"/>
  <c r="C125" i="6"/>
  <c r="C257" i="6"/>
  <c r="C331" i="6"/>
  <c r="C248" i="6"/>
  <c r="C361" i="6"/>
  <c r="C109" i="6"/>
  <c r="C260" i="6"/>
  <c r="C117" i="6"/>
  <c r="C347" i="6"/>
  <c r="C324" i="6"/>
  <c r="C104" i="6"/>
  <c r="C16" i="6"/>
  <c r="C66" i="6"/>
  <c r="C374" i="6"/>
  <c r="C194" i="6"/>
  <c r="C83" i="6"/>
  <c r="C142" i="6"/>
  <c r="C199" i="6"/>
  <c r="C304" i="6"/>
  <c r="C44" i="6"/>
  <c r="C110" i="6"/>
  <c r="C351" i="6"/>
  <c r="C33" i="6"/>
  <c r="C360" i="6"/>
  <c r="C9" i="6"/>
  <c r="C241" i="6"/>
  <c r="C229" i="6"/>
  <c r="C180" i="6"/>
  <c r="C130" i="6"/>
  <c r="C137" i="6"/>
  <c r="C160" i="6"/>
  <c r="C156" i="6"/>
  <c r="C42" i="6"/>
  <c r="C359" i="6"/>
  <c r="C202" i="6"/>
  <c r="C67" i="6"/>
  <c r="C168" i="6"/>
  <c r="C11" i="6"/>
  <c r="C250" i="6"/>
  <c r="C69" i="6"/>
  <c r="C365" i="6"/>
  <c r="C39" i="6"/>
  <c r="C305" i="6"/>
  <c r="C135" i="6"/>
  <c r="C187" i="6"/>
  <c r="C5" i="6"/>
  <c r="C345" i="6"/>
  <c r="C207" i="6"/>
  <c r="C79" i="6"/>
  <c r="C10" i="6"/>
  <c r="C89" i="6"/>
  <c r="C287" i="6"/>
  <c r="C251" i="6"/>
  <c r="C321" i="6"/>
  <c r="C323" i="6"/>
  <c r="C124" i="6"/>
  <c r="C133" i="6"/>
  <c r="C35" i="6"/>
  <c r="C81" i="6"/>
  <c r="C328" i="6"/>
  <c r="C346" i="6"/>
  <c r="C310" i="6"/>
  <c r="C145" i="6"/>
  <c r="C126" i="6"/>
  <c r="C289" i="6"/>
  <c r="C301" i="6"/>
  <c r="C29" i="6"/>
  <c r="C91" i="6"/>
  <c r="C228" i="6"/>
  <c r="C326" i="6"/>
  <c r="C246" i="6"/>
  <c r="C8" i="6"/>
  <c r="C369" i="6"/>
  <c r="C48" i="6"/>
  <c r="C100" i="6"/>
  <c r="C162" i="6"/>
  <c r="C188" i="6"/>
  <c r="C336" i="6"/>
  <c r="C7" i="6"/>
  <c r="C264" i="6"/>
  <c r="C99" i="6"/>
  <c r="C140" i="6"/>
  <c r="C127" i="6"/>
  <c r="C206" i="6"/>
  <c r="C230" i="6"/>
  <c r="C334" i="6"/>
  <c r="C181" i="6"/>
  <c r="C358" i="6"/>
  <c r="C377" i="6"/>
  <c r="C148" i="6"/>
  <c r="C64" i="6"/>
  <c r="C186" i="6"/>
  <c r="C236" i="6"/>
  <c r="C132" i="6"/>
  <c r="C261" i="6"/>
  <c r="C281" i="6"/>
  <c r="C211" i="6"/>
  <c r="C276" i="6"/>
  <c r="C116" i="6"/>
  <c r="C376" i="6"/>
  <c r="C263" i="6"/>
  <c r="C113" i="6"/>
  <c r="C337" i="6"/>
  <c r="C247" i="6"/>
  <c r="C214" i="6"/>
  <c r="C55" i="6"/>
  <c r="C311" i="6"/>
  <c r="C357" i="6"/>
  <c r="C379" i="6"/>
  <c r="C339" i="6"/>
  <c r="C371" i="6"/>
  <c r="C272" i="6"/>
  <c r="C258" i="6"/>
  <c r="C166" i="6"/>
  <c r="C176" i="6"/>
  <c r="C52" i="6"/>
  <c r="C343" i="6"/>
  <c r="C76" i="6"/>
  <c r="C95" i="6"/>
  <c r="C20" i="6"/>
  <c r="C238" i="6"/>
  <c r="C204" i="6"/>
  <c r="C77" i="6"/>
  <c r="C353" i="6"/>
  <c r="C271" i="6"/>
  <c r="C63" i="6"/>
  <c r="C53" i="6"/>
  <c r="C189" i="6"/>
  <c r="C80" i="6"/>
  <c r="C177" i="6"/>
  <c r="C174" i="6"/>
  <c r="C37" i="6"/>
  <c r="C105" i="6"/>
  <c r="C210" i="6"/>
  <c r="C340" i="6"/>
  <c r="C114" i="6"/>
  <c r="C12" i="6"/>
  <c r="C368" i="6"/>
  <c r="C62" i="6"/>
  <c r="C86" i="6"/>
  <c r="C363" i="6"/>
  <c r="C182" i="6"/>
  <c r="C26" i="6"/>
  <c r="C128" i="6"/>
  <c r="C97" i="6"/>
  <c r="C291" i="6"/>
  <c r="C111" i="6"/>
  <c r="C38" i="6"/>
  <c r="C15" i="6"/>
  <c r="C232" i="6"/>
  <c r="C278" i="6"/>
  <c r="C254" i="6"/>
  <c r="C56" i="6"/>
  <c r="C158" i="6"/>
  <c r="C25" i="6"/>
  <c r="C215" i="6"/>
  <c r="C341" i="6"/>
  <c r="C203" i="6"/>
  <c r="C277" i="6"/>
  <c r="C147" i="6"/>
  <c r="C356" i="6"/>
  <c r="C94" i="6"/>
  <c r="C300" i="6"/>
  <c r="C118" i="6"/>
  <c r="C34" i="6"/>
  <c r="C200" i="6"/>
  <c r="C40" i="6"/>
  <c r="C208" i="6"/>
  <c r="C373" i="6"/>
  <c r="C297" i="6"/>
  <c r="C234" i="6"/>
  <c r="C57" i="6"/>
  <c r="C267" i="6"/>
  <c r="C318" i="6"/>
  <c r="C354" i="6"/>
  <c r="C161" i="6"/>
  <c r="C327" i="6"/>
  <c r="C119" i="6"/>
  <c r="C112" i="6"/>
  <c r="C28" i="6"/>
  <c r="C243" i="6"/>
  <c r="C344" i="6"/>
  <c r="C2" i="6"/>
  <c r="C54" i="4"/>
  <c r="C55" i="4" s="1"/>
  <c r="D67" i="4"/>
  <c r="E67" i="4" s="1"/>
  <c r="D65" i="4"/>
  <c r="G86" i="1" s="1"/>
  <c r="P186" i="6" l="1"/>
  <c r="R186" i="6" s="1"/>
  <c r="P210" i="6"/>
  <c r="Q210" i="6" s="1"/>
  <c r="P230" i="6"/>
  <c r="Q230" i="6" s="1"/>
  <c r="P200" i="6"/>
  <c r="Q200" i="6" s="1"/>
  <c r="P278" i="6"/>
  <c r="Q278" i="6" s="1"/>
  <c r="P284" i="6"/>
  <c r="Q284" i="6" s="1"/>
  <c r="P128" i="6"/>
  <c r="Q128" i="6" s="1"/>
  <c r="P76" i="6"/>
  <c r="Q76" i="6" s="1"/>
  <c r="P360" i="6"/>
  <c r="R360" i="6" s="1"/>
  <c r="P62" i="6"/>
  <c r="Q62" i="6" s="1"/>
  <c r="P50" i="6"/>
  <c r="Q50" i="6" s="1"/>
  <c r="P116" i="6"/>
  <c r="R116" i="6" s="1"/>
  <c r="P290" i="6"/>
  <c r="Q290" i="6" s="1"/>
  <c r="P175" i="6"/>
  <c r="R175" i="6" s="1"/>
  <c r="P301" i="6"/>
  <c r="R301" i="6" s="1"/>
  <c r="C58" i="4"/>
  <c r="C60" i="4" s="1"/>
  <c r="E63" i="4" s="1"/>
  <c r="D68" i="4"/>
  <c r="E68" i="4" s="1"/>
  <c r="P152" i="6"/>
  <c r="Q152" i="6" s="1"/>
  <c r="C57" i="4"/>
  <c r="C140" i="4"/>
  <c r="D66" i="4"/>
  <c r="F66" i="4" s="1"/>
  <c r="F48" i="4"/>
  <c r="E78" i="1" s="1"/>
  <c r="P280" i="6"/>
  <c r="R280" i="6" s="1"/>
  <c r="P296" i="6"/>
  <c r="R296" i="6" s="1"/>
  <c r="P93" i="6"/>
  <c r="R93" i="6" s="1"/>
  <c r="P367" i="6"/>
  <c r="R367" i="6" s="1"/>
  <c r="P282" i="6"/>
  <c r="R282" i="6" s="1"/>
  <c r="P221" i="6"/>
  <c r="Q221" i="6" s="1"/>
  <c r="P381" i="6"/>
  <c r="R381" i="6" s="1"/>
  <c r="C97" i="4"/>
  <c r="D97" i="4" s="1"/>
  <c r="E97" i="4" s="1"/>
  <c r="D98" i="1" s="1"/>
  <c r="P198" i="6"/>
  <c r="Q198" i="6" s="1"/>
  <c r="P2" i="6"/>
  <c r="R2" i="6" s="1"/>
  <c r="P371" i="6"/>
  <c r="R371" i="6" s="1"/>
  <c r="P235" i="6"/>
  <c r="Q235" i="6" s="1"/>
  <c r="P25" i="6"/>
  <c r="R25" i="6" s="1"/>
  <c r="P372" i="6"/>
  <c r="R372" i="6" s="1"/>
  <c r="P272" i="6"/>
  <c r="R272" i="6" s="1"/>
  <c r="P312" i="6"/>
  <c r="R312" i="6" s="1"/>
  <c r="P17" i="6"/>
  <c r="Q17" i="6" s="1"/>
  <c r="P205" i="6"/>
  <c r="Q205" i="6" s="1"/>
  <c r="P95" i="6"/>
  <c r="Q95" i="6" s="1"/>
  <c r="P147" i="6"/>
  <c r="R147" i="6" s="1"/>
  <c r="P273" i="6"/>
  <c r="R273" i="6" s="1"/>
  <c r="P185" i="6"/>
  <c r="Q185" i="6" s="1"/>
  <c r="P166" i="6"/>
  <c r="R166" i="6" s="1"/>
  <c r="P30" i="6"/>
  <c r="Q30" i="6" s="1"/>
  <c r="P133" i="6"/>
  <c r="R133" i="6" s="1"/>
  <c r="P174" i="6"/>
  <c r="Q174" i="6" s="1"/>
  <c r="P378" i="6"/>
  <c r="R378" i="6" s="1"/>
  <c r="P222" i="6"/>
  <c r="Q222" i="6" s="1"/>
  <c r="P345" i="6"/>
  <c r="R345" i="6" s="1"/>
  <c r="P191" i="6"/>
  <c r="Q191" i="6" s="1"/>
  <c r="P193" i="6"/>
  <c r="Q193" i="6" s="1"/>
  <c r="P215" i="6"/>
  <c r="R215" i="6" s="1"/>
  <c r="P119" i="6"/>
  <c r="Q119" i="6" s="1"/>
  <c r="P271" i="6"/>
  <c r="R271" i="6" s="1"/>
  <c r="P22" i="6"/>
  <c r="Q22" i="6" s="1"/>
  <c r="P370" i="6"/>
  <c r="R370" i="6" s="1"/>
  <c r="P349" i="6"/>
  <c r="R349" i="6" s="1"/>
  <c r="P77" i="6"/>
  <c r="R77" i="6" s="1"/>
  <c r="P338" i="6"/>
  <c r="R338" i="6" s="1"/>
  <c r="P115" i="6"/>
  <c r="R115" i="6" s="1"/>
  <c r="P177" i="6"/>
  <c r="Q177" i="6" s="1"/>
  <c r="P283" i="6"/>
  <c r="Q283" i="6" s="1"/>
  <c r="P264" i="6"/>
  <c r="R264" i="6" s="1"/>
  <c r="P341" i="6"/>
  <c r="Q341" i="6" s="1"/>
  <c r="P160" i="6"/>
  <c r="R160" i="6" s="1"/>
  <c r="P74" i="6"/>
  <c r="Q74" i="6" s="1"/>
  <c r="P217" i="6"/>
  <c r="R217" i="6" s="1"/>
  <c r="P344" i="6"/>
  <c r="Q344" i="6" s="1"/>
  <c r="P308" i="6"/>
  <c r="R308" i="6" s="1"/>
  <c r="P237" i="6"/>
  <c r="R237" i="6" s="1"/>
  <c r="P100" i="6"/>
  <c r="Q100" i="6" s="1"/>
  <c r="P84" i="6"/>
  <c r="R84" i="6" s="1"/>
  <c r="P78" i="6"/>
  <c r="Q78" i="6" s="1"/>
  <c r="P242" i="6"/>
  <c r="Q242" i="6" s="1"/>
  <c r="P327" i="6"/>
  <c r="R327" i="6" s="1"/>
  <c r="P305" i="6"/>
  <c r="R305" i="6" s="1"/>
  <c r="P324" i="6"/>
  <c r="R324" i="6" s="1"/>
  <c r="P374" i="6"/>
  <c r="R374" i="6" s="1"/>
  <c r="P170" i="6"/>
  <c r="R170" i="6" s="1"/>
  <c r="P53" i="6"/>
  <c r="R53" i="6" s="1"/>
  <c r="P251" i="6"/>
  <c r="R251" i="6" s="1"/>
  <c r="P189" i="6"/>
  <c r="R189" i="6" s="1"/>
  <c r="P286" i="6"/>
  <c r="Q286" i="6" s="1"/>
  <c r="P299" i="6"/>
  <c r="R299" i="6" s="1"/>
  <c r="P7" i="6"/>
  <c r="Q7" i="6" s="1"/>
  <c r="P357" i="6"/>
  <c r="R357" i="6" s="1"/>
  <c r="P51" i="6"/>
  <c r="Q51" i="6" s="1"/>
  <c r="P94" i="6"/>
  <c r="R94" i="6" s="1"/>
  <c r="P348" i="6"/>
  <c r="Q348" i="6" s="1"/>
  <c r="P346" i="6"/>
  <c r="Q346" i="6" s="1"/>
  <c r="P330" i="6"/>
  <c r="R330" i="6" s="1"/>
  <c r="P29" i="6"/>
  <c r="R29" i="6" s="1"/>
  <c r="P38" i="6"/>
  <c r="R38" i="6" s="1"/>
  <c r="P6" i="6"/>
  <c r="Q6" i="6" s="1"/>
  <c r="P179" i="6"/>
  <c r="Q179" i="6" s="1"/>
  <c r="P248" i="6"/>
  <c r="R248" i="6" s="1"/>
  <c r="P151" i="6"/>
  <c r="R151" i="6" s="1"/>
  <c r="P134" i="6"/>
  <c r="R134" i="6" s="1"/>
  <c r="P110" i="6"/>
  <c r="Q110" i="6" s="1"/>
  <c r="P316" i="6"/>
  <c r="R316" i="6" s="1"/>
  <c r="P340" i="6"/>
  <c r="Q340" i="6" s="1"/>
  <c r="P241" i="6"/>
  <c r="R241" i="6" s="1"/>
  <c r="P336" i="6"/>
  <c r="Q336" i="6" s="1"/>
  <c r="P214" i="6"/>
  <c r="R214" i="6" s="1"/>
  <c r="P120" i="6"/>
  <c r="R120" i="6" s="1"/>
  <c r="P168" i="6"/>
  <c r="Q168" i="6" s="1"/>
  <c r="P342" i="6"/>
  <c r="R342" i="6" s="1"/>
  <c r="P14" i="6"/>
  <c r="Q14" i="6" s="1"/>
  <c r="P331" i="6"/>
  <c r="Q331" i="6" s="1"/>
  <c r="P181" i="6"/>
  <c r="R181" i="6" s="1"/>
  <c r="P268" i="6"/>
  <c r="R268" i="6" s="1"/>
  <c r="P183" i="6"/>
  <c r="Q183" i="6" s="1"/>
  <c r="P224" i="6"/>
  <c r="Q224" i="6" s="1"/>
  <c r="P234" i="6"/>
  <c r="Q234" i="6" s="1"/>
  <c r="P376" i="6"/>
  <c r="R376" i="6" s="1"/>
  <c r="P207" i="6"/>
  <c r="Q207" i="6" s="1"/>
  <c r="P44" i="6"/>
  <c r="Q44" i="6" s="1"/>
  <c r="P149" i="6"/>
  <c r="Q149" i="6" s="1"/>
  <c r="P380" i="6"/>
  <c r="R380" i="6" s="1"/>
  <c r="P356" i="6"/>
  <c r="Q356" i="6" s="1"/>
  <c r="P47" i="6"/>
  <c r="R47" i="6" s="1"/>
  <c r="P304" i="6"/>
  <c r="Q304" i="6" s="1"/>
  <c r="P71" i="6"/>
  <c r="R71" i="6" s="1"/>
  <c r="P188" i="6"/>
  <c r="R188" i="6" s="1"/>
  <c r="P12" i="6"/>
  <c r="Q12" i="6" s="1"/>
  <c r="P167" i="6"/>
  <c r="Q167" i="6" s="1"/>
  <c r="P114" i="6"/>
  <c r="R114" i="6" s="1"/>
  <c r="P253" i="6"/>
  <c r="Q253" i="6" s="1"/>
  <c r="P377" i="6"/>
  <c r="Q377" i="6" s="1"/>
  <c r="P79" i="6"/>
  <c r="R79" i="6" s="1"/>
  <c r="P52" i="6"/>
  <c r="R52" i="6" s="1"/>
  <c r="P131" i="6"/>
  <c r="R131" i="6" s="1"/>
  <c r="P192" i="6"/>
  <c r="R192" i="6" s="1"/>
  <c r="P87" i="6"/>
  <c r="Q87" i="6" s="1"/>
  <c r="P220" i="6"/>
  <c r="R220" i="6" s="1"/>
  <c r="P335" i="6"/>
  <c r="Q335" i="6" s="1"/>
  <c r="P69" i="6"/>
  <c r="R69" i="6" s="1"/>
  <c r="P103" i="6"/>
  <c r="Q103" i="6" s="1"/>
  <c r="P196" i="6"/>
  <c r="Q196" i="6" s="1"/>
  <c r="P72" i="6"/>
  <c r="Q72" i="6" s="1"/>
  <c r="P333" i="6"/>
  <c r="Q333" i="6" s="1"/>
  <c r="P32" i="6"/>
  <c r="Q32" i="6" s="1"/>
  <c r="P11" i="6"/>
  <c r="Q11" i="6" s="1"/>
  <c r="P303" i="6"/>
  <c r="Q303" i="6" s="1"/>
  <c r="P265" i="6"/>
  <c r="R265" i="6" s="1"/>
  <c r="P326" i="6"/>
  <c r="Q326" i="6" s="1"/>
  <c r="P138" i="6"/>
  <c r="R138" i="6" s="1"/>
  <c r="P302" i="6"/>
  <c r="R302" i="6" s="1"/>
  <c r="P178" i="6"/>
  <c r="Q178" i="6" s="1"/>
  <c r="P28" i="6"/>
  <c r="Q28" i="6" s="1"/>
  <c r="P86" i="6"/>
  <c r="Q86" i="6" s="1"/>
  <c r="P298" i="6"/>
  <c r="Q298" i="6" s="1"/>
  <c r="P203" i="6"/>
  <c r="Q203" i="6" s="1"/>
  <c r="P373" i="6"/>
  <c r="Q373" i="6" s="1"/>
  <c r="P45" i="6"/>
  <c r="R45" i="6" s="1"/>
  <c r="P111" i="6"/>
  <c r="R111" i="6" s="1"/>
  <c r="P63" i="6"/>
  <c r="Q63" i="6" s="1"/>
  <c r="P197" i="6"/>
  <c r="Q197" i="6" s="1"/>
  <c r="P171" i="6"/>
  <c r="Q171" i="6" s="1"/>
  <c r="P355" i="6"/>
  <c r="R355" i="6" s="1"/>
  <c r="P81" i="6"/>
  <c r="R81" i="6" s="1"/>
  <c r="P4" i="6"/>
  <c r="R4" i="6" s="1"/>
  <c r="P238" i="6"/>
  <c r="R238" i="6" s="1"/>
  <c r="P295" i="6"/>
  <c r="Q295" i="6" s="1"/>
  <c r="P379" i="6"/>
  <c r="R379" i="6" s="1"/>
  <c r="P353" i="6"/>
  <c r="Q353" i="6" s="1"/>
  <c r="P107" i="6"/>
  <c r="R107" i="6" s="1"/>
  <c r="P26" i="6"/>
  <c r="Q26" i="6" s="1"/>
  <c r="P113" i="6"/>
  <c r="R113" i="6" s="1"/>
  <c r="P309" i="6"/>
  <c r="Q309" i="6" s="1"/>
  <c r="P108" i="6"/>
  <c r="R108" i="6" s="1"/>
  <c r="P245" i="6"/>
  <c r="Q245" i="6" s="1"/>
  <c r="P58" i="6"/>
  <c r="Q58" i="6" s="1"/>
  <c r="P229" i="6"/>
  <c r="R229" i="6" s="1"/>
  <c r="P34" i="6"/>
  <c r="R34" i="6" s="1"/>
  <c r="P277" i="6"/>
  <c r="R277" i="6" s="1"/>
  <c r="P322" i="6"/>
  <c r="Q322" i="6" s="1"/>
  <c r="P91" i="6"/>
  <c r="Q91" i="6" s="1"/>
  <c r="P73" i="6"/>
  <c r="Q73" i="6" s="1"/>
  <c r="P155" i="6"/>
  <c r="Q155" i="6" s="1"/>
  <c r="P13" i="6"/>
  <c r="Q13" i="6" s="1"/>
  <c r="P332" i="6"/>
  <c r="R332" i="6" s="1"/>
  <c r="P209" i="6"/>
  <c r="R209" i="6" s="1"/>
  <c r="P144" i="6"/>
  <c r="R144" i="6" s="1"/>
  <c r="P190" i="6"/>
  <c r="R190" i="6" s="1"/>
  <c r="P104" i="6"/>
  <c r="R104" i="6" s="1"/>
  <c r="P358" i="6"/>
  <c r="R358" i="6" s="1"/>
  <c r="P43" i="6"/>
  <c r="Q43" i="6" s="1"/>
  <c r="P201" i="6"/>
  <c r="Q201" i="6" s="1"/>
  <c r="P127" i="6"/>
  <c r="Q127" i="6" s="1"/>
  <c r="P325" i="6"/>
  <c r="Q325" i="6" s="1"/>
  <c r="P337" i="6"/>
  <c r="Q337" i="6" s="1"/>
  <c r="P105" i="6"/>
  <c r="R105" i="6" s="1"/>
  <c r="P82" i="6"/>
  <c r="Q82" i="6" s="1"/>
  <c r="P369" i="6"/>
  <c r="R369" i="6" s="1"/>
  <c r="P122" i="6"/>
  <c r="Q122" i="6" s="1"/>
  <c r="P228" i="6"/>
  <c r="R228" i="6" s="1"/>
  <c r="P130" i="6"/>
  <c r="R130" i="6" s="1"/>
  <c r="P315" i="6"/>
  <c r="R315" i="6" s="1"/>
  <c r="P313" i="6"/>
  <c r="Q313" i="6" s="1"/>
  <c r="P10" i="6"/>
  <c r="Q10" i="6" s="1"/>
  <c r="P321" i="6"/>
  <c r="R321" i="6" s="1"/>
  <c r="P154" i="6"/>
  <c r="R154" i="6" s="1"/>
  <c r="P48" i="6"/>
  <c r="R48" i="6" s="1"/>
  <c r="P256" i="6"/>
  <c r="Q256" i="6" s="1"/>
  <c r="P83" i="6"/>
  <c r="R83" i="6" s="1"/>
  <c r="P351" i="6"/>
  <c r="R351" i="6" s="1"/>
  <c r="P261" i="6"/>
  <c r="Q261" i="6" s="1"/>
  <c r="P118" i="6"/>
  <c r="R118" i="6" s="1"/>
  <c r="P19" i="6"/>
  <c r="R19" i="6" s="1"/>
  <c r="P85" i="6"/>
  <c r="Q85" i="6" s="1"/>
  <c r="P67" i="6"/>
  <c r="Q67" i="6" s="1"/>
  <c r="P258" i="6"/>
  <c r="R258" i="6" s="1"/>
  <c r="P165" i="6"/>
  <c r="R165" i="6" s="1"/>
  <c r="P126" i="6"/>
  <c r="R126" i="6" s="1"/>
  <c r="P161" i="6"/>
  <c r="Q161" i="6" s="1"/>
  <c r="P306" i="6"/>
  <c r="Q306" i="6" s="1"/>
  <c r="P339" i="6"/>
  <c r="R339" i="6" s="1"/>
  <c r="P359" i="6"/>
  <c r="R359" i="6" s="1"/>
  <c r="P36" i="6"/>
  <c r="Q36" i="6" s="1"/>
  <c r="P194" i="6"/>
  <c r="Q194" i="6" s="1"/>
  <c r="P182" i="6"/>
  <c r="R182" i="6" s="1"/>
  <c r="P279" i="6"/>
  <c r="R279" i="6" s="1"/>
  <c r="P257" i="6"/>
  <c r="Q257" i="6" s="1"/>
  <c r="P208" i="6"/>
  <c r="Q208" i="6" s="1"/>
  <c r="P249" i="6"/>
  <c r="Q249" i="6" s="1"/>
  <c r="P260" i="6"/>
  <c r="Q260" i="6" s="1"/>
  <c r="P88" i="6"/>
  <c r="R88" i="6" s="1"/>
  <c r="P102" i="6"/>
  <c r="Q102" i="6" s="1"/>
  <c r="P64" i="6"/>
  <c r="R64" i="6" s="1"/>
  <c r="P164" i="6"/>
  <c r="R164" i="6" s="1"/>
  <c r="P180" i="6"/>
  <c r="Q180" i="6" s="1"/>
  <c r="P247" i="6"/>
  <c r="R247" i="6" s="1"/>
  <c r="P211" i="6"/>
  <c r="R211" i="6" s="1"/>
  <c r="P323" i="6"/>
  <c r="R323" i="6" s="1"/>
  <c r="P3" i="6"/>
  <c r="R3" i="6" s="1"/>
  <c r="P9" i="6"/>
  <c r="R9" i="6" s="1"/>
  <c r="P240" i="6"/>
  <c r="Q240" i="6" s="1"/>
  <c r="P125" i="6"/>
  <c r="R125" i="6" s="1"/>
  <c r="P366" i="6"/>
  <c r="R366" i="6" s="1"/>
  <c r="P159" i="6"/>
  <c r="R159" i="6" s="1"/>
  <c r="P225" i="6"/>
  <c r="Q225" i="6" s="1"/>
  <c r="P150" i="6"/>
  <c r="Q150" i="6" s="1"/>
  <c r="P70" i="6"/>
  <c r="R70" i="6" s="1"/>
  <c r="P129" i="6"/>
  <c r="Q129" i="6" s="1"/>
  <c r="P319" i="6"/>
  <c r="Q319" i="6" s="1"/>
  <c r="P363" i="6"/>
  <c r="Q363" i="6" s="1"/>
  <c r="P145" i="6"/>
  <c r="R145" i="6" s="1"/>
  <c r="P40" i="6"/>
  <c r="Q40" i="6" s="1"/>
  <c r="P212" i="6"/>
  <c r="Q212" i="6" s="1"/>
  <c r="P153" i="6"/>
  <c r="R153" i="6" s="1"/>
  <c r="P57" i="6"/>
  <c r="R57" i="6" s="1"/>
  <c r="P8" i="6"/>
  <c r="R8" i="6" s="1"/>
  <c r="P343" i="6"/>
  <c r="R343" i="6" s="1"/>
  <c r="P157" i="6"/>
  <c r="Q157" i="6" s="1"/>
  <c r="P202" i="6"/>
  <c r="R202" i="6" s="1"/>
  <c r="P59" i="6"/>
  <c r="R59" i="6" s="1"/>
  <c r="P236" i="6"/>
  <c r="R236" i="6" s="1"/>
  <c r="P263" i="6"/>
  <c r="Q263" i="6" s="1"/>
  <c r="P320" i="6"/>
  <c r="R320" i="6" s="1"/>
  <c r="P307" i="6"/>
  <c r="R307" i="6" s="1"/>
  <c r="P55" i="6"/>
  <c r="R55" i="6" s="1"/>
  <c r="P176" i="6"/>
  <c r="R176" i="6" s="1"/>
  <c r="P287" i="6"/>
  <c r="Q287" i="6" s="1"/>
  <c r="P213" i="6"/>
  <c r="Q213" i="6" s="1"/>
  <c r="P123" i="6"/>
  <c r="R123" i="6" s="1"/>
  <c r="P41" i="6"/>
  <c r="R41" i="6" s="1"/>
  <c r="P329" i="6"/>
  <c r="Q329" i="6" s="1"/>
  <c r="P68" i="6"/>
  <c r="R68" i="6" s="1"/>
  <c r="P364" i="6"/>
  <c r="Q364" i="6" s="1"/>
  <c r="P314" i="6"/>
  <c r="R314" i="6" s="1"/>
  <c r="P66" i="6"/>
  <c r="R66" i="6" s="1"/>
  <c r="P112" i="6"/>
  <c r="Q112" i="6" s="1"/>
  <c r="P146" i="6"/>
  <c r="R146" i="6" s="1"/>
  <c r="P75" i="6"/>
  <c r="Q75" i="6" s="1"/>
  <c r="P139" i="6"/>
  <c r="R139" i="6" s="1"/>
  <c r="P294" i="6"/>
  <c r="R294" i="6" s="1"/>
  <c r="P27" i="6"/>
  <c r="R27" i="6" s="1"/>
  <c r="P365" i="6"/>
  <c r="R365" i="6" s="1"/>
  <c r="P56" i="6"/>
  <c r="R56" i="6" s="1"/>
  <c r="P142" i="6"/>
  <c r="R142" i="6" s="1"/>
  <c r="P15" i="6"/>
  <c r="Q15" i="6" s="1"/>
  <c r="P334" i="6"/>
  <c r="R334" i="6" s="1"/>
  <c r="P35" i="6"/>
  <c r="R35" i="6" s="1"/>
  <c r="P135" i="6"/>
  <c r="R135" i="6" s="1"/>
  <c r="P61" i="6"/>
  <c r="R61" i="6" s="1"/>
  <c r="P252" i="6"/>
  <c r="R252" i="6" s="1"/>
  <c r="P195" i="6"/>
  <c r="Q195" i="6" s="1"/>
  <c r="P96" i="6"/>
  <c r="R96" i="6" s="1"/>
  <c r="P318" i="6"/>
  <c r="R318" i="6" s="1"/>
  <c r="P262" i="6"/>
  <c r="R262" i="6" s="1"/>
  <c r="P274" i="6"/>
  <c r="Q274" i="6" s="1"/>
  <c r="P246" i="6"/>
  <c r="R246" i="6" s="1"/>
  <c r="P143" i="6"/>
  <c r="Q143" i="6" s="1"/>
  <c r="P46" i="6"/>
  <c r="R46" i="6" s="1"/>
  <c r="P288" i="6"/>
  <c r="Q288" i="6" s="1"/>
  <c r="P293" i="6"/>
  <c r="R293" i="6" s="1"/>
  <c r="P285" i="6"/>
  <c r="R285" i="6" s="1"/>
  <c r="P42" i="6"/>
  <c r="R42" i="6" s="1"/>
  <c r="P162" i="6"/>
  <c r="Q162" i="6" s="1"/>
  <c r="P250" i="6"/>
  <c r="Q250" i="6" s="1"/>
  <c r="P233" i="6"/>
  <c r="R233" i="6" s="1"/>
  <c r="P18" i="6"/>
  <c r="R18" i="6" s="1"/>
  <c r="P310" i="6"/>
  <c r="R310" i="6" s="1"/>
  <c r="P267" i="6"/>
  <c r="Q267" i="6" s="1"/>
  <c r="P132" i="6"/>
  <c r="R132" i="6" s="1"/>
  <c r="P39" i="6"/>
  <c r="R39" i="6" s="1"/>
  <c r="P156" i="6"/>
  <c r="Q156" i="6" s="1"/>
  <c r="P97" i="6"/>
  <c r="R97" i="6" s="1"/>
  <c r="P92" i="6"/>
  <c r="R92" i="6" s="1"/>
  <c r="P117" i="6"/>
  <c r="R117" i="6" s="1"/>
  <c r="P20" i="6"/>
  <c r="Q20" i="6" s="1"/>
  <c r="P216" i="6"/>
  <c r="Q216" i="6" s="1"/>
  <c r="P23" i="6"/>
  <c r="R23" i="6" s="1"/>
  <c r="P218" i="6"/>
  <c r="R218" i="6" s="1"/>
  <c r="P275" i="6"/>
  <c r="R275" i="6" s="1"/>
  <c r="P317" i="6"/>
  <c r="Q317" i="6" s="1"/>
  <c r="P37" i="6"/>
  <c r="Q37" i="6" s="1"/>
  <c r="P206" i="6"/>
  <c r="R206" i="6" s="1"/>
  <c r="P172" i="6"/>
  <c r="Q172" i="6" s="1"/>
  <c r="P49" i="6"/>
  <c r="Q49" i="6" s="1"/>
  <c r="P54" i="6"/>
  <c r="R54" i="6" s="1"/>
  <c r="P361" i="6"/>
  <c r="R361" i="6" s="1"/>
  <c r="P328" i="6"/>
  <c r="Q328" i="6" s="1"/>
  <c r="P24" i="6"/>
  <c r="Q24" i="6" s="1"/>
  <c r="P232" i="6"/>
  <c r="Q232" i="6" s="1"/>
  <c r="P300" i="6"/>
  <c r="R300" i="6" s="1"/>
  <c r="P354" i="6"/>
  <c r="Q354" i="6" s="1"/>
  <c r="P223" i="6"/>
  <c r="R223" i="6" s="1"/>
  <c r="P141" i="6"/>
  <c r="R141" i="6" s="1"/>
  <c r="P375" i="6"/>
  <c r="R375" i="6" s="1"/>
  <c r="P89" i="6"/>
  <c r="R89" i="6" s="1"/>
  <c r="P60" i="6"/>
  <c r="R60" i="6" s="1"/>
  <c r="P169" i="6"/>
  <c r="R169" i="6" s="1"/>
  <c r="P121" i="6"/>
  <c r="Q121" i="6" s="1"/>
  <c r="P362" i="6"/>
  <c r="R362" i="6" s="1"/>
  <c r="P16" i="6"/>
  <c r="R16" i="6" s="1"/>
  <c r="P297" i="6"/>
  <c r="Q297" i="6" s="1"/>
  <c r="P99" i="6"/>
  <c r="Q99" i="6" s="1"/>
  <c r="P106" i="6"/>
  <c r="Q106" i="6" s="1"/>
  <c r="P311" i="6"/>
  <c r="Q311" i="6" s="1"/>
  <c r="P199" i="6"/>
  <c r="Q199" i="6" s="1"/>
  <c r="P227" i="6"/>
  <c r="R227" i="6" s="1"/>
  <c r="P259" i="6"/>
  <c r="Q259" i="6" s="1"/>
  <c r="P5" i="6"/>
  <c r="Q5" i="6" s="1"/>
  <c r="P136" i="6"/>
  <c r="R136" i="6" s="1"/>
  <c r="P124" i="6"/>
  <c r="R124" i="6" s="1"/>
  <c r="P219" i="6"/>
  <c r="R219" i="6" s="1"/>
  <c r="P270" i="6"/>
  <c r="Q270" i="6" s="1"/>
  <c r="P226" i="6"/>
  <c r="Q226" i="6" s="1"/>
  <c r="P347" i="6"/>
  <c r="Q347" i="6" s="1"/>
  <c r="P350" i="6"/>
  <c r="Q350" i="6" s="1"/>
  <c r="P158" i="6"/>
  <c r="Q158" i="6" s="1"/>
  <c r="P244" i="6"/>
  <c r="R244" i="6" s="1"/>
  <c r="P231" i="6"/>
  <c r="Q231" i="6" s="1"/>
  <c r="P21" i="6"/>
  <c r="Q21" i="6" s="1"/>
  <c r="P65" i="6"/>
  <c r="R65" i="6" s="1"/>
  <c r="P101" i="6"/>
  <c r="R101" i="6" s="1"/>
  <c r="P31" i="6"/>
  <c r="Q31" i="6" s="1"/>
  <c r="P163" i="6"/>
  <c r="Q163" i="6" s="1"/>
  <c r="P255" i="6"/>
  <c r="Q255" i="6" s="1"/>
  <c r="P368" i="6"/>
  <c r="Q368" i="6" s="1"/>
  <c r="P352" i="6"/>
  <c r="R352" i="6" s="1"/>
  <c r="P109" i="6"/>
  <c r="R109" i="6" s="1"/>
  <c r="P289" i="6"/>
  <c r="Q289" i="6" s="1"/>
  <c r="P148" i="6"/>
  <c r="R148" i="6" s="1"/>
  <c r="P276" i="6"/>
  <c r="Q276" i="6" s="1"/>
  <c r="P291" i="6"/>
  <c r="Q291" i="6" s="1"/>
  <c r="R292" i="6"/>
  <c r="Q292" i="6"/>
  <c r="C56" i="4"/>
  <c r="Q186" i="6"/>
  <c r="R239" i="6"/>
  <c r="R210" i="6"/>
  <c r="R243" i="6"/>
  <c r="Q175" i="6"/>
  <c r="R230" i="6"/>
  <c r="R290" i="6"/>
  <c r="R200" i="6"/>
  <c r="Q173" i="6"/>
  <c r="R187" i="6"/>
  <c r="Q140" i="6"/>
  <c r="Q90" i="6"/>
  <c r="R76" i="6"/>
  <c r="Q269" i="6"/>
  <c r="R128" i="6"/>
  <c r="R266" i="6"/>
  <c r="Q360" i="6"/>
  <c r="R184" i="6"/>
  <c r="Q137" i="6"/>
  <c r="R284" i="6"/>
  <c r="Q80" i="6"/>
  <c r="Q204" i="6"/>
  <c r="Q116" i="6"/>
  <c r="R98" i="6"/>
  <c r="R152" i="6"/>
  <c r="Q281" i="6"/>
  <c r="R254" i="6"/>
  <c r="R33" i="6"/>
  <c r="C61" i="4"/>
  <c r="R278" i="6" l="1"/>
  <c r="Q301" i="6"/>
  <c r="R62" i="6"/>
  <c r="R50" i="6"/>
  <c r="C59" i="4"/>
  <c r="Q280" i="6"/>
  <c r="Q296" i="6"/>
  <c r="F68" i="4"/>
  <c r="E80" i="1" s="1"/>
  <c r="E66" i="4"/>
  <c r="F198" i="6"/>
  <c r="G198" i="6" s="1"/>
  <c r="H198" i="6" s="1"/>
  <c r="AA198" i="6" s="1"/>
  <c r="F376" i="6"/>
  <c r="G376" i="6" s="1"/>
  <c r="H376" i="6" s="1"/>
  <c r="F335" i="6"/>
  <c r="G335" i="6" s="1"/>
  <c r="I335" i="6" s="1"/>
  <c r="F70" i="6"/>
  <c r="G70" i="6" s="1"/>
  <c r="H70" i="6" s="1"/>
  <c r="F325" i="6"/>
  <c r="G325" i="6" s="1"/>
  <c r="I325" i="6" s="1"/>
  <c r="F249" i="6"/>
  <c r="G249" i="6" s="1"/>
  <c r="I249" i="6" s="1"/>
  <c r="F192" i="6"/>
  <c r="G192" i="6" s="1"/>
  <c r="I192" i="6" s="1"/>
  <c r="F309" i="6"/>
  <c r="G309" i="6" s="1"/>
  <c r="I309" i="6" s="1"/>
  <c r="F317" i="6"/>
  <c r="G317" i="6" s="1"/>
  <c r="H317" i="6" s="1"/>
  <c r="AA317" i="6" s="1"/>
  <c r="F107" i="6"/>
  <c r="G107" i="6" s="1"/>
  <c r="I107" i="6" s="1"/>
  <c r="AB107" i="6" s="1"/>
  <c r="F28" i="6"/>
  <c r="G28" i="6" s="1"/>
  <c r="I28" i="6" s="1"/>
  <c r="F311" i="6"/>
  <c r="G311" i="6" s="1"/>
  <c r="H311" i="6" s="1"/>
  <c r="AA311" i="6" s="1"/>
  <c r="F289" i="6"/>
  <c r="G289" i="6" s="1"/>
  <c r="I289" i="6" s="1"/>
  <c r="F159" i="6"/>
  <c r="G159" i="6" s="1"/>
  <c r="I159" i="6" s="1"/>
  <c r="AB159" i="6" s="1"/>
  <c r="F277" i="6"/>
  <c r="G277" i="6" s="1"/>
  <c r="H277" i="6" s="1"/>
  <c r="F341" i="6"/>
  <c r="G341" i="6" s="1"/>
  <c r="H341" i="6" s="1"/>
  <c r="AA341" i="6" s="1"/>
  <c r="F31" i="6"/>
  <c r="G31" i="6" s="1"/>
  <c r="H31" i="6" s="1"/>
  <c r="AA31" i="6" s="1"/>
  <c r="F326" i="6"/>
  <c r="G326" i="6" s="1"/>
  <c r="H326" i="6" s="1"/>
  <c r="AA326" i="6" s="1"/>
  <c r="F232" i="6"/>
  <c r="G232" i="6" s="1"/>
  <c r="H232" i="6" s="1"/>
  <c r="AA232" i="6" s="1"/>
  <c r="F366" i="6"/>
  <c r="G366" i="6" s="1"/>
  <c r="I366" i="6" s="1"/>
  <c r="AB366" i="6" s="1"/>
  <c r="F255" i="6"/>
  <c r="G255" i="6" s="1"/>
  <c r="I255" i="6" s="1"/>
  <c r="F38" i="6"/>
  <c r="G38" i="6" s="1"/>
  <c r="H38" i="6" s="1"/>
  <c r="F91" i="6"/>
  <c r="G91" i="6" s="1"/>
  <c r="H91" i="6" s="1"/>
  <c r="AA91" i="6" s="1"/>
  <c r="F227" i="6"/>
  <c r="G227" i="6" s="1"/>
  <c r="I227" i="6" s="1"/>
  <c r="AB227" i="6" s="1"/>
  <c r="F296" i="6"/>
  <c r="G296" i="6" s="1"/>
  <c r="H296" i="6" s="1"/>
  <c r="AA296" i="6" s="1"/>
  <c r="F374" i="6"/>
  <c r="G374" i="6" s="1"/>
  <c r="I374" i="6" s="1"/>
  <c r="AB374" i="6" s="1"/>
  <c r="F329" i="6"/>
  <c r="G329" i="6" s="1"/>
  <c r="I329" i="6" s="1"/>
  <c r="F346" i="6"/>
  <c r="G346" i="6" s="1"/>
  <c r="H346" i="6" s="1"/>
  <c r="AA346" i="6" s="1"/>
  <c r="F297" i="6"/>
  <c r="G297" i="6" s="1"/>
  <c r="H297" i="6" s="1"/>
  <c r="AA297" i="6" s="1"/>
  <c r="F369" i="6"/>
  <c r="G369" i="6" s="1"/>
  <c r="H369" i="6" s="1"/>
  <c r="F140" i="6"/>
  <c r="G140" i="6" s="1"/>
  <c r="H140" i="6" s="1"/>
  <c r="AA140" i="6" s="1"/>
  <c r="F41" i="6"/>
  <c r="G41" i="6" s="1"/>
  <c r="I41" i="6" s="1"/>
  <c r="AB41" i="6" s="1"/>
  <c r="F39" i="6"/>
  <c r="G39" i="6" s="1"/>
  <c r="I39" i="6" s="1"/>
  <c r="AB39" i="6" s="1"/>
  <c r="F135" i="6"/>
  <c r="G135" i="6" s="1"/>
  <c r="H135" i="6" s="1"/>
  <c r="F157" i="6"/>
  <c r="G157" i="6" s="1"/>
  <c r="H157" i="6" s="1"/>
  <c r="AA157" i="6" s="1"/>
  <c r="F347" i="6"/>
  <c r="G347" i="6" s="1"/>
  <c r="I347" i="6" s="1"/>
  <c r="F183" i="6"/>
  <c r="G183" i="6" s="1"/>
  <c r="I183" i="6" s="1"/>
  <c r="F143" i="6"/>
  <c r="G143" i="6" s="1"/>
  <c r="H143" i="6" s="1"/>
  <c r="AA143" i="6" s="1"/>
  <c r="F207" i="6"/>
  <c r="G207" i="6" s="1"/>
  <c r="H207" i="6" s="1"/>
  <c r="AA207" i="6" s="1"/>
  <c r="F377" i="6"/>
  <c r="G377" i="6" s="1"/>
  <c r="I377" i="6" s="1"/>
  <c r="F54" i="6"/>
  <c r="G54" i="6" s="1"/>
  <c r="H54" i="6" s="1"/>
  <c r="F90" i="6"/>
  <c r="G90" i="6" s="1"/>
  <c r="H90" i="6" s="1"/>
  <c r="AA90" i="6" s="1"/>
  <c r="F180" i="6"/>
  <c r="G180" i="6" s="1"/>
  <c r="I180" i="6" s="1"/>
  <c r="F308" i="6"/>
  <c r="G308" i="6" s="1"/>
  <c r="I308" i="6" s="1"/>
  <c r="AB308" i="6" s="1"/>
  <c r="F260" i="6"/>
  <c r="G260" i="6" s="1"/>
  <c r="H260" i="6" s="1"/>
  <c r="AA260" i="6" s="1"/>
  <c r="F282" i="6"/>
  <c r="G282" i="6" s="1"/>
  <c r="H282" i="6" s="1"/>
  <c r="F45" i="6"/>
  <c r="G45" i="6" s="1"/>
  <c r="H45" i="6" s="1"/>
  <c r="F76" i="6"/>
  <c r="G76" i="6" s="1"/>
  <c r="H76" i="6" s="1"/>
  <c r="AA76" i="6" s="1"/>
  <c r="F187" i="6"/>
  <c r="G187" i="6" s="1"/>
  <c r="H187" i="6" s="1"/>
  <c r="AA187" i="6" s="1"/>
  <c r="F230" i="6"/>
  <c r="G230" i="6" s="1"/>
  <c r="H230" i="6" s="1"/>
  <c r="AA230" i="6" s="1"/>
  <c r="F3" i="6"/>
  <c r="G3" i="6" s="1"/>
  <c r="H3" i="6" s="1"/>
  <c r="F168" i="6"/>
  <c r="G168" i="6" s="1"/>
  <c r="H168" i="6" s="1"/>
  <c r="AA168" i="6" s="1"/>
  <c r="F229" i="6"/>
  <c r="G229" i="6" s="1"/>
  <c r="H229" i="6" s="1"/>
  <c r="F210" i="6"/>
  <c r="G210" i="6" s="1"/>
  <c r="H210" i="6" s="1"/>
  <c r="AA210" i="6" s="1"/>
  <c r="F246" i="6"/>
  <c r="G246" i="6" s="1"/>
  <c r="H246" i="6" s="1"/>
  <c r="F217" i="6"/>
  <c r="G217" i="6" s="1"/>
  <c r="H217" i="6" s="1"/>
  <c r="F47" i="6"/>
  <c r="G47" i="6" s="1"/>
  <c r="I47" i="6" s="1"/>
  <c r="AB47" i="6" s="1"/>
  <c r="F109" i="6"/>
  <c r="G109" i="6" s="1"/>
  <c r="I109" i="6" s="1"/>
  <c r="AB109" i="6" s="1"/>
  <c r="F17" i="6"/>
  <c r="G17" i="6" s="1"/>
  <c r="H17" i="6" s="1"/>
  <c r="AA17" i="6" s="1"/>
  <c r="F186" i="6"/>
  <c r="G186" i="6" s="1"/>
  <c r="H186" i="6" s="1"/>
  <c r="F165" i="6"/>
  <c r="G165" i="6" s="1"/>
  <c r="H165" i="6" s="1"/>
  <c r="F237" i="6"/>
  <c r="G237" i="6" s="1"/>
  <c r="I237" i="6" s="1"/>
  <c r="AB237" i="6" s="1"/>
  <c r="F203" i="6"/>
  <c r="G203" i="6" s="1"/>
  <c r="I203" i="6" s="1"/>
  <c r="F152" i="6"/>
  <c r="G152" i="6" s="1"/>
  <c r="I152" i="6" s="1"/>
  <c r="AB152" i="6" s="1"/>
  <c r="F124" i="6"/>
  <c r="G124" i="6" s="1"/>
  <c r="I124" i="6" s="1"/>
  <c r="AB124" i="6" s="1"/>
  <c r="F164" i="6"/>
  <c r="G164" i="6" s="1"/>
  <c r="I164" i="6" s="1"/>
  <c r="AB164" i="6" s="1"/>
  <c r="F200" i="6"/>
  <c r="G200" i="6" s="1"/>
  <c r="H200" i="6" s="1"/>
  <c r="AA200" i="6" s="1"/>
  <c r="F283" i="6"/>
  <c r="G283" i="6" s="1"/>
  <c r="H283" i="6" s="1"/>
  <c r="AA283" i="6" s="1"/>
  <c r="F16" i="6"/>
  <c r="G16" i="6" s="1"/>
  <c r="I16" i="6" s="1"/>
  <c r="AB16" i="6" s="1"/>
  <c r="F30" i="6"/>
  <c r="G30" i="6" s="1"/>
  <c r="H30" i="6" s="1"/>
  <c r="AA30" i="6" s="1"/>
  <c r="F242" i="6"/>
  <c r="G242" i="6" s="1"/>
  <c r="H242" i="6" s="1"/>
  <c r="AA242" i="6" s="1"/>
  <c r="F20" i="6"/>
  <c r="G20" i="6" s="1"/>
  <c r="H20" i="6" s="1"/>
  <c r="AA20" i="6" s="1"/>
  <c r="F35" i="6"/>
  <c r="G35" i="6" s="1"/>
  <c r="I35" i="6" s="1"/>
  <c r="AB35" i="6" s="1"/>
  <c r="F262" i="6"/>
  <c r="G262" i="6" s="1"/>
  <c r="H262" i="6" s="1"/>
  <c r="F21" i="6"/>
  <c r="G21" i="6" s="1"/>
  <c r="I21" i="6" s="1"/>
  <c r="F25" i="6"/>
  <c r="G25" i="6" s="1"/>
  <c r="I25" i="6" s="1"/>
  <c r="AB25" i="6" s="1"/>
  <c r="F332" i="6"/>
  <c r="G332" i="6" s="1"/>
  <c r="H332" i="6" s="1"/>
  <c r="F176" i="6"/>
  <c r="G176" i="6" s="1"/>
  <c r="I176" i="6" s="1"/>
  <c r="AB176" i="6" s="1"/>
  <c r="F258" i="6"/>
  <c r="G258" i="6" s="1"/>
  <c r="H258" i="6" s="1"/>
  <c r="F9" i="6"/>
  <c r="G9" i="6" s="1"/>
  <c r="H9" i="6" s="1"/>
  <c r="F223" i="6"/>
  <c r="G223" i="6" s="1"/>
  <c r="I223" i="6" s="1"/>
  <c r="AB223" i="6" s="1"/>
  <c r="F337" i="6"/>
  <c r="G337" i="6" s="1"/>
  <c r="I337" i="6" s="1"/>
  <c r="F234" i="6"/>
  <c r="G234" i="6" s="1"/>
  <c r="I234" i="6" s="1"/>
  <c r="F161" i="6"/>
  <c r="G161" i="6" s="1"/>
  <c r="H161" i="6" s="1"/>
  <c r="AA161" i="6" s="1"/>
  <c r="F265" i="6"/>
  <c r="G265" i="6" s="1"/>
  <c r="H265" i="6" s="1"/>
  <c r="F339" i="6"/>
  <c r="G339" i="6" s="1"/>
  <c r="H339" i="6" s="1"/>
  <c r="F49" i="6"/>
  <c r="G49" i="6" s="1"/>
  <c r="I49" i="6" s="1"/>
  <c r="F284" i="6"/>
  <c r="G284" i="6" s="1"/>
  <c r="H284" i="6" s="1"/>
  <c r="AA284" i="6" s="1"/>
  <c r="F293" i="6"/>
  <c r="G293" i="6" s="1"/>
  <c r="H293" i="6" s="1"/>
  <c r="F95" i="6"/>
  <c r="G95" i="6" s="1"/>
  <c r="I95" i="6" s="1"/>
  <c r="F286" i="6"/>
  <c r="G286" i="6" s="1"/>
  <c r="H286" i="6" s="1"/>
  <c r="AA286" i="6" s="1"/>
  <c r="F294" i="6"/>
  <c r="G294" i="6" s="1"/>
  <c r="H294" i="6" s="1"/>
  <c r="F348" i="6"/>
  <c r="G348" i="6" s="1"/>
  <c r="H348" i="6" s="1"/>
  <c r="AA348" i="6" s="1"/>
  <c r="F276" i="6"/>
  <c r="G276" i="6" s="1"/>
  <c r="H276" i="6" s="1"/>
  <c r="AA276" i="6" s="1"/>
  <c r="F77" i="6"/>
  <c r="G77" i="6" s="1"/>
  <c r="H77" i="6" s="1"/>
  <c r="F338" i="6"/>
  <c r="G338" i="6" s="1"/>
  <c r="H338" i="6" s="1"/>
  <c r="F322" i="6"/>
  <c r="G322" i="6" s="1"/>
  <c r="I322" i="6" s="1"/>
  <c r="F42" i="6"/>
  <c r="G42" i="6" s="1"/>
  <c r="I42" i="6" s="1"/>
  <c r="AB42" i="6" s="1"/>
  <c r="F279" i="6"/>
  <c r="G279" i="6" s="1"/>
  <c r="I279" i="6" s="1"/>
  <c r="AB279" i="6" s="1"/>
  <c r="F173" i="6"/>
  <c r="G173" i="6" s="1"/>
  <c r="I173" i="6" s="1"/>
  <c r="AB173" i="6" s="1"/>
  <c r="F251" i="6"/>
  <c r="G251" i="6" s="1"/>
  <c r="I251" i="6" s="1"/>
  <c r="AB251" i="6" s="1"/>
  <c r="F166" i="6"/>
  <c r="G166" i="6" s="1"/>
  <c r="H166" i="6" s="1"/>
  <c r="F141" i="6"/>
  <c r="G141" i="6" s="1"/>
  <c r="H141" i="6" s="1"/>
  <c r="F353" i="6"/>
  <c r="G353" i="6" s="1"/>
  <c r="H353" i="6" s="1"/>
  <c r="AA353" i="6" s="1"/>
  <c r="F64" i="6"/>
  <c r="G64" i="6" s="1"/>
  <c r="H64" i="6" s="1"/>
  <c r="F68" i="6"/>
  <c r="G68" i="6" s="1"/>
  <c r="I68" i="6" s="1"/>
  <c r="AB68" i="6" s="1"/>
  <c r="F363" i="6"/>
  <c r="G363" i="6" s="1"/>
  <c r="H363" i="6" s="1"/>
  <c r="AA363" i="6" s="1"/>
  <c r="F18" i="6"/>
  <c r="G18" i="6" s="1"/>
  <c r="I18" i="6" s="1"/>
  <c r="AB18" i="6" s="1"/>
  <c r="F170" i="6"/>
  <c r="G170" i="6" s="1"/>
  <c r="H170" i="6" s="1"/>
  <c r="F264" i="6"/>
  <c r="G264" i="6" s="1"/>
  <c r="I264" i="6" s="1"/>
  <c r="AB264" i="6" s="1"/>
  <c r="F320" i="6"/>
  <c r="G320" i="6" s="1"/>
  <c r="H320" i="6" s="1"/>
  <c r="F86" i="6"/>
  <c r="G86" i="6" s="1"/>
  <c r="H86" i="6" s="1"/>
  <c r="AA86" i="6" s="1"/>
  <c r="F26" i="6"/>
  <c r="G26" i="6" s="1"/>
  <c r="H26" i="6" s="1"/>
  <c r="AA26" i="6" s="1"/>
  <c r="F128" i="6"/>
  <c r="G128" i="6" s="1"/>
  <c r="H128" i="6" s="1"/>
  <c r="AA128" i="6" s="1"/>
  <c r="F100" i="6"/>
  <c r="G100" i="6" s="1"/>
  <c r="H100" i="6" s="1"/>
  <c r="AA100" i="6" s="1"/>
  <c r="F181" i="6"/>
  <c r="G181" i="6" s="1"/>
  <c r="H181" i="6" s="1"/>
  <c r="F185" i="6"/>
  <c r="G185" i="6" s="1"/>
  <c r="H185" i="6" s="1"/>
  <c r="AA185" i="6" s="1"/>
  <c r="F94" i="6"/>
  <c r="G94" i="6" s="1"/>
  <c r="H94" i="6" s="1"/>
  <c r="F361" i="6"/>
  <c r="G361" i="6" s="1"/>
  <c r="H361" i="6" s="1"/>
  <c r="F116" i="6"/>
  <c r="G116" i="6" s="1"/>
  <c r="I116" i="6" s="1"/>
  <c r="AB116" i="6" s="1"/>
  <c r="F138" i="6"/>
  <c r="G138" i="6" s="1"/>
  <c r="H138" i="6" s="1"/>
  <c r="F372" i="6"/>
  <c r="G372" i="6" s="1"/>
  <c r="I372" i="6" s="1"/>
  <c r="AB372" i="6" s="1"/>
  <c r="F69" i="6"/>
  <c r="G69" i="6" s="1"/>
  <c r="H69" i="6" s="1"/>
  <c r="F13" i="6"/>
  <c r="G13" i="6" s="1"/>
  <c r="I13" i="6" s="1"/>
  <c r="F78" i="6"/>
  <c r="G78" i="6" s="1"/>
  <c r="H78" i="6" s="1"/>
  <c r="AA78" i="6" s="1"/>
  <c r="F59" i="6"/>
  <c r="G59" i="6" s="1"/>
  <c r="I59" i="6" s="1"/>
  <c r="AB59" i="6" s="1"/>
  <c r="F155" i="6"/>
  <c r="G155" i="6" s="1"/>
  <c r="H155" i="6" s="1"/>
  <c r="AA155" i="6" s="1"/>
  <c r="F23" i="6"/>
  <c r="G23" i="6" s="1"/>
  <c r="I23" i="6" s="1"/>
  <c r="F331" i="6"/>
  <c r="G331" i="6" s="1"/>
  <c r="H331" i="6" s="1"/>
  <c r="AA331" i="6" s="1"/>
  <c r="F144" i="6"/>
  <c r="G144" i="6" s="1"/>
  <c r="I144" i="6" s="1"/>
  <c r="AB144" i="6" s="1"/>
  <c r="F72" i="6"/>
  <c r="G72" i="6" s="1"/>
  <c r="H72" i="6" s="1"/>
  <c r="AA72" i="6" s="1"/>
  <c r="F318" i="6"/>
  <c r="G318" i="6" s="1"/>
  <c r="H318" i="6" s="1"/>
  <c r="F5" i="6"/>
  <c r="G5" i="6" s="1"/>
  <c r="H5" i="6" s="1"/>
  <c r="AA5" i="6" s="1"/>
  <c r="F221" i="6"/>
  <c r="G221" i="6" s="1"/>
  <c r="H221" i="6" s="1"/>
  <c r="AA221" i="6" s="1"/>
  <c r="F199" i="6"/>
  <c r="G199" i="6" s="1"/>
  <c r="I199" i="6" s="1"/>
  <c r="F266" i="6"/>
  <c r="G266" i="6" s="1"/>
  <c r="I266" i="6" s="1"/>
  <c r="AB266" i="6" s="1"/>
  <c r="F99" i="6"/>
  <c r="G99" i="6" s="1"/>
  <c r="I99" i="6" s="1"/>
  <c r="F316" i="6"/>
  <c r="G316" i="6" s="1"/>
  <c r="I316" i="6" s="1"/>
  <c r="AB316" i="6" s="1"/>
  <c r="F321" i="6"/>
  <c r="G321" i="6" s="1"/>
  <c r="I321" i="6" s="1"/>
  <c r="AB321" i="6" s="1"/>
  <c r="F287" i="6"/>
  <c r="G287" i="6" s="1"/>
  <c r="I287" i="6" s="1"/>
  <c r="F177" i="6"/>
  <c r="G177" i="6" s="1"/>
  <c r="I177" i="6" s="1"/>
  <c r="F241" i="6"/>
  <c r="G241" i="6" s="1"/>
  <c r="I241" i="6" s="1"/>
  <c r="AB241" i="6" s="1"/>
  <c r="F263" i="6"/>
  <c r="G263" i="6" s="1"/>
  <c r="I263" i="6" s="1"/>
  <c r="F73" i="6"/>
  <c r="G73" i="6" s="1"/>
  <c r="H73" i="6" s="1"/>
  <c r="AA73" i="6" s="1"/>
  <c r="F27" i="6"/>
  <c r="G27" i="6" s="1"/>
  <c r="H27" i="6" s="1"/>
  <c r="F208" i="6"/>
  <c r="G208" i="6" s="1"/>
  <c r="I208" i="6" s="1"/>
  <c r="F4" i="6"/>
  <c r="G4" i="6" s="1"/>
  <c r="I4" i="6" s="1"/>
  <c r="AB4" i="6" s="1"/>
  <c r="F285" i="6"/>
  <c r="G285" i="6" s="1"/>
  <c r="I285" i="6" s="1"/>
  <c r="AB285" i="6" s="1"/>
  <c r="F118" i="6"/>
  <c r="G118" i="6" s="1"/>
  <c r="I118" i="6" s="1"/>
  <c r="AB118" i="6" s="1"/>
  <c r="F175" i="6"/>
  <c r="G175" i="6" s="1"/>
  <c r="H175" i="6" s="1"/>
  <c r="AA175" i="6" s="1"/>
  <c r="F373" i="6"/>
  <c r="G373" i="6" s="1"/>
  <c r="H373" i="6" s="1"/>
  <c r="AA373" i="6" s="1"/>
  <c r="F123" i="6"/>
  <c r="G123" i="6" s="1"/>
  <c r="H123" i="6" s="1"/>
  <c r="F87" i="6"/>
  <c r="G87" i="6" s="1"/>
  <c r="I87" i="6" s="1"/>
  <c r="F352" i="6"/>
  <c r="G352" i="6" s="1"/>
  <c r="I352" i="6" s="1"/>
  <c r="AB352" i="6" s="1"/>
  <c r="F88" i="6"/>
  <c r="G88" i="6" s="1"/>
  <c r="H88" i="6" s="1"/>
  <c r="F253" i="6"/>
  <c r="G253" i="6" s="1"/>
  <c r="H253" i="6" s="1"/>
  <c r="AA253" i="6" s="1"/>
  <c r="F381" i="6"/>
  <c r="G381" i="6" s="1"/>
  <c r="I381" i="6" s="1"/>
  <c r="AB381" i="6" s="1"/>
  <c r="F46" i="6"/>
  <c r="G46" i="6" s="1"/>
  <c r="H46" i="6" s="1"/>
  <c r="F233" i="6"/>
  <c r="G233" i="6" s="1"/>
  <c r="H233" i="6" s="1"/>
  <c r="F358" i="6"/>
  <c r="G358" i="6" s="1"/>
  <c r="H358" i="6" s="1"/>
  <c r="F83" i="6"/>
  <c r="G83" i="6" s="1"/>
  <c r="I83" i="6" s="1"/>
  <c r="AB83" i="6" s="1"/>
  <c r="F22" i="6"/>
  <c r="G22" i="6" s="1"/>
  <c r="H22" i="6" s="1"/>
  <c r="AA22" i="6" s="1"/>
  <c r="F104" i="6"/>
  <c r="G104" i="6" s="1"/>
  <c r="H104" i="6" s="1"/>
  <c r="F204" i="6"/>
  <c r="G204" i="6" s="1"/>
  <c r="H204" i="6" s="1"/>
  <c r="AA204" i="6" s="1"/>
  <c r="F202" i="6"/>
  <c r="G202" i="6" s="1"/>
  <c r="I202" i="6" s="1"/>
  <c r="AB202" i="6" s="1"/>
  <c r="F151" i="6"/>
  <c r="G151" i="6" s="1"/>
  <c r="I151" i="6" s="1"/>
  <c r="AB151" i="6" s="1"/>
  <c r="F270" i="6"/>
  <c r="G270" i="6" s="1"/>
  <c r="H270" i="6" s="1"/>
  <c r="AA270" i="6" s="1"/>
  <c r="F142" i="6"/>
  <c r="G142" i="6" s="1"/>
  <c r="I142" i="6" s="1"/>
  <c r="AB142" i="6" s="1"/>
  <c r="F106" i="6"/>
  <c r="G106" i="6" s="1"/>
  <c r="I106" i="6" s="1"/>
  <c r="F351" i="6"/>
  <c r="G351" i="6" s="1"/>
  <c r="H351" i="6" s="1"/>
  <c r="F34" i="6"/>
  <c r="G34" i="6" s="1"/>
  <c r="H34" i="6" s="1"/>
  <c r="F127" i="6"/>
  <c r="G127" i="6" s="1"/>
  <c r="H127" i="6" s="1"/>
  <c r="AA127" i="6" s="1"/>
  <c r="F290" i="6"/>
  <c r="G290" i="6" s="1"/>
  <c r="H290" i="6" s="1"/>
  <c r="AA290" i="6" s="1"/>
  <c r="F101" i="6"/>
  <c r="G101" i="6" s="1"/>
  <c r="I101" i="6" s="1"/>
  <c r="AB101" i="6" s="1"/>
  <c r="F96" i="6"/>
  <c r="G96" i="6" s="1"/>
  <c r="H96" i="6" s="1"/>
  <c r="F117" i="6"/>
  <c r="G117" i="6" s="1"/>
  <c r="H117" i="6" s="1"/>
  <c r="F57" i="6"/>
  <c r="G57" i="6" s="1"/>
  <c r="I57" i="6" s="1"/>
  <c r="AB57" i="6" s="1"/>
  <c r="F216" i="6"/>
  <c r="G216" i="6" s="1"/>
  <c r="I216" i="6" s="1"/>
  <c r="F314" i="6"/>
  <c r="G314" i="6" s="1"/>
  <c r="H314" i="6" s="1"/>
  <c r="F7" i="6"/>
  <c r="G7" i="6" s="1"/>
  <c r="I7" i="6" s="1"/>
  <c r="F6" i="6"/>
  <c r="G6" i="6" s="1"/>
  <c r="I6" i="6" s="1"/>
  <c r="F24" i="6"/>
  <c r="G24" i="6" s="1"/>
  <c r="I24" i="6" s="1"/>
  <c r="F134" i="6"/>
  <c r="G134" i="6" s="1"/>
  <c r="H134" i="6" s="1"/>
  <c r="F14" i="6"/>
  <c r="G14" i="6" s="1"/>
  <c r="H14" i="6" s="1"/>
  <c r="AA14" i="6" s="1"/>
  <c r="F120" i="6"/>
  <c r="G120" i="6" s="1"/>
  <c r="I120" i="6" s="1"/>
  <c r="AB120" i="6" s="1"/>
  <c r="F125" i="6"/>
  <c r="G125" i="6" s="1"/>
  <c r="H125" i="6" s="1"/>
  <c r="F75" i="6"/>
  <c r="G75" i="6" s="1"/>
  <c r="H75" i="6" s="1"/>
  <c r="AA75" i="6" s="1"/>
  <c r="F252" i="6"/>
  <c r="G252" i="6" s="1"/>
  <c r="H252" i="6" s="1"/>
  <c r="F257" i="6"/>
  <c r="G257" i="6" s="1"/>
  <c r="I257" i="6" s="1"/>
  <c r="F119" i="6"/>
  <c r="G119" i="6" s="1"/>
  <c r="I119" i="6" s="1"/>
  <c r="F146" i="6"/>
  <c r="G146" i="6" s="1"/>
  <c r="H146" i="6" s="1"/>
  <c r="F269" i="6"/>
  <c r="G269" i="6" s="1"/>
  <c r="H269" i="6" s="1"/>
  <c r="F211" i="6"/>
  <c r="G211" i="6" s="1"/>
  <c r="I211" i="6" s="1"/>
  <c r="AB211" i="6" s="1"/>
  <c r="F238" i="6"/>
  <c r="G238" i="6" s="1"/>
  <c r="I238" i="6" s="1"/>
  <c r="AB238" i="6" s="1"/>
  <c r="F240" i="6"/>
  <c r="G240" i="6" s="1"/>
  <c r="H240" i="6" s="1"/>
  <c r="AA240" i="6" s="1"/>
  <c r="F162" i="6"/>
  <c r="G162" i="6" s="1"/>
  <c r="I162" i="6" s="1"/>
  <c r="F310" i="6"/>
  <c r="G310" i="6" s="1"/>
  <c r="I310" i="6" s="1"/>
  <c r="AB310" i="6" s="1"/>
  <c r="F275" i="6"/>
  <c r="G275" i="6" s="1"/>
  <c r="H275" i="6" s="1"/>
  <c r="F250" i="6"/>
  <c r="G250" i="6" s="1"/>
  <c r="I250" i="6" s="1"/>
  <c r="F171" i="6"/>
  <c r="G171" i="6" s="1"/>
  <c r="I171" i="6" s="1"/>
  <c r="F367" i="6"/>
  <c r="G367" i="6" s="1"/>
  <c r="H367" i="6" s="1"/>
  <c r="F365" i="6"/>
  <c r="G365" i="6" s="1"/>
  <c r="I365" i="6" s="1"/>
  <c r="AB365" i="6" s="1"/>
  <c r="F60" i="6"/>
  <c r="G60" i="6" s="1"/>
  <c r="I60" i="6" s="1"/>
  <c r="AB60" i="6" s="1"/>
  <c r="F167" i="6"/>
  <c r="G167" i="6" s="1"/>
  <c r="I167" i="6" s="1"/>
  <c r="F160" i="6"/>
  <c r="G160" i="6" s="1"/>
  <c r="H160" i="6" s="1"/>
  <c r="F131" i="6"/>
  <c r="G131" i="6" s="1"/>
  <c r="H131" i="6" s="1"/>
  <c r="F48" i="6"/>
  <c r="G48" i="6" s="1"/>
  <c r="I48" i="6" s="1"/>
  <c r="AB48" i="6" s="1"/>
  <c r="F53" i="6"/>
  <c r="G53" i="6" s="1"/>
  <c r="H53" i="6" s="1"/>
  <c r="F92" i="6"/>
  <c r="G92" i="6" s="1"/>
  <c r="I92" i="6" s="1"/>
  <c r="AB92" i="6" s="1"/>
  <c r="F330" i="6"/>
  <c r="G330" i="6" s="1"/>
  <c r="H330" i="6" s="1"/>
  <c r="F357" i="6"/>
  <c r="G357" i="6" s="1"/>
  <c r="I357" i="6" s="1"/>
  <c r="AB357" i="6" s="1"/>
  <c r="F280" i="6"/>
  <c r="G280" i="6" s="1"/>
  <c r="H280" i="6" s="1"/>
  <c r="AA280" i="6" s="1"/>
  <c r="F29" i="6"/>
  <c r="G29" i="6" s="1"/>
  <c r="H29" i="6" s="1"/>
  <c r="F74" i="6"/>
  <c r="G74" i="6" s="1"/>
  <c r="I74" i="6" s="1"/>
  <c r="F256" i="6"/>
  <c r="G256" i="6" s="1"/>
  <c r="H256" i="6" s="1"/>
  <c r="AA256" i="6" s="1"/>
  <c r="F291" i="6"/>
  <c r="G291" i="6" s="1"/>
  <c r="H291" i="6" s="1"/>
  <c r="AA291" i="6" s="1"/>
  <c r="F342" i="6"/>
  <c r="G342" i="6" s="1"/>
  <c r="H342" i="6" s="1"/>
  <c r="F40" i="6"/>
  <c r="G40" i="6" s="1"/>
  <c r="H40" i="6" s="1"/>
  <c r="AA40" i="6" s="1"/>
  <c r="F149" i="6"/>
  <c r="G149" i="6" s="1"/>
  <c r="H149" i="6" s="1"/>
  <c r="AA149" i="6" s="1"/>
  <c r="F235" i="6"/>
  <c r="G235" i="6" s="1"/>
  <c r="H235" i="6" s="1"/>
  <c r="AA235" i="6" s="1"/>
  <c r="F201" i="6"/>
  <c r="G201" i="6" s="1"/>
  <c r="H201" i="6" s="1"/>
  <c r="AA201" i="6" s="1"/>
  <c r="F288" i="6"/>
  <c r="G288" i="6" s="1"/>
  <c r="I288" i="6" s="1"/>
  <c r="F136" i="6"/>
  <c r="G136" i="6" s="1"/>
  <c r="H136" i="6" s="1"/>
  <c r="F55" i="6"/>
  <c r="G55" i="6" s="1"/>
  <c r="H55" i="6" s="1"/>
  <c r="F315" i="6"/>
  <c r="G315" i="6" s="1"/>
  <c r="H315" i="6" s="1"/>
  <c r="F236" i="6"/>
  <c r="G236" i="6" s="1"/>
  <c r="H236" i="6" s="1"/>
  <c r="F50" i="6"/>
  <c r="G50" i="6" s="1"/>
  <c r="H50" i="6" s="1"/>
  <c r="AA50" i="6" s="1"/>
  <c r="F184" i="6"/>
  <c r="G184" i="6" s="1"/>
  <c r="I184" i="6" s="1"/>
  <c r="AB184" i="6" s="1"/>
  <c r="F79" i="6"/>
  <c r="G79" i="6" s="1"/>
  <c r="I79" i="6" s="1"/>
  <c r="AB79" i="6" s="1"/>
  <c r="F271" i="6"/>
  <c r="G271" i="6" s="1"/>
  <c r="I271" i="6" s="1"/>
  <c r="AB271" i="6" s="1"/>
  <c r="F336" i="6"/>
  <c r="G336" i="6" s="1"/>
  <c r="H336" i="6" s="1"/>
  <c r="AA336" i="6" s="1"/>
  <c r="F334" i="6"/>
  <c r="G334" i="6" s="1"/>
  <c r="H334" i="6" s="1"/>
  <c r="F43" i="6"/>
  <c r="G43" i="6" s="1"/>
  <c r="I43" i="6" s="1"/>
  <c r="F218" i="6"/>
  <c r="G218" i="6" s="1"/>
  <c r="H218" i="6" s="1"/>
  <c r="F304" i="6"/>
  <c r="G304" i="6" s="1"/>
  <c r="H304" i="6" s="1"/>
  <c r="AA304" i="6" s="1"/>
  <c r="F333" i="6"/>
  <c r="G333" i="6" s="1"/>
  <c r="H333" i="6" s="1"/>
  <c r="AA333" i="6" s="1"/>
  <c r="F244" i="6"/>
  <c r="G244" i="6" s="1"/>
  <c r="I244" i="6" s="1"/>
  <c r="AB244" i="6" s="1"/>
  <c r="F248" i="6"/>
  <c r="G248" i="6" s="1"/>
  <c r="H248" i="6" s="1"/>
  <c r="F129" i="6"/>
  <c r="G129" i="6" s="1"/>
  <c r="I129" i="6" s="1"/>
  <c r="F195" i="6"/>
  <c r="G195" i="6" s="1"/>
  <c r="H195" i="6" s="1"/>
  <c r="AA195" i="6" s="1"/>
  <c r="F85" i="6"/>
  <c r="G85" i="6" s="1"/>
  <c r="H85" i="6" s="1"/>
  <c r="AA85" i="6" s="1"/>
  <c r="F206" i="6"/>
  <c r="G206" i="6" s="1"/>
  <c r="H206" i="6" s="1"/>
  <c r="F359" i="6"/>
  <c r="G359" i="6" s="1"/>
  <c r="H359" i="6" s="1"/>
  <c r="F174" i="6"/>
  <c r="G174" i="6" s="1"/>
  <c r="H174" i="6" s="1"/>
  <c r="AA174" i="6" s="1"/>
  <c r="F190" i="6"/>
  <c r="G190" i="6" s="1"/>
  <c r="H190" i="6" s="1"/>
  <c r="F226" i="6"/>
  <c r="G226" i="6" s="1"/>
  <c r="I226" i="6" s="1"/>
  <c r="F188" i="6"/>
  <c r="G188" i="6" s="1"/>
  <c r="H188" i="6" s="1"/>
  <c r="F145" i="6"/>
  <c r="G145" i="6" s="1"/>
  <c r="H145" i="6" s="1"/>
  <c r="F222" i="6"/>
  <c r="G222" i="6" s="1"/>
  <c r="H222" i="6" s="1"/>
  <c r="AA222" i="6" s="1"/>
  <c r="F189" i="6"/>
  <c r="G189" i="6" s="1"/>
  <c r="H189" i="6" s="1"/>
  <c r="F214" i="6"/>
  <c r="G214" i="6" s="1"/>
  <c r="H214" i="6" s="1"/>
  <c r="F313" i="6"/>
  <c r="G313" i="6" s="1"/>
  <c r="H313" i="6" s="1"/>
  <c r="AA313" i="6" s="1"/>
  <c r="F259" i="6"/>
  <c r="G259" i="6" s="1"/>
  <c r="H259" i="6" s="1"/>
  <c r="AA259" i="6" s="1"/>
  <c r="F254" i="6"/>
  <c r="G254" i="6" s="1"/>
  <c r="I254" i="6" s="1"/>
  <c r="AB254" i="6" s="1"/>
  <c r="F178" i="6"/>
  <c r="G178" i="6" s="1"/>
  <c r="H178" i="6" s="1"/>
  <c r="AA178" i="6" s="1"/>
  <c r="F84" i="6"/>
  <c r="G84" i="6" s="1"/>
  <c r="H84" i="6" s="1"/>
  <c r="F350" i="6"/>
  <c r="G350" i="6" s="1"/>
  <c r="I350" i="6" s="1"/>
  <c r="F212" i="6"/>
  <c r="G212" i="6" s="1"/>
  <c r="I212" i="6" s="1"/>
  <c r="F319" i="6"/>
  <c r="G319" i="6" s="1"/>
  <c r="I319" i="6" s="1"/>
  <c r="F355" i="6"/>
  <c r="G355" i="6" s="1"/>
  <c r="I355" i="6" s="1"/>
  <c r="AB355" i="6" s="1"/>
  <c r="F36" i="6"/>
  <c r="G36" i="6" s="1"/>
  <c r="H36" i="6" s="1"/>
  <c r="AA36" i="6" s="1"/>
  <c r="F303" i="6"/>
  <c r="G303" i="6" s="1"/>
  <c r="H303" i="6" s="1"/>
  <c r="AA303" i="6" s="1"/>
  <c r="F239" i="6"/>
  <c r="G239" i="6" s="1"/>
  <c r="I239" i="6" s="1"/>
  <c r="AB239" i="6" s="1"/>
  <c r="F80" i="6"/>
  <c r="G80" i="6" s="1"/>
  <c r="I80" i="6" s="1"/>
  <c r="AB80" i="6" s="1"/>
  <c r="F65" i="6"/>
  <c r="G65" i="6" s="1"/>
  <c r="H65" i="6" s="1"/>
  <c r="F112" i="6"/>
  <c r="G112" i="6" s="1"/>
  <c r="I112" i="6" s="1"/>
  <c r="F37" i="6"/>
  <c r="G37" i="6" s="1"/>
  <c r="I37" i="6" s="1"/>
  <c r="F15" i="6"/>
  <c r="G15" i="6" s="1"/>
  <c r="H15" i="6" s="1"/>
  <c r="AA15" i="6" s="1"/>
  <c r="F281" i="6"/>
  <c r="G281" i="6" s="1"/>
  <c r="H281" i="6" s="1"/>
  <c r="AA281" i="6" s="1"/>
  <c r="F150" i="6"/>
  <c r="G150" i="6" s="1"/>
  <c r="I150" i="6" s="1"/>
  <c r="F156" i="6"/>
  <c r="G156" i="6" s="1"/>
  <c r="I156" i="6" s="1"/>
  <c r="F370" i="6"/>
  <c r="G370" i="6" s="1"/>
  <c r="I370" i="6" s="1"/>
  <c r="AB370" i="6" s="1"/>
  <c r="F220" i="6"/>
  <c r="G220" i="6" s="1"/>
  <c r="I220" i="6" s="1"/>
  <c r="AB220" i="6" s="1"/>
  <c r="F153" i="6"/>
  <c r="G153" i="6" s="1"/>
  <c r="I153" i="6" s="1"/>
  <c r="AB153" i="6" s="1"/>
  <c r="F375" i="6"/>
  <c r="G375" i="6" s="1"/>
  <c r="H375" i="6" s="1"/>
  <c r="F56" i="6"/>
  <c r="G56" i="6" s="1"/>
  <c r="H56" i="6" s="1"/>
  <c r="F89" i="6"/>
  <c r="G89" i="6" s="1"/>
  <c r="I89" i="6" s="1"/>
  <c r="AB89" i="6" s="1"/>
  <c r="F139" i="6"/>
  <c r="G139" i="6" s="1"/>
  <c r="H139" i="6" s="1"/>
  <c r="F302" i="6"/>
  <c r="G302" i="6" s="1"/>
  <c r="H302" i="6" s="1"/>
  <c r="F292" i="6"/>
  <c r="G292" i="6" s="1"/>
  <c r="H292" i="6" s="1"/>
  <c r="AA292" i="6" s="1"/>
  <c r="F340" i="6"/>
  <c r="G340" i="6" s="1"/>
  <c r="I340" i="6" s="1"/>
  <c r="F378" i="6"/>
  <c r="G378" i="6" s="1"/>
  <c r="H378" i="6" s="1"/>
  <c r="F126" i="6"/>
  <c r="G126" i="6" s="1"/>
  <c r="H126" i="6" s="1"/>
  <c r="F324" i="6"/>
  <c r="G324" i="6" s="1"/>
  <c r="H324" i="6" s="1"/>
  <c r="F272" i="6"/>
  <c r="G272" i="6" s="1"/>
  <c r="I272" i="6" s="1"/>
  <c r="AB272" i="6" s="1"/>
  <c r="F66" i="6"/>
  <c r="G66" i="6" s="1"/>
  <c r="I66" i="6" s="1"/>
  <c r="AB66" i="6" s="1"/>
  <c r="F267" i="6"/>
  <c r="G267" i="6" s="1"/>
  <c r="H267" i="6" s="1"/>
  <c r="AA267" i="6" s="1"/>
  <c r="F147" i="6"/>
  <c r="G147" i="6" s="1"/>
  <c r="H147" i="6" s="1"/>
  <c r="F58" i="6"/>
  <c r="G58" i="6" s="1"/>
  <c r="H58" i="6" s="1"/>
  <c r="AA58" i="6" s="1"/>
  <c r="F268" i="6"/>
  <c r="G268" i="6" s="1"/>
  <c r="H268" i="6" s="1"/>
  <c r="F295" i="6"/>
  <c r="G295" i="6" s="1"/>
  <c r="I295" i="6" s="1"/>
  <c r="F278" i="6"/>
  <c r="G278" i="6" s="1"/>
  <c r="I278" i="6" s="1"/>
  <c r="AB278" i="6" s="1"/>
  <c r="F172" i="6"/>
  <c r="G172" i="6" s="1"/>
  <c r="H172" i="6" s="1"/>
  <c r="AA172" i="6" s="1"/>
  <c r="F298" i="6"/>
  <c r="G298" i="6" s="1"/>
  <c r="I298" i="6" s="1"/>
  <c r="F169" i="6"/>
  <c r="G169" i="6" s="1"/>
  <c r="H169" i="6" s="1"/>
  <c r="F306" i="6"/>
  <c r="G306" i="6" s="1"/>
  <c r="I306" i="6" s="1"/>
  <c r="F62" i="6"/>
  <c r="G62" i="6" s="1"/>
  <c r="H62" i="6" s="1"/>
  <c r="AA62" i="6" s="1"/>
  <c r="F2" i="6"/>
  <c r="G2" i="6" s="1"/>
  <c r="I2" i="6" s="1"/>
  <c r="AB2" i="6" s="1"/>
  <c r="F97" i="6"/>
  <c r="G97" i="6" s="1"/>
  <c r="I97" i="6" s="1"/>
  <c r="AB97" i="6" s="1"/>
  <c r="F219" i="6"/>
  <c r="G219" i="6" s="1"/>
  <c r="I219" i="6" s="1"/>
  <c r="AB219" i="6" s="1"/>
  <c r="F209" i="6"/>
  <c r="G209" i="6" s="1"/>
  <c r="H209" i="6" s="1"/>
  <c r="F81" i="6"/>
  <c r="G81" i="6" s="1"/>
  <c r="H81" i="6" s="1"/>
  <c r="F10" i="6"/>
  <c r="G10" i="6" s="1"/>
  <c r="I10" i="6" s="1"/>
  <c r="F12" i="6"/>
  <c r="G12" i="6" s="1"/>
  <c r="H12" i="6" s="1"/>
  <c r="AA12" i="6" s="1"/>
  <c r="F196" i="6"/>
  <c r="G196" i="6" s="1"/>
  <c r="I196" i="6" s="1"/>
  <c r="F108" i="6"/>
  <c r="G108" i="6" s="1"/>
  <c r="I108" i="6" s="1"/>
  <c r="AB108" i="6" s="1"/>
  <c r="F110" i="6"/>
  <c r="G110" i="6" s="1"/>
  <c r="I110" i="6" s="1"/>
  <c r="F345" i="6"/>
  <c r="G345" i="6" s="1"/>
  <c r="I345" i="6" s="1"/>
  <c r="AB345" i="6" s="1"/>
  <c r="F312" i="6"/>
  <c r="G312" i="6" s="1"/>
  <c r="I312" i="6" s="1"/>
  <c r="AB312" i="6" s="1"/>
  <c r="F371" i="6"/>
  <c r="G371" i="6" s="1"/>
  <c r="I371" i="6" s="1"/>
  <c r="AB371" i="6" s="1"/>
  <c r="F243" i="6"/>
  <c r="G243" i="6" s="1"/>
  <c r="H243" i="6" s="1"/>
  <c r="AA243" i="6" s="1"/>
  <c r="F52" i="6"/>
  <c r="G52" i="6" s="1"/>
  <c r="H52" i="6" s="1"/>
  <c r="F362" i="6"/>
  <c r="G362" i="6" s="1"/>
  <c r="H362" i="6" s="1"/>
  <c r="F344" i="6"/>
  <c r="G344" i="6" s="1"/>
  <c r="I344" i="6" s="1"/>
  <c r="F327" i="6"/>
  <c r="G327" i="6" s="1"/>
  <c r="H327" i="6" s="1"/>
  <c r="F113" i="6"/>
  <c r="G113" i="6" s="1"/>
  <c r="H113" i="6" s="1"/>
  <c r="F115" i="6"/>
  <c r="G115" i="6" s="1"/>
  <c r="I115" i="6" s="1"/>
  <c r="AB115" i="6" s="1"/>
  <c r="F103" i="6"/>
  <c r="G103" i="6" s="1"/>
  <c r="H103" i="6" s="1"/>
  <c r="AA103" i="6" s="1"/>
  <c r="F197" i="6"/>
  <c r="G197" i="6" s="1"/>
  <c r="H197" i="6" s="1"/>
  <c r="AA197" i="6" s="1"/>
  <c r="F154" i="6"/>
  <c r="G154" i="6" s="1"/>
  <c r="I154" i="6" s="1"/>
  <c r="F114" i="6"/>
  <c r="G114" i="6" s="1"/>
  <c r="H114" i="6" s="1"/>
  <c r="F8" i="6"/>
  <c r="G8" i="6" s="1"/>
  <c r="I8" i="6" s="1"/>
  <c r="AB8" i="6" s="1"/>
  <c r="F380" i="6"/>
  <c r="G380" i="6" s="1"/>
  <c r="H380" i="6" s="1"/>
  <c r="F299" i="6"/>
  <c r="G299" i="6" s="1"/>
  <c r="I299" i="6" s="1"/>
  <c r="AB299" i="6" s="1"/>
  <c r="F307" i="6"/>
  <c r="G307" i="6" s="1"/>
  <c r="H307" i="6" s="1"/>
  <c r="F82" i="6"/>
  <c r="G82" i="6" s="1"/>
  <c r="I82" i="6" s="1"/>
  <c r="F19" i="6"/>
  <c r="G19" i="6" s="1"/>
  <c r="H19" i="6" s="1"/>
  <c r="F121" i="6"/>
  <c r="G121" i="6" s="1"/>
  <c r="I121" i="6" s="1"/>
  <c r="F63" i="6"/>
  <c r="G63" i="6" s="1"/>
  <c r="H63" i="6" s="1"/>
  <c r="AA63" i="6" s="1"/>
  <c r="F191" i="6"/>
  <c r="G191" i="6" s="1"/>
  <c r="I191" i="6" s="1"/>
  <c r="F231" i="6"/>
  <c r="G231" i="6" s="1"/>
  <c r="H231" i="6" s="1"/>
  <c r="AA231" i="6" s="1"/>
  <c r="F182" i="6"/>
  <c r="G182" i="6" s="1"/>
  <c r="H182" i="6" s="1"/>
  <c r="F11" i="6"/>
  <c r="G11" i="6" s="1"/>
  <c r="H11" i="6" s="1"/>
  <c r="AA11" i="6" s="1"/>
  <c r="F364" i="6"/>
  <c r="G364" i="6" s="1"/>
  <c r="H364" i="6" s="1"/>
  <c r="AA364" i="6" s="1"/>
  <c r="F61" i="6"/>
  <c r="G61" i="6" s="1"/>
  <c r="H61" i="6" s="1"/>
  <c r="F360" i="6"/>
  <c r="G360" i="6" s="1"/>
  <c r="H360" i="6" s="1"/>
  <c r="AA360" i="6" s="1"/>
  <c r="F228" i="6"/>
  <c r="G228" i="6" s="1"/>
  <c r="I228" i="6" s="1"/>
  <c r="AB228" i="6" s="1"/>
  <c r="F51" i="6"/>
  <c r="G51" i="6" s="1"/>
  <c r="I51" i="6" s="1"/>
  <c r="F158" i="6"/>
  <c r="G158" i="6" s="1"/>
  <c r="H158" i="6" s="1"/>
  <c r="AA158" i="6" s="1"/>
  <c r="F356" i="6"/>
  <c r="G356" i="6" s="1"/>
  <c r="H356" i="6" s="1"/>
  <c r="AA356" i="6" s="1"/>
  <c r="F349" i="6"/>
  <c r="G349" i="6" s="1"/>
  <c r="H349" i="6" s="1"/>
  <c r="F225" i="6"/>
  <c r="G225" i="6" s="1"/>
  <c r="H225" i="6" s="1"/>
  <c r="AA225" i="6" s="1"/>
  <c r="F163" i="6"/>
  <c r="G163" i="6" s="1"/>
  <c r="I163" i="6" s="1"/>
  <c r="F148" i="6"/>
  <c r="G148" i="6" s="1"/>
  <c r="H148" i="6" s="1"/>
  <c r="F305" i="6"/>
  <c r="G305" i="6" s="1"/>
  <c r="H305" i="6" s="1"/>
  <c r="F105" i="6"/>
  <c r="G105" i="6" s="1"/>
  <c r="I105" i="6" s="1"/>
  <c r="AB105" i="6" s="1"/>
  <c r="F205" i="6"/>
  <c r="G205" i="6" s="1"/>
  <c r="I205" i="6" s="1"/>
  <c r="F368" i="6"/>
  <c r="G368" i="6" s="1"/>
  <c r="H368" i="6" s="1"/>
  <c r="AA368" i="6" s="1"/>
  <c r="F132" i="6"/>
  <c r="G132" i="6" s="1"/>
  <c r="I132" i="6" s="1"/>
  <c r="AB132" i="6" s="1"/>
  <c r="F102" i="6"/>
  <c r="G102" i="6" s="1"/>
  <c r="H102" i="6" s="1"/>
  <c r="AA102" i="6" s="1"/>
  <c r="F32" i="6"/>
  <c r="G32" i="6" s="1"/>
  <c r="I32" i="6" s="1"/>
  <c r="F98" i="6"/>
  <c r="G98" i="6" s="1"/>
  <c r="I98" i="6" s="1"/>
  <c r="AB98" i="6" s="1"/>
  <c r="F224" i="6"/>
  <c r="G224" i="6" s="1"/>
  <c r="I224" i="6" s="1"/>
  <c r="F194" i="6"/>
  <c r="G194" i="6" s="1"/>
  <c r="H194" i="6" s="1"/>
  <c r="AA194" i="6" s="1"/>
  <c r="F213" i="6"/>
  <c r="G213" i="6" s="1"/>
  <c r="H213" i="6" s="1"/>
  <c r="AA213" i="6" s="1"/>
  <c r="F93" i="6"/>
  <c r="G93" i="6" s="1"/>
  <c r="H93" i="6" s="1"/>
  <c r="F354" i="6"/>
  <c r="G354" i="6" s="1"/>
  <c r="H354" i="6" s="1"/>
  <c r="AA354" i="6" s="1"/>
  <c r="F71" i="6"/>
  <c r="G71" i="6" s="1"/>
  <c r="H71" i="6" s="1"/>
  <c r="F215" i="6"/>
  <c r="G215" i="6" s="1"/>
  <c r="H215" i="6" s="1"/>
  <c r="F343" i="6"/>
  <c r="G343" i="6" s="1"/>
  <c r="I343" i="6" s="1"/>
  <c r="AB343" i="6" s="1"/>
  <c r="F323" i="6"/>
  <c r="G323" i="6" s="1"/>
  <c r="I323" i="6" s="1"/>
  <c r="AB323" i="6" s="1"/>
  <c r="F44" i="6"/>
  <c r="G44" i="6" s="1"/>
  <c r="H44" i="6" s="1"/>
  <c r="AA44" i="6" s="1"/>
  <c r="F245" i="6"/>
  <c r="G245" i="6" s="1"/>
  <c r="I245" i="6" s="1"/>
  <c r="F179" i="6"/>
  <c r="G179" i="6" s="1"/>
  <c r="H179" i="6" s="1"/>
  <c r="AA179" i="6" s="1"/>
  <c r="F274" i="6"/>
  <c r="G274" i="6" s="1"/>
  <c r="H274" i="6" s="1"/>
  <c r="AA274" i="6" s="1"/>
  <c r="F301" i="6"/>
  <c r="G301" i="6" s="1"/>
  <c r="I301" i="6" s="1"/>
  <c r="AB301" i="6" s="1"/>
  <c r="F193" i="6"/>
  <c r="G193" i="6" s="1"/>
  <c r="I193" i="6" s="1"/>
  <c r="F67" i="6"/>
  <c r="G67" i="6" s="1"/>
  <c r="I67" i="6" s="1"/>
  <c r="F379" i="6"/>
  <c r="G379" i="6" s="1"/>
  <c r="H379" i="6" s="1"/>
  <c r="F130" i="6"/>
  <c r="G130" i="6" s="1"/>
  <c r="I130" i="6" s="1"/>
  <c r="AB130" i="6" s="1"/>
  <c r="F300" i="6"/>
  <c r="G300" i="6" s="1"/>
  <c r="H300" i="6" s="1"/>
  <c r="F273" i="6"/>
  <c r="G273" i="6" s="1"/>
  <c r="H273" i="6" s="1"/>
  <c r="F122" i="6"/>
  <c r="G122" i="6" s="1"/>
  <c r="H122" i="6" s="1"/>
  <c r="AA122" i="6" s="1"/>
  <c r="F33" i="6"/>
  <c r="G33" i="6" s="1"/>
  <c r="I33" i="6" s="1"/>
  <c r="AB33" i="6" s="1"/>
  <c r="F133" i="6"/>
  <c r="G133" i="6" s="1"/>
  <c r="I133" i="6" s="1"/>
  <c r="AB133" i="6" s="1"/>
  <c r="F137" i="6"/>
  <c r="G137" i="6" s="1"/>
  <c r="I137" i="6" s="1"/>
  <c r="AB137" i="6" s="1"/>
  <c r="F328" i="6"/>
  <c r="G328" i="6" s="1"/>
  <c r="I328" i="6" s="1"/>
  <c r="F247" i="6"/>
  <c r="G247" i="6" s="1"/>
  <c r="H247" i="6" s="1"/>
  <c r="F261" i="6"/>
  <c r="G261" i="6" s="1"/>
  <c r="I261" i="6" s="1"/>
  <c r="F111" i="6"/>
  <c r="G111" i="6" s="1"/>
  <c r="H111" i="6" s="1"/>
  <c r="E48" i="4"/>
  <c r="D78" i="1" s="1"/>
  <c r="G85" i="1"/>
  <c r="Q93" i="6"/>
  <c r="Q282" i="6"/>
  <c r="R221" i="6"/>
  <c r="Q381" i="6"/>
  <c r="Q367" i="6"/>
  <c r="R198" i="6"/>
  <c r="D69" i="4"/>
  <c r="F69" i="4" s="1"/>
  <c r="E81" i="1" s="1"/>
  <c r="Q2" i="6"/>
  <c r="Q371" i="6"/>
  <c r="R235" i="6"/>
  <c r="Q25" i="6"/>
  <c r="R171" i="6"/>
  <c r="Q272" i="6"/>
  <c r="Q312" i="6"/>
  <c r="R17" i="6"/>
  <c r="Q372" i="6"/>
  <c r="AB154" i="6"/>
  <c r="Q133" i="6"/>
  <c r="R205" i="6"/>
  <c r="AB192" i="6"/>
  <c r="AB23" i="6"/>
  <c r="Q273" i="6"/>
  <c r="R185" i="6"/>
  <c r="R95" i="6"/>
  <c r="Q271" i="6"/>
  <c r="R74" i="6"/>
  <c r="Q77" i="6"/>
  <c r="Q147" i="6"/>
  <c r="R242" i="6"/>
  <c r="R30" i="6"/>
  <c r="R346" i="6"/>
  <c r="R304" i="6"/>
  <c r="R377" i="6"/>
  <c r="Q134" i="6"/>
  <c r="Q265" i="6"/>
  <c r="Q327" i="6"/>
  <c r="R168" i="6"/>
  <c r="Q189" i="6"/>
  <c r="R191" i="6"/>
  <c r="Q166" i="6"/>
  <c r="R174" i="6"/>
  <c r="R7" i="6"/>
  <c r="Q38" i="6"/>
  <c r="Q378" i="6"/>
  <c r="R22" i="6"/>
  <c r="R183" i="6"/>
  <c r="Q182" i="6"/>
  <c r="Q370" i="6"/>
  <c r="R341" i="6"/>
  <c r="Q34" i="6"/>
  <c r="Q220" i="6"/>
  <c r="Q53" i="6"/>
  <c r="Q248" i="6"/>
  <c r="R11" i="6"/>
  <c r="Q84" i="6"/>
  <c r="R356" i="6"/>
  <c r="Q107" i="6"/>
  <c r="Q214" i="6"/>
  <c r="R222" i="6"/>
  <c r="R86" i="6"/>
  <c r="Q94" i="6"/>
  <c r="Q83" i="6"/>
  <c r="R224" i="6"/>
  <c r="Q345" i="6"/>
  <c r="Q330" i="6"/>
  <c r="R110" i="6"/>
  <c r="R193" i="6"/>
  <c r="Q217" i="6"/>
  <c r="R207" i="6"/>
  <c r="R286" i="6"/>
  <c r="Q215" i="6"/>
  <c r="Q299" i="6"/>
  <c r="Q338" i="6"/>
  <c r="AA338" i="6" s="1"/>
  <c r="Q206" i="6"/>
  <c r="Q316" i="6"/>
  <c r="Q308" i="6"/>
  <c r="Q305" i="6"/>
  <c r="R344" i="6"/>
  <c r="R340" i="6"/>
  <c r="Q324" i="6"/>
  <c r="R44" i="6"/>
  <c r="R331" i="6"/>
  <c r="R177" i="6"/>
  <c r="Q115" i="6"/>
  <c r="Q29" i="6"/>
  <c r="R14" i="6"/>
  <c r="Q359" i="6"/>
  <c r="R119" i="6"/>
  <c r="Q349" i="6"/>
  <c r="Q151" i="6"/>
  <c r="R335" i="6"/>
  <c r="R298" i="6"/>
  <c r="R78" i="6"/>
  <c r="R26" i="6"/>
  <c r="Q160" i="6"/>
  <c r="R303" i="6"/>
  <c r="Q355" i="6"/>
  <c r="R348" i="6"/>
  <c r="R253" i="6"/>
  <c r="Q47" i="6"/>
  <c r="Q251" i="6"/>
  <c r="Q277" i="6"/>
  <c r="Q120" i="6"/>
  <c r="Q170" i="6"/>
  <c r="R100" i="6"/>
  <c r="Q374" i="6"/>
  <c r="Q181" i="6"/>
  <c r="R283" i="6"/>
  <c r="Q241" i="6"/>
  <c r="Q237" i="6"/>
  <c r="Q264" i="6"/>
  <c r="R179" i="6"/>
  <c r="R6" i="6"/>
  <c r="Q357" i="6"/>
  <c r="R51" i="6"/>
  <c r="R149" i="6"/>
  <c r="Q342" i="6"/>
  <c r="Q81" i="6"/>
  <c r="R234" i="6"/>
  <c r="R336" i="6"/>
  <c r="Q52" i="6"/>
  <c r="R73" i="6"/>
  <c r="R196" i="6"/>
  <c r="Q376" i="6"/>
  <c r="Q188" i="6"/>
  <c r="Q268" i="6"/>
  <c r="Q332" i="6"/>
  <c r="Q380" i="6"/>
  <c r="Q114" i="6"/>
  <c r="Q71" i="6"/>
  <c r="Q79" i="6"/>
  <c r="Q154" i="6"/>
  <c r="R363" i="6"/>
  <c r="R260" i="6"/>
  <c r="R178" i="6"/>
  <c r="R72" i="6"/>
  <c r="Q369" i="6"/>
  <c r="R12" i="6"/>
  <c r="R333" i="6"/>
  <c r="R122" i="6"/>
  <c r="Q131" i="6"/>
  <c r="Q192" i="6"/>
  <c r="R13" i="6"/>
  <c r="Q55" i="6"/>
  <c r="Q111" i="6"/>
  <c r="R43" i="6"/>
  <c r="Q262" i="6"/>
  <c r="Q334" i="6"/>
  <c r="Q117" i="6"/>
  <c r="R58" i="6"/>
  <c r="Q310" i="6"/>
  <c r="Q379" i="6"/>
  <c r="R85" i="6"/>
  <c r="Q48" i="6"/>
  <c r="R245" i="6"/>
  <c r="Q302" i="6"/>
  <c r="R155" i="6"/>
  <c r="Q35" i="6"/>
  <c r="R63" i="6"/>
  <c r="Q300" i="6"/>
  <c r="R167" i="6"/>
  <c r="R295" i="6"/>
  <c r="Q227" i="6"/>
  <c r="R201" i="6"/>
  <c r="Q109" i="6"/>
  <c r="Q139" i="6"/>
  <c r="Q323" i="6"/>
  <c r="R121" i="6"/>
  <c r="R21" i="6"/>
  <c r="Q202" i="6"/>
  <c r="R87" i="6"/>
  <c r="Q229" i="6"/>
  <c r="Q228" i="6"/>
  <c r="Q258" i="6"/>
  <c r="Q41" i="6"/>
  <c r="R102" i="6"/>
  <c r="R28" i="6"/>
  <c r="R256" i="6"/>
  <c r="R127" i="6"/>
  <c r="R353" i="6"/>
  <c r="Q9" i="6"/>
  <c r="R287" i="6"/>
  <c r="AB287" i="6" s="1"/>
  <c r="Q135" i="6"/>
  <c r="R32" i="6"/>
  <c r="Q159" i="6"/>
  <c r="R194" i="6"/>
  <c r="R197" i="6"/>
  <c r="R40" i="6"/>
  <c r="Q246" i="6"/>
  <c r="Q27" i="6"/>
  <c r="R309" i="6"/>
  <c r="AB309" i="6" s="1"/>
  <c r="R373" i="6"/>
  <c r="Q4" i="6"/>
  <c r="Q113" i="6"/>
  <c r="Q69" i="6"/>
  <c r="R203" i="6"/>
  <c r="R326" i="6"/>
  <c r="R103" i="6"/>
  <c r="R75" i="6"/>
  <c r="Q339" i="6"/>
  <c r="Q321" i="6"/>
  <c r="R82" i="6"/>
  <c r="Q138" i="6"/>
  <c r="Q19" i="6"/>
  <c r="Q365" i="6"/>
  <c r="Q238" i="6"/>
  <c r="Q358" i="6"/>
  <c r="Q45" i="6"/>
  <c r="Q108" i="6"/>
  <c r="R129" i="6"/>
  <c r="Q118" i="6"/>
  <c r="Q190" i="6"/>
  <c r="Q293" i="6"/>
  <c r="Q68" i="6"/>
  <c r="Q320" i="6"/>
  <c r="Q142" i="6"/>
  <c r="R261" i="6"/>
  <c r="Q105" i="6"/>
  <c r="R317" i="6"/>
  <c r="Q60" i="6"/>
  <c r="R306" i="6"/>
  <c r="Q104" i="6"/>
  <c r="Q146" i="6"/>
  <c r="Q96" i="6"/>
  <c r="Q233" i="6"/>
  <c r="R313" i="6"/>
  <c r="Q247" i="6"/>
  <c r="R208" i="6"/>
  <c r="R322" i="6"/>
  <c r="R24" i="6"/>
  <c r="R91" i="6"/>
  <c r="Q97" i="6"/>
  <c r="R337" i="6"/>
  <c r="R10" i="6"/>
  <c r="I283" i="6"/>
  <c r="Q8" i="6"/>
  <c r="Q144" i="6"/>
  <c r="Q315" i="6"/>
  <c r="Q64" i="6"/>
  <c r="R212" i="6"/>
  <c r="Q130" i="6"/>
  <c r="R240" i="6"/>
  <c r="R225" i="6"/>
  <c r="Q141" i="6"/>
  <c r="Q209" i="6"/>
  <c r="R150" i="6"/>
  <c r="R325" i="6"/>
  <c r="Q165" i="6"/>
  <c r="Q126" i="6"/>
  <c r="Q351" i="6"/>
  <c r="R36" i="6"/>
  <c r="Q3" i="6"/>
  <c r="R67" i="6"/>
  <c r="R274" i="6"/>
  <c r="Q88" i="6"/>
  <c r="R112" i="6"/>
  <c r="Q124" i="6"/>
  <c r="Q57" i="6"/>
  <c r="Q279" i="6"/>
  <c r="Q56" i="6"/>
  <c r="Q125" i="6"/>
  <c r="R195" i="6"/>
  <c r="Q153" i="6"/>
  <c r="R263" i="6"/>
  <c r="R180" i="6"/>
  <c r="Q164" i="6"/>
  <c r="R158" i="6"/>
  <c r="R161" i="6"/>
  <c r="Q366" i="6"/>
  <c r="Q70" i="6"/>
  <c r="R257" i="6"/>
  <c r="R106" i="6"/>
  <c r="Q123" i="6"/>
  <c r="R319" i="6"/>
  <c r="R199" i="6"/>
  <c r="R232" i="6"/>
  <c r="Q307" i="6"/>
  <c r="R15" i="6"/>
  <c r="R364" i="6"/>
  <c r="Q211" i="6"/>
  <c r="Q92" i="6"/>
  <c r="R37" i="6"/>
  <c r="R231" i="6"/>
  <c r="Q343" i="6"/>
  <c r="Q352" i="6"/>
  <c r="Q285" i="6"/>
  <c r="Q169" i="6"/>
  <c r="Q318" i="6"/>
  <c r="Q18" i="6"/>
  <c r="R249" i="6"/>
  <c r="I76" i="6"/>
  <c r="AB76" i="6" s="1"/>
  <c r="R157" i="6"/>
  <c r="Q145" i="6"/>
  <c r="R354" i="6"/>
  <c r="Q176" i="6"/>
  <c r="Q294" i="6"/>
  <c r="AA294" i="6" s="1"/>
  <c r="Q314" i="6"/>
  <c r="Q23" i="6"/>
  <c r="R143" i="6"/>
  <c r="Q136" i="6"/>
  <c r="Q42" i="6"/>
  <c r="Q54" i="6"/>
  <c r="Q59" i="6"/>
  <c r="R31" i="6"/>
  <c r="R297" i="6"/>
  <c r="Q61" i="6"/>
  <c r="R329" i="6"/>
  <c r="R347" i="6"/>
  <c r="R213" i="6"/>
  <c r="R276" i="6"/>
  <c r="Q218" i="6"/>
  <c r="Q39" i="6"/>
  <c r="Q375" i="6"/>
  <c r="R163" i="6"/>
  <c r="Q252" i="6"/>
  <c r="R350" i="6"/>
  <c r="R162" i="6"/>
  <c r="R291" i="6"/>
  <c r="Q236" i="6"/>
  <c r="R99" i="6"/>
  <c r="Q66" i="6"/>
  <c r="Q46" i="6"/>
  <c r="Q361" i="6"/>
  <c r="R288" i="6"/>
  <c r="R156" i="6"/>
  <c r="R250" i="6"/>
  <c r="Q275" i="6"/>
  <c r="R255" i="6"/>
  <c r="R328" i="6"/>
  <c r="Q89" i="6"/>
  <c r="Q219" i="6"/>
  <c r="Q101" i="6"/>
  <c r="R259" i="6"/>
  <c r="R20" i="6"/>
  <c r="R216" i="6"/>
  <c r="R267" i="6"/>
  <c r="R226" i="6"/>
  <c r="Q16" i="6"/>
  <c r="Q223" i="6"/>
  <c r="Q362" i="6"/>
  <c r="R49" i="6"/>
  <c r="Q148" i="6"/>
  <c r="R5" i="6"/>
  <c r="R172" i="6"/>
  <c r="Q132" i="6"/>
  <c r="R270" i="6"/>
  <c r="R311" i="6"/>
  <c r="R368" i="6"/>
  <c r="Q244" i="6"/>
  <c r="I318" i="6"/>
  <c r="AB318" i="6" s="1"/>
  <c r="Q65" i="6"/>
  <c r="H142" i="6"/>
  <c r="R289" i="6"/>
  <c r="I181" i="6"/>
  <c r="AB181" i="6" s="1"/>
  <c r="AA186" i="6"/>
  <c r="AA269" i="6"/>
  <c r="I117" i="6"/>
  <c r="AB117" i="6" s="1"/>
  <c r="I252" i="6"/>
  <c r="AB252" i="6" s="1"/>
  <c r="I294" i="6"/>
  <c r="AB294" i="6" s="1"/>
  <c r="F67" i="4"/>
  <c r="E86" i="1" s="1"/>
  <c r="D80" i="1"/>
  <c r="D70" i="4"/>
  <c r="F70" i="4" s="1"/>
  <c r="E82" i="1" s="1"/>
  <c r="I140" i="6" l="1"/>
  <c r="AB140" i="6" s="1"/>
  <c r="I358" i="6"/>
  <c r="AB358" i="6" s="1"/>
  <c r="H377" i="6"/>
  <c r="AA377" i="6" s="1"/>
  <c r="AB13" i="6"/>
  <c r="I73" i="6"/>
  <c r="I146" i="6"/>
  <c r="AB146" i="6" s="1"/>
  <c r="AA320" i="6"/>
  <c r="H370" i="6"/>
  <c r="AA358" i="6"/>
  <c r="I284" i="6"/>
  <c r="AB284" i="6" s="1"/>
  <c r="H116" i="6"/>
  <c r="AA116" i="6" s="1"/>
  <c r="I341" i="6"/>
  <c r="AB341" i="6" s="1"/>
  <c r="AB171" i="6"/>
  <c r="I9" i="6"/>
  <c r="AB9" i="6" s="1"/>
  <c r="I291" i="6"/>
  <c r="AB291" i="6" s="1"/>
  <c r="H227" i="6"/>
  <c r="I123" i="6"/>
  <c r="AB123" i="6" s="1"/>
  <c r="AA123" i="6"/>
  <c r="AA53" i="6"/>
  <c r="I20" i="6"/>
  <c r="AB20" i="6" s="1"/>
  <c r="I334" i="6"/>
  <c r="AB334" i="6" s="1"/>
  <c r="H309" i="6"/>
  <c r="AA309" i="6" s="1"/>
  <c r="AB377" i="6"/>
  <c r="AA9" i="6"/>
  <c r="AA117" i="6"/>
  <c r="I86" i="6"/>
  <c r="H23" i="6"/>
  <c r="H152" i="6"/>
  <c r="AA152" i="6" s="1"/>
  <c r="H266" i="6"/>
  <c r="AA266" i="6" s="1"/>
  <c r="H41" i="6"/>
  <c r="I217" i="6"/>
  <c r="AB217" i="6" s="1"/>
  <c r="I353" i="6"/>
  <c r="AB353" i="6" s="1"/>
  <c r="I269" i="6"/>
  <c r="AB269" i="6" s="1"/>
  <c r="I338" i="6"/>
  <c r="AB338" i="6" s="1"/>
  <c r="AA217" i="6"/>
  <c r="AA55" i="6"/>
  <c r="H171" i="6"/>
  <c r="AA171" i="6" s="1"/>
  <c r="I53" i="6"/>
  <c r="AB53" i="6" s="1"/>
  <c r="I195" i="6"/>
  <c r="AB195" i="6" s="1"/>
  <c r="I148" i="6"/>
  <c r="AB148" i="6" s="1"/>
  <c r="I14" i="6"/>
  <c r="AB14" i="6" s="1"/>
  <c r="I147" i="6"/>
  <c r="AB147" i="6" s="1"/>
  <c r="I55" i="6"/>
  <c r="AB55" i="6" s="1"/>
  <c r="I145" i="6"/>
  <c r="AB145" i="6" s="1"/>
  <c r="AA334" i="6"/>
  <c r="I292" i="6"/>
  <c r="AB292" i="6" s="1"/>
  <c r="H343" i="6"/>
  <c r="AA343" i="6" s="1"/>
  <c r="H98" i="6"/>
  <c r="AA98" i="6" s="1"/>
  <c r="I84" i="6"/>
  <c r="AB84" i="6" s="1"/>
  <c r="AA145" i="6"/>
  <c r="AA84" i="6"/>
  <c r="H154" i="6"/>
  <c r="AA154" i="6" s="1"/>
  <c r="I52" i="6"/>
  <c r="AB52" i="6" s="1"/>
  <c r="AB121" i="6"/>
  <c r="AA52" i="6"/>
  <c r="H80" i="6"/>
  <c r="AA80" i="6" s="1"/>
  <c r="AA148" i="6"/>
  <c r="I54" i="6"/>
  <c r="AB54" i="6" s="1"/>
  <c r="H39" i="6"/>
  <c r="AA39" i="6" s="1"/>
  <c r="H137" i="6"/>
  <c r="AA137" i="6" s="1"/>
  <c r="H99" i="6"/>
  <c r="AA99" i="6" s="1"/>
  <c r="I187" i="6"/>
  <c r="AB187" i="6" s="1"/>
  <c r="H121" i="6"/>
  <c r="AA121" i="6" s="1"/>
  <c r="AB306" i="6"/>
  <c r="AA147" i="6"/>
  <c r="I360" i="6"/>
  <c r="AB360" i="6" s="1"/>
  <c r="I317" i="6"/>
  <c r="AB317" i="6" s="1"/>
  <c r="I12" i="6"/>
  <c r="AB12" i="6" s="1"/>
  <c r="H306" i="6"/>
  <c r="AA306" i="6" s="1"/>
  <c r="I31" i="6"/>
  <c r="AB31" i="6" s="1"/>
  <c r="AA54" i="6"/>
  <c r="AA342" i="6"/>
  <c r="AA65" i="6"/>
  <c r="H67" i="6"/>
  <c r="AA67" i="6" s="1"/>
  <c r="AB67" i="6"/>
  <c r="H323" i="6"/>
  <c r="AA323" i="6" s="1"/>
  <c r="I22" i="6"/>
  <c r="AB22" i="6" s="1"/>
  <c r="AB322" i="6"/>
  <c r="I64" i="6"/>
  <c r="AB64" i="6" s="1"/>
  <c r="I26" i="6"/>
  <c r="AB26" i="6" s="1"/>
  <c r="H42" i="6"/>
  <c r="AA42" i="6" s="1"/>
  <c r="I293" i="6"/>
  <c r="AB293" i="6" s="1"/>
  <c r="H83" i="6"/>
  <c r="AA83" i="6" s="1"/>
  <c r="AB99" i="6"/>
  <c r="AA351" i="6"/>
  <c r="AA262" i="6"/>
  <c r="I262" i="6"/>
  <c r="AB262" i="6" s="1"/>
  <c r="H120" i="6"/>
  <c r="AA120" i="6" s="1"/>
  <c r="AA64" i="6"/>
  <c r="I315" i="6"/>
  <c r="AB315" i="6" s="1"/>
  <c r="AB216" i="6"/>
  <c r="I268" i="6"/>
  <c r="AB268" i="6" s="1"/>
  <c r="I40" i="6"/>
  <c r="AB40" i="6" s="1"/>
  <c r="H365" i="6"/>
  <c r="H51" i="6"/>
  <c r="AA51" i="6" s="1"/>
  <c r="I230" i="6"/>
  <c r="AB230" i="6" s="1"/>
  <c r="I236" i="6"/>
  <c r="AB236" i="6" s="1"/>
  <c r="I378" i="6"/>
  <c r="AB378" i="6" s="1"/>
  <c r="I218" i="6"/>
  <c r="AB218" i="6" s="1"/>
  <c r="H109" i="6"/>
  <c r="AA109" i="6" s="1"/>
  <c r="I128" i="6"/>
  <c r="AB128" i="6" s="1"/>
  <c r="H164" i="6"/>
  <c r="AA164" i="6" s="1"/>
  <c r="AB337" i="6"/>
  <c r="AB344" i="6"/>
  <c r="AA236" i="6"/>
  <c r="I206" i="6"/>
  <c r="AB206" i="6" s="1"/>
  <c r="AA268" i="6"/>
  <c r="H208" i="6"/>
  <c r="AA208" i="6" s="1"/>
  <c r="H212" i="6"/>
  <c r="AA212" i="6" s="1"/>
  <c r="H344" i="6"/>
  <c r="AA344" i="6" s="1"/>
  <c r="AA362" i="6"/>
  <c r="AA218" i="6"/>
  <c r="H153" i="6"/>
  <c r="AA153" i="6" s="1"/>
  <c r="AB112" i="6"/>
  <c r="AB212" i="6"/>
  <c r="I90" i="6"/>
  <c r="AB90" i="6" s="1"/>
  <c r="AA305" i="6"/>
  <c r="H2" i="6"/>
  <c r="I330" i="6"/>
  <c r="AB330" i="6" s="1"/>
  <c r="H216" i="6"/>
  <c r="AA216" i="6" s="1"/>
  <c r="H95" i="6"/>
  <c r="AA95" i="6" s="1"/>
  <c r="H352" i="6"/>
  <c r="AA352" i="6" s="1"/>
  <c r="H144" i="6"/>
  <c r="AA144" i="6" s="1"/>
  <c r="AA376" i="6"/>
  <c r="AB191" i="6"/>
  <c r="H8" i="6"/>
  <c r="AA8" i="6" s="1"/>
  <c r="H107" i="6"/>
  <c r="AA107" i="6" s="1"/>
  <c r="I189" i="6"/>
  <c r="AB189" i="6" s="1"/>
  <c r="H374" i="6"/>
  <c r="AA374" i="6" s="1"/>
  <c r="H68" i="6"/>
  <c r="AA68" i="6" s="1"/>
  <c r="I135" i="6"/>
  <c r="AB135" i="6" s="1"/>
  <c r="I247" i="6"/>
  <c r="AB247" i="6" s="1"/>
  <c r="H108" i="6"/>
  <c r="AA108" i="6" s="1"/>
  <c r="I376" i="6"/>
  <c r="AB376" i="6" s="1"/>
  <c r="AA135" i="6"/>
  <c r="I326" i="6"/>
  <c r="AB326" i="6" s="1"/>
  <c r="AB196" i="6"/>
  <c r="AA189" i="6"/>
  <c r="H316" i="6"/>
  <c r="AA316" i="6" s="1"/>
  <c r="I194" i="6"/>
  <c r="AB194" i="6" s="1"/>
  <c r="H238" i="6"/>
  <c r="AA238" i="6" s="1"/>
  <c r="I125" i="6"/>
  <c r="AB125" i="6" s="1"/>
  <c r="AA125" i="6"/>
  <c r="AA206" i="6"/>
  <c r="AB95" i="6"/>
  <c r="H112" i="6"/>
  <c r="AA112" i="6" s="1"/>
  <c r="H337" i="6"/>
  <c r="AA337" i="6" s="1"/>
  <c r="H105" i="6"/>
  <c r="AA105" i="6" s="1"/>
  <c r="I351" i="6"/>
  <c r="AB351" i="6" s="1"/>
  <c r="AB208" i="6"/>
  <c r="H372" i="6"/>
  <c r="AA372" i="6" s="1"/>
  <c r="AA330" i="6"/>
  <c r="AA378" i="6"/>
  <c r="I62" i="6"/>
  <c r="AB62" i="6" s="1"/>
  <c r="I222" i="6"/>
  <c r="AB222" i="6" s="1"/>
  <c r="H43" i="6"/>
  <c r="AA43" i="6" s="1"/>
  <c r="AB87" i="6"/>
  <c r="I114" i="6"/>
  <c r="AB114" i="6" s="1"/>
  <c r="I198" i="6"/>
  <c r="AB198" i="6" s="1"/>
  <c r="H106" i="6"/>
  <c r="AA106" i="6" s="1"/>
  <c r="I85" i="6"/>
  <c r="AB85" i="6" s="1"/>
  <c r="H57" i="6"/>
  <c r="AA57" i="6" s="1"/>
  <c r="AB43" i="6"/>
  <c r="H47" i="6"/>
  <c r="AA47" i="6" s="1"/>
  <c r="H92" i="6"/>
  <c r="AA92" i="6" s="1"/>
  <c r="I342" i="6"/>
  <c r="AB342" i="6" s="1"/>
  <c r="I50" i="6"/>
  <c r="AB50" i="6" s="1"/>
  <c r="AA315" i="6"/>
  <c r="AA293" i="6"/>
  <c r="AA27" i="6"/>
  <c r="I331" i="6"/>
  <c r="AB331" i="6" s="1"/>
  <c r="H340" i="6"/>
  <c r="AA340" i="6" s="1"/>
  <c r="I138" i="6"/>
  <c r="AB138" i="6" s="1"/>
  <c r="I27" i="6"/>
  <c r="AB27" i="6" s="1"/>
  <c r="I367" i="6"/>
  <c r="AB367" i="6" s="1"/>
  <c r="I65" i="6"/>
  <c r="AB65" i="6" s="1"/>
  <c r="H322" i="6"/>
  <c r="AA322" i="6" s="1"/>
  <c r="H124" i="6"/>
  <c r="AA124" i="6" s="1"/>
  <c r="H223" i="6"/>
  <c r="AA223" i="6" s="1"/>
  <c r="H87" i="6"/>
  <c r="AA87" i="6" s="1"/>
  <c r="H211" i="6"/>
  <c r="AA211" i="6" s="1"/>
  <c r="AB350" i="6"/>
  <c r="AB106" i="6"/>
  <c r="I296" i="6"/>
  <c r="AB296" i="6" s="1"/>
  <c r="H35" i="6"/>
  <c r="AA35" i="6" s="1"/>
  <c r="H350" i="6"/>
  <c r="AA350" i="6" s="1"/>
  <c r="AA138" i="6"/>
  <c r="AA367" i="6"/>
  <c r="AB250" i="6"/>
  <c r="AA169" i="6"/>
  <c r="I72" i="6"/>
  <c r="AB72" i="6" s="1"/>
  <c r="AA3" i="6"/>
  <c r="H110" i="6"/>
  <c r="AA110" i="6" s="1"/>
  <c r="I233" i="6"/>
  <c r="AB233" i="6" s="1"/>
  <c r="I179" i="6"/>
  <c r="AB179" i="6" s="1"/>
  <c r="AA302" i="6"/>
  <c r="H263" i="6"/>
  <c r="AA263" i="6" s="1"/>
  <c r="I346" i="6"/>
  <c r="I168" i="6"/>
  <c r="AB168" i="6" s="1"/>
  <c r="I204" i="6"/>
  <c r="AB204" i="6" s="1"/>
  <c r="H162" i="6"/>
  <c r="AA162" i="6" s="1"/>
  <c r="H347" i="6"/>
  <c r="AA347" i="6" s="1"/>
  <c r="AA70" i="6"/>
  <c r="H308" i="6"/>
  <c r="H345" i="6"/>
  <c r="AA345" i="6" s="1"/>
  <c r="H13" i="6"/>
  <c r="AA13" i="6" s="1"/>
  <c r="H173" i="6"/>
  <c r="AA173" i="6" s="1"/>
  <c r="H285" i="6"/>
  <c r="AA285" i="6" s="1"/>
  <c r="I253" i="6"/>
  <c r="AB253" i="6" s="1"/>
  <c r="H18" i="6"/>
  <c r="AA18" i="6" s="1"/>
  <c r="I161" i="6"/>
  <c r="AB161" i="6" s="1"/>
  <c r="I368" i="6"/>
  <c r="AB368" i="6" s="1"/>
  <c r="AA252" i="6"/>
  <c r="AA318" i="6"/>
  <c r="H287" i="6"/>
  <c r="AA287" i="6" s="1"/>
  <c r="I70" i="6"/>
  <c r="AB70" i="6" s="1"/>
  <c r="I280" i="6"/>
  <c r="AB280" i="6" s="1"/>
  <c r="H25" i="6"/>
  <c r="AA25" i="6" s="1"/>
  <c r="H7" i="6"/>
  <c r="AA7" i="6" s="1"/>
  <c r="I182" i="6"/>
  <c r="AB182" i="6" s="1"/>
  <c r="I186" i="6"/>
  <c r="AB186" i="6" s="1"/>
  <c r="I127" i="6"/>
  <c r="AB127" i="6" s="1"/>
  <c r="H167" i="6"/>
  <c r="AA167" i="6" s="1"/>
  <c r="I311" i="6"/>
  <c r="AB311" i="6" s="1"/>
  <c r="I15" i="6"/>
  <c r="AB15" i="6" s="1"/>
  <c r="AA56" i="6"/>
  <c r="H366" i="6"/>
  <c r="AA366" i="6" s="1"/>
  <c r="I111" i="6"/>
  <c r="AB111" i="6" s="1"/>
  <c r="I174" i="6"/>
  <c r="AB174" i="6" s="1"/>
  <c r="AB347" i="6"/>
  <c r="I134" i="6"/>
  <c r="AB134" i="6" s="1"/>
  <c r="H239" i="6"/>
  <c r="AA239" i="6" s="1"/>
  <c r="I169" i="6"/>
  <c r="AB169" i="6" s="1"/>
  <c r="H250" i="6"/>
  <c r="AA250" i="6" s="1"/>
  <c r="I336" i="6"/>
  <c r="AB336" i="6" s="1"/>
  <c r="I61" i="6"/>
  <c r="AB61" i="6" s="1"/>
  <c r="H193" i="6"/>
  <c r="AA193" i="6" s="1"/>
  <c r="AA134" i="6"/>
  <c r="I207" i="6"/>
  <c r="AB207" i="6" s="1"/>
  <c r="I270" i="6"/>
  <c r="AB270" i="6" s="1"/>
  <c r="I373" i="6"/>
  <c r="AB373" i="6" s="1"/>
  <c r="I45" i="6"/>
  <c r="AB45" i="6" s="1"/>
  <c r="H133" i="6"/>
  <c r="AA133" i="6" s="1"/>
  <c r="I188" i="6"/>
  <c r="AB188" i="6" s="1"/>
  <c r="I277" i="6"/>
  <c r="AB277" i="6" s="1"/>
  <c r="I96" i="6"/>
  <c r="AB96" i="6" s="1"/>
  <c r="I267" i="6"/>
  <c r="AB267" i="6" s="1"/>
  <c r="AA361" i="6"/>
  <c r="AA61" i="6"/>
  <c r="I302" i="6"/>
  <c r="AB302" i="6" s="1"/>
  <c r="AA136" i="6"/>
  <c r="AA141" i="6"/>
  <c r="I197" i="6"/>
  <c r="AB197" i="6" s="1"/>
  <c r="I155" i="6"/>
  <c r="AB155" i="6" s="1"/>
  <c r="AB163" i="6"/>
  <c r="AB263" i="6"/>
  <c r="AB10" i="6"/>
  <c r="AB340" i="6"/>
  <c r="I256" i="6"/>
  <c r="AB256" i="6" s="1"/>
  <c r="I19" i="6"/>
  <c r="AB19" i="6" s="1"/>
  <c r="I178" i="6"/>
  <c r="AB178" i="6" s="1"/>
  <c r="I361" i="6"/>
  <c r="AB361" i="6" s="1"/>
  <c r="AB49" i="6"/>
  <c r="AA233" i="6"/>
  <c r="I136" i="6"/>
  <c r="AB136" i="6" s="1"/>
  <c r="AA19" i="6"/>
  <c r="AB203" i="6"/>
  <c r="AA246" i="6"/>
  <c r="H192" i="6"/>
  <c r="AA192" i="6" s="1"/>
  <c r="AA277" i="6"/>
  <c r="H203" i="6"/>
  <c r="AA203" i="6" s="1"/>
  <c r="I242" i="6"/>
  <c r="AB242" i="6" s="1"/>
  <c r="I258" i="6"/>
  <c r="AB258" i="6" s="1"/>
  <c r="H129" i="6"/>
  <c r="AA129" i="6" s="1"/>
  <c r="H10" i="6"/>
  <c r="AA10" i="6" s="1"/>
  <c r="H49" i="6"/>
  <c r="AA49" i="6" s="1"/>
  <c r="I320" i="6"/>
  <c r="AB320" i="6" s="1"/>
  <c r="AA96" i="6"/>
  <c r="AA258" i="6"/>
  <c r="AA188" i="6"/>
  <c r="I246" i="6"/>
  <c r="AB246" i="6" s="1"/>
  <c r="H163" i="6"/>
  <c r="AA163" i="6" s="1"/>
  <c r="H32" i="6"/>
  <c r="AA32" i="6" s="1"/>
  <c r="I77" i="6"/>
  <c r="AB77" i="6" s="1"/>
  <c r="H48" i="6"/>
  <c r="AA48" i="6" s="1"/>
  <c r="H199" i="6"/>
  <c r="AA199" i="6" s="1"/>
  <c r="I215" i="6"/>
  <c r="AB215" i="6" s="1"/>
  <c r="AB199" i="6"/>
  <c r="AA146" i="6"/>
  <c r="AB129" i="6"/>
  <c r="H156" i="6"/>
  <c r="AA156" i="6" s="1"/>
  <c r="I141" i="6"/>
  <c r="AB141" i="6" s="1"/>
  <c r="I243" i="6"/>
  <c r="AB243" i="6" s="1"/>
  <c r="AB156" i="6"/>
  <c r="AA45" i="6"/>
  <c r="I91" i="6"/>
  <c r="AB91" i="6" s="1"/>
  <c r="AA77" i="6"/>
  <c r="H355" i="6"/>
  <c r="AA355" i="6" s="1"/>
  <c r="I235" i="6"/>
  <c r="AB235" i="6" s="1"/>
  <c r="AB7" i="6"/>
  <c r="I333" i="6"/>
  <c r="AB333" i="6" s="1"/>
  <c r="H278" i="6"/>
  <c r="AA278" i="6" s="1"/>
  <c r="AA181" i="6"/>
  <c r="I56" i="6"/>
  <c r="AB56" i="6" s="1"/>
  <c r="I313" i="6"/>
  <c r="AB313" i="6" s="1"/>
  <c r="I93" i="6"/>
  <c r="AB93" i="6" s="1"/>
  <c r="I273" i="6"/>
  <c r="AB273" i="6" s="1"/>
  <c r="AB167" i="6"/>
  <c r="I356" i="6"/>
  <c r="AB356" i="6" s="1"/>
  <c r="I324" i="6"/>
  <c r="AB324" i="6" s="1"/>
  <c r="AA182" i="6"/>
  <c r="H219" i="6"/>
  <c r="AA219" i="6" s="1"/>
  <c r="AA324" i="6"/>
  <c r="I113" i="6"/>
  <c r="AB113" i="6" s="1"/>
  <c r="H184" i="6"/>
  <c r="AA184" i="6" s="1"/>
  <c r="AB162" i="6"/>
  <c r="H299" i="6"/>
  <c r="AA299" i="6" s="1"/>
  <c r="AA113" i="6"/>
  <c r="AA111" i="6"/>
  <c r="AB32" i="6"/>
  <c r="AA247" i="6"/>
  <c r="AB51" i="6"/>
  <c r="AA273" i="6"/>
  <c r="AA93" i="6"/>
  <c r="H180" i="6"/>
  <c r="AA180" i="6" s="1"/>
  <c r="AB329" i="6"/>
  <c r="H335" i="6"/>
  <c r="AA335" i="6" s="1"/>
  <c r="I69" i="6"/>
  <c r="AB69" i="6" s="1"/>
  <c r="AB328" i="6"/>
  <c r="AB224" i="6"/>
  <c r="H234" i="6"/>
  <c r="AA234" i="6" s="1"/>
  <c r="AA126" i="6"/>
  <c r="AA166" i="6"/>
  <c r="I3" i="6"/>
  <c r="AB3" i="6" s="1"/>
  <c r="I100" i="6"/>
  <c r="AB100" i="6" s="1"/>
  <c r="AB37" i="6"/>
  <c r="AA379" i="6"/>
  <c r="AA114" i="6"/>
  <c r="H4" i="6"/>
  <c r="AA4" i="6" s="1"/>
  <c r="H245" i="6"/>
  <c r="AA245" i="6" s="1"/>
  <c r="I200" i="6"/>
  <c r="AB200" i="6" s="1"/>
  <c r="H28" i="6"/>
  <c r="AA28" i="6" s="1"/>
  <c r="I232" i="6"/>
  <c r="AB232" i="6" s="1"/>
  <c r="AB180" i="6"/>
  <c r="H21" i="6"/>
  <c r="AA21" i="6" s="1"/>
  <c r="AA380" i="6"/>
  <c r="H205" i="6"/>
  <c r="AA205" i="6" s="1"/>
  <c r="I375" i="6"/>
  <c r="AB375" i="6" s="1"/>
  <c r="I157" i="6"/>
  <c r="AB157" i="6" s="1"/>
  <c r="H321" i="6"/>
  <c r="AA321" i="6" s="1"/>
  <c r="AB28" i="6"/>
  <c r="I213" i="6"/>
  <c r="AB213" i="6" s="1"/>
  <c r="AB234" i="6"/>
  <c r="AA359" i="6"/>
  <c r="AA215" i="6"/>
  <c r="I314" i="6"/>
  <c r="AB314" i="6" s="1"/>
  <c r="H60" i="6"/>
  <c r="AA60" i="6" s="1"/>
  <c r="AB226" i="6"/>
  <c r="AA314" i="6"/>
  <c r="AA88" i="6"/>
  <c r="AB295" i="6"/>
  <c r="AA327" i="6"/>
  <c r="I286" i="6"/>
  <c r="AB286" i="6" s="1"/>
  <c r="I88" i="6"/>
  <c r="AB88" i="6" s="1"/>
  <c r="AB319" i="6"/>
  <c r="AB261" i="6"/>
  <c r="AA69" i="6"/>
  <c r="AB21" i="6"/>
  <c r="I149" i="6"/>
  <c r="AB149" i="6" s="1"/>
  <c r="I363" i="6"/>
  <c r="AB363" i="6" s="1"/>
  <c r="I17" i="6"/>
  <c r="AB17" i="6" s="1"/>
  <c r="H279" i="6"/>
  <c r="AA279" i="6" s="1"/>
  <c r="I104" i="6"/>
  <c r="AB104" i="6" s="1"/>
  <c r="AA104" i="6"/>
  <c r="H329" i="6"/>
  <c r="AA329" i="6" s="1"/>
  <c r="AB335" i="6"/>
  <c r="AA214" i="6"/>
  <c r="AA34" i="6"/>
  <c r="I75" i="6"/>
  <c r="AB75" i="6" s="1"/>
  <c r="AA375" i="6"/>
  <c r="AB110" i="6"/>
  <c r="AB193" i="6"/>
  <c r="AB298" i="6"/>
  <c r="AA282" i="6"/>
  <c r="AA46" i="6"/>
  <c r="AB150" i="6"/>
  <c r="AB24" i="6"/>
  <c r="AB82" i="6"/>
  <c r="AA300" i="6"/>
  <c r="AA131" i="6"/>
  <c r="AA71" i="6"/>
  <c r="AA94" i="6"/>
  <c r="AA248" i="6"/>
  <c r="AA275" i="6"/>
  <c r="AA339" i="6"/>
  <c r="AA139" i="6"/>
  <c r="AB205" i="6"/>
  <c r="AB249" i="6"/>
  <c r="AB119" i="6"/>
  <c r="AA38" i="6"/>
  <c r="AA369" i="6"/>
  <c r="AB74" i="6"/>
  <c r="AB288" i="6"/>
  <c r="AB245" i="6"/>
  <c r="AA81" i="6"/>
  <c r="AA265" i="6"/>
  <c r="AA165" i="6"/>
  <c r="AA29" i="6"/>
  <c r="AB325" i="6"/>
  <c r="AB177" i="6"/>
  <c r="AB255" i="6"/>
  <c r="AA307" i="6"/>
  <c r="AA209" i="6"/>
  <c r="AB289" i="6"/>
  <c r="AA229" i="6"/>
  <c r="AB6" i="6"/>
  <c r="AA349" i="6"/>
  <c r="AB257" i="6"/>
  <c r="AA170" i="6"/>
  <c r="AB183" i="6"/>
  <c r="AA190" i="6"/>
  <c r="AA332" i="6"/>
  <c r="AA160" i="6"/>
  <c r="H224" i="6"/>
  <c r="AA224" i="6" s="1"/>
  <c r="H101" i="6"/>
  <c r="AA101" i="6" s="1"/>
  <c r="I190" i="6"/>
  <c r="AB190" i="6" s="1"/>
  <c r="I305" i="6"/>
  <c r="AB305" i="6" s="1"/>
  <c r="H220" i="6"/>
  <c r="AA220" i="6" s="1"/>
  <c r="I379" i="6"/>
  <c r="AB379" i="6" s="1"/>
  <c r="H196" i="6"/>
  <c r="AA196" i="6" s="1"/>
  <c r="I58" i="6"/>
  <c r="AB58" i="6" s="1"/>
  <c r="I362" i="6"/>
  <c r="AB362" i="6" s="1"/>
  <c r="H228" i="6"/>
  <c r="AA228" i="6" s="1"/>
  <c r="I63" i="6"/>
  <c r="AB63" i="6" s="1"/>
  <c r="I165" i="6"/>
  <c r="AB165" i="6" s="1"/>
  <c r="H272" i="6"/>
  <c r="AA272" i="6" s="1"/>
  <c r="H255" i="6"/>
  <c r="AA255" i="6" s="1"/>
  <c r="H328" i="6"/>
  <c r="AA328" i="6" s="1"/>
  <c r="I94" i="6"/>
  <c r="AB94" i="6" s="1"/>
  <c r="I210" i="6"/>
  <c r="AB210" i="6" s="1"/>
  <c r="I139" i="6"/>
  <c r="AB139" i="6" s="1"/>
  <c r="H82" i="6"/>
  <c r="AA82" i="6" s="1"/>
  <c r="H288" i="6"/>
  <c r="AA288" i="6" s="1"/>
  <c r="I175" i="6"/>
  <c r="AB175" i="6" s="1"/>
  <c r="I369" i="6"/>
  <c r="AB369" i="6" s="1"/>
  <c r="H159" i="6"/>
  <c r="AA159" i="6" s="1"/>
  <c r="H176" i="6"/>
  <c r="AA176" i="6" s="1"/>
  <c r="I282" i="6"/>
  <c r="AB282" i="6" s="1"/>
  <c r="I30" i="6"/>
  <c r="AB30" i="6" s="1"/>
  <c r="I349" i="6"/>
  <c r="AB349" i="6" s="1"/>
  <c r="I259" i="6"/>
  <c r="AB259" i="6" s="1"/>
  <c r="I185" i="6"/>
  <c r="AB185" i="6" s="1"/>
  <c r="I297" i="6"/>
  <c r="AB297" i="6" s="1"/>
  <c r="H251" i="6"/>
  <c r="AA251" i="6" s="1"/>
  <c r="H325" i="6"/>
  <c r="AA325" i="6" s="1"/>
  <c r="I307" i="6"/>
  <c r="AB307" i="6" s="1"/>
  <c r="H118" i="6"/>
  <c r="AA118" i="6" s="1"/>
  <c r="H79" i="6"/>
  <c r="AA79" i="6" s="1"/>
  <c r="I209" i="6"/>
  <c r="AB209" i="6" s="1"/>
  <c r="I274" i="6"/>
  <c r="AB274" i="6" s="1"/>
  <c r="I229" i="6"/>
  <c r="AB229" i="6" s="1"/>
  <c r="I281" i="6"/>
  <c r="AB281" i="6" s="1"/>
  <c r="I260" i="6"/>
  <c r="AB260" i="6" s="1"/>
  <c r="I172" i="6"/>
  <c r="AB172" i="6" s="1"/>
  <c r="I290" i="6"/>
  <c r="AB290" i="6" s="1"/>
  <c r="I5" i="6"/>
  <c r="AB5" i="6" s="1"/>
  <c r="H381" i="6"/>
  <c r="AA381" i="6" s="1"/>
  <c r="H244" i="6"/>
  <c r="AA244" i="6" s="1"/>
  <c r="I160" i="6"/>
  <c r="AB160" i="6" s="1"/>
  <c r="H312" i="6"/>
  <c r="AA312" i="6" s="1"/>
  <c r="I332" i="6"/>
  <c r="AB332" i="6" s="1"/>
  <c r="I78" i="6"/>
  <c r="AB78" i="6" s="1"/>
  <c r="I36" i="6"/>
  <c r="AB36" i="6" s="1"/>
  <c r="I201" i="6"/>
  <c r="AB201" i="6" s="1"/>
  <c r="I265" i="6"/>
  <c r="AB265" i="6" s="1"/>
  <c r="H16" i="6"/>
  <c r="AA16" i="6" s="1"/>
  <c r="I170" i="6"/>
  <c r="AB170" i="6" s="1"/>
  <c r="I29" i="6"/>
  <c r="AB29" i="6" s="1"/>
  <c r="H183" i="6"/>
  <c r="AA183" i="6" s="1"/>
  <c r="H202" i="6"/>
  <c r="AA202" i="6" s="1"/>
  <c r="I348" i="6"/>
  <c r="AB348" i="6" s="1"/>
  <c r="I11" i="6"/>
  <c r="AB11" i="6" s="1"/>
  <c r="H177" i="6"/>
  <c r="AA177" i="6" s="1"/>
  <c r="H289" i="6"/>
  <c r="AA289" i="6" s="1"/>
  <c r="H310" i="6"/>
  <c r="AA310" i="6" s="1"/>
  <c r="H132" i="6"/>
  <c r="AA132" i="6" s="1"/>
  <c r="H6" i="6"/>
  <c r="AA6" i="6" s="1"/>
  <c r="I122" i="6"/>
  <c r="AB122" i="6" s="1"/>
  <c r="H115" i="6"/>
  <c r="AA115" i="6" s="1"/>
  <c r="H89" i="6"/>
  <c r="AA89" i="6" s="1"/>
  <c r="I354" i="6"/>
  <c r="AB354" i="6" s="1"/>
  <c r="H257" i="6"/>
  <c r="AA257" i="6" s="1"/>
  <c r="H119" i="6"/>
  <c r="AA119" i="6" s="1"/>
  <c r="H261" i="6"/>
  <c r="AA261" i="6" s="1"/>
  <c r="H249" i="6"/>
  <c r="AA249" i="6" s="1"/>
  <c r="I327" i="6"/>
  <c r="AB327" i="6" s="1"/>
  <c r="I81" i="6"/>
  <c r="AB81" i="6" s="1"/>
  <c r="I339" i="6"/>
  <c r="AB339" i="6" s="1"/>
  <c r="I275" i="6"/>
  <c r="AB275" i="6" s="1"/>
  <c r="I166" i="6"/>
  <c r="AB166" i="6" s="1"/>
  <c r="I359" i="6"/>
  <c r="AB359" i="6" s="1"/>
  <c r="I71" i="6"/>
  <c r="AB71" i="6" s="1"/>
  <c r="H295" i="6"/>
  <c r="AA295" i="6" s="1"/>
  <c r="H264" i="6"/>
  <c r="AA264" i="6" s="1"/>
  <c r="I304" i="6"/>
  <c r="AB304" i="6" s="1"/>
  <c r="H301" i="6"/>
  <c r="AA301" i="6" s="1"/>
  <c r="H59" i="6"/>
  <c r="AA59" i="6" s="1"/>
  <c r="H37" i="6"/>
  <c r="AA37" i="6" s="1"/>
  <c r="I34" i="6"/>
  <c r="AB34" i="6" s="1"/>
  <c r="I240" i="6"/>
  <c r="AB240" i="6" s="1"/>
  <c r="I38" i="6"/>
  <c r="AB38" i="6" s="1"/>
  <c r="H254" i="6"/>
  <c r="AA254" i="6" s="1"/>
  <c r="H66" i="6"/>
  <c r="AA66" i="6" s="1"/>
  <c r="H371" i="6"/>
  <c r="AA371" i="6" s="1"/>
  <c r="I225" i="6"/>
  <c r="AB225" i="6" s="1"/>
  <c r="AB73" i="6"/>
  <c r="I102" i="6"/>
  <c r="AB102" i="6" s="1"/>
  <c r="H271" i="6"/>
  <c r="AA271" i="6" s="1"/>
  <c r="H241" i="6"/>
  <c r="AA241" i="6" s="1"/>
  <c r="I364" i="6"/>
  <c r="AB364" i="6" s="1"/>
  <c r="I214" i="6"/>
  <c r="AB214" i="6" s="1"/>
  <c r="I143" i="6"/>
  <c r="AB143" i="6" s="1"/>
  <c r="I126" i="6"/>
  <c r="AB126" i="6" s="1"/>
  <c r="I303" i="6"/>
  <c r="AB303" i="6" s="1"/>
  <c r="I158" i="6"/>
  <c r="AB158" i="6" s="1"/>
  <c r="I276" i="6"/>
  <c r="AB276" i="6" s="1"/>
  <c r="H151" i="6"/>
  <c r="AA151" i="6" s="1"/>
  <c r="H237" i="6"/>
  <c r="AA237" i="6" s="1"/>
  <c r="I221" i="6"/>
  <c r="AB221" i="6" s="1"/>
  <c r="H33" i="6"/>
  <c r="AA33" i="6" s="1"/>
  <c r="H74" i="6"/>
  <c r="AA74" i="6" s="1"/>
  <c r="H150" i="6"/>
  <c r="AA150" i="6" s="1"/>
  <c r="H298" i="6"/>
  <c r="AA298" i="6" s="1"/>
  <c r="I131" i="6"/>
  <c r="AB131" i="6" s="1"/>
  <c r="I46" i="6"/>
  <c r="AB46" i="6" s="1"/>
  <c r="I300" i="6"/>
  <c r="AB300" i="6" s="1"/>
  <c r="I380" i="6"/>
  <c r="AB380" i="6" s="1"/>
  <c r="I103" i="6"/>
  <c r="AB103" i="6" s="1"/>
  <c r="I231" i="6"/>
  <c r="AB231" i="6" s="1"/>
  <c r="H97" i="6"/>
  <c r="AA97" i="6" s="1"/>
  <c r="H226" i="6"/>
  <c r="AA226" i="6" s="1"/>
  <c r="I248" i="6"/>
  <c r="AB248" i="6" s="1"/>
  <c r="H24" i="6"/>
  <c r="AA24" i="6" s="1"/>
  <c r="H319" i="6"/>
  <c r="AA319" i="6" s="1"/>
  <c r="H357" i="6"/>
  <c r="AA357" i="6" s="1"/>
  <c r="AA227" i="6"/>
  <c r="H130" i="6"/>
  <c r="AA130" i="6" s="1"/>
  <c r="I44" i="6"/>
  <c r="AB44" i="6" s="1"/>
  <c r="H191" i="6"/>
  <c r="AA191" i="6" s="1"/>
  <c r="AA2" i="6"/>
  <c r="E69" i="4"/>
  <c r="D81" i="1" s="1"/>
  <c r="AA370" i="6"/>
  <c r="AA308" i="6"/>
  <c r="AB283" i="6"/>
  <c r="AA142" i="6"/>
  <c r="AA365" i="6"/>
  <c r="AA23" i="6"/>
  <c r="AB346" i="6"/>
  <c r="AB86" i="6"/>
  <c r="AA41" i="6"/>
  <c r="D86" i="1"/>
  <c r="E70" i="4"/>
  <c r="D82" i="1" s="1"/>
  <c r="AE3" i="6" l="1" a="1"/>
  <c r="AE3" i="6" s="1"/>
  <c r="AE4" i="6" s="1"/>
  <c r="AD5" i="6" s="1"/>
  <c r="AF5" i="6" s="1"/>
  <c r="AD3" i="6" a="1"/>
  <c r="AD3" i="6" s="1"/>
  <c r="AD4" i="6" s="1"/>
  <c r="AD2" i="6" a="1"/>
  <c r="AD2" i="6" s="1"/>
  <c r="AD6" i="6" l="1"/>
  <c r="AF6" i="6" s="1"/>
</calcChain>
</file>

<file path=xl/sharedStrings.xml><?xml version="1.0" encoding="utf-8"?>
<sst xmlns="http://schemas.openxmlformats.org/spreadsheetml/2006/main" count="492" uniqueCount="403">
  <si>
    <t xml:space="preserve">TI Literature Number: </t>
  </si>
  <si>
    <t>Disclaimer</t>
  </si>
  <si>
    <t>CLEAR ALL USER INPUT CELLS BEFORE STARTING A NEW DESIGN</t>
  </si>
  <si>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</si>
  <si>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Input Specifications</t>
  </si>
  <si>
    <t>Device Switching Frequency</t>
  </si>
  <si>
    <t>Device FLT Operation</t>
  </si>
  <si>
    <t>Device Fault Response Mechanism</t>
  </si>
  <si>
    <t>Device Table</t>
  </si>
  <si>
    <t>Switching Freq</t>
  </si>
  <si>
    <t>FLT Option</t>
  </si>
  <si>
    <t>BO</t>
  </si>
  <si>
    <t>OVP/TSD</t>
  </si>
  <si>
    <t>Fault Response</t>
  </si>
  <si>
    <t>Latch</t>
  </si>
  <si>
    <t>Auto restart</t>
  </si>
  <si>
    <t>Device selected:</t>
  </si>
  <si>
    <t>UCC287501</t>
  </si>
  <si>
    <t>UCC287502</t>
  </si>
  <si>
    <t>UCC287503</t>
  </si>
  <si>
    <t>UCC287504</t>
  </si>
  <si>
    <t>UCC287505</t>
  </si>
  <si>
    <t>UCC287506</t>
  </si>
  <si>
    <t>UCC287507</t>
  </si>
  <si>
    <t>UCC287508</t>
  </si>
  <si>
    <t>Fsw</t>
  </si>
  <si>
    <t>Fr</t>
  </si>
  <si>
    <t>Flt</t>
  </si>
  <si>
    <t>Input Voltage Type</t>
  </si>
  <si>
    <t>AC</t>
  </si>
  <si>
    <t>DC</t>
  </si>
  <si>
    <t>Minimum Input Voltage</t>
  </si>
  <si>
    <t>Maximum Input Voltage</t>
  </si>
  <si>
    <t>Nominal Input Voltage</t>
  </si>
  <si>
    <t>Minimum Line Frequency</t>
  </si>
  <si>
    <t>Hz</t>
  </si>
  <si>
    <t>Output Specifications</t>
  </si>
  <si>
    <t>Output Voltage</t>
  </si>
  <si>
    <t>Full Load Output Current</t>
  </si>
  <si>
    <t>Maximum Peak to Peak Output Voltage Ripple</t>
  </si>
  <si>
    <t>Allowable Voltage Drop During Load-step Transient</t>
  </si>
  <si>
    <t>V</t>
  </si>
  <si>
    <t>A</t>
  </si>
  <si>
    <t>M</t>
  </si>
  <si>
    <t>k</t>
  </si>
  <si>
    <t>m</t>
  </si>
  <si>
    <t>mic</t>
  </si>
  <si>
    <t>Input Capacitor Calculations</t>
  </si>
  <si>
    <t>Recommended Input Bulk Capacitance</t>
  </si>
  <si>
    <t>Flyback Transformer Calculations</t>
  </si>
  <si>
    <t>Switching MOSFET Drain to Source Voltage</t>
  </si>
  <si>
    <t>Primary to Secondary Turns Ratio</t>
  </si>
  <si>
    <t>User Selected Primary to Secondary Turns Ratio</t>
  </si>
  <si>
    <t>Auxiliary to Secondary Turns Ratio</t>
  </si>
  <si>
    <t>Current Sense Resistor Calculations</t>
  </si>
  <si>
    <t>Maximum Duty Cycle</t>
  </si>
  <si>
    <t>%</t>
  </si>
  <si>
    <t>Calculated Maximum Duty Cycle</t>
  </si>
  <si>
    <t>Current Sense Resistor</t>
  </si>
  <si>
    <t>Slope Compensation Resistor</t>
  </si>
  <si>
    <t xml:space="preserve">Transformer Primary Inductance </t>
  </si>
  <si>
    <t>Output Voltage Rectifier Forward Diode Drop</t>
  </si>
  <si>
    <t>CsMax</t>
  </si>
  <si>
    <t>Minimum Bulk Voltage Desired</t>
  </si>
  <si>
    <t>VDC</t>
  </si>
  <si>
    <t>Vin Min Based On AC or DC</t>
  </si>
  <si>
    <t>Numerator</t>
  </si>
  <si>
    <t>Denominator</t>
  </si>
  <si>
    <t>Estimated Efficiency</t>
  </si>
  <si>
    <t>Pin</t>
  </si>
  <si>
    <t>Calculated Output Power</t>
  </si>
  <si>
    <t>Asin Term</t>
  </si>
  <si>
    <t>FET Margin</t>
  </si>
  <si>
    <t>Output Diode Property Calculations</t>
  </si>
  <si>
    <t>Output Diode Blocking Voltage</t>
  </si>
  <si>
    <t>Max Vin</t>
  </si>
  <si>
    <t>Secondary to Primary Initial Calculation</t>
  </si>
  <si>
    <t>Nps Initial</t>
  </si>
  <si>
    <t>Ns with Floor</t>
  </si>
  <si>
    <t>Initial Max Reflected</t>
  </si>
  <si>
    <t>Allowed FET Voltage</t>
  </si>
  <si>
    <t>Switching MOSFET Derating Factor</t>
  </si>
  <si>
    <t>Voltage Left for Leakage</t>
  </si>
  <si>
    <t>Calc Dmax</t>
  </si>
  <si>
    <t>Vout + VF</t>
  </si>
  <si>
    <t>Lm</t>
  </si>
  <si>
    <t>Percentage of Total Power to Enter CCM</t>
  </si>
  <si>
    <t>Lm Numerator</t>
  </si>
  <si>
    <t>Lm Denominator</t>
  </si>
  <si>
    <t>VUvloOn</t>
  </si>
  <si>
    <t>VUvloOff</t>
  </si>
  <si>
    <t>User Selected Secondary to Auxiliary Turns Ratio</t>
  </si>
  <si>
    <t>Steady State VDD from Secondary to Aux</t>
  </si>
  <si>
    <t>Secondary to Auxiliary Turns Ratio</t>
  </si>
  <si>
    <t>Primary Turns : Secondary Turns</t>
  </si>
  <si>
    <t>Secondary Turns : Auxiliary Turns</t>
  </si>
  <si>
    <t>Turns Ratio</t>
  </si>
  <si>
    <t>Islope</t>
  </si>
  <si>
    <t>Soff</t>
  </si>
  <si>
    <t>Iramp</t>
  </si>
  <si>
    <t>RCs</t>
  </si>
  <si>
    <t>Ipk</t>
  </si>
  <si>
    <t>OffRamp</t>
  </si>
  <si>
    <t>Slope Comp Resistor</t>
  </si>
  <si>
    <t>CS With Comp</t>
  </si>
  <si>
    <t>Tsw</t>
  </si>
  <si>
    <t>nano</t>
  </si>
  <si>
    <t>is DCM</t>
  </si>
  <si>
    <t>Min Vin CCM Duty Cycle</t>
  </si>
  <si>
    <t>Min Vin DCM Duty Cycle</t>
  </si>
  <si>
    <t>Ipk for CCM and DCM at Min Vin</t>
  </si>
  <si>
    <t>Rework for RCs by fixing CalcRSlope</t>
  </si>
  <si>
    <t>Ohms</t>
  </si>
  <si>
    <t>A/s</t>
  </si>
  <si>
    <t>(Ohm*A)/s</t>
  </si>
  <si>
    <t>User Selected Current Sense Resistor</t>
  </si>
  <si>
    <t>User Selected Slope Compensation Resistor</t>
  </si>
  <si>
    <t>User Set Max Load Current Sense Voltage at Minimum Bulk Voltage</t>
  </si>
  <si>
    <t>Calculated Max Load Current Sense Voltage at Minimum Bulk Voltage</t>
  </si>
  <si>
    <t>Final Rslope</t>
  </si>
  <si>
    <t>H</t>
  </si>
  <si>
    <t>Final VCs at Max Load</t>
  </si>
  <si>
    <t>User RCs</t>
  </si>
  <si>
    <t>User Rslope</t>
  </si>
  <si>
    <t>User Final VCs at Max Load</t>
  </si>
  <si>
    <r>
      <t xml:space="preserve">ALL </t>
    </r>
    <r>
      <rPr>
        <b/>
        <sz val="14"/>
        <color rgb="FFFFCC99"/>
        <rFont val="Segoe UI"/>
        <family val="2"/>
      </rPr>
      <t>PEACH</t>
    </r>
    <r>
      <rPr>
        <b/>
        <sz val="14"/>
        <color theme="1"/>
        <rFont val="Segoe UI"/>
        <family val="2"/>
      </rPr>
      <t xml:space="preserve"> CELLS ARE USER INPUTS</t>
    </r>
  </si>
  <si>
    <t>Output Capacitor Calculations</t>
  </si>
  <si>
    <t>Cout based on ripple</t>
  </si>
  <si>
    <t>Cout based on transient</t>
  </si>
  <si>
    <t>fRHPZ</t>
  </si>
  <si>
    <t>fRHPZ Numerator</t>
  </si>
  <si>
    <t>fRHPZ Denominator</t>
  </si>
  <si>
    <t>fRHPZ / 5</t>
  </si>
  <si>
    <t>tResponse</t>
  </si>
  <si>
    <t>F</t>
  </si>
  <si>
    <t>Ripple using Ctrans</t>
  </si>
  <si>
    <t>Startup Resistor Calculator</t>
  </si>
  <si>
    <t>seconds</t>
  </si>
  <si>
    <t>Time from input is applied to VDD reaching the turn on threshold</t>
  </si>
  <si>
    <t>Minimum Recommended Output Capacitor Total Capacitance</t>
  </si>
  <si>
    <t>Istart</t>
  </si>
  <si>
    <t>Startup Resistor and Capacitor</t>
  </si>
  <si>
    <t>Ifault</t>
  </si>
  <si>
    <t>Minimum Rstart</t>
  </si>
  <si>
    <t>CVDD</t>
  </si>
  <si>
    <t>Time to Turn On at Minimum Input Voltage</t>
  </si>
  <si>
    <t>Ion</t>
  </si>
  <si>
    <t>CVDD2</t>
  </si>
  <si>
    <t>Vovershoot</t>
  </si>
  <si>
    <t>trise</t>
  </si>
  <si>
    <t>Ioff</t>
  </si>
  <si>
    <t>tdecay</t>
  </si>
  <si>
    <t>Recommended CVDD1</t>
  </si>
  <si>
    <t>Recommended Minimum RStart</t>
  </si>
  <si>
    <t>Recommended CVDD2</t>
  </si>
  <si>
    <t>Depends on loop response time for no load startup</t>
  </si>
  <si>
    <t>FLT Pin Calculations</t>
  </si>
  <si>
    <t>Brownout Calculations</t>
  </si>
  <si>
    <t>User Selected Top Brownout Resistor</t>
  </si>
  <si>
    <t>User Selected Bottom Brownout Resistor</t>
  </si>
  <si>
    <t>Calculated Brownout Voltage</t>
  </si>
  <si>
    <t>Calculated Brownin Voltage</t>
  </si>
  <si>
    <t>Vbo</t>
  </si>
  <si>
    <t>Vbi</t>
  </si>
  <si>
    <t>Ibo</t>
  </si>
  <si>
    <t>Calculated Brownin Voltage from Desired Brownout Voltage</t>
  </si>
  <si>
    <t>Calculated Top Resistor to Achieve Desired Brownout Voltage, with User Bottom Resistor</t>
  </si>
  <si>
    <t>Desired Brownout Voltage</t>
  </si>
  <si>
    <t>Intc</t>
  </si>
  <si>
    <t>Overtemp Calculations</t>
  </si>
  <si>
    <t>Thermistor Reference Temperature</t>
  </si>
  <si>
    <t>Thermistor Reference Resistance</t>
  </si>
  <si>
    <t>Celsius</t>
  </si>
  <si>
    <t>Thermistor Beta</t>
  </si>
  <si>
    <t>VTsd</t>
  </si>
  <si>
    <t>TSD Temp</t>
  </si>
  <si>
    <t>K</t>
  </si>
  <si>
    <t>Overtemperature Calculations</t>
  </si>
  <si>
    <t>Calculated Thermal Shutdown Temperature</t>
  </si>
  <si>
    <t>Calculated User Maximum Duty Cycle</t>
  </si>
  <si>
    <t>Calculated User Transformer Primary Inductance</t>
  </si>
  <si>
    <t>Calc User Lm</t>
  </si>
  <si>
    <t>Lm to use</t>
  </si>
  <si>
    <t>NS to use</t>
  </si>
  <si>
    <t>Duty Cycle to use</t>
  </si>
  <si>
    <t>Calculated Steady State VDD Voltage, No Forward Drop on Aux Diodes</t>
  </si>
  <si>
    <t>Bode Plot Calculations</t>
  </si>
  <si>
    <t>Bode Voltage Transfer Ratio, M</t>
  </si>
  <si>
    <t>Bode Switching Frequency, fsw</t>
  </si>
  <si>
    <t>Bode Duty Cyle, D</t>
  </si>
  <si>
    <t>Transformer Coil Ratio, NP/NS</t>
  </si>
  <si>
    <t>Time Constant, TauL</t>
  </si>
  <si>
    <t>Primary Side Current Slope, Sn</t>
  </si>
  <si>
    <t>Injected Slope, Se</t>
  </si>
  <si>
    <t>Small-signal Gain, Vrs/Vfb, GFb</t>
  </si>
  <si>
    <t>Rload</t>
  </si>
  <si>
    <t>CCM Transfer Function</t>
  </si>
  <si>
    <t>Go</t>
  </si>
  <si>
    <t>wp1</t>
  </si>
  <si>
    <t>wz1</t>
  </si>
  <si>
    <t>wz2</t>
  </si>
  <si>
    <t>omega</t>
  </si>
  <si>
    <t>Transfer Function</t>
  </si>
  <si>
    <t>Phase</t>
  </si>
  <si>
    <t>complex omega</t>
  </si>
  <si>
    <t>Transfer Function CCM (db)</t>
  </si>
  <si>
    <t>DCM Transfer Function</t>
  </si>
  <si>
    <t>wp2</t>
  </si>
  <si>
    <t>Output Capacitor ESR</t>
  </si>
  <si>
    <t>ccm wz1</t>
  </si>
  <si>
    <t>ccm wz2</t>
  </si>
  <si>
    <t>ccm wp1</t>
  </si>
  <si>
    <t>ccm Go</t>
  </si>
  <si>
    <t>Phase CCM</t>
  </si>
  <si>
    <t>dcm wp1</t>
  </si>
  <si>
    <t>dcm wz1</t>
  </si>
  <si>
    <t>dcm wz2</t>
  </si>
  <si>
    <t>dcm wp2</t>
  </si>
  <si>
    <t>dcm Go</t>
  </si>
  <si>
    <t>Transer Function (db)</t>
  </si>
  <si>
    <t>Phase DCM</t>
  </si>
  <si>
    <t>Compensator Transfer Function</t>
  </si>
  <si>
    <t>Optocoupler CTR</t>
  </si>
  <si>
    <t>FB Pullup Resistor</t>
  </si>
  <si>
    <t>RFb</t>
  </si>
  <si>
    <t>Ra</t>
  </si>
  <si>
    <t>Rb</t>
  </si>
  <si>
    <t>Rc3</t>
  </si>
  <si>
    <t>Cb</t>
  </si>
  <si>
    <t>Ca</t>
  </si>
  <si>
    <t>Tl431Ref</t>
  </si>
  <si>
    <t>Optocoupler Cathode Current</t>
  </si>
  <si>
    <t>Tl431I</t>
  </si>
  <si>
    <t>Parasistic + External Capacitance on Collector of Optotransistor</t>
  </si>
  <si>
    <t>wcz1</t>
  </si>
  <si>
    <t>wcp1</t>
  </si>
  <si>
    <t>comp wz1</t>
  </si>
  <si>
    <t>comp wp1</t>
  </si>
  <si>
    <t>Total Loop</t>
  </si>
  <si>
    <t>Transfer Function Comp(dB)</t>
  </si>
  <si>
    <t>Total Phase</t>
  </si>
  <si>
    <t>Total Crossover Freq</t>
  </si>
  <si>
    <t>Total Phase Margin</t>
  </si>
  <si>
    <t>degrees</t>
  </si>
  <si>
    <t>Freq</t>
  </si>
  <si>
    <t>Output Capacitor Total ESR</t>
  </si>
  <si>
    <t>Calculated Feedback Top Resistor</t>
  </si>
  <si>
    <t>Calculated Feedback Bottom Resistor</t>
  </si>
  <si>
    <t>Integrator Capacitor</t>
  </si>
  <si>
    <t>Used with UCC287501/3/5/7</t>
  </si>
  <si>
    <t>Used with UCC287502/4/6/8</t>
  </si>
  <si>
    <t>RHP Zero</t>
  </si>
  <si>
    <t>Loop Gain Calculations Full Load, Type 2 Compensator</t>
  </si>
  <si>
    <t>VAC</t>
  </si>
  <si>
    <t>Input Voltage for Bode Plot</t>
  </si>
  <si>
    <t>Maximum duty cycle of UCC28750X is 80%, choose a value lower to account for higher duty cycles during transient events.</t>
  </si>
  <si>
    <t>DutyMax</t>
  </si>
  <si>
    <t>n</t>
  </si>
  <si>
    <t>μ</t>
  </si>
  <si>
    <t>pico</t>
  </si>
  <si>
    <t>p</t>
  </si>
  <si>
    <t>G</t>
  </si>
  <si>
    <t>Tera</t>
  </si>
  <si>
    <t>Giga</t>
  </si>
  <si>
    <t>Mega</t>
  </si>
  <si>
    <t>kilo</t>
  </si>
  <si>
    <t>Peta</t>
  </si>
  <si>
    <t>Exa</t>
  </si>
  <si>
    <t>T</t>
  </si>
  <si>
    <t>P</t>
  </si>
  <si>
    <t>E</t>
  </si>
  <si>
    <t>femto</t>
  </si>
  <si>
    <t>f</t>
  </si>
  <si>
    <t>atto</t>
  </si>
  <si>
    <t>zepto</t>
  </si>
  <si>
    <t>a</t>
  </si>
  <si>
    <t>z</t>
  </si>
  <si>
    <t>Voltage Allowed For Leakage</t>
  </si>
  <si>
    <t>Calculated User Output Power</t>
  </si>
  <si>
    <t>BoRTop</t>
  </si>
  <si>
    <t>Ω</t>
  </si>
  <si>
    <t>kΩ</t>
  </si>
  <si>
    <t>MΩ</t>
  </si>
  <si>
    <t>Multiplied for Top</t>
  </si>
  <si>
    <t>Multiplied for Bot</t>
  </si>
  <si>
    <t>CS Resistor</t>
  </si>
  <si>
    <t>mΩ</t>
  </si>
  <si>
    <t>NTC</t>
  </si>
  <si>
    <t>BodeCaps</t>
  </si>
  <si>
    <t>μF</t>
  </si>
  <si>
    <t>nF</t>
  </si>
  <si>
    <t>pF</t>
  </si>
  <si>
    <t>Calculated Optocoupler Input Resistor</t>
  </si>
  <si>
    <t>TYPICAL APPLICATION DIAGRAM</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</si>
  <si>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</si>
  <si>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η</t>
  </si>
  <si>
    <t>CTR</t>
  </si>
  <si>
    <t xml:space="preserve">Calculated Transformer Primary Inductance </t>
  </si>
  <si>
    <t>Calculated Input Bulk Capacitance</t>
  </si>
  <si>
    <t>Use greater than or equal to recommended</t>
  </si>
  <si>
    <t>Calculated Output Diode Blocking Voltage</t>
  </si>
  <si>
    <t>Switching Frequency</t>
  </si>
  <si>
    <t>65 kHz</t>
  </si>
  <si>
    <t>100 kHz</t>
  </si>
  <si>
    <t>DCM Status for Bode</t>
  </si>
  <si>
    <t>Include any other capacitance seen on the FB pin</t>
  </si>
  <si>
    <t>Device Variables</t>
  </si>
  <si>
    <t>Using Disable (VFLT &lt; 0.5 V) Feature?</t>
  </si>
  <si>
    <t>Idis</t>
  </si>
  <si>
    <t>Current Constraint</t>
  </si>
  <si>
    <t>Constraint is that maximum Vin/Rstart &lt; IStartConstaint</t>
  </si>
  <si>
    <t>β</t>
  </si>
  <si>
    <t>TSD Recovery Temp</t>
  </si>
  <si>
    <t>Calculated Thermal Recovery Temperature</t>
  </si>
  <si>
    <t>Optocoupler LED Forward Voltage</t>
  </si>
  <si>
    <t>Ioff is used because the controller is not switching during the overshoot time</t>
  </si>
  <si>
    <t>tdecay worst case</t>
  </si>
  <si>
    <t>load</t>
  </si>
  <si>
    <t>Final Voltage Left for Leakage</t>
  </si>
  <si>
    <t>VddOvlo</t>
  </si>
  <si>
    <t>Secondary Turns</t>
  </si>
  <si>
    <t>Np</t>
  </si>
  <si>
    <t>Calculated Primary to Secondary Turns Ratio</t>
  </si>
  <si>
    <t>CsMargin</t>
  </si>
  <si>
    <t>Feedback and Optocoupler Parasitic Capacitance</t>
  </si>
  <si>
    <r>
      <t>V</t>
    </r>
    <r>
      <rPr>
        <vertAlign val="subscript"/>
        <sz val="12"/>
        <color theme="1"/>
        <rFont val="Calibri"/>
        <family val="2"/>
        <scheme val="minor"/>
      </rPr>
      <t>IN,MIN</t>
    </r>
  </si>
  <si>
    <r>
      <t>V</t>
    </r>
    <r>
      <rPr>
        <vertAlign val="subscript"/>
        <sz val="12"/>
        <color theme="1"/>
        <rFont val="Calibri"/>
        <family val="2"/>
        <scheme val="minor"/>
      </rPr>
      <t>IN,MIN,BULK</t>
    </r>
  </si>
  <si>
    <r>
      <t>V</t>
    </r>
    <r>
      <rPr>
        <vertAlign val="subscript"/>
        <sz val="12"/>
        <color theme="1"/>
        <rFont val="Calibri"/>
        <family val="2"/>
        <scheme val="minor"/>
      </rPr>
      <t>IN,MAX</t>
    </r>
  </si>
  <si>
    <r>
      <t>V</t>
    </r>
    <r>
      <rPr>
        <vertAlign val="subscript"/>
        <sz val="12"/>
        <color theme="1"/>
        <rFont val="Calibri"/>
        <family val="2"/>
        <scheme val="minor"/>
      </rPr>
      <t>IN,NOM</t>
    </r>
  </si>
  <si>
    <r>
      <t>f</t>
    </r>
    <r>
      <rPr>
        <vertAlign val="subscript"/>
        <sz val="12"/>
        <color theme="1"/>
        <rFont val="Calibri"/>
        <family val="2"/>
        <scheme val="minor"/>
      </rPr>
      <t>LINE,MIN</t>
    </r>
  </si>
  <si>
    <r>
      <t>V</t>
    </r>
    <r>
      <rPr>
        <vertAlign val="subscript"/>
        <sz val="12"/>
        <color theme="1"/>
        <rFont val="Calibri"/>
        <family val="2"/>
        <scheme val="minor"/>
      </rPr>
      <t>MOS,DS</t>
    </r>
  </si>
  <si>
    <r>
      <t>V</t>
    </r>
    <r>
      <rPr>
        <vertAlign val="subscript"/>
        <sz val="12"/>
        <color theme="1"/>
        <rFont val="Calibri"/>
        <family val="2"/>
        <scheme val="minor"/>
      </rPr>
      <t>DS,DER%</t>
    </r>
  </si>
  <si>
    <r>
      <t>D</t>
    </r>
    <r>
      <rPr>
        <vertAlign val="subscript"/>
        <sz val="12"/>
        <color theme="1"/>
        <rFont val="Calibri"/>
        <family val="2"/>
        <scheme val="minor"/>
      </rPr>
      <t>MAX</t>
    </r>
  </si>
  <si>
    <r>
      <t>V</t>
    </r>
    <r>
      <rPr>
        <vertAlign val="subscript"/>
        <sz val="12"/>
        <color theme="1"/>
        <rFont val="Calibri"/>
        <family val="2"/>
        <scheme val="minor"/>
      </rPr>
      <t>OUT</t>
    </r>
  </si>
  <si>
    <r>
      <t>I</t>
    </r>
    <r>
      <rPr>
        <vertAlign val="subscript"/>
        <sz val="12"/>
        <color theme="1"/>
        <rFont val="Calibri"/>
        <family val="2"/>
        <scheme val="minor"/>
      </rPr>
      <t>OUT</t>
    </r>
  </si>
  <si>
    <r>
      <t>P</t>
    </r>
    <r>
      <rPr>
        <vertAlign val="subscript"/>
        <sz val="12"/>
        <color theme="1"/>
        <rFont val="Calibri"/>
        <family val="2"/>
        <scheme val="minor"/>
      </rPr>
      <t>OUT</t>
    </r>
  </si>
  <si>
    <r>
      <t>V</t>
    </r>
    <r>
      <rPr>
        <vertAlign val="subscript"/>
        <sz val="12"/>
        <color theme="1"/>
        <rFont val="Calibri"/>
        <family val="2"/>
        <scheme val="minor"/>
      </rPr>
      <t>DROP,%</t>
    </r>
  </si>
  <si>
    <r>
      <t>V</t>
    </r>
    <r>
      <rPr>
        <vertAlign val="subscript"/>
        <sz val="12"/>
        <color theme="1"/>
        <rFont val="Calibri"/>
        <family val="2"/>
        <scheme val="minor"/>
      </rPr>
      <t>RIP,%</t>
    </r>
  </si>
  <si>
    <r>
      <t>C</t>
    </r>
    <r>
      <rPr>
        <vertAlign val="subscript"/>
        <sz val="12"/>
        <color theme="1"/>
        <rFont val="Calibri"/>
        <family val="2"/>
        <scheme val="minor"/>
      </rPr>
      <t>IN</t>
    </r>
  </si>
  <si>
    <r>
      <t>K</t>
    </r>
    <r>
      <rPr>
        <vertAlign val="subscript"/>
        <sz val="12"/>
        <color theme="1"/>
        <rFont val="Calibri"/>
        <family val="2"/>
        <scheme val="minor"/>
      </rPr>
      <t>OUT,CCM%</t>
    </r>
  </si>
  <si>
    <r>
      <t>N</t>
    </r>
    <r>
      <rPr>
        <vertAlign val="subscript"/>
        <sz val="12"/>
        <color theme="1"/>
        <rFont val="Calibri"/>
        <family val="2"/>
        <scheme val="minor"/>
      </rPr>
      <t>P</t>
    </r>
    <r>
      <rPr>
        <sz val="12"/>
        <color theme="1"/>
        <rFont val="Calibri"/>
        <family val="2"/>
        <scheme val="minor"/>
      </rPr>
      <t>:N</t>
    </r>
    <r>
      <rPr>
        <vertAlign val="subscript"/>
        <sz val="12"/>
        <color theme="1"/>
        <rFont val="Calibri"/>
        <family val="2"/>
        <scheme val="minor"/>
      </rPr>
      <t>S</t>
    </r>
  </si>
  <si>
    <r>
      <t>N</t>
    </r>
    <r>
      <rPr>
        <vertAlign val="subscript"/>
        <sz val="12"/>
        <color theme="1"/>
        <rFont val="Calibri"/>
        <family val="2"/>
        <scheme val="minor"/>
      </rPr>
      <t>P</t>
    </r>
    <r>
      <rPr>
        <sz val="12"/>
        <color theme="1"/>
        <rFont val="Calibri"/>
        <family val="2"/>
        <scheme val="minor"/>
      </rPr>
      <t>/N</t>
    </r>
    <r>
      <rPr>
        <vertAlign val="subscript"/>
        <sz val="12"/>
        <color theme="1"/>
        <rFont val="Calibri"/>
        <family val="2"/>
        <scheme val="minor"/>
      </rPr>
      <t>S</t>
    </r>
  </si>
  <si>
    <r>
      <t>L</t>
    </r>
    <r>
      <rPr>
        <vertAlign val="subscript"/>
        <sz val="12"/>
        <color theme="1"/>
        <rFont val="Calibri"/>
        <family val="2"/>
        <scheme val="minor"/>
      </rPr>
      <t>M</t>
    </r>
  </si>
  <si>
    <r>
      <t>N</t>
    </r>
    <r>
      <rPr>
        <vertAlign val="subscript"/>
        <sz val="12"/>
        <color theme="1"/>
        <rFont val="Calibri"/>
        <family val="2"/>
        <scheme val="minor"/>
      </rPr>
      <t>S</t>
    </r>
    <r>
      <rPr>
        <sz val="12"/>
        <color theme="1"/>
        <rFont val="Calibri"/>
        <family val="2"/>
        <scheme val="minor"/>
      </rPr>
      <t>/N</t>
    </r>
    <r>
      <rPr>
        <vertAlign val="subscript"/>
        <sz val="12"/>
        <color theme="1"/>
        <rFont val="Calibri"/>
        <family val="2"/>
        <scheme val="minor"/>
      </rPr>
      <t>A</t>
    </r>
  </si>
  <si>
    <r>
      <t>N</t>
    </r>
    <r>
      <rPr>
        <vertAlign val="subscript"/>
        <sz val="12"/>
        <color theme="1"/>
        <rFont val="Calibri"/>
        <family val="2"/>
        <scheme val="minor"/>
      </rPr>
      <t>S</t>
    </r>
    <r>
      <rPr>
        <sz val="12"/>
        <color theme="1"/>
        <rFont val="Calibri"/>
        <family val="2"/>
        <scheme val="minor"/>
      </rPr>
      <t>:N</t>
    </r>
    <r>
      <rPr>
        <vertAlign val="subscript"/>
        <sz val="12"/>
        <color theme="1"/>
        <rFont val="Calibri"/>
        <family val="2"/>
        <scheme val="minor"/>
      </rPr>
      <t>A</t>
    </r>
  </si>
  <si>
    <r>
      <t>V</t>
    </r>
    <r>
      <rPr>
        <vertAlign val="subscript"/>
        <sz val="12"/>
        <color theme="1"/>
        <rFont val="Calibri"/>
        <family val="2"/>
        <scheme val="minor"/>
      </rPr>
      <t>AUX</t>
    </r>
  </si>
  <si>
    <r>
      <t>V</t>
    </r>
    <r>
      <rPr>
        <vertAlign val="subscript"/>
        <sz val="12"/>
        <color theme="1"/>
        <rFont val="Calibri"/>
        <family val="2"/>
        <scheme val="minor"/>
      </rPr>
      <t>LEAK,ALLOWED</t>
    </r>
  </si>
  <si>
    <r>
      <t>R</t>
    </r>
    <r>
      <rPr>
        <vertAlign val="subscript"/>
        <sz val="12"/>
        <color theme="1"/>
        <rFont val="Calibri"/>
        <family val="2"/>
        <scheme val="minor"/>
      </rPr>
      <t>CS</t>
    </r>
  </si>
  <si>
    <r>
      <t>R</t>
    </r>
    <r>
      <rPr>
        <vertAlign val="subscript"/>
        <sz val="12"/>
        <color theme="1"/>
        <rFont val="Calibri"/>
        <family val="2"/>
        <scheme val="minor"/>
      </rPr>
      <t>SLOPE</t>
    </r>
  </si>
  <si>
    <r>
      <t>V</t>
    </r>
    <r>
      <rPr>
        <vertAlign val="subscript"/>
        <sz val="12"/>
        <color theme="1"/>
        <rFont val="Calibri"/>
        <family val="2"/>
        <scheme val="minor"/>
      </rPr>
      <t>CS</t>
    </r>
  </si>
  <si>
    <r>
      <t>C</t>
    </r>
    <r>
      <rPr>
        <vertAlign val="subscript"/>
        <sz val="12"/>
        <color theme="1"/>
        <rFont val="Calibri"/>
        <family val="2"/>
        <scheme val="minor"/>
      </rPr>
      <t>OUT</t>
    </r>
  </si>
  <si>
    <r>
      <t>t</t>
    </r>
    <r>
      <rPr>
        <vertAlign val="subscript"/>
        <sz val="12"/>
        <color theme="1"/>
        <rFont val="Calibri"/>
        <family val="2"/>
        <scheme val="minor"/>
      </rPr>
      <t>START</t>
    </r>
  </si>
  <si>
    <r>
      <t>U</t>
    </r>
    <r>
      <rPr>
        <vertAlign val="subscript"/>
        <sz val="12"/>
        <color theme="1"/>
        <rFont val="Calibri"/>
        <family val="2"/>
        <scheme val="minor"/>
      </rPr>
      <t>DIS</t>
    </r>
  </si>
  <si>
    <r>
      <t>C</t>
    </r>
    <r>
      <rPr>
        <vertAlign val="subscript"/>
        <sz val="12"/>
        <color theme="1"/>
        <rFont val="Calibri"/>
        <family val="2"/>
        <scheme val="minor"/>
      </rPr>
      <t>VDD1</t>
    </r>
  </si>
  <si>
    <r>
      <t>C</t>
    </r>
    <r>
      <rPr>
        <vertAlign val="subscript"/>
        <sz val="12"/>
        <color theme="1"/>
        <rFont val="Calibri"/>
        <family val="2"/>
        <scheme val="minor"/>
      </rPr>
      <t>VDD2</t>
    </r>
  </si>
  <si>
    <r>
      <t>R</t>
    </r>
    <r>
      <rPr>
        <vertAlign val="subscript"/>
        <sz val="12"/>
        <color theme="1"/>
        <rFont val="Calibri"/>
        <family val="2"/>
        <scheme val="minor"/>
      </rPr>
      <t>START</t>
    </r>
  </si>
  <si>
    <r>
      <t>R</t>
    </r>
    <r>
      <rPr>
        <vertAlign val="subscript"/>
        <sz val="12"/>
        <color theme="1"/>
        <rFont val="Calibri"/>
        <family val="2"/>
        <scheme val="minor"/>
      </rPr>
      <t>BoTop</t>
    </r>
  </si>
  <si>
    <r>
      <t>R</t>
    </r>
    <r>
      <rPr>
        <vertAlign val="subscript"/>
        <sz val="12"/>
        <color theme="1"/>
        <rFont val="Calibri"/>
        <family val="2"/>
        <scheme val="minor"/>
      </rPr>
      <t>BoBot</t>
    </r>
  </si>
  <si>
    <r>
      <t>V</t>
    </r>
    <r>
      <rPr>
        <vertAlign val="subscript"/>
        <sz val="12"/>
        <color theme="1"/>
        <rFont val="Calibri"/>
        <family val="2"/>
        <scheme val="minor"/>
      </rPr>
      <t>Bo</t>
    </r>
  </si>
  <si>
    <r>
      <t>V</t>
    </r>
    <r>
      <rPr>
        <vertAlign val="subscript"/>
        <sz val="12"/>
        <color theme="1"/>
        <rFont val="Calibri"/>
        <family val="2"/>
        <scheme val="minor"/>
      </rPr>
      <t>Bi</t>
    </r>
  </si>
  <si>
    <r>
      <t>R</t>
    </r>
    <r>
      <rPr>
        <vertAlign val="subscript"/>
        <sz val="12"/>
        <color theme="1"/>
        <rFont val="Calibri"/>
        <family val="2"/>
        <scheme val="minor"/>
      </rPr>
      <t>NTC0</t>
    </r>
  </si>
  <si>
    <r>
      <t>T</t>
    </r>
    <r>
      <rPr>
        <vertAlign val="subscript"/>
        <sz val="12"/>
        <color theme="1"/>
        <rFont val="Calibri"/>
        <family val="2"/>
        <scheme val="minor"/>
      </rPr>
      <t>NTC0</t>
    </r>
  </si>
  <si>
    <r>
      <t>C</t>
    </r>
    <r>
      <rPr>
        <vertAlign val="subscript"/>
        <sz val="12"/>
        <color theme="1"/>
        <rFont val="Calibri"/>
        <family val="2"/>
        <scheme val="minor"/>
      </rPr>
      <t>TSD,NTC</t>
    </r>
  </si>
  <si>
    <r>
      <t>C</t>
    </r>
    <r>
      <rPr>
        <vertAlign val="subscript"/>
        <sz val="12"/>
        <color theme="1"/>
        <rFont val="Calibri"/>
        <family val="2"/>
        <scheme val="minor"/>
      </rPr>
      <t>REC,NTC</t>
    </r>
  </si>
  <si>
    <r>
      <t>V</t>
    </r>
    <r>
      <rPr>
        <vertAlign val="subscript"/>
        <sz val="12"/>
        <color theme="1"/>
        <rFont val="Calibri"/>
        <family val="2"/>
        <scheme val="minor"/>
      </rPr>
      <t>IN</t>
    </r>
  </si>
  <si>
    <r>
      <t>R</t>
    </r>
    <r>
      <rPr>
        <vertAlign val="subscript"/>
        <sz val="12"/>
        <color theme="1"/>
        <rFont val="Calibri"/>
        <family val="2"/>
        <scheme val="minor"/>
      </rPr>
      <t>ESR</t>
    </r>
  </si>
  <si>
    <r>
      <t>V</t>
    </r>
    <r>
      <rPr>
        <vertAlign val="subscript"/>
        <sz val="12"/>
        <color theme="1"/>
        <rFont val="Calibri"/>
        <family val="2"/>
        <scheme val="minor"/>
      </rPr>
      <t>LED</t>
    </r>
  </si>
  <si>
    <r>
      <t>C</t>
    </r>
    <r>
      <rPr>
        <vertAlign val="subscript"/>
        <sz val="12"/>
        <color theme="1"/>
        <rFont val="Calibri"/>
        <family val="2"/>
        <scheme val="minor"/>
      </rPr>
      <t>FB</t>
    </r>
  </si>
  <si>
    <r>
      <t>C</t>
    </r>
    <r>
      <rPr>
        <vertAlign val="subscript"/>
        <sz val="12"/>
        <color theme="1"/>
        <rFont val="Calibri"/>
        <family val="2"/>
        <scheme val="minor"/>
      </rPr>
      <t>INT</t>
    </r>
  </si>
  <si>
    <r>
      <t>R</t>
    </r>
    <r>
      <rPr>
        <vertAlign val="subscript"/>
        <sz val="12"/>
        <color theme="1"/>
        <rFont val="Calibri"/>
        <family val="2"/>
        <scheme val="minor"/>
      </rPr>
      <t>LED</t>
    </r>
  </si>
  <si>
    <t>°C</t>
  </si>
  <si>
    <r>
      <t>R</t>
    </r>
    <r>
      <rPr>
        <vertAlign val="subscript"/>
        <sz val="12"/>
        <color theme="1"/>
        <rFont val="Calibri"/>
        <family val="2"/>
        <scheme val="minor"/>
      </rPr>
      <t>FBtop</t>
    </r>
  </si>
  <si>
    <r>
      <t>R</t>
    </r>
    <r>
      <rPr>
        <vertAlign val="subscript"/>
        <sz val="12"/>
        <color theme="1"/>
        <rFont val="Calibri"/>
        <family val="2"/>
        <scheme val="minor"/>
      </rPr>
      <t>FBbot</t>
    </r>
  </si>
  <si>
    <t>UCC28750-CALC</t>
  </si>
  <si>
    <r>
      <t>V</t>
    </r>
    <r>
      <rPr>
        <vertAlign val="subscript"/>
        <sz val="12"/>
        <color theme="1"/>
        <rFont val="Calibri"/>
        <family val="2"/>
        <scheme val="minor"/>
      </rPr>
      <t>DF</t>
    </r>
  </si>
  <si>
    <t>Use 100% for purely DCM Flyback</t>
  </si>
  <si>
    <t>This slope compensation resistor is for stability from subharmonic oscillation. Lower values on the slope compensation resistor can be used to bring up the current sense resistor value, but the subharmonic oscillation will take longer than one cycle to stabilize.</t>
  </si>
  <si>
    <t>Use greater than or equal to recommended in design.</t>
  </si>
  <si>
    <t>Primary Peak Current</t>
  </si>
  <si>
    <r>
      <t>I</t>
    </r>
    <r>
      <rPr>
        <vertAlign val="subscript"/>
        <sz val="12"/>
        <color theme="1"/>
        <rFont val="Calibri"/>
        <family val="2"/>
        <scheme val="minor"/>
      </rPr>
      <t>pk</t>
    </r>
  </si>
  <si>
    <t>Ipri,rms</t>
  </si>
  <si>
    <t>Calculated Estimate Input Power</t>
  </si>
  <si>
    <t>Estimated Input Power</t>
  </si>
  <si>
    <r>
      <t>P</t>
    </r>
    <r>
      <rPr>
        <vertAlign val="subscript"/>
        <sz val="12"/>
        <color theme="1"/>
        <rFont val="Calibri"/>
        <family val="2"/>
        <scheme val="minor"/>
      </rPr>
      <t>IN</t>
    </r>
  </si>
  <si>
    <t>W</t>
  </si>
  <si>
    <t>Imean</t>
  </si>
  <si>
    <t>Primary Mean Current</t>
  </si>
  <si>
    <r>
      <t>I</t>
    </r>
    <r>
      <rPr>
        <vertAlign val="subscript"/>
        <sz val="12"/>
        <color theme="1"/>
        <rFont val="Calibri"/>
        <family val="2"/>
        <scheme val="minor"/>
      </rPr>
      <t>mean</t>
    </r>
  </si>
  <si>
    <t>Rework for Rslope by fixing CalcRs</t>
  </si>
  <si>
    <r>
      <t>V</t>
    </r>
    <r>
      <rPr>
        <vertAlign val="subscript"/>
        <sz val="12"/>
        <color theme="1"/>
        <rFont val="Calibri"/>
        <family val="2"/>
        <scheme val="minor"/>
      </rPr>
      <t>DBLOCK</t>
    </r>
  </si>
  <si>
    <t>Revision</t>
  </si>
  <si>
    <t>Update</t>
  </si>
  <si>
    <t>Date</t>
  </si>
  <si>
    <t>1.0.0</t>
  </si>
  <si>
    <t>Initial release</t>
  </si>
  <si>
    <t>Important Notice and Disclaimer</t>
  </si>
  <si>
    <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t>
  </si>
  <si>
    <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t>
  </si>
  <si>
    <t>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t>
  </si>
  <si>
    <t>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
  </si>
  <si>
    <t>TI objects to and rejects any additional or different terms you may have proposed.  </t>
  </si>
  <si>
    <t>UCC28750 Design Calculator Tool</t>
  </si>
  <si>
    <t>UCC28750 Current-Mode Flyback Controller with Secondary-Side Regulation (SSR) 
for Off-Line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</si>
</sst>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Calibri"/>
      <family val="2"/>
      <scheme val="minor"/>
    </font>
    <font>
      <sz val="26"/>
      <color theme="1"/>
      <name val="Segoe UI"/>
      <family val="2"/>
    </font>
    <font>
      <sz val="11"/>
      <color theme="1"/>
      <name val="Segoe UI"/>
      <family val="2"/>
    </font>
    <font>
      <sz val="11"/>
      <color theme="1"/>
      <name val="Arial"/>
      <family val="2"/>
    </font>
    <font>
      <b/>
      <sz val="12"/>
      <name val="Segoe UI"/>
      <family val="2"/>
    </font>
    <font>
      <b/>
      <sz val="16"/>
      <color theme="1"/>
      <name val="Segoe UI"/>
      <family val="2"/>
    </font>
    <font>
      <b/>
      <sz val="14"/>
      <color rgb="FFFF0000"/>
      <name val="Segoe UI"/>
      <family val="2"/>
    </font>
    <font>
      <b/>
      <sz val="14"/>
      <color theme="1"/>
      <name val="Segoe UI"/>
      <family val="2"/>
    </font>
    <font>
      <sz val="11"/>
      <name val="Segoe UI"/>
      <family val="2"/>
    </font>
    <font>
      <b/>
      <i/>
      <sz val="16"/>
      <color theme="0"/>
      <name val="Segoe UI"/>
      <family val="2"/>
    </font>
    <font>
      <b/>
      <sz val="11"/>
      <color theme="0"/>
      <name val="Segoe UI"/>
      <family val="2"/>
    </font>
    <font>
      <sz val="11"/>
      <color rgb="FF3F3F76"/>
      <name val="Calibri"/>
      <family val="2"/>
      <scheme val="minor"/>
    </font>
    <font>
      <b/>
      <sz val="14"/>
      <color rgb="FFFFCC99"/>
      <name val="Segoe UI"/>
      <family val="2"/>
    </font>
    <font>
      <b/>
      <sz val="11"/>
      <color rgb="FFFA7D00"/>
      <name val="Calibri"/>
      <family val="2"/>
      <scheme val="minor"/>
    </font>
    <font>
      <b/>
      <sz val="11"/>
      <color rgb="FF3F3F3F"/>
      <name val="Calibri"/>
      <family val="2"/>
      <scheme val="minor"/>
    </font>
    <font>
      <sz val="12"/>
      <color theme="1"/>
      <name val="Calibri"/>
      <family val="2"/>
      <scheme val="minor"/>
    </font>
    <font>
      <sz val="12"/>
      <color theme="1"/>
      <name val="Segoe UI"/>
      <family val="2"/>
    </font>
    <font>
      <vertAlign val="subscript"/>
      <sz val="12"/>
      <color theme="1"/>
      <name val="Calibri"/>
      <family val="2"/>
      <scheme val="minor"/>
    </font>
    <font>
      <sz val="12"/>
      <color theme="1"/>
      <name val="Calibri"/>
      <family val="2"/>
    </font>
    <font>
      <b/>
      <sz val="12"/>
      <color theme="0"/>
      <name val="Segoe UI"/>
      <family val="2"/>
    </font>
    <font>
      <sz val="12"/>
      <color rgb="FF3F3F76"/>
      <name val="Calibri"/>
      <family val="2"/>
      <scheme val="minor"/>
    </font>
    <font>
      <b/>
      <sz val="12"/>
      <color rgb="FF3F3F3F"/>
      <name val="Calibri"/>
      <family val="2"/>
      <scheme val="minor"/>
    </font>
    <font>
      <b/>
      <sz val="14"/>
      <color theme="0"/>
      <name val="Calibri"/>
      <family val="2"/>
      <scheme val="minor"/>
    </font>
    <font>
      <b/>
      <sz val="15"/>
      <color theme="3"/>
      <name val="Calibri"/>
      <family val="2"/>
      <scheme val="minor"/>
    </font>
    <font>
      <u/>
      <sz val="11"/>
      <color theme="10"/>
      <name val="Calibri"/>
      <family val="2"/>
      <scheme val="minor"/>
    </font>
    <font>
      <sz val="10"/>
      <color rgb="FF555555"/>
      <name val="Arial"/>
      <family val="2"/>
    </font>
    <font>
      <u/>
      <sz val="10"/>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C99"/>
      </patternFill>
    </fill>
    <fill>
      <patternFill patternType="solid">
        <fgColor rgb="FFF2F2F2"/>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6">
    <xf numFmtId="0" fontId="0" fillId="0" borderId="0"/>
    <xf numFmtId="0" fontId="12" fillId="4" borderId="12" applyNumberFormat="0" applyAlignment="0" applyProtection="0"/>
    <xf numFmtId="0" fontId="14" fillId="5" borderId="12" applyNumberFormat="0" applyAlignment="0" applyProtection="0"/>
    <xf numFmtId="0" fontId="15" fillId="5" borderId="15" applyNumberFormat="0" applyAlignment="0" applyProtection="0"/>
    <xf numFmtId="0" fontId="24" fillId="0" borderId="17" applyNumberFormat="0" applyFill="0" applyAlignment="0" applyProtection="0"/>
    <xf numFmtId="0" fontId="25" fillId="0" borderId="0" applyNumberFormat="0" applyFill="0" applyBorder="0" applyAlignment="0" applyProtection="0"/>
  </cellStyleXfs>
  <cellXfs count="67">
    <xf numFmtId="0" fontId="0" fillId="0" borderId="0" xfId="0"/>
    <xf numFmtId="0" fontId="3" fillId="0" borderId="0" xfId="0" applyFont="1"/>
    <xf numFmtId="0" fontId="2" fillId="0" borderId="0" xfId="0" applyFont="1"/>
    <xf numFmtId="11" fontId="0" fillId="0" borderId="0" xfId="0" applyNumberFormat="1"/>
    <xf numFmtId="0" fontId="0" fillId="0" borderId="2" xfId="0" applyBorder="1" applyAlignment="1">
      <alignment wrapText="1"/>
    </xf>
    <xf numFmtId="0" fontId="0" fillId="0" borderId="0" xfId="0" applyAlignment="1">
      <alignment wrapText="1"/>
    </xf>
    <xf numFmtId="0" fontId="14" fillId="5" borderId="12" xfId="2"/>
    <xf numFmtId="0" fontId="16" fillId="0" borderId="0" xfId="0" applyFont="1"/>
    <xf numFmtId="0" fontId="17" fillId="0" borderId="0" xfId="0" applyFont="1"/>
    <xf numFmtId="0" fontId="19" fillId="0" borderId="0" xfId="0" applyFont="1"/>
    <xf numFmtId="0" fontId="16" fillId="0" borderId="0" xfId="0" applyFont="1" applyAlignment="1">
      <alignment wrapText="1"/>
    </xf>
    <xf numFmtId="0" fontId="20" fillId="3" borderId="9" xfId="0" applyFont="1" applyFill="1" applyBorder="1"/>
    <xf numFmtId="0" fontId="20" fillId="3" borderId="13" xfId="0" applyFont="1" applyFill="1" applyBorder="1"/>
    <xf numFmtId="0" fontId="17" fillId="0" borderId="0" xfId="0" applyFont="1" applyAlignment="1">
      <alignment horizontal="right"/>
    </xf>
    <xf numFmtId="0" fontId="22" fillId="5" borderId="15" xfId="3" applyFont="1"/>
    <xf numFmtId="0" fontId="22" fillId="5" borderId="15" xfId="3" applyFont="1" applyAlignment="1">
      <alignment horizontal="center" vertical="center"/>
    </xf>
    <xf numFmtId="0" fontId="22" fillId="5" borderId="15" xfId="3" applyFont="1" applyAlignment="1">
      <alignment horizontal="right"/>
    </xf>
    <xf numFmtId="0" fontId="22" fillId="5" borderId="15" xfId="3" applyFont="1" applyProtection="1">
      <protection locked="0"/>
    </xf>
    <xf numFmtId="0" fontId="16" fillId="0" borderId="2" xfId="0" applyFont="1" applyBorder="1" applyAlignment="1">
      <alignment wrapText="1"/>
    </xf>
    <xf numFmtId="0" fontId="17" fillId="0" borderId="0" xfId="0" applyFont="1" applyAlignment="1">
      <alignment wrapText="1"/>
    </xf>
    <xf numFmtId="0" fontId="23" fillId="3" borderId="16" xfId="0" applyFont="1" applyFill="1" applyBorder="1"/>
    <xf numFmtId="0" fontId="23" fillId="3" borderId="16" xfId="0" applyFont="1" applyFill="1" applyBorder="1" applyAlignment="1">
      <alignment wrapText="1"/>
    </xf>
    <xf numFmtId="15" fontId="0" fillId="0" borderId="0" xfId="0" applyNumberFormat="1"/>
    <xf numFmtId="0" fontId="21" fillId="4" borderId="12" xfId="1" applyFont="1" applyAlignment="1" applyProtection="1">
      <alignment horizontal="left" wrapText="1"/>
      <protection locked="0"/>
    </xf>
    <xf numFmtId="0" fontId="21" fillId="4" borderId="12" xfId="1" applyFont="1" applyAlignment="1" applyProtection="1">
      <alignment wrapText="1"/>
      <protection locked="0"/>
    </xf>
    <xf numFmtId="0" fontId="21" fillId="4" borderId="12" xfId="1" applyFont="1" applyProtection="1">
      <protection locked="0"/>
    </xf>
    <xf numFmtId="0" fontId="21" fillId="4" borderId="12" xfId="1" applyNumberFormat="1" applyFont="1" applyProtection="1">
      <protection locked="0"/>
    </xf>
    <xf numFmtId="0" fontId="21" fillId="4" borderId="14" xfId="1" applyNumberFormat="1" applyFont="1" applyBorder="1" applyProtection="1">
      <protection locked="0"/>
    </xf>
    <xf numFmtId="0" fontId="24" fillId="0" borderId="17" xfId="4" applyAlignment="1">
      <alignment vertical="center" wrapText="1"/>
    </xf>
    <xf numFmtId="0" fontId="26" fillId="0" borderId="0" xfId="0" applyFont="1" applyAlignment="1">
      <alignment vertical="center" wrapText="1"/>
    </xf>
    <xf numFmtId="0" fontId="27" fillId="0" borderId="0" xfId="5" applyFont="1" applyAlignment="1">
      <alignment vertical="center" wrapText="1"/>
    </xf>
    <xf numFmtId="0" fontId="26" fillId="0" borderId="0" xfId="0" applyFont="1" applyAlignment="1">
      <alignment wrapText="1"/>
    </xf>
    <xf numFmtId="0" fontId="11" fillId="3" borderId="9" xfId="0" applyFont="1" applyFill="1" applyBorder="1"/>
    <xf numFmtId="0" fontId="11" fillId="3" borderId="10" xfId="0" applyFont="1" applyFill="1" applyBorder="1"/>
    <xf numFmtId="0" fontId="11" fillId="3" borderId="11" xfId="0" applyFont="1" applyFill="1" applyBorder="1"/>
    <xf numFmtId="0" fontId="20" fillId="3" borderId="9" xfId="0" applyFont="1" applyFill="1" applyBorder="1"/>
    <xf numFmtId="0" fontId="20" fillId="3" borderId="10" xfId="0" applyFont="1" applyFill="1" applyBorder="1"/>
    <xf numFmtId="0" fontId="20" fillId="3" borderId="11" xfId="0" applyFont="1" applyFill="1" applyBorder="1"/>
    <xf numFmtId="0" fontId="2" fillId="0" borderId="0" xfId="0" applyFont="1" applyAlignment="1">
      <alignment horizontal="center"/>
    </xf>
    <xf numFmtId="0" fontId="0" fillId="0" borderId="0" xfId="0"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cellXfs>
  <cellStyles count="6">
    <cellStyle name="Calculation" xfId="2" builtinId="22"/>
    <cellStyle name="Heading 1" xfId="4" builtinId="16"/>
    <cellStyle name="Hyperlink" xfId="5" builtinId="8"/>
    <cellStyle name="Input" xfId="1" builtinId="20"/>
    <cellStyle name="Normal" xfId="0" builtinId="0"/>
    <cellStyle name="Output" xfId="3" builtinId="2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Loop Gain and Phase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Loop Gain (dB)</c:v>
          </c:tx>
          <c:spPr>
            <a:ln w="19050" cap="rnd" cmpd="sng" algn="ctr">
              <a:solidFill>
                <a:schemeClr val="tx1"/>
              </a:solidFill>
              <a:prstDash val="solid"/>
              <a:round/>
            </a:ln>
            <a:effectLst/>
          </c:spPr>
          <c:marker>
            <c:symbol val="none"/>
          </c:marker>
          <c:xVal>
            <c:numRef>
              <c:f>'Loop Gain'!$Z$2:$Z$381</c:f>
              <c:numCache>
                <c:formatCode>General</c:formatCode>
                <c:ptCount val="380"/>
                <c:pt idx="0">
                  <c:v>0.15915494309189535</c:v>
                </c:pt>
                <c:pt idx="1">
                  <c:v>1.5915494309189535</c:v>
                </c:pt>
                <c:pt idx="2">
                  <c:v>3.183098861837907</c:v>
                </c:pt>
                <c:pt idx="3">
                  <c:v>4.7746482927568605</c:v>
                </c:pt>
                <c:pt idx="4">
                  <c:v>6.366197723675814</c:v>
                </c:pt>
                <c:pt idx="5">
                  <c:v>7.9577471545947667</c:v>
                </c:pt>
                <c:pt idx="6">
                  <c:v>9.5492965855137211</c:v>
                </c:pt>
                <c:pt idx="7">
                  <c:v>11.140846016432674</c:v>
                </c:pt>
                <c:pt idx="8">
                  <c:v>12.732395447351628</c:v>
                </c:pt>
                <c:pt idx="9">
                  <c:v>14.323944878270581</c:v>
                </c:pt>
                <c:pt idx="10">
                  <c:v>15.915494309189533</c:v>
                </c:pt>
                <c:pt idx="11">
                  <c:v>31.830988618379067</c:v>
                </c:pt>
                <c:pt idx="12">
                  <c:v>47.7464829275686</c:v>
                </c:pt>
                <c:pt idx="13">
                  <c:v>63.661977236758133</c:v>
                </c:pt>
                <c:pt idx="14">
                  <c:v>79.577471545947674</c:v>
                </c:pt>
                <c:pt idx="15">
                  <c:v>95.4929658551372</c:v>
                </c:pt>
                <c:pt idx="16">
                  <c:v>111.40846016432674</c:v>
                </c:pt>
                <c:pt idx="17">
                  <c:v>127.32395447351627</c:v>
                </c:pt>
                <c:pt idx="18">
                  <c:v>143.23944878270581</c:v>
                </c:pt>
                <c:pt idx="19">
                  <c:v>159.15494309189535</c:v>
                </c:pt>
                <c:pt idx="20">
                  <c:v>175.07043740108489</c:v>
                </c:pt>
                <c:pt idx="21">
                  <c:v>190.9859317102744</c:v>
                </c:pt>
                <c:pt idx="22">
                  <c:v>206.90142601946394</c:v>
                </c:pt>
                <c:pt idx="23">
                  <c:v>222.81692032865348</c:v>
                </c:pt>
                <c:pt idx="24">
                  <c:v>238.73241463784302</c:v>
                </c:pt>
                <c:pt idx="25">
                  <c:v>254.64790894703253</c:v>
                </c:pt>
                <c:pt idx="26">
                  <c:v>270.5634032562221</c:v>
                </c:pt>
                <c:pt idx="27">
                  <c:v>286.47889756541161</c:v>
                </c:pt>
                <c:pt idx="28">
                  <c:v>302.39439187460113</c:v>
                </c:pt>
                <c:pt idx="29">
                  <c:v>318.3098861837907</c:v>
                </c:pt>
                <c:pt idx="30">
                  <c:v>334.22538049298021</c:v>
                </c:pt>
                <c:pt idx="31">
                  <c:v>350.14087480216978</c:v>
                </c:pt>
                <c:pt idx="32">
                  <c:v>366.05636911135929</c:v>
                </c:pt>
                <c:pt idx="33">
                  <c:v>381.9718634205488</c:v>
                </c:pt>
                <c:pt idx="34">
                  <c:v>397.88735772973837</c:v>
                </c:pt>
                <c:pt idx="35">
                  <c:v>413.80285203892788</c:v>
                </c:pt>
                <c:pt idx="36">
                  <c:v>429.71834634811745</c:v>
                </c:pt>
                <c:pt idx="37">
                  <c:v>445.63384065730696</c:v>
                </c:pt>
                <c:pt idx="38">
                  <c:v>461.54933496649647</c:v>
                </c:pt>
                <c:pt idx="39">
                  <c:v>477.46482927568604</c:v>
                </c:pt>
                <c:pt idx="40">
                  <c:v>493.38032358487555</c:v>
                </c:pt>
                <c:pt idx="41">
                  <c:v>509.29581789406507</c:v>
                </c:pt>
                <c:pt idx="42">
                  <c:v>525.21131220325458</c:v>
                </c:pt>
                <c:pt idx="43">
                  <c:v>541.1268065124442</c:v>
                </c:pt>
                <c:pt idx="44">
                  <c:v>557.04230082163372</c:v>
                </c:pt>
                <c:pt idx="45">
                  <c:v>572.95779513082323</c:v>
                </c:pt>
                <c:pt idx="46">
                  <c:v>588.87328944001274</c:v>
                </c:pt>
                <c:pt idx="47">
                  <c:v>604.78878374920225</c:v>
                </c:pt>
                <c:pt idx="48">
                  <c:v>620.70427805839188</c:v>
                </c:pt>
                <c:pt idx="49">
                  <c:v>636.61977236758139</c:v>
                </c:pt>
                <c:pt idx="50">
                  <c:v>652.5352666767709</c:v>
                </c:pt>
                <c:pt idx="51">
                  <c:v>668.45076098596041</c:v>
                </c:pt>
                <c:pt idx="52">
                  <c:v>684.36625529514993</c:v>
                </c:pt>
                <c:pt idx="53">
                  <c:v>700.28174960433955</c:v>
                </c:pt>
                <c:pt idx="54">
                  <c:v>716.19724391352906</c:v>
                </c:pt>
                <c:pt idx="55">
                  <c:v>732.11273822271858</c:v>
                </c:pt>
                <c:pt idx="56">
                  <c:v>748.02823253190809</c:v>
                </c:pt>
                <c:pt idx="57">
                  <c:v>763.9437268410976</c:v>
                </c:pt>
                <c:pt idx="58">
                  <c:v>779.85922115028723</c:v>
                </c:pt>
                <c:pt idx="59">
                  <c:v>795.77471545947674</c:v>
                </c:pt>
                <c:pt idx="60">
                  <c:v>811.69020976866625</c:v>
                </c:pt>
                <c:pt idx="61">
                  <c:v>827.60570407785576</c:v>
                </c:pt>
                <c:pt idx="62">
                  <c:v>843.52119838704527</c:v>
                </c:pt>
                <c:pt idx="63">
                  <c:v>859.4366926962349</c:v>
                </c:pt>
                <c:pt idx="64">
                  <c:v>875.35218700542441</c:v>
                </c:pt>
                <c:pt idx="65">
                  <c:v>891.26768131461392</c:v>
                </c:pt>
                <c:pt idx="66">
                  <c:v>907.18317562380344</c:v>
                </c:pt>
                <c:pt idx="67">
                  <c:v>923.09866993299295</c:v>
                </c:pt>
                <c:pt idx="68">
                  <c:v>939.01416424218257</c:v>
                </c:pt>
                <c:pt idx="69">
                  <c:v>954.92965855137209</c:v>
                </c:pt>
                <c:pt idx="70">
                  <c:v>970.8451528605616</c:v>
                </c:pt>
                <c:pt idx="71">
                  <c:v>986.76064716975111</c:v>
                </c:pt>
                <c:pt idx="72">
                  <c:v>1002.6761414789406</c:v>
                </c:pt>
                <c:pt idx="73">
                  <c:v>1018.5916357881301</c:v>
                </c:pt>
                <c:pt idx="74">
                  <c:v>1034.5071300973198</c:v>
                </c:pt>
                <c:pt idx="75">
                  <c:v>1050.4226244065092</c:v>
                </c:pt>
                <c:pt idx="76">
                  <c:v>1066.3381187156988</c:v>
                </c:pt>
                <c:pt idx="77">
                  <c:v>1082.2536130248884</c:v>
                </c:pt>
                <c:pt idx="78">
                  <c:v>1098.1691073340778</c:v>
                </c:pt>
                <c:pt idx="79">
                  <c:v>1114.0846016432674</c:v>
                </c:pt>
                <c:pt idx="80">
                  <c:v>1130.0000959524568</c:v>
                </c:pt>
                <c:pt idx="81">
                  <c:v>1145.9155902616465</c:v>
                </c:pt>
                <c:pt idx="82">
                  <c:v>1161.8310845708361</c:v>
                </c:pt>
                <c:pt idx="83">
                  <c:v>1177.7465788800255</c:v>
                </c:pt>
                <c:pt idx="84">
                  <c:v>1193.6620731892151</c:v>
                </c:pt>
                <c:pt idx="85">
                  <c:v>1209.5775674984045</c:v>
                </c:pt>
                <c:pt idx="86">
                  <c:v>1225.4930618075941</c:v>
                </c:pt>
                <c:pt idx="87">
                  <c:v>1241.4085561167838</c:v>
                </c:pt>
                <c:pt idx="88">
                  <c:v>1257.3240504259732</c:v>
                </c:pt>
                <c:pt idx="89">
                  <c:v>1273.2395447351628</c:v>
                </c:pt>
                <c:pt idx="90">
                  <c:v>1289.1550390443522</c:v>
                </c:pt>
                <c:pt idx="91">
                  <c:v>1305.0705333535418</c:v>
                </c:pt>
                <c:pt idx="92">
                  <c:v>1320.9860276627314</c:v>
                </c:pt>
                <c:pt idx="93">
                  <c:v>1336.9015219719208</c:v>
                </c:pt>
                <c:pt idx="94">
                  <c:v>1352.8170162811105</c:v>
                </c:pt>
                <c:pt idx="95">
                  <c:v>1368.7325105902999</c:v>
                </c:pt>
                <c:pt idx="96">
                  <c:v>1384.6480048994895</c:v>
                </c:pt>
                <c:pt idx="97">
                  <c:v>1400.5634992086791</c:v>
                </c:pt>
                <c:pt idx="98">
                  <c:v>1416.4789935178685</c:v>
                </c:pt>
                <c:pt idx="99">
                  <c:v>1432.3944878270581</c:v>
                </c:pt>
                <c:pt idx="100">
                  <c:v>1448.3099821362475</c:v>
                </c:pt>
                <c:pt idx="101">
                  <c:v>1464.2254764454372</c:v>
                </c:pt>
                <c:pt idx="102">
                  <c:v>1480.1409707546268</c:v>
                </c:pt>
                <c:pt idx="103">
                  <c:v>1496.0564650638162</c:v>
                </c:pt>
                <c:pt idx="104">
                  <c:v>1511.9719593730058</c:v>
                </c:pt>
                <c:pt idx="105">
                  <c:v>1527.8874536821952</c:v>
                </c:pt>
                <c:pt idx="106">
                  <c:v>1543.8029479913848</c:v>
                </c:pt>
                <c:pt idx="107">
                  <c:v>1559.7184423005745</c:v>
                </c:pt>
                <c:pt idx="108">
                  <c:v>1575.6339366097639</c:v>
                </c:pt>
                <c:pt idx="109">
                  <c:v>1591.5494309189535</c:v>
                </c:pt>
                <c:pt idx="110">
                  <c:v>1750.7043740108488</c:v>
                </c:pt>
                <c:pt idx="111">
                  <c:v>1909.8593171027442</c:v>
                </c:pt>
                <c:pt idx="112">
                  <c:v>2069.0142601946395</c:v>
                </c:pt>
                <c:pt idx="113">
                  <c:v>2228.1692032865349</c:v>
                </c:pt>
                <c:pt idx="114">
                  <c:v>2387.3241463784302</c:v>
                </c:pt>
                <c:pt idx="115">
                  <c:v>2546.4790894703256</c:v>
                </c:pt>
                <c:pt idx="116">
                  <c:v>2705.6340325622209</c:v>
                </c:pt>
                <c:pt idx="117">
                  <c:v>2864.7889756541163</c:v>
                </c:pt>
                <c:pt idx="118">
                  <c:v>3023.9439187460116</c:v>
                </c:pt>
                <c:pt idx="119">
                  <c:v>3183.098861837907</c:v>
                </c:pt>
                <c:pt idx="120">
                  <c:v>3342.2538049298023</c:v>
                </c:pt>
                <c:pt idx="121">
                  <c:v>3501.4087480216976</c:v>
                </c:pt>
                <c:pt idx="122">
                  <c:v>3660.563691113593</c:v>
                </c:pt>
                <c:pt idx="123">
                  <c:v>3819.7186342054883</c:v>
                </c:pt>
                <c:pt idx="124">
                  <c:v>3978.8735772973837</c:v>
                </c:pt>
                <c:pt idx="125">
                  <c:v>4138.028520389279</c:v>
                </c:pt>
                <c:pt idx="126">
                  <c:v>4297.1834634811739</c:v>
                </c:pt>
                <c:pt idx="127">
                  <c:v>4456.3384065730697</c:v>
                </c:pt>
                <c:pt idx="128">
                  <c:v>4615.4933496649646</c:v>
                </c:pt>
                <c:pt idx="129">
                  <c:v>4774.6482927568604</c:v>
                </c:pt>
                <c:pt idx="130">
                  <c:v>4933.8032358487553</c:v>
                </c:pt>
                <c:pt idx="131">
                  <c:v>5092.9581789406511</c:v>
                </c:pt>
                <c:pt idx="132">
                  <c:v>5252.113122032546</c:v>
                </c:pt>
                <c:pt idx="133">
                  <c:v>5411.2680651244418</c:v>
                </c:pt>
                <c:pt idx="134">
                  <c:v>5570.4230082163367</c:v>
                </c:pt>
                <c:pt idx="135">
                  <c:v>5729.5779513082325</c:v>
                </c:pt>
                <c:pt idx="136">
                  <c:v>5888.7328944001274</c:v>
                </c:pt>
                <c:pt idx="137">
                  <c:v>6047.8878374920232</c:v>
                </c:pt>
                <c:pt idx="138">
                  <c:v>6207.0427805839181</c:v>
                </c:pt>
                <c:pt idx="139">
                  <c:v>6366.1977236758139</c:v>
                </c:pt>
                <c:pt idx="140">
                  <c:v>6525.3526667677088</c:v>
                </c:pt>
                <c:pt idx="141">
                  <c:v>6684.5076098596046</c:v>
                </c:pt>
                <c:pt idx="142">
                  <c:v>6843.6625529514995</c:v>
                </c:pt>
                <c:pt idx="143">
                  <c:v>7002.8174960433953</c:v>
                </c:pt>
                <c:pt idx="144">
                  <c:v>7161.9724391352902</c:v>
                </c:pt>
                <c:pt idx="145">
                  <c:v>7321.127382227186</c:v>
                </c:pt>
                <c:pt idx="146">
                  <c:v>7480.2823253190809</c:v>
                </c:pt>
                <c:pt idx="147">
                  <c:v>7639.4372684109767</c:v>
                </c:pt>
                <c:pt idx="148">
                  <c:v>7798.5922115028716</c:v>
                </c:pt>
                <c:pt idx="149">
                  <c:v>7957.7471545947674</c:v>
                </c:pt>
                <c:pt idx="150">
                  <c:v>8116.9020976866623</c:v>
                </c:pt>
                <c:pt idx="151">
                  <c:v>8276.0570407785581</c:v>
                </c:pt>
                <c:pt idx="152">
                  <c:v>8435.211983870453</c:v>
                </c:pt>
                <c:pt idx="153">
                  <c:v>8594.3669269623479</c:v>
                </c:pt>
                <c:pt idx="154">
                  <c:v>8753.5218700542446</c:v>
                </c:pt>
                <c:pt idx="155">
                  <c:v>8912.6768131461395</c:v>
                </c:pt>
                <c:pt idx="156">
                  <c:v>9071.8317562380344</c:v>
                </c:pt>
                <c:pt idx="157">
                  <c:v>9230.9866993299293</c:v>
                </c:pt>
                <c:pt idx="158">
                  <c:v>9390.141642421826</c:v>
                </c:pt>
                <c:pt idx="159">
                  <c:v>9549.2965855137209</c:v>
                </c:pt>
                <c:pt idx="160">
                  <c:v>9708.4515286056157</c:v>
                </c:pt>
                <c:pt idx="161">
                  <c:v>9867.6064716975106</c:v>
                </c:pt>
                <c:pt idx="162">
                  <c:v>10026.761414789407</c:v>
                </c:pt>
                <c:pt idx="163">
                  <c:v>10185.916357881302</c:v>
                </c:pt>
                <c:pt idx="164">
                  <c:v>10345.071300973197</c:v>
                </c:pt>
                <c:pt idx="165">
                  <c:v>10504.226244065092</c:v>
                </c:pt>
                <c:pt idx="166">
                  <c:v>10663.381187156989</c:v>
                </c:pt>
                <c:pt idx="167">
                  <c:v>10822.536130248884</c:v>
                </c:pt>
                <c:pt idx="168">
                  <c:v>10981.691073340779</c:v>
                </c:pt>
                <c:pt idx="169">
                  <c:v>11140.846016432673</c:v>
                </c:pt>
                <c:pt idx="170">
                  <c:v>11300.00095952457</c:v>
                </c:pt>
                <c:pt idx="171">
                  <c:v>11459.155902616465</c:v>
                </c:pt>
                <c:pt idx="172">
                  <c:v>11618.31084570836</c:v>
                </c:pt>
                <c:pt idx="173">
                  <c:v>11777.465788800255</c:v>
                </c:pt>
                <c:pt idx="174">
                  <c:v>11936.620731892152</c:v>
                </c:pt>
                <c:pt idx="175">
                  <c:v>12095.775674984046</c:v>
                </c:pt>
                <c:pt idx="176">
                  <c:v>12254.930618075941</c:v>
                </c:pt>
                <c:pt idx="177">
                  <c:v>12414.085561167836</c:v>
                </c:pt>
                <c:pt idx="178">
                  <c:v>12573.240504259733</c:v>
                </c:pt>
                <c:pt idx="179">
                  <c:v>12732.395447351628</c:v>
                </c:pt>
                <c:pt idx="180">
                  <c:v>12891.550390443523</c:v>
                </c:pt>
                <c:pt idx="181">
                  <c:v>13050.705333535418</c:v>
                </c:pt>
                <c:pt idx="182">
                  <c:v>13209.860276627312</c:v>
                </c:pt>
                <c:pt idx="183">
                  <c:v>13369.015219719209</c:v>
                </c:pt>
                <c:pt idx="184">
                  <c:v>13528.170162811104</c:v>
                </c:pt>
                <c:pt idx="185">
                  <c:v>13687.325105902999</c:v>
                </c:pt>
                <c:pt idx="186">
                  <c:v>13846.480048994894</c:v>
                </c:pt>
                <c:pt idx="187">
                  <c:v>14005.634992086791</c:v>
                </c:pt>
                <c:pt idx="188">
                  <c:v>14164.789935178685</c:v>
                </c:pt>
                <c:pt idx="189">
                  <c:v>14323.94487827058</c:v>
                </c:pt>
                <c:pt idx="190">
                  <c:v>14483.099821362475</c:v>
                </c:pt>
                <c:pt idx="191">
                  <c:v>14642.254764454372</c:v>
                </c:pt>
                <c:pt idx="192">
                  <c:v>14801.409707546267</c:v>
                </c:pt>
                <c:pt idx="193">
                  <c:v>14960.564650638162</c:v>
                </c:pt>
                <c:pt idx="194">
                  <c:v>15119.719593730057</c:v>
                </c:pt>
                <c:pt idx="195">
                  <c:v>15278.874536821953</c:v>
                </c:pt>
                <c:pt idx="196">
                  <c:v>15438.029479913848</c:v>
                </c:pt>
                <c:pt idx="197">
                  <c:v>15597.184423005743</c:v>
                </c:pt>
                <c:pt idx="198">
                  <c:v>15756.339366097638</c:v>
                </c:pt>
                <c:pt idx="199">
                  <c:v>15915.494309189535</c:v>
                </c:pt>
                <c:pt idx="200">
                  <c:v>17507.043740108489</c:v>
                </c:pt>
                <c:pt idx="201">
                  <c:v>19098.593171027442</c:v>
                </c:pt>
                <c:pt idx="202">
                  <c:v>20690.142601946394</c:v>
                </c:pt>
                <c:pt idx="203">
                  <c:v>22281.692032865347</c:v>
                </c:pt>
                <c:pt idx="204">
                  <c:v>23873.241463784303</c:v>
                </c:pt>
                <c:pt idx="205">
                  <c:v>25464.790894703256</c:v>
                </c:pt>
                <c:pt idx="206">
                  <c:v>27056.340325622208</c:v>
                </c:pt>
                <c:pt idx="207">
                  <c:v>28647.889756541161</c:v>
                </c:pt>
                <c:pt idx="208">
                  <c:v>30239.439187460113</c:v>
                </c:pt>
                <c:pt idx="209">
                  <c:v>31830.98861837907</c:v>
                </c:pt>
                <c:pt idx="210">
                  <c:v>33422.538049298018</c:v>
                </c:pt>
                <c:pt idx="211">
                  <c:v>35014.087480216978</c:v>
                </c:pt>
                <c:pt idx="212">
                  <c:v>36605.636911135931</c:v>
                </c:pt>
                <c:pt idx="213">
                  <c:v>38197.186342054883</c:v>
                </c:pt>
                <c:pt idx="214">
                  <c:v>39788.735772973836</c:v>
                </c:pt>
                <c:pt idx="215">
                  <c:v>41380.285203892789</c:v>
                </c:pt>
                <c:pt idx="216">
                  <c:v>42971.834634811741</c:v>
                </c:pt>
                <c:pt idx="217">
                  <c:v>44563.384065730694</c:v>
                </c:pt>
                <c:pt idx="218">
                  <c:v>46154.933496649646</c:v>
                </c:pt>
                <c:pt idx="219">
                  <c:v>47746.482927568606</c:v>
                </c:pt>
                <c:pt idx="220">
                  <c:v>49338.032358487559</c:v>
                </c:pt>
                <c:pt idx="221">
                  <c:v>50929.581789406511</c:v>
                </c:pt>
                <c:pt idx="222">
                  <c:v>52521.131220325464</c:v>
                </c:pt>
                <c:pt idx="223">
                  <c:v>54112.680651244416</c:v>
                </c:pt>
                <c:pt idx="224">
                  <c:v>55704.230082163369</c:v>
                </c:pt>
                <c:pt idx="225">
                  <c:v>57295.779513082322</c:v>
                </c:pt>
                <c:pt idx="226">
                  <c:v>58887.328944001274</c:v>
                </c:pt>
                <c:pt idx="227">
                  <c:v>60478.878374920227</c:v>
                </c:pt>
                <c:pt idx="228">
                  <c:v>62070.427805839186</c:v>
                </c:pt>
                <c:pt idx="229">
                  <c:v>63661.977236758139</c:v>
                </c:pt>
                <c:pt idx="230">
                  <c:v>65253.526667677092</c:v>
                </c:pt>
                <c:pt idx="231">
                  <c:v>66845.076098596037</c:v>
                </c:pt>
                <c:pt idx="232">
                  <c:v>68436.625529515004</c:v>
                </c:pt>
                <c:pt idx="233">
                  <c:v>70028.174960433957</c:v>
                </c:pt>
                <c:pt idx="234">
                  <c:v>71619.724391352909</c:v>
                </c:pt>
                <c:pt idx="235">
                  <c:v>73211.273822271862</c:v>
                </c:pt>
                <c:pt idx="236">
                  <c:v>74802.823253190814</c:v>
                </c:pt>
                <c:pt idx="237">
                  <c:v>76394.372684109767</c:v>
                </c:pt>
                <c:pt idx="238">
                  <c:v>77985.922115028719</c:v>
                </c:pt>
                <c:pt idx="239">
                  <c:v>79577.471545947672</c:v>
                </c:pt>
                <c:pt idx="240">
                  <c:v>81169.020976866625</c:v>
                </c:pt>
                <c:pt idx="241">
                  <c:v>82760.570407785577</c:v>
                </c:pt>
                <c:pt idx="242">
                  <c:v>84352.11983870453</c:v>
                </c:pt>
                <c:pt idx="243">
                  <c:v>85943.669269623482</c:v>
                </c:pt>
                <c:pt idx="244">
                  <c:v>87535.218700542435</c:v>
                </c:pt>
                <c:pt idx="245">
                  <c:v>89126.768131461387</c:v>
                </c:pt>
                <c:pt idx="246">
                  <c:v>90718.31756238034</c:v>
                </c:pt>
                <c:pt idx="247">
                  <c:v>92309.866993299293</c:v>
                </c:pt>
                <c:pt idx="248">
                  <c:v>93901.416424218245</c:v>
                </c:pt>
                <c:pt idx="249">
                  <c:v>95492.965855137212</c:v>
                </c:pt>
                <c:pt idx="250">
                  <c:v>97084.515286056165</c:v>
                </c:pt>
                <c:pt idx="251">
                  <c:v>98676.064716975117</c:v>
                </c:pt>
                <c:pt idx="252">
                  <c:v>100267.61414789407</c:v>
                </c:pt>
                <c:pt idx="253">
                  <c:v>101859.16357881302</c:v>
                </c:pt>
                <c:pt idx="254">
                  <c:v>103450.71300973198</c:v>
                </c:pt>
                <c:pt idx="255">
                  <c:v>105042.26244065093</c:v>
                </c:pt>
                <c:pt idx="256">
                  <c:v>106633.81187156988</c:v>
                </c:pt>
                <c:pt idx="257">
                  <c:v>108225.36130248883</c:v>
                </c:pt>
                <c:pt idx="258">
                  <c:v>109816.91073340779</c:v>
                </c:pt>
                <c:pt idx="259">
                  <c:v>111408.46016432674</c:v>
                </c:pt>
                <c:pt idx="260">
                  <c:v>113000.00959524569</c:v>
                </c:pt>
                <c:pt idx="261">
                  <c:v>114591.55902616464</c:v>
                </c:pt>
                <c:pt idx="262">
                  <c:v>116183.1084570836</c:v>
                </c:pt>
                <c:pt idx="263">
                  <c:v>117774.65788800255</c:v>
                </c:pt>
                <c:pt idx="264">
                  <c:v>119366.2073189215</c:v>
                </c:pt>
                <c:pt idx="265">
                  <c:v>120957.75674984045</c:v>
                </c:pt>
                <c:pt idx="266">
                  <c:v>122549.30618075942</c:v>
                </c:pt>
                <c:pt idx="267">
                  <c:v>124140.85561167837</c:v>
                </c:pt>
                <c:pt idx="268">
                  <c:v>125732.40504259733</c:v>
                </c:pt>
                <c:pt idx="269">
                  <c:v>127323.95447351628</c:v>
                </c:pt>
                <c:pt idx="270">
                  <c:v>128915.50390443523</c:v>
                </c:pt>
                <c:pt idx="271">
                  <c:v>130507.05333535418</c:v>
                </c:pt>
                <c:pt idx="272">
                  <c:v>132098.60276627314</c:v>
                </c:pt>
                <c:pt idx="273">
                  <c:v>133690.15219719207</c:v>
                </c:pt>
                <c:pt idx="274">
                  <c:v>135281.70162811104</c:v>
                </c:pt>
                <c:pt idx="275">
                  <c:v>136873.25105903001</c:v>
                </c:pt>
                <c:pt idx="276">
                  <c:v>138464.80048994895</c:v>
                </c:pt>
                <c:pt idx="277">
                  <c:v>140056.34992086791</c:v>
                </c:pt>
                <c:pt idx="278">
                  <c:v>141647.89935178685</c:v>
                </c:pt>
                <c:pt idx="279">
                  <c:v>143239.44878270582</c:v>
                </c:pt>
                <c:pt idx="280">
                  <c:v>144830.99821362476</c:v>
                </c:pt>
                <c:pt idx="281">
                  <c:v>146422.54764454372</c:v>
                </c:pt>
                <c:pt idx="282">
                  <c:v>148014.09707546266</c:v>
                </c:pt>
                <c:pt idx="283">
                  <c:v>149605.64650638163</c:v>
                </c:pt>
                <c:pt idx="284">
                  <c:v>151197.19593730057</c:v>
                </c:pt>
                <c:pt idx="285">
                  <c:v>152788.74536821953</c:v>
                </c:pt>
                <c:pt idx="286">
                  <c:v>154380.29479913847</c:v>
                </c:pt>
                <c:pt idx="287">
                  <c:v>155971.84423005744</c:v>
                </c:pt>
                <c:pt idx="288">
                  <c:v>157563.39366097638</c:v>
                </c:pt>
                <c:pt idx="289">
                  <c:v>159154.94309189534</c:v>
                </c:pt>
                <c:pt idx="290">
                  <c:v>175070.43740108487</c:v>
                </c:pt>
                <c:pt idx="291">
                  <c:v>190985.93171027442</c:v>
                </c:pt>
                <c:pt idx="292">
                  <c:v>206901.42601946395</c:v>
                </c:pt>
                <c:pt idx="293">
                  <c:v>222816.92032865348</c:v>
                </c:pt>
                <c:pt idx="294">
                  <c:v>238732.414637843</c:v>
                </c:pt>
                <c:pt idx="295">
                  <c:v>254647.90894703256</c:v>
                </c:pt>
                <c:pt idx="296">
                  <c:v>270563.40325622208</c:v>
                </c:pt>
                <c:pt idx="297">
                  <c:v>286478.89756541164</c:v>
                </c:pt>
                <c:pt idx="298">
                  <c:v>302394.39187460113</c:v>
                </c:pt>
                <c:pt idx="299">
                  <c:v>318309.88618379069</c:v>
                </c:pt>
                <c:pt idx="300">
                  <c:v>334225.38049298024</c:v>
                </c:pt>
                <c:pt idx="301">
                  <c:v>350140.87480216974</c:v>
                </c:pt>
                <c:pt idx="302">
                  <c:v>366056.36911135929</c:v>
                </c:pt>
                <c:pt idx="303">
                  <c:v>381971.86342054885</c:v>
                </c:pt>
                <c:pt idx="304">
                  <c:v>397887.35772973835</c:v>
                </c:pt>
                <c:pt idx="305">
                  <c:v>413802.8520389279</c:v>
                </c:pt>
                <c:pt idx="306">
                  <c:v>429718.3463481174</c:v>
                </c:pt>
                <c:pt idx="307">
                  <c:v>445633.84065730695</c:v>
                </c:pt>
                <c:pt idx="308">
                  <c:v>461549.33496649651</c:v>
                </c:pt>
                <c:pt idx="309">
                  <c:v>477464.829275686</c:v>
                </c:pt>
                <c:pt idx="310">
                  <c:v>493380.32358487556</c:v>
                </c:pt>
                <c:pt idx="311">
                  <c:v>509295.81789406511</c:v>
                </c:pt>
                <c:pt idx="312">
                  <c:v>525211.31220325467</c:v>
                </c:pt>
                <c:pt idx="313">
                  <c:v>541126.80651244416</c:v>
                </c:pt>
                <c:pt idx="314">
                  <c:v>557042.30082163366</c:v>
                </c:pt>
                <c:pt idx="315">
                  <c:v>572957.79513082327</c:v>
                </c:pt>
                <c:pt idx="316">
                  <c:v>588873.28944001277</c:v>
                </c:pt>
                <c:pt idx="317">
                  <c:v>604788.78374920227</c:v>
                </c:pt>
                <c:pt idx="318">
                  <c:v>620704.27805839188</c:v>
                </c:pt>
                <c:pt idx="319">
                  <c:v>636619.77236758138</c:v>
                </c:pt>
                <c:pt idx="320">
                  <c:v>652535.26667677087</c:v>
                </c:pt>
                <c:pt idx="321">
                  <c:v>668450.76098596049</c:v>
                </c:pt>
                <c:pt idx="322">
                  <c:v>684366.25529514998</c:v>
                </c:pt>
                <c:pt idx="323">
                  <c:v>700281.74960433948</c:v>
                </c:pt>
                <c:pt idx="324">
                  <c:v>716197.24391352909</c:v>
                </c:pt>
                <c:pt idx="325">
                  <c:v>732112.73822271859</c:v>
                </c:pt>
                <c:pt idx="326">
                  <c:v>748028.23253190808</c:v>
                </c:pt>
                <c:pt idx="327">
                  <c:v>763943.7268410977</c:v>
                </c:pt>
                <c:pt idx="328">
                  <c:v>779859.22115028719</c:v>
                </c:pt>
                <c:pt idx="329">
                  <c:v>795774.71545947669</c:v>
                </c:pt>
                <c:pt idx="330">
                  <c:v>811690.20976866619</c:v>
                </c:pt>
                <c:pt idx="331">
                  <c:v>827605.7040778558</c:v>
                </c:pt>
                <c:pt idx="332">
                  <c:v>843521.1983870453</c:v>
                </c:pt>
                <c:pt idx="333">
                  <c:v>859436.69269623479</c:v>
                </c:pt>
                <c:pt idx="334">
                  <c:v>875352.18700542441</c:v>
                </c:pt>
                <c:pt idx="335">
                  <c:v>891267.6813146139</c:v>
                </c:pt>
                <c:pt idx="336">
                  <c:v>907183.1756238034</c:v>
                </c:pt>
                <c:pt idx="337">
                  <c:v>923098.66993299301</c:v>
                </c:pt>
                <c:pt idx="338">
                  <c:v>939014.16424218251</c:v>
                </c:pt>
                <c:pt idx="339">
                  <c:v>954929.65855137201</c:v>
                </c:pt>
                <c:pt idx="340">
                  <c:v>970845.15286056162</c:v>
                </c:pt>
                <c:pt idx="341">
                  <c:v>986760.64716975112</c:v>
                </c:pt>
                <c:pt idx="342">
                  <c:v>1002676.1414789406</c:v>
                </c:pt>
                <c:pt idx="343">
                  <c:v>1018591.6357881302</c:v>
                </c:pt>
                <c:pt idx="344">
                  <c:v>1034507.1300973197</c:v>
                </c:pt>
                <c:pt idx="345">
                  <c:v>1050422.6244065093</c:v>
                </c:pt>
                <c:pt idx="346">
                  <c:v>1066338.1187156988</c:v>
                </c:pt>
                <c:pt idx="347">
                  <c:v>1082253.6130248883</c:v>
                </c:pt>
                <c:pt idx="348">
                  <c:v>1098169.1073340778</c:v>
                </c:pt>
                <c:pt idx="349">
                  <c:v>1114084.6016432673</c:v>
                </c:pt>
                <c:pt idx="350">
                  <c:v>1130000.0959524568</c:v>
                </c:pt>
                <c:pt idx="351">
                  <c:v>1145915.5902616465</c:v>
                </c:pt>
                <c:pt idx="352">
                  <c:v>1161831.084570836</c:v>
                </c:pt>
                <c:pt idx="353">
                  <c:v>1177746.5788800255</c:v>
                </c:pt>
                <c:pt idx="354">
                  <c:v>1193662.073189215</c:v>
                </c:pt>
                <c:pt idx="355">
                  <c:v>1209577.5674984045</c:v>
                </c:pt>
                <c:pt idx="356">
                  <c:v>1225493.061807594</c:v>
                </c:pt>
                <c:pt idx="357">
                  <c:v>1241408.5561167838</c:v>
                </c:pt>
                <c:pt idx="358">
                  <c:v>1257324.0504259733</c:v>
                </c:pt>
                <c:pt idx="359">
                  <c:v>1273239.5447351628</c:v>
                </c:pt>
                <c:pt idx="360">
                  <c:v>1289155.0390443522</c:v>
                </c:pt>
                <c:pt idx="361">
                  <c:v>1305070.5333535417</c:v>
                </c:pt>
                <c:pt idx="362">
                  <c:v>1320986.0276627312</c:v>
                </c:pt>
                <c:pt idx="363">
                  <c:v>1336901.521971921</c:v>
                </c:pt>
                <c:pt idx="364">
                  <c:v>1352817.0162811105</c:v>
                </c:pt>
                <c:pt idx="365">
                  <c:v>1368732.5105903</c:v>
                </c:pt>
                <c:pt idx="366">
                  <c:v>1384648.0048994895</c:v>
                </c:pt>
                <c:pt idx="367">
                  <c:v>1400563.499208679</c:v>
                </c:pt>
                <c:pt idx="368">
                  <c:v>1416478.9935178685</c:v>
                </c:pt>
                <c:pt idx="369">
                  <c:v>1432394.4878270582</c:v>
                </c:pt>
                <c:pt idx="370">
                  <c:v>1448309.9821362477</c:v>
                </c:pt>
                <c:pt idx="371">
                  <c:v>1464225.4764454372</c:v>
                </c:pt>
                <c:pt idx="372">
                  <c:v>1480140.9707546267</c:v>
                </c:pt>
                <c:pt idx="373">
                  <c:v>1496056.4650638162</c:v>
                </c:pt>
                <c:pt idx="374">
                  <c:v>1511971.9593730057</c:v>
                </c:pt>
                <c:pt idx="375">
                  <c:v>1527887.4536821954</c:v>
                </c:pt>
                <c:pt idx="376">
                  <c:v>1543802.9479913849</c:v>
                </c:pt>
                <c:pt idx="377">
                  <c:v>1559718.4423005744</c:v>
                </c:pt>
                <c:pt idx="378">
                  <c:v>1575633.9366097639</c:v>
                </c:pt>
                <c:pt idx="379">
                  <c:v>1591549.4309189534</c:v>
                </c:pt>
              </c:numCache>
            </c:numRef>
          </c:xVal>
          <c:yVal>
            <c:numRef>
              <c:f>'Loop Gain'!$AA$2:$AA$381</c:f>
              <c:numCache>
                <c:formatCode>General</c:formatCode>
                <c:ptCount val="380"/>
                <c:pt idx="0">
                  <c:v>94.780353648439331</c:v>
                </c:pt>
                <c:pt idx="1">
                  <c:v>74.777414315035088</c:v>
                </c:pt>
                <c:pt idx="2">
                  <c:v>68.747919481597933</c:v>
                </c:pt>
                <c:pt idx="3">
                  <c:v>65.211309871850716</c:v>
                </c:pt>
                <c:pt idx="4">
                  <c:v>62.691921283928025</c:v>
                </c:pt>
                <c:pt idx="5">
                  <c:v>60.727360719388102</c:v>
                </c:pt>
                <c:pt idx="6">
                  <c:v>59.111733824038595</c:v>
                </c:pt>
                <c:pt idx="7">
                  <c:v>57.735279607954254</c:v>
                </c:pt>
                <c:pt idx="8">
                  <c:v>56.532549876752768</c:v>
                </c:pt>
                <c:pt idx="9">
                  <c:v>55.461397442436649</c:v>
                </c:pt>
                <c:pt idx="10">
                  <c:v>54.493110813110604</c:v>
                </c:pt>
                <c:pt idx="11">
                  <c:v>47.70984898564835</c:v>
                </c:pt>
                <c:pt idx="12">
                  <c:v>43.15583570333979</c:v>
                </c:pt>
                <c:pt idx="13">
                  <c:v>39.531239981320653</c:v>
                </c:pt>
                <c:pt idx="14">
                  <c:v>36.476022796926557</c:v>
                </c:pt>
                <c:pt idx="15">
                  <c:v>33.831024967590743</c:v>
                </c:pt>
                <c:pt idx="16">
                  <c:v>31.50268180834054</c:v>
                </c:pt>
                <c:pt idx="17">
                  <c:v>29.427340684334503</c:v>
                </c:pt>
                <c:pt idx="18">
                  <c:v>27.558593089848152</c:v>
                </c:pt>
                <c:pt idx="19">
                  <c:v>25.861343450808615</c:v>
                </c:pt>
                <c:pt idx="20">
                  <c:v>24.308421719395326</c:v>
                </c:pt>
                <c:pt idx="21">
                  <c:v>22.878415743699591</c:v>
                </c:pt>
                <c:pt idx="22">
                  <c:v>21.55419720219917</c:v>
                </c:pt>
                <c:pt idx="23">
                  <c:v>20.321883389006519</c:v>
                </c:pt>
                <c:pt idx="24">
                  <c:v>19.170088606960817</c:v>
                </c:pt>
                <c:pt idx="25">
                  <c:v>18.089374527563464</c:v>
                </c:pt>
                <c:pt idx="26">
                  <c:v>17.071840401222335</c:v>
                </c:pt>
                <c:pt idx="27">
                  <c:v>16.110813326989398</c:v>
                </c:pt>
                <c:pt idx="28">
                  <c:v>15.200611203103964</c:v>
                </c:pt>
                <c:pt idx="29">
                  <c:v>14.336359191415522</c:v>
                </c:pt>
                <c:pt idx="30">
                  <c:v>13.513846077505322</c:v>
                </c:pt>
                <c:pt idx="31">
                  <c:v>12.729410721035521</c:v>
                </c:pt>
                <c:pt idx="32">
                  <c:v>11.979851448722648</c:v>
                </c:pt>
                <c:pt idx="33">
                  <c:v>11.262353119443354</c:v>
                </c:pt>
                <c:pt idx="34">
                  <c:v>10.574427932781054</c:v>
                </c:pt>
                <c:pt idx="35">
                  <c:v>9.913867022422874</c:v>
                </c:pt>
                <c:pt idx="36">
                  <c:v>9.2787005847371216</c:v>
                </c:pt>
                <c:pt idx="37">
                  <c:v>8.6671648162229609</c:v>
                </c:pt>
                <c:pt idx="38">
                  <c:v>8.0776743236413147</c:v>
                </c:pt>
                <c:pt idx="39">
                  <c:v>7.5087989641071964</c:v>
                </c:pt>
                <c:pt idx="40">
                  <c:v>6.9592442951266626</c:v>
                </c:pt>
                <c:pt idx="41">
                  <c:v>6.4278349849625798</c:v>
                </c:pt>
                <c:pt idx="42">
                  <c:v>5.9135006651223279</c:v>
                </c:pt>
                <c:pt idx="43">
                  <c:v>5.4152638088646778</c:v>
                </c:pt>
                <c:pt idx="44">
                  <c:v>4.932229299517144</c:v>
                </c:pt>
                <c:pt idx="45">
                  <c:v>4.4635754153379743</c:v>
                </c:pt>
                <c:pt idx="46">
                  <c:v>4.0085460075622379</c:v>
                </c:pt>
                <c:pt idx="47">
                  <c:v>3.5664436880864221</c:v>
                </c:pt>
                <c:pt idx="48">
                  <c:v>3.1366238751900948</c:v>
                </c:pt>
                <c:pt idx="49">
                  <c:v>2.7184895714739739</c:v>
                </c:pt>
                <c:pt idx="50">
                  <c:v>2.3114867691028129</c:v>
                </c:pt>
                <c:pt idx="51">
                  <c:v>1.9151003944922174</c:v>
                </c:pt>
                <c:pt idx="52">
                  <c:v>1.5288507185439961</c:v>
                </c:pt>
                <c:pt idx="53">
                  <c:v>1.1522901700347461</c:v>
                </c:pt>
                <c:pt idx="54">
                  <c:v>0.78500049926415993</c:v>
                </c:pt>
                <c:pt idx="55">
                  <c:v>0.42659024696300829</c:v>
                </c:pt>
                <c:pt idx="56">
                  <c:v>7.6692480037437782E-2</c:v>
                </c:pt>
                <c:pt idx="57">
                  <c:v>-0.26503723876530394</c:v>
                </c:pt>
                <c:pt idx="58">
                  <c:v>-0.59892267556325418</c:v>
                </c:pt>
                <c:pt idx="59">
                  <c:v>-0.92526856880870678</c:v>
                </c:pt>
                <c:pt idx="60">
                  <c:v>-1.2443621126153124</c:v>
                </c:pt>
                <c:pt idx="61">
                  <c:v>-1.55647429823461</c:v>
                </c:pt>
                <c:pt idx="62">
                  <c:v>-1.8618611295944181</c:v>
                </c:pt>
                <c:pt idx="63">
                  <c:v>-2.1607647267682353</c:v>
                </c:pt>
                <c:pt idx="64">
                  <c:v>-2.4534143295074267</c:v>
                </c:pt>
                <c:pt idx="65">
                  <c:v>-2.7400272114617241</c:v>
                </c:pt>
                <c:pt idx="66">
                  <c:v>-3.0208095144288398</c:v>
                </c:pt>
                <c:pt idx="67">
                  <c:v>-3.2959570108520557</c:v>
                </c:pt>
                <c:pt idx="68">
                  <c:v>-3.5656558018245716</c:v>
                </c:pt>
                <c:pt idx="69">
                  <c:v>-3.8300829570141737</c:v>
                </c:pt>
                <c:pt idx="70">
                  <c:v>-4.0894071021983134</c:v>
                </c:pt>
                <c:pt idx="71">
                  <c:v>-4.3437889594568047</c:v>
                </c:pt>
                <c:pt idx="72">
                  <c:v>-4.5933818445166494</c:v>
                </c:pt>
                <c:pt idx="73">
                  <c:v>-4.8383321252535305</c:v>
                </c:pt>
                <c:pt idx="74">
                  <c:v>-5.078779644926815</c:v>
                </c:pt>
                <c:pt idx="75">
                  <c:v>-5.3148581133470501</c:v>
                </c:pt>
                <c:pt idx="76">
                  <c:v>-5.5466954688449288</c:v>
                </c:pt>
                <c:pt idx="77">
                  <c:v>-5.774414213613456</c:v>
                </c:pt>
                <c:pt idx="78">
                  <c:v>-5.9981317247387986</c:v>
                </c:pt>
                <c:pt idx="79">
                  <c:v>-6.2179605430026781</c:v>
                </c:pt>
                <c:pt idx="80">
                  <c:v>-6.4340086413356774</c:v>
                </c:pt>
                <c:pt idx="81">
                  <c:v>-6.6463796746186947</c:v>
                </c:pt>
                <c:pt idx="82">
                  <c:v>-6.8551732123666076</c:v>
                </c:pt>
                <c:pt idx="83">
                  <c:v>-7.0604849556853964</c:v>
                </c:pt>
                <c:pt idx="84">
                  <c:v>-7.2624069397627906</c:v>
                </c:pt>
                <c:pt idx="85">
                  <c:v>-7.4610277230370752</c:v>
                </c:pt>
                <c:pt idx="86">
                  <c:v>-7.6564325640856215</c:v>
                </c:pt>
                <c:pt idx="87">
                  <c:v>-7.8487035871801432</c:v>
                </c:pt>
                <c:pt idx="88">
                  <c:v>-8.0379199373734824</c:v>
                </c:pt>
                <c:pt idx="89">
                  <c:v>-8.2241579259040076</c:v>
                </c:pt>
                <c:pt idx="90">
                  <c:v>-8.4074911666406908</c:v>
                </c:pt>
                <c:pt idx="91">
                  <c:v>-8.5879907042243104</c:v>
                </c:pt>
                <c:pt idx="92">
                  <c:v>-8.7657251345107738</c:v>
                </c:pt>
                <c:pt idx="93">
                  <c:v>-8.9407607178665227</c:v>
                </c:pt>
                <c:pt idx="94">
                  <c:v>-9.1131614858249215</c:v>
                </c:pt>
                <c:pt idx="95">
                  <c:v>-9.2829893415689675</c:v>
                </c:pt>
                <c:pt idx="96">
                  <c:v>-9.4503041546675242</c:v>
                </c:pt>
                <c:pt idx="97">
                  <c:v>-9.6151638504605472</c:v>
                </c:pt>
                <c:pt idx="98">
                  <c:v>-9.7776244944549511</c:v>
                </c:pt>
                <c:pt idx="99">
                  <c:v>-9.9377403720662585</c:v>
                </c:pt>
                <c:pt idx="100">
                  <c:v>-10.095564064014562</c:v>
                </c:pt>
                <c:pt idx="101">
                  <c:v>-10.251146517659873</c:v>
                </c:pt>
                <c:pt idx="102">
                  <c:v>-10.404537114540428</c:v>
                </c:pt>
                <c:pt idx="103">
                  <c:v>-10.555783734357579</c:v>
                </c:pt>
                <c:pt idx="104">
                  <c:v>-10.704932815633114</c:v>
                </c:pt>
                <c:pt idx="105">
                  <c:v>-10.852029413248163</c:v>
                </c:pt>
                <c:pt idx="106">
                  <c:v>-10.997117253057485</c:v>
                </c:pt>
                <c:pt idx="107">
                  <c:v>-11.140238783758923</c:v>
                </c:pt>
                <c:pt idx="108">
                  <c:v>-11.281435226185838</c:v>
                </c:pt>
                <c:pt idx="109">
                  <c:v>-11.420746620176981</c:v>
                </c:pt>
                <c:pt idx="110">
                  <c:v>-12.718230493434399</c:v>
                </c:pt>
                <c:pt idx="111">
                  <c:v>-13.863962721329759</c:v>
                </c:pt>
                <c:pt idx="112">
                  <c:v>-14.883885492991919</c:v>
                </c:pt>
                <c:pt idx="113">
                  <c:v>-15.798319832298469</c:v>
                </c:pt>
                <c:pt idx="114">
                  <c:v>-16.623439158193911</c:v>
                </c:pt>
                <c:pt idx="115">
                  <c:v>-17.372288910517575</c:v>
                </c:pt>
                <c:pt idx="116">
                  <c:v>-18.055513053114705</c:v>
                </c:pt>
                <c:pt idx="117">
                  <c:v>-18.681884252460652</c:v>
                </c:pt>
                <c:pt idx="118">
                  <c:v>-19.258698455025868</c:v>
                </c:pt>
                <c:pt idx="119">
                  <c:v>-19.792073366543981</c:v>
                </c:pt>
                <c:pt idx="120">
                  <c:v>-20.287177356200253</c:v>
                </c:pt>
                <c:pt idx="121">
                  <c:v>-20.748407082232269</c:v>
                </c:pt>
                <c:pt idx="122">
                  <c:v>-21.17952675368268</c:v>
                </c:pt>
                <c:pt idx="123">
                  <c:v>-21.583778322719645</c:v>
                </c:pt>
                <c:pt idx="124">
                  <c:v>-21.96396940688107</c:v>
                </c:pt>
                <c:pt idx="125">
                  <c:v>-22.322543984934804</c:v>
                </c:pt>
                <c:pt idx="126">
                  <c:v>-22.661639652542092</c:v>
                </c:pt>
                <c:pt idx="127">
                  <c:v>-22.983134309459768</c:v>
                </c:pt>
                <c:pt idx="128">
                  <c:v>-23.288684476333074</c:v>
                </c:pt>
                <c:pt idx="129">
                  <c:v>-23.579756937219393</c:v>
                </c:pt>
                <c:pt idx="130">
                  <c:v>-23.857655026360856</c:v>
                </c:pt>
                <c:pt idx="131">
                  <c:v>-24.123540591141406</c:v>
                </c:pt>
                <c:pt idx="132">
                  <c:v>-24.378452443981253</c:v>
                </c:pt>
                <c:pt idx="133">
                  <c:v>-24.623321947100486</c:v>
                </c:pt>
                <c:pt idx="134">
                  <c:v>-24.858986243220023</c:v>
                </c:pt>
                <c:pt idx="135">
                  <c:v>-25.08619954320929</c:v>
                </c:pt>
                <c:pt idx="136">
                  <c:v>-25.305642801656639</c:v>
                </c:pt>
                <c:pt idx="137">
                  <c:v>-25.517932048236901</c:v>
                </c:pt>
                <c:pt idx="138">
                  <c:v>-25.7236255927522</c:v>
                </c:pt>
                <c:pt idx="139">
                  <c:v>-25.923230281905187</c:v>
                </c:pt>
                <c:pt idx="140">
                  <c:v>-26.117206954016776</c:v>
                </c:pt>
                <c:pt idx="141">
                  <c:v>-26.305975212297774</c:v>
                </c:pt>
                <c:pt idx="142">
                  <c:v>-26.489917616622876</c:v>
                </c:pt>
                <c:pt idx="143">
                  <c:v>-26.669383376998418</c:v>
                </c:pt>
                <c:pt idx="144">
                  <c:v>-26.844691618274304</c:v>
                </c:pt>
                <c:pt idx="145">
                  <c:v>-27.016134274491165</c:v>
                </c:pt>
                <c:pt idx="146">
                  <c:v>-27.183978662098543</c:v>
                </c:pt>
                <c:pt idx="147">
                  <c:v>-27.348469773720986</c:v>
                </c:pt>
                <c:pt idx="148">
                  <c:v>-27.50983232790141</c:v>
                </c:pt>
                <c:pt idx="149">
                  <c:v>-27.668272605051186</c:v>
                </c:pt>
                <c:pt idx="150">
                  <c:v>-27.823980095501952</c:v>
                </c:pt>
                <c:pt idx="151">
                  <c:v>-27.977128981919918</c:v>
                </c:pt>
                <c:pt idx="152">
                  <c:v>-28.127879475291603</c:v>
                </c:pt>
                <c:pt idx="153">
                  <c:v>-28.276379021108127</c:v>
                </c:pt>
                <c:pt idx="154">
                  <c:v>-28.422763390195705</c:v>
                </c:pt>
                <c:pt idx="155">
                  <c:v>-28.56715766677917</c:v>
                </c:pt>
                <c:pt idx="156">
                  <c:v>-28.709677144782859</c:v>
                </c:pt>
                <c:pt idx="157">
                  <c:v>-28.85042814201719</c:v>
                </c:pt>
                <c:pt idx="158">
                  <c:v>-28.9895087407326</c:v>
                </c:pt>
                <c:pt idx="159">
                  <c:v>-29.127009462018911</c:v>
                </c:pt>
                <c:pt idx="160">
                  <c:v>-29.263013880661184</c:v>
                </c:pt>
                <c:pt idx="161">
                  <c:v>-29.397599186306131</c:v>
                </c:pt>
                <c:pt idx="162">
                  <c:v>-29.530836696144164</c:v>
                </c:pt>
                <c:pt idx="163">
                  <c:v>-29.66279232373487</c:v>
                </c:pt>
                <c:pt idx="164">
                  <c:v>-29.793527008107361</c:v>
                </c:pt>
                <c:pt idx="165">
                  <c:v>-29.923097106827534</c:v>
                </c:pt>
                <c:pt idx="166">
                  <c:v>-30.051554756340106</c:v>
                </c:pt>
                <c:pt idx="167">
                  <c:v>-30.178948202548824</c:v>
                </c:pt>
                <c:pt idx="168">
                  <c:v>-30.305322104306324</c:v>
                </c:pt>
                <c:pt idx="169">
                  <c:v>-30.430717812209878</c:v>
                </c:pt>
                <c:pt idx="170">
                  <c:v>-30.555173624870736</c:v>
                </c:pt>
                <c:pt idx="171">
                  <c:v>-30.67872502461066</c:v>
                </c:pt>
                <c:pt idx="172">
                  <c:v>-30.8014048943534</c:v>
                </c:pt>
                <c:pt idx="173">
                  <c:v>-30.923243717312754</c:v>
                </c:pt>
                <c:pt idx="174">
                  <c:v>-31.044269760928476</c:v>
                </c:pt>
                <c:pt idx="175">
                  <c:v>-31.16450924636689</c:v>
                </c:pt>
                <c:pt idx="176">
                  <c:v>-31.283986504786018</c:v>
                </c:pt>
                <c:pt idx="177">
                  <c:v>-31.402724121451946</c:v>
                </c:pt>
                <c:pt idx="178">
                  <c:v>-31.520743068702476</c:v>
                </c:pt>
                <c:pt idx="179">
                  <c:v>-31.638062828659212</c:v>
                </c:pt>
                <c:pt idx="180">
                  <c:v>-31.754701506517868</c:v>
                </c:pt>
                <c:pt idx="181">
                  <c:v>-31.870675935167579</c:v>
                </c:pt>
                <c:pt idx="182">
                  <c:v>-31.986001771831649</c:v>
                </c:pt>
                <c:pt idx="183">
                  <c:v>-32.100693587359167</c:v>
                </c:pt>
                <c:pt idx="184">
                  <c:v>-32.214764948745412</c:v>
                </c:pt>
                <c:pt idx="185">
                  <c:v>-32.328228495411807</c:v>
                </c:pt>
                <c:pt idx="186">
                  <c:v>-32.441096009729307</c:v>
                </c:pt>
                <c:pt idx="187">
                  <c:v>-32.553378482231444</c:v>
                </c:pt>
                <c:pt idx="188">
                  <c:v>-32.665086171927626</c:v>
                </c:pt>
                <c:pt idx="189">
                  <c:v>-32.776228662089153</c:v>
                </c:pt>
                <c:pt idx="190">
                  <c:v>-32.886814911858409</c:v>
                </c:pt>
                <c:pt idx="191">
                  <c:v>-32.996853303993561</c:v>
                </c:pt>
                <c:pt idx="192">
                  <c:v>-33.106351689047209</c:v>
                </c:pt>
                <c:pt idx="193">
                  <c:v>-33.215317426243615</c:v>
                </c:pt>
                <c:pt idx="194">
                  <c:v>-33.323757421305487</c:v>
                </c:pt>
                <c:pt idx="195">
                  <c:v>-33.431678161458549</c:v>
                </c:pt>
                <c:pt idx="196">
                  <c:v>-33.539085747824807</c:v>
                </c:pt>
                <c:pt idx="197">
                  <c:v>-33.64598592539906</c:v>
                </c:pt>
                <c:pt idx="198">
                  <c:v>-33.752384110788554</c:v>
                </c:pt>
                <c:pt idx="199">
                  <c:v>-33.858285417882243</c:v>
                </c:pt>
                <c:pt idx="200">
                  <c:v>-34.890921431815244</c:v>
                </c:pt>
                <c:pt idx="201">
                  <c:v>-35.877971356523645</c:v>
                </c:pt>
                <c:pt idx="202">
                  <c:v>-36.822032914202481</c:v>
                </c:pt>
                <c:pt idx="203">
                  <c:v>-37.725196222886858</c:v>
                </c:pt>
                <c:pt idx="204">
                  <c:v>-38.589358799498825</c:v>
                </c:pt>
                <c:pt idx="205">
                  <c:v>-39.416349122258751</c:v>
                </c:pt>
                <c:pt idx="206">
                  <c:v>-40.207964542441211</c:v>
                </c:pt>
                <c:pt idx="207">
                  <c:v>-40.965973523486909</c:v>
                </c:pt>
                <c:pt idx="208">
                  <c:v>-41.692105340180909</c:v>
                </c:pt>
                <c:pt idx="209">
                  <c:v>-42.388037461414399</c:v>
                </c:pt>
                <c:pt idx="210">
                  <c:v>-43.05538470457914</c:v>
                </c:pt>
                <c:pt idx="211">
                  <c:v>-43.695691416284077</c:v>
                </c:pt>
                <c:pt idx="212">
                  <c:v>-44.310426701511176</c:v>
                </c:pt>
                <c:pt idx="213">
                  <c:v>-44.900982253438812</c:v>
                </c:pt>
                <c:pt idx="214">
                  <c:v>-45.468672216637664</c:v>
                </c:pt>
                <c:pt idx="215">
                  <c:v>-46.014734546305874</c:v>
                </c:pt>
                <c:pt idx="216">
                  <c:v>-46.54033340995386</c:v>
                </c:pt>
                <c:pt idx="217">
                  <c:v>-47.046562271857098</c:v>
                </c:pt>
                <c:pt idx="218">
                  <c:v>-47.534447386484686</c:v>
                </c:pt>
                <c:pt idx="219">
                  <c:v>-48.004951498892197</c:v>
                </c:pt>
                <c:pt idx="220">
                  <c:v>-48.458977607120048</c:v>
                </c:pt>
                <c:pt idx="221">
                  <c:v>-48.897372685537796</c:v>
                </c:pt>
                <c:pt idx="222">
                  <c:v>-49.320931301087072</c:v>
                </c:pt>
                <c:pt idx="223">
                  <c:v>-49.730399078738984</c:v>
                </c:pt>
                <c:pt idx="224">
                  <c:v>-50.126475990175962</c:v>
                </c:pt>
                <c:pt idx="225">
                  <c:v>-50.509819452337354</c:v>
                </c:pt>
                <c:pt idx="226">
                  <c:v>-50.88104723132259</c:v>
                </c:pt>
                <c:pt idx="227">
                  <c:v>-51.240740153209551</c:v>
                </c:pt>
                <c:pt idx="228">
                  <c:v>-51.589444627370952</c:v>
                </c:pt>
                <c:pt idx="229">
                  <c:v>-51.927674990424876</c:v>
                </c:pt>
                <c:pt idx="230">
                  <c:v>-52.255915680456312</c:v>
                </c:pt>
                <c:pt idx="231">
                  <c:v>-52.574623251903056</c:v>
                </c:pt>
                <c:pt idx="232">
                  <c:v>-52.884228241745049</c:v>
                </c:pt>
                <c:pt idx="233">
                  <c:v>-53.185136897528899</c:v>
                </c:pt>
                <c:pt idx="234">
                  <c:v>-53.477732777426766</c:v>
                </c:pt>
                <c:pt idx="235">
                  <c:v>-53.762378232050224</c:v>
                </c:pt>
                <c:pt idx="236">
                  <c:v>-54.039415777180963</c:v>
                </c:pt>
                <c:pt idx="237">
                  <c:v>-54.309169365980686</c:v>
                </c:pt>
                <c:pt idx="238">
                  <c:v>-54.571945568632955</c:v>
                </c:pt>
                <c:pt idx="239">
                  <c:v>-54.828034666769845</c:v>
                </c:pt>
                <c:pt idx="240">
                  <c:v>-55.077711669457578</c:v>
                </c:pt>
                <c:pt idx="241">
                  <c:v>-55.32123725696831</c:v>
                </c:pt>
                <c:pt idx="242">
                  <c:v>-55.558858658049623</c:v>
                </c:pt>
                <c:pt idx="243">
                  <c:v>-55.790810465926846</c:v>
                </c:pt>
                <c:pt idx="244">
                  <c:v>-56.017315397831098</c:v>
                </c:pt>
                <c:pt idx="245">
                  <c:v>-56.23858500243864</c:v>
                </c:pt>
                <c:pt idx="246">
                  <c:v>-56.454820319239118</c:v>
                </c:pt>
                <c:pt idx="247">
                  <c:v>-56.666212493504091</c:v>
                </c:pt>
                <c:pt idx="248">
                  <c:v>-56.872943350222378</c:v>
                </c:pt>
                <c:pt idx="249">
                  <c:v>-57.075185930082981</c:v>
                </c:pt>
                <c:pt idx="250">
                  <c:v>-57.273104990330211</c:v>
                </c:pt>
                <c:pt idx="251">
                  <c:v>-57.466857473079713</c:v>
                </c:pt>
                <c:pt idx="252">
                  <c:v>-57.656592943474038</c:v>
                </c:pt>
                <c:pt idx="253">
                  <c:v>-57.842453999859408</c:v>
                </c:pt>
                <c:pt idx="254">
                  <c:v>-58.024576657989087</c:v>
                </c:pt>
                <c:pt idx="255">
                  <c:v>-58.203090711101268</c:v>
                </c:pt>
                <c:pt idx="256">
                  <c:v>-58.378120067567565</c:v>
                </c:pt>
                <c:pt idx="257">
                  <c:v>-58.549783067679478</c:v>
                </c:pt>
                <c:pt idx="258">
                  <c:v>-58.718192781014778</c:v>
                </c:pt>
                <c:pt idx="259">
                  <c:v>-58.883457285717029</c:v>
                </c:pt>
                <c:pt idx="260">
                  <c:v>-59.045679930916876</c:v>
                </c:pt>
                <c:pt idx="261">
                  <c:v>-59.204959583434558</c:v>
                </c:pt>
                <c:pt idx="262">
                  <c:v>-59.361390859812133</c:v>
                </c:pt>
                <c:pt idx="263">
                  <c:v>-59.515064344652892</c:v>
                </c:pt>
                <c:pt idx="264">
                  <c:v>-59.666066796166362</c:v>
                </c:pt>
                <c:pt idx="265">
                  <c:v>-59.814481339757677</c:v>
                </c:pt>
                <c:pt idx="266">
                  <c:v>-59.960387650435266</c:v>
                </c:pt>
                <c:pt idx="267">
                  <c:v>-60.103862124757896</c:v>
                </c:pt>
                <c:pt idx="268">
                  <c:v>-60.244978042989317</c:v>
                </c:pt>
                <c:pt idx="269">
                  <c:v>-60.383805722081654</c:v>
                </c:pt>
                <c:pt idx="270">
                  <c:v>-60.52041266006696</c:v>
                </c:pt>
                <c:pt idx="271">
                  <c:v>-60.654863672393205</c:v>
                </c:pt>
                <c:pt idx="272">
                  <c:v>-60.78722102070698</c:v>
                </c:pt>
                <c:pt idx="273">
                  <c:v>-60.91754453454805</c:v>
                </c:pt>
                <c:pt idx="274">
                  <c:v>-61.04589172639146</c:v>
                </c:pt>
                <c:pt idx="275">
                  <c:v>-61.172317900443261</c:v>
                </c:pt>
                <c:pt idx="276">
                  <c:v>-61.296876255566318</c:v>
                </c:pt>
                <c:pt idx="277">
                  <c:v>-61.419617982691179</c:v>
                </c:pt>
                <c:pt idx="278">
                  <c:v>-61.54059235704122</c:v>
                </c:pt>
                <c:pt idx="279">
                  <c:v>-61.659846825479995</c:v>
                </c:pt>
                <c:pt idx="280">
                  <c:v>-61.777427089269082</c:v>
                </c:pt>
                <c:pt idx="281">
                  <c:v>-61.893377182505319</c:v>
                </c:pt>
                <c:pt idx="282">
                  <c:v>-62.007739546490868</c:v>
                </c:pt>
                <c:pt idx="283">
                  <c:v>-62.12055510027055</c:v>
                </c:pt>
                <c:pt idx="284">
                  <c:v>-62.231863307557155</c:v>
                </c:pt>
                <c:pt idx="285">
                  <c:v>-62.341702240253667</c:v>
                </c:pt>
                <c:pt idx="286">
                  <c:v>-62.450108638763801</c:v>
                </c:pt>
                <c:pt idx="287">
                  <c:v>-62.557117969274685</c:v>
                </c:pt>
                <c:pt idx="288">
                  <c:v>-62.662764478179952</c:v>
                </c:pt>
                <c:pt idx="289">
                  <c:v>-62.767081243806146</c:v>
                </c:pt>
                <c:pt idx="290">
                  <c:v>-63.743646738240599</c:v>
                </c:pt>
                <c:pt idx="291">
                  <c:v>-64.616574613824085</c:v>
                </c:pt>
                <c:pt idx="292">
                  <c:v>-65.40556116682879</c:v>
                </c:pt>
                <c:pt idx="293">
                  <c:v>-66.125315651824991</c:v>
                </c:pt>
                <c:pt idx="294">
                  <c:v>-66.787066024026473</c:v>
                </c:pt>
                <c:pt idx="295">
                  <c:v>-67.399551259745664</c:v>
                </c:pt>
                <c:pt idx="296">
                  <c:v>-67.969691902270483</c:v>
                </c:pt>
                <c:pt idx="297">
                  <c:v>-68.503053695803388</c:v>
                </c:pt>
                <c:pt idx="298">
                  <c:v>-69.004174965715478</c:v>
                </c:pt>
                <c:pt idx="299">
                  <c:v>-69.47680227978681</c:v>
                </c:pt>
                <c:pt idx="300">
                  <c:v>-69.924063102401888</c:v>
                </c:pt>
                <c:pt idx="301">
                  <c:v>-70.348594346524266</c:v>
                </c:pt>
                <c:pt idx="302">
                  <c:v>-70.75263951699489</c:v>
                </c:pt>
                <c:pt idx="303">
                  <c:v>-71.138123124615262</c:v>
                </c:pt>
                <c:pt idx="304">
                  <c:v>-71.506708406948164</c:v>
                </c:pt>
                <c:pt idx="305">
                  <c:v>-71.8598426198824</c:v>
                </c:pt>
                <c:pt idx="306">
                  <c:v>-72.198792956658266</c:v>
                </c:pt>
                <c:pt idx="307">
                  <c:v>-72.524675315602252</c:v>
                </c:pt>
                <c:pt idx="308">
                  <c:v>-72.838477551350692</c:v>
                </c:pt>
                <c:pt idx="309">
                  <c:v>-73.141078427059199</c:v>
                </c:pt>
                <c:pt idx="310">
                  <c:v>-73.433263184429123</c:v>
                </c:pt>
                <c:pt idx="311">
                  <c:v>-73.715736429159108</c:v>
                </c:pt>
                <c:pt idx="312">
                  <c:v>-73.989132867808024</c:v>
                </c:pt>
                <c:pt idx="313">
                  <c:v>-74.254026311643642</c:v>
                </c:pt>
                <c:pt idx="314">
                  <c:v>-74.510937272466819</c:v>
                </c:pt>
                <c:pt idx="315">
                  <c:v>-74.760339406607358</c:v>
                </c:pt>
                <c:pt idx="316">
                  <c:v>-75.002665010600381</c:v>
                </c:pt>
                <c:pt idx="317">
                  <c:v>-75.23830973135513</c:v>
                </c:pt>
                <c:pt idx="318">
                  <c:v>-75.467636621953176</c:v>
                </c:pt>
                <c:pt idx="319">
                  <c:v>-75.690979649375365</c:v>
                </c:pt>
                <c:pt idx="320">
                  <c:v>-75.908646740846905</c:v>
                </c:pt>
                <c:pt idx="321">
                  <c:v>-76.120922439899033</c:v>
                </c:pt>
                <c:pt idx="322">
                  <c:v>-76.328070230780838</c:v>
                </c:pt>
                <c:pt idx="323">
                  <c:v>-76.530334579820334</c:v>
                </c:pt>
                <c:pt idx="324">
                  <c:v>-76.727942734216811</c:v>
                </c:pt>
                <c:pt idx="325">
                  <c:v>-76.921106312141305</c:v>
                </c:pt>
                <c:pt idx="326">
                  <c:v>-77.110022712621259</c:v>
                </c:pt>
                <c:pt idx="327">
                  <c:v>-77.29487636924577</c:v>
                </c:pt>
                <c:pt idx="328">
                  <c:v>-77.475839868064071</c:v>
                </c:pt>
                <c:pt idx="329">
                  <c:v>-77.653074947008932</c:v>
                </c:pt>
                <c:pt idx="330">
                  <c:v>-77.826733391646428</c:v>
                </c:pt>
                <c:pt idx="331">
                  <c:v>-77.996957839934964</c:v>
                </c:pt>
                <c:pt idx="332">
                  <c:v>-78.163882506899</c:v>
                </c:pt>
                <c:pt idx="333">
                  <c:v>-78.327633838626099</c:v>
                </c:pt>
                <c:pt idx="334">
                  <c:v>-78.48833110372523</c:v>
                </c:pt>
                <c:pt idx="335">
                  <c:v>-78.646086929312432</c:v>
                </c:pt>
                <c:pt idx="336">
                  <c:v>-78.801007787672404</c:v>
                </c:pt>
                <c:pt idx="337">
                  <c:v>-78.953194438960949</c:v>
                </c:pt>
                <c:pt idx="338">
                  <c:v>-79.102742334644958</c:v>
                </c:pt>
                <c:pt idx="339">
                  <c:v>-79.249741985798323</c:v>
                </c:pt>
                <c:pt idx="340">
                  <c:v>-79.39427929987643</c:v>
                </c:pt>
                <c:pt idx="341">
                  <c:v>-79.536435889162917</c:v>
                </c:pt>
                <c:pt idx="342">
                  <c:v>-79.676289353708654</c:v>
                </c:pt>
                <c:pt idx="343">
                  <c:v>-79.813913541263076</c:v>
                </c:pt>
                <c:pt idx="344">
                  <c:v>-79.949378786410435</c:v>
                </c:pt>
                <c:pt idx="345">
                  <c:v>-80.082752130886377</c:v>
                </c:pt>
                <c:pt idx="346">
                  <c:v>-80.214097526826706</c:v>
                </c:pt>
                <c:pt idx="347">
                  <c:v>-80.343476024516264</c:v>
                </c:pt>
                <c:pt idx="348">
                  <c:v>-80.470945946041212</c:v>
                </c:pt>
                <c:pt idx="349">
                  <c:v>-80.596563046096847</c:v>
                </c:pt>
                <c:pt idx="350">
                  <c:v>-80.720380661079759</c:v>
                </c:pt>
                <c:pt idx="351">
                  <c:v>-80.842449847476601</c:v>
                </c:pt>
                <c:pt idx="352">
                  <c:v>-80.962819510459624</c:v>
                </c:pt>
                <c:pt idx="353">
                  <c:v>-81.081536523513591</c:v>
                </c:pt>
                <c:pt idx="354">
                  <c:v>-81.198645839834484</c:v>
                </c:pt>
                <c:pt idx="355">
                  <c:v>-81.314190596173162</c:v>
                </c:pt>
                <c:pt idx="356">
                  <c:v>-81.4282122097311</c:v>
                </c:pt>
                <c:pt idx="357">
                  <c:v>-81.540750468661145</c:v>
                </c:pt>
                <c:pt idx="358">
                  <c:v>-81.651843616674114</c:v>
                </c:pt>
                <c:pt idx="359">
                  <c:v>-81.761528432206717</c:v>
                </c:pt>
                <c:pt idx="360">
                  <c:v>-81.869840302566985</c:v>
                </c:pt>
                <c:pt idx="361">
                  <c:v>-81.976813293434759</c:v>
                </c:pt>
                <c:pt idx="362">
                  <c:v>-82.082480214063963</c:v>
                </c:pt>
                <c:pt idx="363">
                  <c:v>-82.186872678501899</c:v>
                </c:pt>
                <c:pt idx="364">
                  <c:v>-82.290021163113863</c:v>
                </c:pt>
                <c:pt idx="365">
                  <c:v>-82.391955060681056</c:v>
                </c:pt>
                <c:pt idx="366">
                  <c:v>-82.49270273131043</c:v>
                </c:pt>
                <c:pt idx="367">
                  <c:v>-82.592291550382853</c:v>
                </c:pt>
                <c:pt idx="368">
                  <c:v>-82.690747953743369</c:v>
                </c:pt>
                <c:pt idx="369">
                  <c:v>-82.788097480322051</c:v>
                </c:pt>
                <c:pt idx="370">
                  <c:v>-82.884364812359451</c:v>
                </c:pt>
                <c:pt idx="371">
                  <c:v>-82.979573813395959</c:v>
                </c:pt>
                <c:pt idx="372">
                  <c:v>-83.073747564174951</c:v>
                </c:pt>
                <c:pt idx="373">
                  <c:v>-83.166908396593527</c:v>
                </c:pt>
                <c:pt idx="374">
                  <c:v>-83.259077925828279</c:v>
                </c:pt>
                <c:pt idx="375">
                  <c:v>-83.350277080753756</c:v>
                </c:pt>
                <c:pt idx="376">
                  <c:v>-83.440526132759345</c:v>
                </c:pt>
                <c:pt idx="377">
                  <c:v>-83.529844723066986</c:v>
                </c:pt>
                <c:pt idx="378">
                  <c:v>-83.618251888641296</c:v>
                </c:pt>
                <c:pt idx="379">
                  <c:v>-83.705766086779178</c:v>
                </c:pt>
              </c:numCache>
            </c:numRef>
          </c:yVal>
          <c:smooth val="1"/>
          <c:extLst>
            <c:ext xmlns:c16="http://schemas.microsoft.com/office/drawing/2014/chart" uri="{C3380CC4-5D6E-409C-BE32-E72D297353CC}">
              <c16:uniqueId val="{00000000-0473-4151-A6D2-013976BBB783}"/>
            </c:ext>
          </c:extLst>
        </c:ser>
        <c:ser>
          <c:idx val="1"/>
          <c:order val="2"/>
          <c:tx>
            <c:v>fc</c:v>
          </c:tx>
          <c:spPr>
            <a:ln w="19050" cap="rnd" cmpd="sng" algn="ctr">
              <a:solidFill>
                <a:schemeClr val="dk1">
                  <a:tint val="55000"/>
                </a:schemeClr>
              </a:solidFill>
              <a:prstDash val="solid"/>
              <a:round/>
            </a:ln>
            <a:effectLst/>
          </c:spPr>
          <c:marker>
            <c:symbol val="diamond"/>
            <c:size val="12"/>
            <c:spPr>
              <a:solidFill>
                <a:schemeClr val="tx1"/>
              </a:solidFill>
              <a:ln w="6350" cap="flat" cmpd="sng" algn="ctr">
                <a:solidFill>
                  <a:schemeClr val="dk1">
                    <a:tint val="55000"/>
                  </a:schemeClr>
                </a:solidFill>
                <a:prstDash val="solid"/>
                <a:round/>
              </a:ln>
              <a:effectLst/>
            </c:spPr>
          </c:marker>
          <c:dLbls>
            <c:numFmt formatCode="0.0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t"/>
            <c:showLegendKey val="0"/>
            <c:showVal val="0"/>
            <c:showCatName val="1"/>
            <c:showSerName val="1"/>
            <c:showPercent val="0"/>
            <c:showBubbleSize val="0"/>
            <c:showLeaderLines val="0"/>
            <c:extLst>
              <c:ext xmlns:c15="http://schemas.microsoft.com/office/drawing/2012/chart" uri="{CE6537A1-D6FC-4f65-9D91-7224C49458BB}">
                <c15:showLeaderLines val="0"/>
              </c:ext>
            </c:extLst>
          </c:dLbls>
          <c:xVal>
            <c:numRef>
              <c:f>'Loop Gain'!$AD$5</c:f>
              <c:numCache>
                <c:formatCode>General</c:formatCode>
                <c:ptCount val="1"/>
                <c:pt idx="0">
                  <c:v>763.9437268410976</c:v>
                </c:pt>
              </c:numCache>
            </c:numRef>
          </c:xVal>
          <c:yVal>
            <c:numRef>
              <c:f>'Loop Gain'!$AD$2</c:f>
              <c:numCache>
                <c:formatCode>General</c:formatCode>
                <c:ptCount val="1"/>
                <c:pt idx="0">
                  <c:v>7.6692480037437782E-2</c:v>
                </c:pt>
              </c:numCache>
            </c:numRef>
          </c:yVal>
          <c:smooth val="1"/>
          <c:extLst>
            <c:ext xmlns:c16="http://schemas.microsoft.com/office/drawing/2014/chart" uri="{C3380CC4-5D6E-409C-BE32-E72D297353CC}">
              <c16:uniqueId val="{0000017D-9F5F-496F-B647-47B4282EE6C5}"/>
            </c:ext>
          </c:extLst>
        </c:ser>
        <c:dLbls>
          <c:showLegendKey val="0"/>
          <c:showVal val="0"/>
          <c:showCatName val="0"/>
          <c:showSerName val="0"/>
          <c:showPercent val="0"/>
          <c:showBubbleSize val="0"/>
        </c:dLbls>
        <c:axId val="1434155088"/>
        <c:axId val="1570699712"/>
      </c:scatterChart>
      <c:scatterChart>
        <c:scatterStyle val="smoothMarker"/>
        <c:varyColors val="0"/>
        <c:ser>
          <c:idx val="2"/>
          <c:order val="1"/>
          <c:tx>
            <c:v>Phase (deg)</c:v>
          </c:tx>
          <c:spPr>
            <a:ln w="19050" cap="rnd" cmpd="sng" algn="ctr">
              <a:solidFill>
                <a:schemeClr val="tx1"/>
              </a:solidFill>
              <a:prstDash val="dash"/>
              <a:round/>
            </a:ln>
            <a:effectLst/>
          </c:spPr>
          <c:marker>
            <c:symbol val="none"/>
          </c:marker>
          <c:xVal>
            <c:numRef>
              <c:f>'Loop Gain'!$Z$2:$Z$381</c:f>
              <c:numCache>
                <c:formatCode>General</c:formatCode>
                <c:ptCount val="380"/>
                <c:pt idx="0">
                  <c:v>0.15915494309189535</c:v>
                </c:pt>
                <c:pt idx="1">
                  <c:v>1.5915494309189535</c:v>
                </c:pt>
                <c:pt idx="2">
                  <c:v>3.183098861837907</c:v>
                </c:pt>
                <c:pt idx="3">
                  <c:v>4.7746482927568605</c:v>
                </c:pt>
                <c:pt idx="4">
                  <c:v>6.366197723675814</c:v>
                </c:pt>
                <c:pt idx="5">
                  <c:v>7.9577471545947667</c:v>
                </c:pt>
                <c:pt idx="6">
                  <c:v>9.5492965855137211</c:v>
                </c:pt>
                <c:pt idx="7">
                  <c:v>11.140846016432674</c:v>
                </c:pt>
                <c:pt idx="8">
                  <c:v>12.732395447351628</c:v>
                </c:pt>
                <c:pt idx="9">
                  <c:v>14.323944878270581</c:v>
                </c:pt>
                <c:pt idx="10">
                  <c:v>15.915494309189533</c:v>
                </c:pt>
                <c:pt idx="11">
                  <c:v>31.830988618379067</c:v>
                </c:pt>
                <c:pt idx="12">
                  <c:v>47.7464829275686</c:v>
                </c:pt>
                <c:pt idx="13">
                  <c:v>63.661977236758133</c:v>
                </c:pt>
                <c:pt idx="14">
                  <c:v>79.577471545947674</c:v>
                </c:pt>
                <c:pt idx="15">
                  <c:v>95.4929658551372</c:v>
                </c:pt>
                <c:pt idx="16">
                  <c:v>111.40846016432674</c:v>
                </c:pt>
                <c:pt idx="17">
                  <c:v>127.32395447351627</c:v>
                </c:pt>
                <c:pt idx="18">
                  <c:v>143.23944878270581</c:v>
                </c:pt>
                <c:pt idx="19">
                  <c:v>159.15494309189535</c:v>
                </c:pt>
                <c:pt idx="20">
                  <c:v>175.07043740108489</c:v>
                </c:pt>
                <c:pt idx="21">
                  <c:v>190.9859317102744</c:v>
                </c:pt>
                <c:pt idx="22">
                  <c:v>206.90142601946394</c:v>
                </c:pt>
                <c:pt idx="23">
                  <c:v>222.81692032865348</c:v>
                </c:pt>
                <c:pt idx="24">
                  <c:v>238.73241463784302</c:v>
                </c:pt>
                <c:pt idx="25">
                  <c:v>254.64790894703253</c:v>
                </c:pt>
                <c:pt idx="26">
                  <c:v>270.5634032562221</c:v>
                </c:pt>
                <c:pt idx="27">
                  <c:v>286.47889756541161</c:v>
                </c:pt>
                <c:pt idx="28">
                  <c:v>302.39439187460113</c:v>
                </c:pt>
                <c:pt idx="29">
                  <c:v>318.3098861837907</c:v>
                </c:pt>
                <c:pt idx="30">
                  <c:v>334.22538049298021</c:v>
                </c:pt>
                <c:pt idx="31">
                  <c:v>350.14087480216978</c:v>
                </c:pt>
                <c:pt idx="32">
                  <c:v>366.05636911135929</c:v>
                </c:pt>
                <c:pt idx="33">
                  <c:v>381.9718634205488</c:v>
                </c:pt>
                <c:pt idx="34">
                  <c:v>397.88735772973837</c:v>
                </c:pt>
                <c:pt idx="35">
                  <c:v>413.80285203892788</c:v>
                </c:pt>
                <c:pt idx="36">
                  <c:v>429.71834634811745</c:v>
                </c:pt>
                <c:pt idx="37">
                  <c:v>445.63384065730696</c:v>
                </c:pt>
                <c:pt idx="38">
                  <c:v>461.54933496649647</c:v>
                </c:pt>
                <c:pt idx="39">
                  <c:v>477.46482927568604</c:v>
                </c:pt>
                <c:pt idx="40">
                  <c:v>493.38032358487555</c:v>
                </c:pt>
                <c:pt idx="41">
                  <c:v>509.29581789406507</c:v>
                </c:pt>
                <c:pt idx="42">
                  <c:v>525.21131220325458</c:v>
                </c:pt>
                <c:pt idx="43">
                  <c:v>541.1268065124442</c:v>
                </c:pt>
                <c:pt idx="44">
                  <c:v>557.04230082163372</c:v>
                </c:pt>
                <c:pt idx="45">
                  <c:v>572.95779513082323</c:v>
                </c:pt>
                <c:pt idx="46">
                  <c:v>588.87328944001274</c:v>
                </c:pt>
                <c:pt idx="47">
                  <c:v>604.78878374920225</c:v>
                </c:pt>
                <c:pt idx="48">
                  <c:v>620.70427805839188</c:v>
                </c:pt>
                <c:pt idx="49">
                  <c:v>636.61977236758139</c:v>
                </c:pt>
                <c:pt idx="50">
                  <c:v>652.5352666767709</c:v>
                </c:pt>
                <c:pt idx="51">
                  <c:v>668.45076098596041</c:v>
                </c:pt>
                <c:pt idx="52">
                  <c:v>684.36625529514993</c:v>
                </c:pt>
                <c:pt idx="53">
                  <c:v>700.28174960433955</c:v>
                </c:pt>
                <c:pt idx="54">
                  <c:v>716.19724391352906</c:v>
                </c:pt>
                <c:pt idx="55">
                  <c:v>732.11273822271858</c:v>
                </c:pt>
                <c:pt idx="56">
                  <c:v>748.02823253190809</c:v>
                </c:pt>
                <c:pt idx="57">
                  <c:v>763.9437268410976</c:v>
                </c:pt>
                <c:pt idx="58">
                  <c:v>779.85922115028723</c:v>
                </c:pt>
                <c:pt idx="59">
                  <c:v>795.77471545947674</c:v>
                </c:pt>
                <c:pt idx="60">
                  <c:v>811.69020976866625</c:v>
                </c:pt>
                <c:pt idx="61">
                  <c:v>827.60570407785576</c:v>
                </c:pt>
                <c:pt idx="62">
                  <c:v>843.52119838704527</c:v>
                </c:pt>
                <c:pt idx="63">
                  <c:v>859.4366926962349</c:v>
                </c:pt>
                <c:pt idx="64">
                  <c:v>875.35218700542441</c:v>
                </c:pt>
                <c:pt idx="65">
                  <c:v>891.26768131461392</c:v>
                </c:pt>
                <c:pt idx="66">
                  <c:v>907.18317562380344</c:v>
                </c:pt>
                <c:pt idx="67">
                  <c:v>923.09866993299295</c:v>
                </c:pt>
                <c:pt idx="68">
                  <c:v>939.01416424218257</c:v>
                </c:pt>
                <c:pt idx="69">
                  <c:v>954.92965855137209</c:v>
                </c:pt>
                <c:pt idx="70">
                  <c:v>970.8451528605616</c:v>
                </c:pt>
                <c:pt idx="71">
                  <c:v>986.76064716975111</c:v>
                </c:pt>
                <c:pt idx="72">
                  <c:v>1002.6761414789406</c:v>
                </c:pt>
                <c:pt idx="73">
                  <c:v>1018.5916357881301</c:v>
                </c:pt>
                <c:pt idx="74">
                  <c:v>1034.5071300973198</c:v>
                </c:pt>
                <c:pt idx="75">
                  <c:v>1050.4226244065092</c:v>
                </c:pt>
                <c:pt idx="76">
                  <c:v>1066.3381187156988</c:v>
                </c:pt>
                <c:pt idx="77">
                  <c:v>1082.2536130248884</c:v>
                </c:pt>
                <c:pt idx="78">
                  <c:v>1098.1691073340778</c:v>
                </c:pt>
                <c:pt idx="79">
                  <c:v>1114.0846016432674</c:v>
                </c:pt>
                <c:pt idx="80">
                  <c:v>1130.0000959524568</c:v>
                </c:pt>
                <c:pt idx="81">
                  <c:v>1145.9155902616465</c:v>
                </c:pt>
                <c:pt idx="82">
                  <c:v>1161.8310845708361</c:v>
                </c:pt>
                <c:pt idx="83">
                  <c:v>1177.7465788800255</c:v>
                </c:pt>
                <c:pt idx="84">
                  <c:v>1193.6620731892151</c:v>
                </c:pt>
                <c:pt idx="85">
                  <c:v>1209.5775674984045</c:v>
                </c:pt>
                <c:pt idx="86">
                  <c:v>1225.4930618075941</c:v>
                </c:pt>
                <c:pt idx="87">
                  <c:v>1241.4085561167838</c:v>
                </c:pt>
                <c:pt idx="88">
                  <c:v>1257.3240504259732</c:v>
                </c:pt>
                <c:pt idx="89">
                  <c:v>1273.2395447351628</c:v>
                </c:pt>
                <c:pt idx="90">
                  <c:v>1289.1550390443522</c:v>
                </c:pt>
                <c:pt idx="91">
                  <c:v>1305.0705333535418</c:v>
                </c:pt>
                <c:pt idx="92">
                  <c:v>1320.9860276627314</c:v>
                </c:pt>
                <c:pt idx="93">
                  <c:v>1336.9015219719208</c:v>
                </c:pt>
                <c:pt idx="94">
                  <c:v>1352.8170162811105</c:v>
                </c:pt>
                <c:pt idx="95">
                  <c:v>1368.7325105902999</c:v>
                </c:pt>
                <c:pt idx="96">
                  <c:v>1384.6480048994895</c:v>
                </c:pt>
                <c:pt idx="97">
                  <c:v>1400.5634992086791</c:v>
                </c:pt>
                <c:pt idx="98">
                  <c:v>1416.4789935178685</c:v>
                </c:pt>
                <c:pt idx="99">
                  <c:v>1432.3944878270581</c:v>
                </c:pt>
                <c:pt idx="100">
                  <c:v>1448.3099821362475</c:v>
                </c:pt>
                <c:pt idx="101">
                  <c:v>1464.2254764454372</c:v>
                </c:pt>
                <c:pt idx="102">
                  <c:v>1480.1409707546268</c:v>
                </c:pt>
                <c:pt idx="103">
                  <c:v>1496.0564650638162</c:v>
                </c:pt>
                <c:pt idx="104">
                  <c:v>1511.9719593730058</c:v>
                </c:pt>
                <c:pt idx="105">
                  <c:v>1527.8874536821952</c:v>
                </c:pt>
                <c:pt idx="106">
                  <c:v>1543.8029479913848</c:v>
                </c:pt>
                <c:pt idx="107">
                  <c:v>1559.7184423005745</c:v>
                </c:pt>
                <c:pt idx="108">
                  <c:v>1575.6339366097639</c:v>
                </c:pt>
                <c:pt idx="109">
                  <c:v>1591.5494309189535</c:v>
                </c:pt>
                <c:pt idx="110">
                  <c:v>1750.7043740108488</c:v>
                </c:pt>
                <c:pt idx="111">
                  <c:v>1909.8593171027442</c:v>
                </c:pt>
                <c:pt idx="112">
                  <c:v>2069.0142601946395</c:v>
                </c:pt>
                <c:pt idx="113">
                  <c:v>2228.1692032865349</c:v>
                </c:pt>
                <c:pt idx="114">
                  <c:v>2387.3241463784302</c:v>
                </c:pt>
                <c:pt idx="115">
                  <c:v>2546.4790894703256</c:v>
                </c:pt>
                <c:pt idx="116">
                  <c:v>2705.6340325622209</c:v>
                </c:pt>
                <c:pt idx="117">
                  <c:v>2864.7889756541163</c:v>
                </c:pt>
                <c:pt idx="118">
                  <c:v>3023.9439187460116</c:v>
                </c:pt>
                <c:pt idx="119">
                  <c:v>3183.098861837907</c:v>
                </c:pt>
                <c:pt idx="120">
                  <c:v>3342.2538049298023</c:v>
                </c:pt>
                <c:pt idx="121">
                  <c:v>3501.4087480216976</c:v>
                </c:pt>
                <c:pt idx="122">
                  <c:v>3660.563691113593</c:v>
                </c:pt>
                <c:pt idx="123">
                  <c:v>3819.7186342054883</c:v>
                </c:pt>
                <c:pt idx="124">
                  <c:v>3978.8735772973837</c:v>
                </c:pt>
                <c:pt idx="125">
                  <c:v>4138.028520389279</c:v>
                </c:pt>
                <c:pt idx="126">
                  <c:v>4297.1834634811739</c:v>
                </c:pt>
                <c:pt idx="127">
                  <c:v>4456.3384065730697</c:v>
                </c:pt>
                <c:pt idx="128">
                  <c:v>4615.4933496649646</c:v>
                </c:pt>
                <c:pt idx="129">
                  <c:v>4774.6482927568604</c:v>
                </c:pt>
                <c:pt idx="130">
                  <c:v>4933.8032358487553</c:v>
                </c:pt>
                <c:pt idx="131">
                  <c:v>5092.9581789406511</c:v>
                </c:pt>
                <c:pt idx="132">
                  <c:v>5252.113122032546</c:v>
                </c:pt>
                <c:pt idx="133">
                  <c:v>5411.2680651244418</c:v>
                </c:pt>
                <c:pt idx="134">
                  <c:v>5570.4230082163367</c:v>
                </c:pt>
                <c:pt idx="135">
                  <c:v>5729.5779513082325</c:v>
                </c:pt>
                <c:pt idx="136">
                  <c:v>5888.7328944001274</c:v>
                </c:pt>
                <c:pt idx="137">
                  <c:v>6047.8878374920232</c:v>
                </c:pt>
                <c:pt idx="138">
                  <c:v>6207.0427805839181</c:v>
                </c:pt>
                <c:pt idx="139">
                  <c:v>6366.1977236758139</c:v>
                </c:pt>
                <c:pt idx="140">
                  <c:v>6525.3526667677088</c:v>
                </c:pt>
                <c:pt idx="141">
                  <c:v>6684.5076098596046</c:v>
                </c:pt>
                <c:pt idx="142">
                  <c:v>6843.6625529514995</c:v>
                </c:pt>
                <c:pt idx="143">
                  <c:v>7002.8174960433953</c:v>
                </c:pt>
                <c:pt idx="144">
                  <c:v>7161.9724391352902</c:v>
                </c:pt>
                <c:pt idx="145">
                  <c:v>7321.127382227186</c:v>
                </c:pt>
                <c:pt idx="146">
                  <c:v>7480.2823253190809</c:v>
                </c:pt>
                <c:pt idx="147">
                  <c:v>7639.4372684109767</c:v>
                </c:pt>
                <c:pt idx="148">
                  <c:v>7798.5922115028716</c:v>
                </c:pt>
                <c:pt idx="149">
                  <c:v>7957.7471545947674</c:v>
                </c:pt>
                <c:pt idx="150">
                  <c:v>8116.9020976866623</c:v>
                </c:pt>
                <c:pt idx="151">
                  <c:v>8276.0570407785581</c:v>
                </c:pt>
                <c:pt idx="152">
                  <c:v>8435.211983870453</c:v>
                </c:pt>
                <c:pt idx="153">
                  <c:v>8594.3669269623479</c:v>
                </c:pt>
                <c:pt idx="154">
                  <c:v>8753.5218700542446</c:v>
                </c:pt>
                <c:pt idx="155">
                  <c:v>8912.6768131461395</c:v>
                </c:pt>
                <c:pt idx="156">
                  <c:v>9071.8317562380344</c:v>
                </c:pt>
                <c:pt idx="157">
                  <c:v>9230.9866993299293</c:v>
                </c:pt>
                <c:pt idx="158">
                  <c:v>9390.141642421826</c:v>
                </c:pt>
                <c:pt idx="159">
                  <c:v>9549.2965855137209</c:v>
                </c:pt>
                <c:pt idx="160">
                  <c:v>9708.4515286056157</c:v>
                </c:pt>
                <c:pt idx="161">
                  <c:v>9867.6064716975106</c:v>
                </c:pt>
                <c:pt idx="162">
                  <c:v>10026.761414789407</c:v>
                </c:pt>
                <c:pt idx="163">
                  <c:v>10185.916357881302</c:v>
                </c:pt>
                <c:pt idx="164">
                  <c:v>10345.071300973197</c:v>
                </c:pt>
                <c:pt idx="165">
                  <c:v>10504.226244065092</c:v>
                </c:pt>
                <c:pt idx="166">
                  <c:v>10663.381187156989</c:v>
                </c:pt>
                <c:pt idx="167">
                  <c:v>10822.536130248884</c:v>
                </c:pt>
                <c:pt idx="168">
                  <c:v>10981.691073340779</c:v>
                </c:pt>
                <c:pt idx="169">
                  <c:v>11140.846016432673</c:v>
                </c:pt>
                <c:pt idx="170">
                  <c:v>11300.00095952457</c:v>
                </c:pt>
                <c:pt idx="171">
                  <c:v>11459.155902616465</c:v>
                </c:pt>
                <c:pt idx="172">
                  <c:v>11618.31084570836</c:v>
                </c:pt>
                <c:pt idx="173">
                  <c:v>11777.465788800255</c:v>
                </c:pt>
                <c:pt idx="174">
                  <c:v>11936.620731892152</c:v>
                </c:pt>
                <c:pt idx="175">
                  <c:v>12095.775674984046</c:v>
                </c:pt>
                <c:pt idx="176">
                  <c:v>12254.930618075941</c:v>
                </c:pt>
                <c:pt idx="177">
                  <c:v>12414.085561167836</c:v>
                </c:pt>
                <c:pt idx="178">
                  <c:v>12573.240504259733</c:v>
                </c:pt>
                <c:pt idx="179">
                  <c:v>12732.395447351628</c:v>
                </c:pt>
                <c:pt idx="180">
                  <c:v>12891.550390443523</c:v>
                </c:pt>
                <c:pt idx="181">
                  <c:v>13050.705333535418</c:v>
                </c:pt>
                <c:pt idx="182">
                  <c:v>13209.860276627312</c:v>
                </c:pt>
                <c:pt idx="183">
                  <c:v>13369.015219719209</c:v>
                </c:pt>
                <c:pt idx="184">
                  <c:v>13528.170162811104</c:v>
                </c:pt>
                <c:pt idx="185">
                  <c:v>13687.325105902999</c:v>
                </c:pt>
                <c:pt idx="186">
                  <c:v>13846.480048994894</c:v>
                </c:pt>
                <c:pt idx="187">
                  <c:v>14005.634992086791</c:v>
                </c:pt>
                <c:pt idx="188">
                  <c:v>14164.789935178685</c:v>
                </c:pt>
                <c:pt idx="189">
                  <c:v>14323.94487827058</c:v>
                </c:pt>
                <c:pt idx="190">
                  <c:v>14483.099821362475</c:v>
                </c:pt>
                <c:pt idx="191">
                  <c:v>14642.254764454372</c:v>
                </c:pt>
                <c:pt idx="192">
                  <c:v>14801.409707546267</c:v>
                </c:pt>
                <c:pt idx="193">
                  <c:v>14960.564650638162</c:v>
                </c:pt>
                <c:pt idx="194">
                  <c:v>15119.719593730057</c:v>
                </c:pt>
                <c:pt idx="195">
                  <c:v>15278.874536821953</c:v>
                </c:pt>
                <c:pt idx="196">
                  <c:v>15438.029479913848</c:v>
                </c:pt>
                <c:pt idx="197">
                  <c:v>15597.184423005743</c:v>
                </c:pt>
                <c:pt idx="198">
                  <c:v>15756.339366097638</c:v>
                </c:pt>
                <c:pt idx="199">
                  <c:v>15915.494309189535</c:v>
                </c:pt>
                <c:pt idx="200">
                  <c:v>17507.043740108489</c:v>
                </c:pt>
                <c:pt idx="201">
                  <c:v>19098.593171027442</c:v>
                </c:pt>
                <c:pt idx="202">
                  <c:v>20690.142601946394</c:v>
                </c:pt>
                <c:pt idx="203">
                  <c:v>22281.692032865347</c:v>
                </c:pt>
                <c:pt idx="204">
                  <c:v>23873.241463784303</c:v>
                </c:pt>
                <c:pt idx="205">
                  <c:v>25464.790894703256</c:v>
                </c:pt>
                <c:pt idx="206">
                  <c:v>27056.340325622208</c:v>
                </c:pt>
                <c:pt idx="207">
                  <c:v>28647.889756541161</c:v>
                </c:pt>
                <c:pt idx="208">
                  <c:v>30239.439187460113</c:v>
                </c:pt>
                <c:pt idx="209">
                  <c:v>31830.98861837907</c:v>
                </c:pt>
                <c:pt idx="210">
                  <c:v>33422.538049298018</c:v>
                </c:pt>
                <c:pt idx="211">
                  <c:v>35014.087480216978</c:v>
                </c:pt>
                <c:pt idx="212">
                  <c:v>36605.636911135931</c:v>
                </c:pt>
                <c:pt idx="213">
                  <c:v>38197.186342054883</c:v>
                </c:pt>
                <c:pt idx="214">
                  <c:v>39788.735772973836</c:v>
                </c:pt>
                <c:pt idx="215">
                  <c:v>41380.285203892789</c:v>
                </c:pt>
                <c:pt idx="216">
                  <c:v>42971.834634811741</c:v>
                </c:pt>
                <c:pt idx="217">
                  <c:v>44563.384065730694</c:v>
                </c:pt>
                <c:pt idx="218">
                  <c:v>46154.933496649646</c:v>
                </c:pt>
                <c:pt idx="219">
                  <c:v>47746.482927568606</c:v>
                </c:pt>
                <c:pt idx="220">
                  <c:v>49338.032358487559</c:v>
                </c:pt>
                <c:pt idx="221">
                  <c:v>50929.581789406511</c:v>
                </c:pt>
                <c:pt idx="222">
                  <c:v>52521.131220325464</c:v>
                </c:pt>
                <c:pt idx="223">
                  <c:v>54112.680651244416</c:v>
                </c:pt>
                <c:pt idx="224">
                  <c:v>55704.230082163369</c:v>
                </c:pt>
                <c:pt idx="225">
                  <c:v>57295.779513082322</c:v>
                </c:pt>
                <c:pt idx="226">
                  <c:v>58887.328944001274</c:v>
                </c:pt>
                <c:pt idx="227">
                  <c:v>60478.878374920227</c:v>
                </c:pt>
                <c:pt idx="228">
                  <c:v>62070.427805839186</c:v>
                </c:pt>
                <c:pt idx="229">
                  <c:v>63661.977236758139</c:v>
                </c:pt>
                <c:pt idx="230">
                  <c:v>65253.526667677092</c:v>
                </c:pt>
                <c:pt idx="231">
                  <c:v>66845.076098596037</c:v>
                </c:pt>
                <c:pt idx="232">
                  <c:v>68436.625529515004</c:v>
                </c:pt>
                <c:pt idx="233">
                  <c:v>70028.174960433957</c:v>
                </c:pt>
                <c:pt idx="234">
                  <c:v>71619.724391352909</c:v>
                </c:pt>
                <c:pt idx="235">
                  <c:v>73211.273822271862</c:v>
                </c:pt>
                <c:pt idx="236">
                  <c:v>74802.823253190814</c:v>
                </c:pt>
                <c:pt idx="237">
                  <c:v>76394.372684109767</c:v>
                </c:pt>
                <c:pt idx="238">
                  <c:v>77985.922115028719</c:v>
                </c:pt>
                <c:pt idx="239">
                  <c:v>79577.471545947672</c:v>
                </c:pt>
                <c:pt idx="240">
                  <c:v>81169.020976866625</c:v>
                </c:pt>
                <c:pt idx="241">
                  <c:v>82760.570407785577</c:v>
                </c:pt>
                <c:pt idx="242">
                  <c:v>84352.11983870453</c:v>
                </c:pt>
                <c:pt idx="243">
                  <c:v>85943.669269623482</c:v>
                </c:pt>
                <c:pt idx="244">
                  <c:v>87535.218700542435</c:v>
                </c:pt>
                <c:pt idx="245">
                  <c:v>89126.768131461387</c:v>
                </c:pt>
                <c:pt idx="246">
                  <c:v>90718.31756238034</c:v>
                </c:pt>
                <c:pt idx="247">
                  <c:v>92309.866993299293</c:v>
                </c:pt>
                <c:pt idx="248">
                  <c:v>93901.416424218245</c:v>
                </c:pt>
                <c:pt idx="249">
                  <c:v>95492.965855137212</c:v>
                </c:pt>
                <c:pt idx="250">
                  <c:v>97084.515286056165</c:v>
                </c:pt>
                <c:pt idx="251">
                  <c:v>98676.064716975117</c:v>
                </c:pt>
                <c:pt idx="252">
                  <c:v>100267.61414789407</c:v>
                </c:pt>
                <c:pt idx="253">
                  <c:v>101859.16357881302</c:v>
                </c:pt>
                <c:pt idx="254">
                  <c:v>103450.71300973198</c:v>
                </c:pt>
                <c:pt idx="255">
                  <c:v>105042.26244065093</c:v>
                </c:pt>
                <c:pt idx="256">
                  <c:v>106633.81187156988</c:v>
                </c:pt>
                <c:pt idx="257">
                  <c:v>108225.36130248883</c:v>
                </c:pt>
                <c:pt idx="258">
                  <c:v>109816.91073340779</c:v>
                </c:pt>
                <c:pt idx="259">
                  <c:v>111408.46016432674</c:v>
                </c:pt>
                <c:pt idx="260">
                  <c:v>113000.00959524569</c:v>
                </c:pt>
                <c:pt idx="261">
                  <c:v>114591.55902616464</c:v>
                </c:pt>
                <c:pt idx="262">
                  <c:v>116183.1084570836</c:v>
                </c:pt>
                <c:pt idx="263">
                  <c:v>117774.65788800255</c:v>
                </c:pt>
                <c:pt idx="264">
                  <c:v>119366.2073189215</c:v>
                </c:pt>
                <c:pt idx="265">
                  <c:v>120957.75674984045</c:v>
                </c:pt>
                <c:pt idx="266">
                  <c:v>122549.30618075942</c:v>
                </c:pt>
                <c:pt idx="267">
                  <c:v>124140.85561167837</c:v>
                </c:pt>
                <c:pt idx="268">
                  <c:v>125732.40504259733</c:v>
                </c:pt>
                <c:pt idx="269">
                  <c:v>127323.95447351628</c:v>
                </c:pt>
                <c:pt idx="270">
                  <c:v>128915.50390443523</c:v>
                </c:pt>
                <c:pt idx="271">
                  <c:v>130507.05333535418</c:v>
                </c:pt>
                <c:pt idx="272">
                  <c:v>132098.60276627314</c:v>
                </c:pt>
                <c:pt idx="273">
                  <c:v>133690.15219719207</c:v>
                </c:pt>
                <c:pt idx="274">
                  <c:v>135281.70162811104</c:v>
                </c:pt>
                <c:pt idx="275">
                  <c:v>136873.25105903001</c:v>
                </c:pt>
                <c:pt idx="276">
                  <c:v>138464.80048994895</c:v>
                </c:pt>
                <c:pt idx="277">
                  <c:v>140056.34992086791</c:v>
                </c:pt>
                <c:pt idx="278">
                  <c:v>141647.89935178685</c:v>
                </c:pt>
                <c:pt idx="279">
                  <c:v>143239.44878270582</c:v>
                </c:pt>
                <c:pt idx="280">
                  <c:v>144830.99821362476</c:v>
                </c:pt>
                <c:pt idx="281">
                  <c:v>146422.54764454372</c:v>
                </c:pt>
                <c:pt idx="282">
                  <c:v>148014.09707546266</c:v>
                </c:pt>
                <c:pt idx="283">
                  <c:v>149605.64650638163</c:v>
                </c:pt>
                <c:pt idx="284">
                  <c:v>151197.19593730057</c:v>
                </c:pt>
                <c:pt idx="285">
                  <c:v>152788.74536821953</c:v>
                </c:pt>
                <c:pt idx="286">
                  <c:v>154380.29479913847</c:v>
                </c:pt>
                <c:pt idx="287">
                  <c:v>155971.84423005744</c:v>
                </c:pt>
                <c:pt idx="288">
                  <c:v>157563.39366097638</c:v>
                </c:pt>
                <c:pt idx="289">
                  <c:v>159154.94309189534</c:v>
                </c:pt>
                <c:pt idx="290">
                  <c:v>175070.43740108487</c:v>
                </c:pt>
                <c:pt idx="291">
                  <c:v>190985.93171027442</c:v>
                </c:pt>
                <c:pt idx="292">
                  <c:v>206901.42601946395</c:v>
                </c:pt>
                <c:pt idx="293">
                  <c:v>222816.92032865348</c:v>
                </c:pt>
                <c:pt idx="294">
                  <c:v>238732.414637843</c:v>
                </c:pt>
                <c:pt idx="295">
                  <c:v>254647.90894703256</c:v>
                </c:pt>
                <c:pt idx="296">
                  <c:v>270563.40325622208</c:v>
                </c:pt>
                <c:pt idx="297">
                  <c:v>286478.89756541164</c:v>
                </c:pt>
                <c:pt idx="298">
                  <c:v>302394.39187460113</c:v>
                </c:pt>
                <c:pt idx="299">
                  <c:v>318309.88618379069</c:v>
                </c:pt>
                <c:pt idx="300">
                  <c:v>334225.38049298024</c:v>
                </c:pt>
                <c:pt idx="301">
                  <c:v>350140.87480216974</c:v>
                </c:pt>
                <c:pt idx="302">
                  <c:v>366056.36911135929</c:v>
                </c:pt>
                <c:pt idx="303">
                  <c:v>381971.86342054885</c:v>
                </c:pt>
                <c:pt idx="304">
                  <c:v>397887.35772973835</c:v>
                </c:pt>
                <c:pt idx="305">
                  <c:v>413802.8520389279</c:v>
                </c:pt>
                <c:pt idx="306">
                  <c:v>429718.3463481174</c:v>
                </c:pt>
                <c:pt idx="307">
                  <c:v>445633.84065730695</c:v>
                </c:pt>
                <c:pt idx="308">
                  <c:v>461549.33496649651</c:v>
                </c:pt>
                <c:pt idx="309">
                  <c:v>477464.829275686</c:v>
                </c:pt>
                <c:pt idx="310">
                  <c:v>493380.32358487556</c:v>
                </c:pt>
                <c:pt idx="311">
                  <c:v>509295.81789406511</c:v>
                </c:pt>
                <c:pt idx="312">
                  <c:v>525211.31220325467</c:v>
                </c:pt>
                <c:pt idx="313">
                  <c:v>541126.80651244416</c:v>
                </c:pt>
                <c:pt idx="314">
                  <c:v>557042.30082163366</c:v>
                </c:pt>
                <c:pt idx="315">
                  <c:v>572957.79513082327</c:v>
                </c:pt>
                <c:pt idx="316">
                  <c:v>588873.28944001277</c:v>
                </c:pt>
                <c:pt idx="317">
                  <c:v>604788.78374920227</c:v>
                </c:pt>
                <c:pt idx="318">
                  <c:v>620704.27805839188</c:v>
                </c:pt>
                <c:pt idx="319">
                  <c:v>636619.77236758138</c:v>
                </c:pt>
                <c:pt idx="320">
                  <c:v>652535.26667677087</c:v>
                </c:pt>
                <c:pt idx="321">
                  <c:v>668450.76098596049</c:v>
                </c:pt>
                <c:pt idx="322">
                  <c:v>684366.25529514998</c:v>
                </c:pt>
                <c:pt idx="323">
                  <c:v>700281.74960433948</c:v>
                </c:pt>
                <c:pt idx="324">
                  <c:v>716197.24391352909</c:v>
                </c:pt>
                <c:pt idx="325">
                  <c:v>732112.73822271859</c:v>
                </c:pt>
                <c:pt idx="326">
                  <c:v>748028.23253190808</c:v>
                </c:pt>
                <c:pt idx="327">
                  <c:v>763943.7268410977</c:v>
                </c:pt>
                <c:pt idx="328">
                  <c:v>779859.22115028719</c:v>
                </c:pt>
                <c:pt idx="329">
                  <c:v>795774.71545947669</c:v>
                </c:pt>
                <c:pt idx="330">
                  <c:v>811690.20976866619</c:v>
                </c:pt>
                <c:pt idx="331">
                  <c:v>827605.7040778558</c:v>
                </c:pt>
                <c:pt idx="332">
                  <c:v>843521.1983870453</c:v>
                </c:pt>
                <c:pt idx="333">
                  <c:v>859436.69269623479</c:v>
                </c:pt>
                <c:pt idx="334">
                  <c:v>875352.18700542441</c:v>
                </c:pt>
                <c:pt idx="335">
                  <c:v>891267.6813146139</c:v>
                </c:pt>
                <c:pt idx="336">
                  <c:v>907183.1756238034</c:v>
                </c:pt>
                <c:pt idx="337">
                  <c:v>923098.66993299301</c:v>
                </c:pt>
                <c:pt idx="338">
                  <c:v>939014.16424218251</c:v>
                </c:pt>
                <c:pt idx="339">
                  <c:v>954929.65855137201</c:v>
                </c:pt>
                <c:pt idx="340">
                  <c:v>970845.15286056162</c:v>
                </c:pt>
                <c:pt idx="341">
                  <c:v>986760.64716975112</c:v>
                </c:pt>
                <c:pt idx="342">
                  <c:v>1002676.1414789406</c:v>
                </c:pt>
                <c:pt idx="343">
                  <c:v>1018591.6357881302</c:v>
                </c:pt>
                <c:pt idx="344">
                  <c:v>1034507.1300973197</c:v>
                </c:pt>
                <c:pt idx="345">
                  <c:v>1050422.6244065093</c:v>
                </c:pt>
                <c:pt idx="346">
                  <c:v>1066338.1187156988</c:v>
                </c:pt>
                <c:pt idx="347">
                  <c:v>1082253.6130248883</c:v>
                </c:pt>
                <c:pt idx="348">
                  <c:v>1098169.1073340778</c:v>
                </c:pt>
                <c:pt idx="349">
                  <c:v>1114084.6016432673</c:v>
                </c:pt>
                <c:pt idx="350">
                  <c:v>1130000.0959524568</c:v>
                </c:pt>
                <c:pt idx="351">
                  <c:v>1145915.5902616465</c:v>
                </c:pt>
                <c:pt idx="352">
                  <c:v>1161831.084570836</c:v>
                </c:pt>
                <c:pt idx="353">
                  <c:v>1177746.5788800255</c:v>
                </c:pt>
                <c:pt idx="354">
                  <c:v>1193662.073189215</c:v>
                </c:pt>
                <c:pt idx="355">
                  <c:v>1209577.5674984045</c:v>
                </c:pt>
                <c:pt idx="356">
                  <c:v>1225493.061807594</c:v>
                </c:pt>
                <c:pt idx="357">
                  <c:v>1241408.5561167838</c:v>
                </c:pt>
                <c:pt idx="358">
                  <c:v>1257324.0504259733</c:v>
                </c:pt>
                <c:pt idx="359">
                  <c:v>1273239.5447351628</c:v>
                </c:pt>
                <c:pt idx="360">
                  <c:v>1289155.0390443522</c:v>
                </c:pt>
                <c:pt idx="361">
                  <c:v>1305070.5333535417</c:v>
                </c:pt>
                <c:pt idx="362">
                  <c:v>1320986.0276627312</c:v>
                </c:pt>
                <c:pt idx="363">
                  <c:v>1336901.521971921</c:v>
                </c:pt>
                <c:pt idx="364">
                  <c:v>1352817.0162811105</c:v>
                </c:pt>
                <c:pt idx="365">
                  <c:v>1368732.5105903</c:v>
                </c:pt>
                <c:pt idx="366">
                  <c:v>1384648.0048994895</c:v>
                </c:pt>
                <c:pt idx="367">
                  <c:v>1400563.499208679</c:v>
                </c:pt>
                <c:pt idx="368">
                  <c:v>1416478.9935178685</c:v>
                </c:pt>
                <c:pt idx="369">
                  <c:v>1432394.4878270582</c:v>
                </c:pt>
                <c:pt idx="370">
                  <c:v>1448309.9821362477</c:v>
                </c:pt>
                <c:pt idx="371">
                  <c:v>1464225.4764454372</c:v>
                </c:pt>
                <c:pt idx="372">
                  <c:v>1480140.9707546267</c:v>
                </c:pt>
                <c:pt idx="373">
                  <c:v>1496056.4650638162</c:v>
                </c:pt>
                <c:pt idx="374">
                  <c:v>1511971.9593730057</c:v>
                </c:pt>
                <c:pt idx="375">
                  <c:v>1527887.4536821954</c:v>
                </c:pt>
                <c:pt idx="376">
                  <c:v>1543802.9479913849</c:v>
                </c:pt>
                <c:pt idx="377">
                  <c:v>1559718.4423005744</c:v>
                </c:pt>
                <c:pt idx="378">
                  <c:v>1575633.9366097639</c:v>
                </c:pt>
                <c:pt idx="379">
                  <c:v>1591549.4309189534</c:v>
                </c:pt>
              </c:numCache>
            </c:numRef>
          </c:xVal>
          <c:yVal>
            <c:numRef>
              <c:f>'Loop Gain'!$AB$2:$AB$381</c:f>
              <c:numCache>
                <c:formatCode>General</c:formatCode>
                <c:ptCount val="380"/>
                <c:pt idx="0">
                  <c:v>-90.145447996822725</c:v>
                </c:pt>
                <c:pt idx="1">
                  <c:v>-91.454141509303724</c:v>
                </c:pt>
                <c:pt idx="2">
                  <c:v>-92.906235107061036</c:v>
                </c:pt>
                <c:pt idx="3">
                  <c:v>-94.354249623508977</c:v>
                </c:pt>
                <c:pt idx="4">
                  <c:v>-95.79618703176692</c:v>
                </c:pt>
                <c:pt idx="5">
                  <c:v>-97.230098180435391</c:v>
                </c:pt>
                <c:pt idx="6">
                  <c:v>-98.654097554839069</c:v>
                </c:pt>
                <c:pt idx="7">
                  <c:v>-100.06637679962907</c:v>
                </c:pt>
                <c:pt idx="8">
                  <c:v>-101.46521677957558</c:v>
                </c:pt>
                <c:pt idx="9">
                  <c:v>-102.84899800557162</c:v>
                </c:pt>
                <c:pt idx="10">
                  <c:v>-104.2162093064571</c:v>
                </c:pt>
                <c:pt idx="11">
                  <c:v>-116.73042126660349</c:v>
                </c:pt>
                <c:pt idx="12">
                  <c:v>-126.79189304808101</c:v>
                </c:pt>
                <c:pt idx="13">
                  <c:v>-134.52094343967229</c:v>
                </c:pt>
                <c:pt idx="14">
                  <c:v>-140.37817278579098</c:v>
                </c:pt>
                <c:pt idx="15">
                  <c:v>-144.83077057761548</c:v>
                </c:pt>
                <c:pt idx="16">
                  <c:v>-148.24912504368305</c:v>
                </c:pt>
                <c:pt idx="17">
                  <c:v>-150.90364449142146</c:v>
                </c:pt>
                <c:pt idx="18">
                  <c:v>-152.98699338100451</c:v>
                </c:pt>
                <c:pt idx="19">
                  <c:v>-154.63642961603477</c:v>
                </c:pt>
                <c:pt idx="20">
                  <c:v>-155.95075513237555</c:v>
                </c:pt>
                <c:pt idx="21">
                  <c:v>-157.00213521197628</c:v>
                </c:pt>
                <c:pt idx="22">
                  <c:v>-157.84412536228524</c:v>
                </c:pt>
                <c:pt idx="23">
                  <c:v>-158.51710615508128</c:v>
                </c:pt>
                <c:pt idx="24">
                  <c:v>-159.05199029286973</c:v>
                </c:pt>
                <c:pt idx="25">
                  <c:v>-159.47278190822033</c:v>
                </c:pt>
                <c:pt idx="26">
                  <c:v>-159.79836844031433</c:v>
                </c:pt>
                <c:pt idx="27">
                  <c:v>-160.04379365778132</c:v>
                </c:pt>
                <c:pt idx="28">
                  <c:v>-160.22117522810484</c:v>
                </c:pt>
                <c:pt idx="29">
                  <c:v>-160.34037536119493</c:v>
                </c:pt>
                <c:pt idx="30">
                  <c:v>-160.4094975103452</c:v>
                </c:pt>
                <c:pt idx="31">
                  <c:v>-160.43525886616928</c:v>
                </c:pt>
                <c:pt idx="32">
                  <c:v>-160.42327299449164</c:v>
                </c:pt>
                <c:pt idx="33">
                  <c:v>-160.37826665843738</c:v>
                </c:pt>
                <c:pt idx="34">
                  <c:v>-160.30424786501243</c:v>
                </c:pt>
                <c:pt idx="35">
                  <c:v>-160.20463736312257</c:v>
                </c:pt>
                <c:pt idx="36">
                  <c:v>-160.08237246879935</c:v>
                </c:pt>
                <c:pt idx="37">
                  <c:v>-159.93998973211234</c:v>
                </c:pt>
                <c:pt idx="38">
                  <c:v>-159.77969127727869</c:v>
                </c:pt>
                <c:pt idx="39">
                  <c:v>-159.60339843478815</c:v>
                </c:pt>
                <c:pt idx="40">
                  <c:v>-159.41279540141778</c:v>
                </c:pt>
                <c:pt idx="41">
                  <c:v>-159.2093650147801</c:v>
                </c:pt>
                <c:pt idx="42">
                  <c:v>-158.99441824717096</c:v>
                </c:pt>
                <c:pt idx="43">
                  <c:v>-158.76911866264302</c:v>
                </c:pt>
                <c:pt idx="44">
                  <c:v>-158.53450280873187</c:v>
                </c:pt>
                <c:pt idx="45">
                  <c:v>-158.29149730682576</c:v>
                </c:pt>
                <c:pt idx="46">
                  <c:v>-158.04093324606364</c:v>
                </c:pt>
                <c:pt idx="47">
                  <c:v>-157.7835583627238</c:v>
                </c:pt>
                <c:pt idx="48">
                  <c:v>-157.52004739143936</c:v>
                </c:pt>
                <c:pt idx="49">
                  <c:v>-157.25101089971113</c:v>
                </c:pt>
                <c:pt idx="50">
                  <c:v>-156.97700285819752</c:v>
                </c:pt>
                <c:pt idx="51">
                  <c:v>-156.6985271525088</c:v>
                </c:pt>
                <c:pt idx="52">
                  <c:v>-156.41604320497612</c:v>
                </c:pt>
                <c:pt idx="53">
                  <c:v>-156.12997084499767</c:v>
                </c:pt>
                <c:pt idx="54">
                  <c:v>-155.84069454252139</c:v>
                </c:pt>
                <c:pt idx="55">
                  <c:v>-155.54856709974655</c:v>
                </c:pt>
                <c:pt idx="56">
                  <c:v>-155.2539128802988</c:v>
                </c:pt>
                <c:pt idx="57">
                  <c:v>-154.95703064219015</c:v>
                </c:pt>
                <c:pt idx="58">
                  <c:v>-154.65819603027029</c:v>
                </c:pt>
                <c:pt idx="59">
                  <c:v>-154.35766377512022</c:v>
                </c:pt>
                <c:pt idx="60">
                  <c:v>-154.05566963811069</c:v>
                </c:pt>
                <c:pt idx="61">
                  <c:v>-153.75243213634036</c:v>
                </c:pt>
                <c:pt idx="62">
                  <c:v>-153.44815407615829</c:v>
                </c:pt>
                <c:pt idx="63">
                  <c:v>-153.14302391978896</c:v>
                </c:pt>
                <c:pt idx="64">
                  <c:v>-152.83721700606549</c:v>
                </c:pt>
                <c:pt idx="65">
                  <c:v>-152.53089664331259</c:v>
                </c:pt>
                <c:pt idx="66">
                  <c:v>-152.2242150899242</c:v>
                </c:pt>
                <c:pt idx="67">
                  <c:v>-151.9173144360621</c:v>
                </c:pt>
                <c:pt idx="68">
                  <c:v>-151.61032739810082</c:v>
                </c:pt>
                <c:pt idx="69">
                  <c:v>-151.30337803591129</c:v>
                </c:pt>
                <c:pt idx="70">
                  <c:v>-150.99658240176345</c:v>
                </c:pt>
                <c:pt idx="71">
                  <c:v>-150.69004912850926</c:v>
                </c:pt>
                <c:pt idx="72">
                  <c:v>-150.38387996373675</c:v>
                </c:pt>
                <c:pt idx="73">
                  <c:v>-150.07817025575977</c:v>
                </c:pt>
                <c:pt idx="74">
                  <c:v>-149.77300939659187</c:v>
                </c:pt>
                <c:pt idx="75">
                  <c:v>-149.4684812264274</c:v>
                </c:pt>
                <c:pt idx="76">
                  <c:v>-149.16466440362043</c:v>
                </c:pt>
                <c:pt idx="77">
                  <c:v>-148.86163274368329</c:v>
                </c:pt>
                <c:pt idx="78">
                  <c:v>-148.55945553041721</c:v>
                </c:pt>
                <c:pt idx="79">
                  <c:v>-148.25819780193763</c:v>
                </c:pt>
                <c:pt idx="80">
                  <c:v>-147.9579206140404</c:v>
                </c:pt>
                <c:pt idx="81">
                  <c:v>-147.65868128308816</c:v>
                </c:pt>
                <c:pt idx="82">
                  <c:v>-147.36053361035539</c:v>
                </c:pt>
                <c:pt idx="83">
                  <c:v>-147.06352808956171</c:v>
                </c:pt>
                <c:pt idx="84">
                  <c:v>-146.76771209913719</c:v>
                </c:pt>
                <c:pt idx="85">
                  <c:v>-146.47313008060246</c:v>
                </c:pt>
                <c:pt idx="86">
                  <c:v>-146.17982370430209</c:v>
                </c:pt>
                <c:pt idx="87">
                  <c:v>-145.887832023599</c:v>
                </c:pt>
                <c:pt idx="88">
                  <c:v>-145.59719161853255</c:v>
                </c:pt>
                <c:pt idx="89">
                  <c:v>-145.30793672983347</c:v>
                </c:pt>
                <c:pt idx="90">
                  <c:v>-145.02009938410728</c:v>
                </c:pt>
                <c:pt idx="91">
                  <c:v>-144.73370951091479</c:v>
                </c:pt>
                <c:pt idx="92">
                  <c:v>-144.44879505240817</c:v>
                </c:pt>
                <c:pt idx="93">
                  <c:v>-144.16538206611966</c:v>
                </c:pt>
                <c:pt idx="94">
                  <c:v>-143.88349482144125</c:v>
                </c:pt>
                <c:pt idx="95">
                  <c:v>-143.60315589028636</c:v>
                </c:pt>
                <c:pt idx="96">
                  <c:v>-143.32438623237584</c:v>
                </c:pt>
                <c:pt idx="97">
                  <c:v>-143.04720527555256</c:v>
                </c:pt>
                <c:pt idx="98">
                  <c:v>-142.77163099149368</c:v>
                </c:pt>
                <c:pt idx="99">
                  <c:v>-142.49767996715104</c:v>
                </c:pt>
                <c:pt idx="100">
                  <c:v>-142.22536747223046</c:v>
                </c:pt>
                <c:pt idx="101">
                  <c:v>-141.95470752298414</c:v>
                </c:pt>
                <c:pt idx="102">
                  <c:v>-141.68571294257276</c:v>
                </c:pt>
                <c:pt idx="103">
                  <c:v>-141.41839541823197</c:v>
                </c:pt>
                <c:pt idx="104">
                  <c:v>-141.15276555545324</c:v>
                </c:pt>
                <c:pt idx="105">
                  <c:v>-140.8888329293803</c:v>
                </c:pt>
                <c:pt idx="106">
                  <c:v>-140.62660613359694</c:v>
                </c:pt>
                <c:pt idx="107">
                  <c:v>-140.36609282647402</c:v>
                </c:pt>
                <c:pt idx="108">
                  <c:v>-140.10729977522783</c:v>
                </c:pt>
                <c:pt idx="109">
                  <c:v>-139.85023289783064</c:v>
                </c:pt>
                <c:pt idx="110">
                  <c:v>-137.37527295008158</c:v>
                </c:pt>
                <c:pt idx="111">
                  <c:v>-135.07445868544713</c:v>
                </c:pt>
                <c:pt idx="112">
                  <c:v>-132.94452416866642</c:v>
                </c:pt>
                <c:pt idx="113">
                  <c:v>-130.97924841628677</c:v>
                </c:pt>
                <c:pt idx="114">
                  <c:v>-129.17074044284001</c:v>
                </c:pt>
                <c:pt idx="115">
                  <c:v>-127.51028339746529</c:v>
                </c:pt>
                <c:pt idx="116">
                  <c:v>-125.98888506147534</c:v>
                </c:pt>
                <c:pt idx="117">
                  <c:v>-124.59762967847743</c:v>
                </c:pt>
                <c:pt idx="118">
                  <c:v>-123.32789484894077</c:v>
                </c:pt>
                <c:pt idx="119">
                  <c:v>-122.17147717911668</c:v>
                </c:pt>
                <c:pt idx="120">
                  <c:v>-121.12065690425024</c:v>
                </c:pt>
                <c:pt idx="121">
                  <c:v>-120.16822241214011</c:v>
                </c:pt>
                <c:pt idx="122">
                  <c:v>-119.30746909994761</c:v>
                </c:pt>
                <c:pt idx="123">
                  <c:v>-118.53218244246092</c:v>
                </c:pt>
                <c:pt idx="124">
                  <c:v>-117.83661195819967</c:v>
                </c:pt>
                <c:pt idx="125">
                  <c:v>-117.21544053194368</c:v>
                </c:pt>
                <c:pt idx="126">
                  <c:v>-116.66375200671044</c:v>
                </c:pt>
                <c:pt idx="127">
                  <c:v>-116.17699889437714</c:v>
                </c:pt>
                <c:pt idx="128">
                  <c:v>-115.7509713290311</c:v>
                </c:pt>
                <c:pt idx="129">
                  <c:v>-115.38176789904496</c:v>
                </c:pt>
                <c:pt idx="130">
                  <c:v>-115.0657686706264</c:v>
                </c:pt>
                <c:pt idx="131">
                  <c:v>-114.79961050618451</c:v>
                </c:pt>
                <c:pt idx="132">
                  <c:v>-114.58016464948491</c:v>
                </c:pt>
                <c:pt idx="133">
                  <c:v>-114.40451647102088</c:v>
                </c:pt>
                <c:pt idx="134">
                  <c:v>-114.26994722391044</c:v>
                </c:pt>
                <c:pt idx="135">
                  <c:v>-114.17391764074745</c:v>
                </c:pt>
                <c:pt idx="136">
                  <c:v>-114.1140531968818</c:v>
                </c:pt>
                <c:pt idx="137">
                  <c:v>-114.08813086990392</c:v>
                </c:pt>
                <c:pt idx="138">
                  <c:v>-114.09406723477926</c:v>
                </c:pt>
                <c:pt idx="139">
                  <c:v>-114.12990774662941</c:v>
                </c:pt>
                <c:pt idx="140">
                  <c:v>-114.19381707685235</c:v>
                </c:pt>
                <c:pt idx="141">
                  <c:v>-114.28407038213207</c:v>
                </c:pt>
                <c:pt idx="142">
                  <c:v>-114.39904539917821</c:v>
                </c:pt>
                <c:pt idx="143">
                  <c:v>-114.53721527048685</c:v>
                </c:pt>
                <c:pt idx="144">
                  <c:v>-114.69714201775136</c:v>
                </c:pt>
                <c:pt idx="145">
                  <c:v>-114.87747058979386</c:v>
                </c:pt>
                <c:pt idx="146">
                  <c:v>-115.07692342097684</c:v>
                </c:pt>
                <c:pt idx="147">
                  <c:v>-115.29429544410496</c:v>
                </c:pt>
                <c:pt idx="148">
                  <c:v>-115.52844950887004</c:v>
                </c:pt>
                <c:pt idx="149">
                  <c:v>-115.77831216306336</c:v>
                </c:pt>
                <c:pt idx="150">
                  <c:v>-116.04286975913215</c:v>
                </c:pt>
                <c:pt idx="151">
                  <c:v>-116.32116485331514</c:v>
                </c:pt>
                <c:pt idx="152">
                  <c:v>-116.61229286863508</c:v>
                </c:pt>
                <c:pt idx="153">
                  <c:v>-116.9153989965027</c:v>
                </c:pt>
                <c:pt idx="154">
                  <c:v>-117.22967531472563</c:v>
                </c:pt>
                <c:pt idx="155">
                  <c:v>-117.55435810232183</c:v>
                </c:pt>
                <c:pt idx="156">
                  <c:v>-117.88872533380697</c:v>
                </c:pt>
                <c:pt idx="157">
                  <c:v>-118.2320943375843</c:v>
                </c:pt>
                <c:pt idx="158">
                  <c:v>-118.58381960476726</c:v>
                </c:pt>
                <c:pt idx="159">
                  <c:v>-118.94329073625029</c:v>
                </c:pt>
                <c:pt idx="160">
                  <c:v>-119.30993051711954</c:v>
                </c:pt>
                <c:pt idx="161">
                  <c:v>-119.68319310862103</c:v>
                </c:pt>
                <c:pt idx="162">
                  <c:v>-120.06256234889301</c:v>
                </c:pt>
                <c:pt idx="163">
                  <c:v>-120.44755015450879</c:v>
                </c:pt>
                <c:pt idx="164">
                  <c:v>-120.83769501564602</c:v>
                </c:pt>
                <c:pt idx="165">
                  <c:v>-121.23256057835592</c:v>
                </c:pt>
                <c:pt idx="166">
                  <c:v>-121.63173430798929</c:v>
                </c:pt>
                <c:pt idx="167">
                  <c:v>-122.03482622835779</c:v>
                </c:pt>
                <c:pt idx="168">
                  <c:v>-122.44146773166753</c:v>
                </c:pt>
                <c:pt idx="169">
                  <c:v>-122.85131045467512</c:v>
                </c:pt>
                <c:pt idx="170">
                  <c:v>-123.26402521687243</c:v>
                </c:pt>
                <c:pt idx="171">
                  <c:v>-123.67930101685354</c:v>
                </c:pt>
                <c:pt idx="172">
                  <c:v>-124.09684408328675</c:v>
                </c:pt>
                <c:pt idx="173">
                  <c:v>-124.51637697720349</c:v>
                </c:pt>
                <c:pt idx="174">
                  <c:v>-124.93763774254224</c:v>
                </c:pt>
                <c:pt idx="175">
                  <c:v>-125.36037910210571</c:v>
                </c:pt>
                <c:pt idx="176">
                  <c:v>-125.78436769629255</c:v>
                </c:pt>
                <c:pt idx="177">
                  <c:v>-126.20938336213567</c:v>
                </c:pt>
                <c:pt idx="178">
                  <c:v>-126.63521845035635</c:v>
                </c:pt>
                <c:pt idx="179">
                  <c:v>-127.06167717828171</c:v>
                </c:pt>
                <c:pt idx="180">
                  <c:v>-127.48857501661936</c:v>
                </c:pt>
                <c:pt idx="181">
                  <c:v>-127.91573810821116</c:v>
                </c:pt>
                <c:pt idx="182">
                  <c:v>-128.34300271699539</c:v>
                </c:pt>
                <c:pt idx="183">
                  <c:v>-128.77021470553461</c:v>
                </c:pt>
                <c:pt idx="184">
                  <c:v>-129.1972290395415</c:v>
                </c:pt>
                <c:pt idx="185">
                  <c:v>-129.62390931795477</c:v>
                </c:pt>
                <c:pt idx="186">
                  <c:v>-130.05012732718163</c:v>
                </c:pt>
                <c:pt idx="187">
                  <c:v>-130.47576261821737</c:v>
                </c:pt>
                <c:pt idx="188">
                  <c:v>-130.90070210542348</c:v>
                </c:pt>
                <c:pt idx="189">
                  <c:v>-131.32483968581707</c:v>
                </c:pt>
                <c:pt idx="190">
                  <c:v>-131.74807587778258</c:v>
                </c:pt>
                <c:pt idx="191">
                  <c:v>-132.17031747819306</c:v>
                </c:pt>
                <c:pt idx="192">
                  <c:v>-132.59147723696867</c:v>
                </c:pt>
                <c:pt idx="193">
                  <c:v>-133.0114735481668</c:v>
                </c:pt>
                <c:pt idx="194">
                  <c:v>-133.43023015673793</c:v>
                </c:pt>
                <c:pt idx="195">
                  <c:v>-133.84767588014222</c:v>
                </c:pt>
                <c:pt idx="196">
                  <c:v>-134.26374434404741</c:v>
                </c:pt>
                <c:pt idx="197">
                  <c:v>-134.67837373139145</c:v>
                </c:pt>
                <c:pt idx="198">
                  <c:v>-135.0915065441117</c:v>
                </c:pt>
                <c:pt idx="199">
                  <c:v>-135.5030893769009</c:v>
                </c:pt>
                <c:pt idx="200">
                  <c:v>-139.52444653511861</c:v>
                </c:pt>
                <c:pt idx="201">
                  <c:v>-143.35540076785946</c:v>
                </c:pt>
                <c:pt idx="202">
                  <c:v>-146.98467739000606</c:v>
                </c:pt>
                <c:pt idx="203">
                  <c:v>-150.41354458302101</c:v>
                </c:pt>
                <c:pt idx="204">
                  <c:v>-153.65003294927507</c:v>
                </c:pt>
                <c:pt idx="205">
                  <c:v>-156.70550776817782</c:v>
                </c:pt>
                <c:pt idx="206">
                  <c:v>-159.59266060640996</c:v>
                </c:pt>
                <c:pt idx="207">
                  <c:v>-162.32435812376559</c:v>
                </c:pt>
                <c:pt idx="208">
                  <c:v>-164.91300770624207</c:v>
                </c:pt>
                <c:pt idx="209">
                  <c:v>-167.37023300177458</c:v>
                </c:pt>
                <c:pt idx="210">
                  <c:v>-169.70673322162725</c:v>
                </c:pt>
                <c:pt idx="211">
                  <c:v>-171.93224925220716</c:v>
                </c:pt>
                <c:pt idx="212">
                  <c:v>-174.05558970675378</c:v>
                </c:pt>
                <c:pt idx="213">
                  <c:v>-176.08468851925528</c:v>
                </c:pt>
                <c:pt idx="214">
                  <c:v>-178.02667705376413</c:v>
                </c:pt>
                <c:pt idx="215">
                  <c:v>-179.88796070616945</c:v>
                </c:pt>
                <c:pt idx="216">
                  <c:v>-181.67429428200847</c:v>
                </c:pt>
                <c:pt idx="217">
                  <c:v>-183.39085306848597</c:v>
                </c:pt>
                <c:pt idx="218">
                  <c:v>-185.04229811484529</c:v>
                </c:pt>
                <c:pt idx="219">
                  <c:v>-186.63283518574301</c:v>
                </c:pt>
                <c:pt idx="220">
                  <c:v>-188.16626740239477</c:v>
                </c:pt>
                <c:pt idx="221">
                  <c:v>-189.64604188921771</c:v>
                </c:pt>
                <c:pt idx="222">
                  <c:v>-191.07529089552392</c:v>
                </c:pt>
                <c:pt idx="223">
                  <c:v>-192.45686792264365</c:v>
                </c:pt>
                <c:pt idx="224">
                  <c:v>-193.79337939433134</c:v>
                </c:pt>
                <c:pt idx="225">
                  <c:v>-195.0872123858224</c:v>
                </c:pt>
                <c:pt idx="226">
                  <c:v>-196.34055888891544</c:v>
                </c:pt>
                <c:pt idx="227">
                  <c:v>-197.5554370457279</c:v>
                </c:pt>
                <c:pt idx="228">
                  <c:v>-198.73370973753882</c:v>
                </c:pt>
                <c:pt idx="229">
                  <c:v>-199.87710087034429</c:v>
                </c:pt>
                <c:pt idx="230">
                  <c:v>-200.98720965701904</c:v>
                </c:pt>
                <c:pt idx="231">
                  <c:v>-202.06552315800826</c:v>
                </c:pt>
                <c:pt idx="232">
                  <c:v>-203.11342730850384</c:v>
                </c:pt>
                <c:pt idx="233">
                  <c:v>-204.13221663001357</c:v>
                </c:pt>
                <c:pt idx="234">
                  <c:v>-205.12310279784231</c:v>
                </c:pt>
                <c:pt idx="235">
                  <c:v>-206.08722221299863</c:v>
                </c:pt>
                <c:pt idx="236">
                  <c:v>-207.02564270703246</c:v>
                </c:pt>
                <c:pt idx="237">
                  <c:v>-207.93936949097525</c:v>
                </c:pt>
                <c:pt idx="238">
                  <c:v>-208.82935044456372</c:v>
                </c:pt>
                <c:pt idx="239">
                  <c:v>-209.69648082898971</c:v>
                </c:pt>
                <c:pt idx="240">
                  <c:v>-210.54160749523919</c:v>
                </c:pt>
                <c:pt idx="241">
                  <c:v>-211.36553265045967</c:v>
                </c:pt>
                <c:pt idx="242">
                  <c:v>-212.16901723648638</c:v>
                </c:pt>
                <c:pt idx="243">
                  <c:v>-212.95278396749319</c:v>
                </c:pt>
                <c:pt idx="244">
                  <c:v>-213.71752006756191</c:v>
                </c:pt>
                <c:pt idx="245">
                  <c:v>-214.46387974363273</c:v>
                </c:pt>
                <c:pt idx="246">
                  <c:v>-215.19248642469159</c:v>
                </c:pt>
                <c:pt idx="247">
                  <c:v>-215.90393479408985</c:v>
                </c:pt>
                <c:pt idx="248">
                  <c:v>-216.59879263843865</c:v>
                </c:pt>
                <c:pt idx="249">
                  <c:v>-217.2776025335715</c:v>
                </c:pt>
                <c:pt idx="250">
                  <c:v>-217.94088338547192</c:v>
                </c:pt>
                <c:pt idx="251">
                  <c:v>-218.58913184185917</c:v>
                </c:pt>
                <c:pt idx="252">
                  <c:v>-219.22282358817586</c:v>
                </c:pt>
                <c:pt idx="253">
                  <c:v>-219.84241454004979</c:v>
                </c:pt>
                <c:pt idx="254">
                  <c:v>-220.44834194285244</c:v>
                </c:pt>
                <c:pt idx="255">
                  <c:v>-221.04102538769632</c:v>
                </c:pt>
                <c:pt idx="256">
                  <c:v>-221.62086775212367</c:v>
                </c:pt>
                <c:pt idx="257">
                  <c:v>-222.1882560727704</c:v>
                </c:pt>
                <c:pt idx="258">
                  <c:v>-222.74356235645203</c:v>
                </c:pt>
                <c:pt idx="259">
                  <c:v>-223.28714433539034</c:v>
                </c:pt>
                <c:pt idx="260">
                  <c:v>-223.81934617165268</c:v>
                </c:pt>
                <c:pt idx="261">
                  <c:v>-224.34049911532287</c:v>
                </c:pt>
                <c:pt idx="262">
                  <c:v>-224.85092212042605</c:v>
                </c:pt>
                <c:pt idx="263">
                  <c:v>-225.35092242219844</c:v>
                </c:pt>
                <c:pt idx="264">
                  <c:v>-225.84079607892107</c:v>
                </c:pt>
                <c:pt idx="265">
                  <c:v>-226.32082848119472</c:v>
                </c:pt>
                <c:pt idx="266">
                  <c:v>-226.79129483124447</c:v>
                </c:pt>
                <c:pt idx="267">
                  <c:v>-227.25246059458249</c:v>
                </c:pt>
                <c:pt idx="268">
                  <c:v>-227.70458192612665</c:v>
                </c:pt>
                <c:pt idx="269">
                  <c:v>-228.14790607267454</c:v>
                </c:pt>
                <c:pt idx="270">
                  <c:v>-228.58267175344423</c:v>
                </c:pt>
                <c:pt idx="271">
                  <c:v>-229.00910952024498</c:v>
                </c:pt>
                <c:pt idx="272">
                  <c:v>-229.42744209868619</c:v>
                </c:pt>
                <c:pt idx="273">
                  <c:v>-229.83788471172079</c:v>
                </c:pt>
                <c:pt idx="274">
                  <c:v>-230.24064538669259</c:v>
                </c:pt>
                <c:pt idx="275">
                  <c:v>-230.63592524696526</c:v>
                </c:pt>
                <c:pt idx="276">
                  <c:v>-231.02391878911862</c:v>
                </c:pt>
                <c:pt idx="277">
                  <c:v>-231.4048141466136</c:v>
                </c:pt>
                <c:pt idx="278">
                  <c:v>-231.77879334075877</c:v>
                </c:pt>
                <c:pt idx="279">
                  <c:v>-232.14603251974211</c:v>
                </c:pt>
                <c:pt idx="280">
                  <c:v>-232.50670218643592</c:v>
                </c:pt>
                <c:pt idx="281">
                  <c:v>-232.86096741562574</c:v>
                </c:pt>
                <c:pt idx="282">
                  <c:v>-233.20898806126937</c:v>
                </c:pt>
                <c:pt idx="283">
                  <c:v>-233.55091895434555</c:v>
                </c:pt>
                <c:pt idx="284">
                  <c:v>-233.8869100918119</c:v>
                </c:pt>
                <c:pt idx="285">
                  <c:v>-234.21710681715936</c:v>
                </c:pt>
                <c:pt idx="286">
                  <c:v>-234.54164999301142</c:v>
                </c:pt>
                <c:pt idx="287">
                  <c:v>-234.8606761661886</c:v>
                </c:pt>
                <c:pt idx="288">
                  <c:v>-235.17431772563589</c:v>
                </c:pt>
                <c:pt idx="289">
                  <c:v>-235.4827030535742</c:v>
                </c:pt>
                <c:pt idx="290">
                  <c:v>-238.30311527502602</c:v>
                </c:pt>
                <c:pt idx="291">
                  <c:v>-240.71425278629769</c:v>
                </c:pt>
                <c:pt idx="292">
                  <c:v>-242.79635311792561</c:v>
                </c:pt>
                <c:pt idx="293">
                  <c:v>-244.61055497498691</c:v>
                </c:pt>
                <c:pt idx="294">
                  <c:v>-246.20411983351264</c:v>
                </c:pt>
                <c:pt idx="295">
                  <c:v>-247.61406665553665</c:v>
                </c:pt>
                <c:pt idx="296">
                  <c:v>-248.86974502866215</c:v>
                </c:pt>
                <c:pt idx="297">
                  <c:v>-249.99468492751157</c:v>
                </c:pt>
                <c:pt idx="298">
                  <c:v>-251.00794545606408</c:v>
                </c:pt>
                <c:pt idx="299">
                  <c:v>-251.9251113661004</c:v>
                </c:pt>
                <c:pt idx="300">
                  <c:v>-252.75903849552853</c:v>
                </c:pt>
                <c:pt idx="301">
                  <c:v>-253.5204178802453</c:v>
                </c:pt>
                <c:pt idx="302">
                  <c:v>-254.21820730036239</c:v>
                </c:pt>
                <c:pt idx="303">
                  <c:v>-254.85996478438366</c:v>
                </c:pt>
                <c:pt idx="304">
                  <c:v>-255.45210881138928</c:v>
                </c:pt>
                <c:pt idx="305">
                  <c:v>-256.00012314393553</c:v>
                </c:pt>
                <c:pt idx="306">
                  <c:v>-256.50871943144625</c:v>
                </c:pt>
                <c:pt idx="307">
                  <c:v>-256.98196731106327</c:v>
                </c:pt>
                <c:pt idx="308">
                  <c:v>-257.42339927668928</c:v>
                </c:pt>
                <c:pt idx="309">
                  <c:v>-257.83609580109857</c:v>
                </c:pt>
                <c:pt idx="310">
                  <c:v>-258.22275488492772</c:v>
                </c:pt>
                <c:pt idx="311">
                  <c:v>-258.58574923496712</c:v>
                </c:pt>
                <c:pt idx="312">
                  <c:v>-258.92717354813681</c:v>
                </c:pt>
                <c:pt idx="313">
                  <c:v>-259.2488838303413</c:v>
                </c:pt>
                <c:pt idx="314">
                  <c:v>-259.5525302637306</c:v>
                </c:pt>
                <c:pt idx="315">
                  <c:v>-259.83958481775318</c:v>
                </c:pt>
                <c:pt idx="316">
                  <c:v>-260.11136455413367</c:v>
                </c:pt>
                <c:pt idx="317">
                  <c:v>-260.36905138555449</c:v>
                </c:pt>
                <c:pt idx="318">
                  <c:v>-260.61370889910881</c:v>
                </c:pt>
                <c:pt idx="319">
                  <c:v>-260.84629673869586</c:v>
                </c:pt>
                <c:pt idx="320">
                  <c:v>-261.06768294808364</c:v>
                </c:pt>
                <c:pt idx="321">
                  <c:v>-261.27865460285869</c:v>
                </c:pt>
                <c:pt idx="322">
                  <c:v>-261.47992700069898</c:v>
                </c:pt>
                <c:pt idx="323">
                  <c:v>-261.67215163216713</c:v>
                </c:pt>
                <c:pt idx="324">
                  <c:v>-261.8559231160674</c:v>
                </c:pt>
                <c:pt idx="325">
                  <c:v>-262.03178525243993</c:v>
                </c:pt>
                <c:pt idx="326">
                  <c:v>-262.20023632102647</c:v>
                </c:pt>
                <c:pt idx="327">
                  <c:v>-262.36173373236733</c:v>
                </c:pt>
                <c:pt idx="328">
                  <c:v>-262.51669812169581</c:v>
                </c:pt>
                <c:pt idx="329">
                  <c:v>-262.66551696176515</c:v>
                </c:pt>
                <c:pt idx="330">
                  <c:v>-262.80854775911195</c:v>
                </c:pt>
                <c:pt idx="331">
                  <c:v>-262.94612088859037</c:v>
                </c:pt>
                <c:pt idx="332">
                  <c:v>-263.07854211293358</c:v>
                </c:pt>
                <c:pt idx="333">
                  <c:v>-263.20609482733317</c:v>
                </c:pt>
                <c:pt idx="334">
                  <c:v>-263.32904206334433</c:v>
                </c:pt>
                <c:pt idx="335">
                  <c:v>-263.44762828162698</c:v>
                </c:pt>
                <c:pt idx="336">
                  <c:v>-263.56208097897866</c:v>
                </c:pt>
                <c:pt idx="337">
                  <c:v>-263.67261213167512</c:v>
                </c:pt>
                <c:pt idx="338">
                  <c:v>-263.77941949420733</c:v>
                </c:pt>
                <c:pt idx="339">
                  <c:v>-263.8826877700061</c:v>
                </c:pt>
                <c:pt idx="340">
                  <c:v>-263.98258966860919</c:v>
                </c:pt>
                <c:pt idx="341">
                  <c:v>-264.07928686189365</c:v>
                </c:pt>
                <c:pt idx="342">
                  <c:v>-264.17293085042053</c:v>
                </c:pt>
                <c:pt idx="343">
                  <c:v>-264.26366374958036</c:v>
                </c:pt>
                <c:pt idx="344">
                  <c:v>-264.35161900405615</c:v>
                </c:pt>
                <c:pt idx="345">
                  <c:v>-264.4369220381011</c:v>
                </c:pt>
                <c:pt idx="346">
                  <c:v>-264.51969084825021</c:v>
                </c:pt>
                <c:pt idx="347">
                  <c:v>-264.60003654431506</c:v>
                </c:pt>
                <c:pt idx="348">
                  <c:v>-264.67806384384278</c:v>
                </c:pt>
                <c:pt idx="349">
                  <c:v>-264.75387152463742</c:v>
                </c:pt>
                <c:pt idx="350">
                  <c:v>-264.8275528394289</c:v>
                </c:pt>
                <c:pt idx="351">
                  <c:v>-264.89919589632888</c:v>
                </c:pt>
                <c:pt idx="352">
                  <c:v>-264.96888400831631</c:v>
                </c:pt>
                <c:pt idx="353">
                  <c:v>-265.03669601465299</c:v>
                </c:pt>
                <c:pt idx="354">
                  <c:v>-265.10270657681838</c:v>
                </c:pt>
                <c:pt idx="355">
                  <c:v>-265.16698645128974</c:v>
                </c:pt>
                <c:pt idx="356">
                  <c:v>-265.22960274124989</c:v>
                </c:pt>
                <c:pt idx="357">
                  <c:v>-265.29061912909532</c:v>
                </c:pt>
                <c:pt idx="358">
                  <c:v>-265.35009609143049</c:v>
                </c:pt>
                <c:pt idx="359">
                  <c:v>-265.40809109806696</c:v>
                </c:pt>
                <c:pt idx="360">
                  <c:v>-265.46465879639555</c:v>
                </c:pt>
                <c:pt idx="361">
                  <c:v>-265.51985118237189</c:v>
                </c:pt>
                <c:pt idx="362">
                  <c:v>-265.57371775923167</c:v>
                </c:pt>
                <c:pt idx="363">
                  <c:v>-265.62630568495263</c:v>
                </c:pt>
                <c:pt idx="364">
                  <c:v>-265.67765990938017</c:v>
                </c:pt>
                <c:pt idx="365">
                  <c:v>-265.7278233018522</c:v>
                </c:pt>
                <c:pt idx="366">
                  <c:v>-265.77683677008179</c:v>
                </c:pt>
                <c:pt idx="367">
                  <c:v>-265.82473937098757</c:v>
                </c:pt>
                <c:pt idx="368">
                  <c:v>-265.87156841410064</c:v>
                </c:pt>
                <c:pt idx="369">
                  <c:v>-265.91735955812061</c:v>
                </c:pt>
                <c:pt idx="370">
                  <c:v>-265.96214690114516</c:v>
                </c:pt>
                <c:pt idx="371">
                  <c:v>-266.00596306504997</c:v>
                </c:pt>
                <c:pt idx="372">
                  <c:v>-266.04883927445718</c:v>
                </c:pt>
                <c:pt idx="373">
                  <c:v>-266.09080543069206</c:v>
                </c:pt>
                <c:pt idx="374">
                  <c:v>-266.13189018109551</c:v>
                </c:pt>
                <c:pt idx="375">
                  <c:v>-266.17212098402797</c:v>
                </c:pt>
                <c:pt idx="376">
                  <c:v>-266.21152416987456</c:v>
                </c:pt>
                <c:pt idx="377">
                  <c:v>-266.2501249983352</c:v>
                </c:pt>
                <c:pt idx="378">
                  <c:v>-266.28794771225978</c:v>
                </c:pt>
                <c:pt idx="379">
                  <c:v>-266.3250155882705</c:v>
                </c:pt>
              </c:numCache>
            </c:numRef>
          </c:yVal>
          <c:smooth val="1"/>
          <c:extLst>
            <c:ext xmlns:c16="http://schemas.microsoft.com/office/drawing/2014/chart" uri="{C3380CC4-5D6E-409C-BE32-E72D297353CC}">
              <c16:uniqueId val="{00000001-0473-4151-A6D2-013976BBB783}"/>
            </c:ext>
          </c:extLst>
        </c:ser>
        <c:dLbls>
          <c:showLegendKey val="0"/>
          <c:showVal val="0"/>
          <c:showCatName val="0"/>
          <c:showSerName val="0"/>
          <c:showPercent val="0"/>
          <c:showBubbleSize val="0"/>
        </c:dLbls>
        <c:axId val="521878639"/>
        <c:axId val="521879055"/>
      </c:scatterChart>
      <c:valAx>
        <c:axId val="1434155088"/>
        <c:scaling>
          <c:logBase val="10"/>
          <c:orientation val="minMax"/>
        </c:scaling>
        <c:delete val="0"/>
        <c:axPos val="b"/>
        <c:majorGridlines>
          <c:spPr>
            <a:ln w="9525" cap="flat" cmpd="sng" algn="ctr">
              <a:solidFill>
                <a:schemeClr val="tx1">
                  <a:lumMod val="15000"/>
                  <a:lumOff val="85000"/>
                </a:schemeClr>
              </a:solidFill>
              <a:prstDash val="solid"/>
              <a:round/>
            </a:ln>
            <a:effectLst/>
          </c:spPr>
        </c:majorGridlines>
        <c:minorGridlines>
          <c:spPr>
            <a:ln w="6350" cap="flat" cmpd="sng" algn="ctr">
              <a:solidFill>
                <a:schemeClr val="tx1">
                  <a:tint val="50000"/>
                </a:schemeClr>
              </a:solidFill>
              <a:prstDash val="solid"/>
              <a:round/>
            </a:ln>
            <a:effectLst/>
          </c:spPr>
        </c:min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Freq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99712"/>
        <c:crosses val="autoZero"/>
        <c:crossBetween val="midCat"/>
      </c:valAx>
      <c:valAx>
        <c:axId val="1570699712"/>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Loop Gain (dB)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0"/>
        <c:majorTickMark val="out"/>
        <c:minorTickMark val="in"/>
        <c:tickLblPos val="low"/>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155088"/>
        <c:crosses val="autoZero"/>
        <c:crossBetween val="midCat"/>
      </c:valAx>
      <c:valAx>
        <c:axId val="521879055"/>
        <c:scaling>
          <c:orientation val="minMax"/>
        </c:scaling>
        <c:delete val="0"/>
        <c:axPos val="r"/>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21878639"/>
        <c:crosses val="max"/>
        <c:crossBetween val="midCat"/>
      </c:valAx>
      <c:valAx>
        <c:axId val="521878639"/>
        <c:scaling>
          <c:logBase val="10"/>
          <c:orientation val="minMax"/>
        </c:scaling>
        <c:delete val="1"/>
        <c:axPos val="b"/>
        <c:numFmt formatCode="General" sourceLinked="1"/>
        <c:majorTickMark val="out"/>
        <c:minorTickMark val="none"/>
        <c:tickLblPos val="nextTo"/>
        <c:crossAx val="521879055"/>
        <c:crosses val="autoZero"/>
        <c:crossBetween val="midCat"/>
      </c:valAx>
      <c:spPr>
        <a:solidFill>
          <a:schemeClr val="bg1"/>
        </a:solidFill>
        <a:ln>
          <a:noFill/>
        </a:ln>
        <a:effectLst/>
      </c:spPr>
    </c:plotArea>
    <c:legend>
      <c:legendPos val="b"/>
      <c:legendEntry>
        <c:idx val="1"/>
        <c:delete val="1"/>
      </c:legendEntry>
      <c:layout>
        <c:manualLayout>
          <c:xMode val="edge"/>
          <c:yMode val="edge"/>
          <c:x val="0.62781463792435777"/>
          <c:y val="2.5743377822453048E-2"/>
          <c:w val="0.3380456650781099"/>
          <c:h val="4.360975015063349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'Loop Gain'!$H$1</c:f>
              <c:strCache>
                <c:ptCount val="1"/>
                <c:pt idx="0">
                  <c:v>Transfer Function CCM (db)</c:v>
                </c:pt>
              </c:strCache>
            </c:strRef>
          </c:tx>
          <c:spPr>
            <a:ln w="19050" cap="rnd">
              <a:solidFill>
                <a:schemeClr val="accent1"/>
              </a:solidFill>
              <a:round/>
            </a:ln>
            <a:effectLst/>
          </c:spPr>
          <c:marker>
            <c:symbol val="none"/>
          </c:marker>
          <c:xVal>
            <c:numRef>
              <c:f>'Loop Gain'!$A$2:$A$381</c:f>
              <c:numCache>
                <c:formatCode>General</c:formatCode>
                <c:ptCount val="380"/>
                <c:pt idx="0">
                  <c:v>1</c:v>
                </c:pt>
                <c:pt idx="1">
                  <c:v>10</c:v>
                </c:pt>
                <c:pt idx="2">
                  <c:v>20</c:v>
                </c:pt>
                <c:pt idx="3">
                  <c:v>30</c:v>
                </c:pt>
                <c:pt idx="4">
                  <c:v>40</c:v>
                </c:pt>
                <c:pt idx="5">
                  <c:v>50</c:v>
                </c:pt>
                <c:pt idx="6">
                  <c:v>60</c:v>
                </c:pt>
                <c:pt idx="7">
                  <c:v>70</c:v>
                </c:pt>
                <c:pt idx="8">
                  <c:v>80</c:v>
                </c:pt>
                <c:pt idx="9">
                  <c:v>90</c:v>
                </c:pt>
                <c:pt idx="10">
                  <c:v>100</c:v>
                </c:pt>
                <c:pt idx="11">
                  <c:v>200</c:v>
                </c:pt>
                <c:pt idx="12">
                  <c:v>300</c:v>
                </c:pt>
                <c:pt idx="13">
                  <c:v>400</c:v>
                </c:pt>
                <c:pt idx="14">
                  <c:v>500</c:v>
                </c:pt>
                <c:pt idx="15">
                  <c:v>600</c:v>
                </c:pt>
                <c:pt idx="16">
                  <c:v>700</c:v>
                </c:pt>
                <c:pt idx="17">
                  <c:v>800</c:v>
                </c:pt>
                <c:pt idx="18">
                  <c:v>900</c:v>
                </c:pt>
                <c:pt idx="19">
                  <c:v>1000</c:v>
                </c:pt>
                <c:pt idx="20">
                  <c:v>1100</c:v>
                </c:pt>
                <c:pt idx="21">
                  <c:v>1200</c:v>
                </c:pt>
                <c:pt idx="22">
                  <c:v>1300</c:v>
                </c:pt>
                <c:pt idx="23">
                  <c:v>1400</c:v>
                </c:pt>
                <c:pt idx="24">
                  <c:v>1500</c:v>
                </c:pt>
                <c:pt idx="25">
                  <c:v>1600</c:v>
                </c:pt>
                <c:pt idx="26">
                  <c:v>1700</c:v>
                </c:pt>
                <c:pt idx="27">
                  <c:v>1800</c:v>
                </c:pt>
                <c:pt idx="28">
                  <c:v>1900</c:v>
                </c:pt>
                <c:pt idx="29">
                  <c:v>2000</c:v>
                </c:pt>
                <c:pt idx="30">
                  <c:v>2100</c:v>
                </c:pt>
                <c:pt idx="31">
                  <c:v>2200</c:v>
                </c:pt>
                <c:pt idx="32">
                  <c:v>2300</c:v>
                </c:pt>
                <c:pt idx="33">
                  <c:v>2400</c:v>
                </c:pt>
                <c:pt idx="34">
                  <c:v>2500</c:v>
                </c:pt>
                <c:pt idx="35">
                  <c:v>2600</c:v>
                </c:pt>
                <c:pt idx="36">
                  <c:v>2700</c:v>
                </c:pt>
                <c:pt idx="37">
                  <c:v>2800</c:v>
                </c:pt>
                <c:pt idx="38">
                  <c:v>2900</c:v>
                </c:pt>
                <c:pt idx="39">
                  <c:v>3000</c:v>
                </c:pt>
                <c:pt idx="40">
                  <c:v>3100</c:v>
                </c:pt>
                <c:pt idx="41">
                  <c:v>3200</c:v>
                </c:pt>
                <c:pt idx="42">
                  <c:v>3300</c:v>
                </c:pt>
                <c:pt idx="43">
                  <c:v>3400</c:v>
                </c:pt>
                <c:pt idx="44">
                  <c:v>3500</c:v>
                </c:pt>
                <c:pt idx="45">
                  <c:v>3600</c:v>
                </c:pt>
                <c:pt idx="46">
                  <c:v>3700</c:v>
                </c:pt>
                <c:pt idx="47">
                  <c:v>3800</c:v>
                </c:pt>
                <c:pt idx="48">
                  <c:v>3900</c:v>
                </c:pt>
                <c:pt idx="49">
                  <c:v>4000</c:v>
                </c:pt>
                <c:pt idx="50">
                  <c:v>4100</c:v>
                </c:pt>
                <c:pt idx="51">
                  <c:v>4200</c:v>
                </c:pt>
                <c:pt idx="52">
                  <c:v>4300</c:v>
                </c:pt>
                <c:pt idx="53">
                  <c:v>4400</c:v>
                </c:pt>
                <c:pt idx="54">
                  <c:v>4500</c:v>
                </c:pt>
                <c:pt idx="55">
                  <c:v>4600</c:v>
                </c:pt>
                <c:pt idx="56">
                  <c:v>4700</c:v>
                </c:pt>
                <c:pt idx="57">
                  <c:v>4800</c:v>
                </c:pt>
                <c:pt idx="58">
                  <c:v>4900</c:v>
                </c:pt>
                <c:pt idx="59">
                  <c:v>5000</c:v>
                </c:pt>
                <c:pt idx="60">
                  <c:v>5100</c:v>
                </c:pt>
                <c:pt idx="61">
                  <c:v>5200</c:v>
                </c:pt>
                <c:pt idx="62">
                  <c:v>5300</c:v>
                </c:pt>
                <c:pt idx="63">
                  <c:v>5400</c:v>
                </c:pt>
                <c:pt idx="64">
                  <c:v>5500</c:v>
                </c:pt>
                <c:pt idx="65">
                  <c:v>5600</c:v>
                </c:pt>
                <c:pt idx="66">
                  <c:v>5700</c:v>
                </c:pt>
                <c:pt idx="67">
                  <c:v>5800</c:v>
                </c:pt>
                <c:pt idx="68">
                  <c:v>5900</c:v>
                </c:pt>
                <c:pt idx="69">
                  <c:v>6000</c:v>
                </c:pt>
                <c:pt idx="70">
                  <c:v>6100</c:v>
                </c:pt>
                <c:pt idx="71">
                  <c:v>6200</c:v>
                </c:pt>
                <c:pt idx="72">
                  <c:v>6300</c:v>
                </c:pt>
                <c:pt idx="73">
                  <c:v>6400</c:v>
                </c:pt>
                <c:pt idx="74">
                  <c:v>6500</c:v>
                </c:pt>
                <c:pt idx="75">
                  <c:v>6600</c:v>
                </c:pt>
                <c:pt idx="76">
                  <c:v>6700</c:v>
                </c:pt>
                <c:pt idx="77">
                  <c:v>6800</c:v>
                </c:pt>
                <c:pt idx="78">
                  <c:v>6900</c:v>
                </c:pt>
                <c:pt idx="79">
                  <c:v>7000</c:v>
                </c:pt>
                <c:pt idx="80">
                  <c:v>7100</c:v>
                </c:pt>
                <c:pt idx="81">
                  <c:v>7200</c:v>
                </c:pt>
                <c:pt idx="82">
                  <c:v>7300</c:v>
                </c:pt>
                <c:pt idx="83">
                  <c:v>7400</c:v>
                </c:pt>
                <c:pt idx="84">
                  <c:v>7500</c:v>
                </c:pt>
                <c:pt idx="85">
                  <c:v>7600</c:v>
                </c:pt>
                <c:pt idx="86">
                  <c:v>7700</c:v>
                </c:pt>
                <c:pt idx="87">
                  <c:v>7800</c:v>
                </c:pt>
                <c:pt idx="88">
                  <c:v>7900</c:v>
                </c:pt>
                <c:pt idx="89">
                  <c:v>8000</c:v>
                </c:pt>
                <c:pt idx="90">
                  <c:v>8100</c:v>
                </c:pt>
                <c:pt idx="91">
                  <c:v>8200</c:v>
                </c:pt>
                <c:pt idx="92">
                  <c:v>8300</c:v>
                </c:pt>
                <c:pt idx="93">
                  <c:v>8400</c:v>
                </c:pt>
                <c:pt idx="94">
                  <c:v>8500</c:v>
                </c:pt>
                <c:pt idx="95">
                  <c:v>8600</c:v>
                </c:pt>
                <c:pt idx="96">
                  <c:v>8700</c:v>
                </c:pt>
                <c:pt idx="97">
                  <c:v>8800</c:v>
                </c:pt>
                <c:pt idx="98">
                  <c:v>8900</c:v>
                </c:pt>
                <c:pt idx="99">
                  <c:v>9000</c:v>
                </c:pt>
                <c:pt idx="100">
                  <c:v>9100</c:v>
                </c:pt>
                <c:pt idx="101">
                  <c:v>9200</c:v>
                </c:pt>
                <c:pt idx="102">
                  <c:v>9300</c:v>
                </c:pt>
                <c:pt idx="103">
                  <c:v>9400</c:v>
                </c:pt>
                <c:pt idx="104">
                  <c:v>9500</c:v>
                </c:pt>
                <c:pt idx="105">
                  <c:v>9600</c:v>
                </c:pt>
                <c:pt idx="106">
                  <c:v>9700</c:v>
                </c:pt>
                <c:pt idx="107">
                  <c:v>9800</c:v>
                </c:pt>
                <c:pt idx="108">
                  <c:v>9900</c:v>
                </c:pt>
                <c:pt idx="109">
                  <c:v>10000</c:v>
                </c:pt>
                <c:pt idx="110">
                  <c:v>11000</c:v>
                </c:pt>
                <c:pt idx="111">
                  <c:v>12000</c:v>
                </c:pt>
                <c:pt idx="112">
                  <c:v>13000</c:v>
                </c:pt>
                <c:pt idx="113">
                  <c:v>14000</c:v>
                </c:pt>
                <c:pt idx="114">
                  <c:v>15000</c:v>
                </c:pt>
                <c:pt idx="115">
                  <c:v>16000</c:v>
                </c:pt>
                <c:pt idx="116">
                  <c:v>17000</c:v>
                </c:pt>
                <c:pt idx="117">
                  <c:v>18000</c:v>
                </c:pt>
                <c:pt idx="118">
                  <c:v>19000</c:v>
                </c:pt>
                <c:pt idx="119">
                  <c:v>20000</c:v>
                </c:pt>
                <c:pt idx="120">
                  <c:v>21000</c:v>
                </c:pt>
                <c:pt idx="121">
                  <c:v>22000</c:v>
                </c:pt>
                <c:pt idx="122">
                  <c:v>23000</c:v>
                </c:pt>
                <c:pt idx="123">
                  <c:v>24000</c:v>
                </c:pt>
                <c:pt idx="124">
                  <c:v>25000</c:v>
                </c:pt>
                <c:pt idx="125">
                  <c:v>26000</c:v>
                </c:pt>
                <c:pt idx="126">
                  <c:v>27000</c:v>
                </c:pt>
                <c:pt idx="127">
                  <c:v>28000</c:v>
                </c:pt>
                <c:pt idx="128">
                  <c:v>29000</c:v>
                </c:pt>
                <c:pt idx="129">
                  <c:v>30000</c:v>
                </c:pt>
                <c:pt idx="130">
                  <c:v>31000</c:v>
                </c:pt>
                <c:pt idx="131">
                  <c:v>32000</c:v>
                </c:pt>
                <c:pt idx="132">
                  <c:v>33000</c:v>
                </c:pt>
                <c:pt idx="133">
                  <c:v>34000</c:v>
                </c:pt>
                <c:pt idx="134">
                  <c:v>35000</c:v>
                </c:pt>
                <c:pt idx="135">
                  <c:v>36000</c:v>
                </c:pt>
                <c:pt idx="136">
                  <c:v>37000</c:v>
                </c:pt>
                <c:pt idx="137">
                  <c:v>38000</c:v>
                </c:pt>
                <c:pt idx="138">
                  <c:v>39000</c:v>
                </c:pt>
                <c:pt idx="139">
                  <c:v>40000</c:v>
                </c:pt>
                <c:pt idx="140">
                  <c:v>41000</c:v>
                </c:pt>
                <c:pt idx="141">
                  <c:v>42000</c:v>
                </c:pt>
                <c:pt idx="142">
                  <c:v>43000</c:v>
                </c:pt>
                <c:pt idx="143">
                  <c:v>44000</c:v>
                </c:pt>
                <c:pt idx="144">
                  <c:v>45000</c:v>
                </c:pt>
                <c:pt idx="145">
                  <c:v>46000</c:v>
                </c:pt>
                <c:pt idx="146">
                  <c:v>47000</c:v>
                </c:pt>
                <c:pt idx="147">
                  <c:v>48000</c:v>
                </c:pt>
                <c:pt idx="148">
                  <c:v>49000</c:v>
                </c:pt>
                <c:pt idx="149">
                  <c:v>50000</c:v>
                </c:pt>
                <c:pt idx="150">
                  <c:v>51000</c:v>
                </c:pt>
                <c:pt idx="151">
                  <c:v>52000</c:v>
                </c:pt>
                <c:pt idx="152">
                  <c:v>53000</c:v>
                </c:pt>
                <c:pt idx="153">
                  <c:v>54000</c:v>
                </c:pt>
                <c:pt idx="154">
                  <c:v>55000</c:v>
                </c:pt>
                <c:pt idx="155">
                  <c:v>56000</c:v>
                </c:pt>
                <c:pt idx="156">
                  <c:v>57000</c:v>
                </c:pt>
                <c:pt idx="157">
                  <c:v>58000</c:v>
                </c:pt>
                <c:pt idx="158">
                  <c:v>59000</c:v>
                </c:pt>
                <c:pt idx="159">
                  <c:v>60000</c:v>
                </c:pt>
                <c:pt idx="160">
                  <c:v>61000</c:v>
                </c:pt>
                <c:pt idx="161">
                  <c:v>62000</c:v>
                </c:pt>
                <c:pt idx="162">
                  <c:v>63000</c:v>
                </c:pt>
                <c:pt idx="163">
                  <c:v>64000</c:v>
                </c:pt>
                <c:pt idx="164">
                  <c:v>65000</c:v>
                </c:pt>
                <c:pt idx="165">
                  <c:v>66000</c:v>
                </c:pt>
                <c:pt idx="166">
                  <c:v>67000</c:v>
                </c:pt>
                <c:pt idx="167">
                  <c:v>68000</c:v>
                </c:pt>
                <c:pt idx="168">
                  <c:v>69000</c:v>
                </c:pt>
                <c:pt idx="169">
                  <c:v>70000</c:v>
                </c:pt>
                <c:pt idx="170">
                  <c:v>71000</c:v>
                </c:pt>
                <c:pt idx="171">
                  <c:v>72000</c:v>
                </c:pt>
                <c:pt idx="172">
                  <c:v>73000</c:v>
                </c:pt>
                <c:pt idx="173">
                  <c:v>74000</c:v>
                </c:pt>
                <c:pt idx="174">
                  <c:v>75000</c:v>
                </c:pt>
                <c:pt idx="175">
                  <c:v>76000</c:v>
                </c:pt>
                <c:pt idx="176">
                  <c:v>77000</c:v>
                </c:pt>
                <c:pt idx="177">
                  <c:v>78000</c:v>
                </c:pt>
                <c:pt idx="178">
                  <c:v>79000</c:v>
                </c:pt>
                <c:pt idx="179">
                  <c:v>80000</c:v>
                </c:pt>
                <c:pt idx="180">
                  <c:v>81000</c:v>
                </c:pt>
                <c:pt idx="181">
                  <c:v>82000</c:v>
                </c:pt>
                <c:pt idx="182">
                  <c:v>83000</c:v>
                </c:pt>
                <c:pt idx="183">
                  <c:v>84000</c:v>
                </c:pt>
                <c:pt idx="184">
                  <c:v>85000</c:v>
                </c:pt>
                <c:pt idx="185">
                  <c:v>86000</c:v>
                </c:pt>
                <c:pt idx="186">
                  <c:v>87000</c:v>
                </c:pt>
                <c:pt idx="187">
                  <c:v>88000</c:v>
                </c:pt>
                <c:pt idx="188">
                  <c:v>89000</c:v>
                </c:pt>
                <c:pt idx="189">
                  <c:v>90000</c:v>
                </c:pt>
                <c:pt idx="190">
                  <c:v>91000</c:v>
                </c:pt>
                <c:pt idx="191">
                  <c:v>92000</c:v>
                </c:pt>
                <c:pt idx="192">
                  <c:v>93000</c:v>
                </c:pt>
                <c:pt idx="193">
                  <c:v>94000</c:v>
                </c:pt>
                <c:pt idx="194">
                  <c:v>95000</c:v>
                </c:pt>
                <c:pt idx="195">
                  <c:v>96000</c:v>
                </c:pt>
                <c:pt idx="196">
                  <c:v>97000</c:v>
                </c:pt>
                <c:pt idx="197">
                  <c:v>98000</c:v>
                </c:pt>
                <c:pt idx="198">
                  <c:v>99000</c:v>
                </c:pt>
                <c:pt idx="199">
                  <c:v>100000</c:v>
                </c:pt>
                <c:pt idx="200">
                  <c:v>110000</c:v>
                </c:pt>
                <c:pt idx="201">
                  <c:v>120000</c:v>
                </c:pt>
                <c:pt idx="202">
                  <c:v>130000</c:v>
                </c:pt>
                <c:pt idx="203">
                  <c:v>140000</c:v>
                </c:pt>
                <c:pt idx="204">
                  <c:v>150000</c:v>
                </c:pt>
                <c:pt idx="205">
                  <c:v>160000</c:v>
                </c:pt>
                <c:pt idx="206">
                  <c:v>170000</c:v>
                </c:pt>
                <c:pt idx="207">
                  <c:v>180000</c:v>
                </c:pt>
                <c:pt idx="208">
                  <c:v>190000</c:v>
                </c:pt>
                <c:pt idx="209">
                  <c:v>200000</c:v>
                </c:pt>
                <c:pt idx="210">
                  <c:v>210000</c:v>
                </c:pt>
                <c:pt idx="211">
                  <c:v>220000</c:v>
                </c:pt>
                <c:pt idx="212">
                  <c:v>230000</c:v>
                </c:pt>
                <c:pt idx="213">
                  <c:v>240000</c:v>
                </c:pt>
                <c:pt idx="214">
                  <c:v>250000</c:v>
                </c:pt>
                <c:pt idx="215">
                  <c:v>260000</c:v>
                </c:pt>
                <c:pt idx="216">
                  <c:v>270000</c:v>
                </c:pt>
                <c:pt idx="217">
                  <c:v>280000</c:v>
                </c:pt>
                <c:pt idx="218">
                  <c:v>290000</c:v>
                </c:pt>
                <c:pt idx="219">
                  <c:v>300000</c:v>
                </c:pt>
                <c:pt idx="220">
                  <c:v>310000</c:v>
                </c:pt>
                <c:pt idx="221">
                  <c:v>320000</c:v>
                </c:pt>
                <c:pt idx="222">
                  <c:v>330000</c:v>
                </c:pt>
                <c:pt idx="223">
                  <c:v>340000</c:v>
                </c:pt>
                <c:pt idx="224">
                  <c:v>350000</c:v>
                </c:pt>
                <c:pt idx="225">
                  <c:v>360000</c:v>
                </c:pt>
                <c:pt idx="226">
                  <c:v>370000</c:v>
                </c:pt>
                <c:pt idx="227">
                  <c:v>380000</c:v>
                </c:pt>
                <c:pt idx="228">
                  <c:v>390000</c:v>
                </c:pt>
                <c:pt idx="229">
                  <c:v>400000</c:v>
                </c:pt>
                <c:pt idx="230">
                  <c:v>410000</c:v>
                </c:pt>
                <c:pt idx="231">
                  <c:v>420000</c:v>
                </c:pt>
                <c:pt idx="232">
                  <c:v>430000</c:v>
                </c:pt>
                <c:pt idx="233">
                  <c:v>440000</c:v>
                </c:pt>
                <c:pt idx="234">
                  <c:v>450000</c:v>
                </c:pt>
                <c:pt idx="235">
                  <c:v>460000</c:v>
                </c:pt>
                <c:pt idx="236">
                  <c:v>470000</c:v>
                </c:pt>
                <c:pt idx="237">
                  <c:v>480000</c:v>
                </c:pt>
                <c:pt idx="238">
                  <c:v>490000</c:v>
                </c:pt>
                <c:pt idx="239">
                  <c:v>500000</c:v>
                </c:pt>
                <c:pt idx="240">
                  <c:v>510000</c:v>
                </c:pt>
                <c:pt idx="241">
                  <c:v>520000</c:v>
                </c:pt>
                <c:pt idx="242">
                  <c:v>530000</c:v>
                </c:pt>
                <c:pt idx="243">
                  <c:v>540000</c:v>
                </c:pt>
                <c:pt idx="244">
                  <c:v>550000</c:v>
                </c:pt>
                <c:pt idx="245">
                  <c:v>560000</c:v>
                </c:pt>
                <c:pt idx="246">
                  <c:v>570000</c:v>
                </c:pt>
                <c:pt idx="247">
                  <c:v>580000</c:v>
                </c:pt>
                <c:pt idx="248">
                  <c:v>590000</c:v>
                </c:pt>
                <c:pt idx="249">
                  <c:v>600000</c:v>
                </c:pt>
                <c:pt idx="250">
                  <c:v>610000</c:v>
                </c:pt>
                <c:pt idx="251">
                  <c:v>620000</c:v>
                </c:pt>
                <c:pt idx="252">
                  <c:v>630000</c:v>
                </c:pt>
                <c:pt idx="253">
                  <c:v>640000</c:v>
                </c:pt>
                <c:pt idx="254">
                  <c:v>650000</c:v>
                </c:pt>
                <c:pt idx="255">
                  <c:v>660000</c:v>
                </c:pt>
                <c:pt idx="256">
                  <c:v>670000</c:v>
                </c:pt>
                <c:pt idx="257">
                  <c:v>680000</c:v>
                </c:pt>
                <c:pt idx="258">
                  <c:v>690000</c:v>
                </c:pt>
                <c:pt idx="259">
                  <c:v>700000</c:v>
                </c:pt>
                <c:pt idx="260">
                  <c:v>710000</c:v>
                </c:pt>
                <c:pt idx="261">
                  <c:v>720000</c:v>
                </c:pt>
                <c:pt idx="262">
                  <c:v>730000</c:v>
                </c:pt>
                <c:pt idx="263">
                  <c:v>740000</c:v>
                </c:pt>
                <c:pt idx="264">
                  <c:v>750000</c:v>
                </c:pt>
                <c:pt idx="265">
                  <c:v>760000</c:v>
                </c:pt>
                <c:pt idx="266">
                  <c:v>770000</c:v>
                </c:pt>
                <c:pt idx="267">
                  <c:v>780000</c:v>
                </c:pt>
                <c:pt idx="268">
                  <c:v>790000</c:v>
                </c:pt>
                <c:pt idx="269">
                  <c:v>800000</c:v>
                </c:pt>
                <c:pt idx="270">
                  <c:v>810000</c:v>
                </c:pt>
                <c:pt idx="271">
                  <c:v>820000</c:v>
                </c:pt>
                <c:pt idx="272">
                  <c:v>830000</c:v>
                </c:pt>
                <c:pt idx="273">
                  <c:v>840000</c:v>
                </c:pt>
                <c:pt idx="274">
                  <c:v>850000</c:v>
                </c:pt>
                <c:pt idx="275">
                  <c:v>860000</c:v>
                </c:pt>
                <c:pt idx="276">
                  <c:v>870000</c:v>
                </c:pt>
                <c:pt idx="277">
                  <c:v>880000</c:v>
                </c:pt>
                <c:pt idx="278">
                  <c:v>890000</c:v>
                </c:pt>
                <c:pt idx="279">
                  <c:v>900000</c:v>
                </c:pt>
                <c:pt idx="280">
                  <c:v>910000</c:v>
                </c:pt>
                <c:pt idx="281">
                  <c:v>920000</c:v>
                </c:pt>
                <c:pt idx="282">
                  <c:v>930000</c:v>
                </c:pt>
                <c:pt idx="283">
                  <c:v>940000</c:v>
                </c:pt>
                <c:pt idx="284">
                  <c:v>950000</c:v>
                </c:pt>
                <c:pt idx="285">
                  <c:v>960000</c:v>
                </c:pt>
                <c:pt idx="286">
                  <c:v>970000</c:v>
                </c:pt>
                <c:pt idx="287">
                  <c:v>980000</c:v>
                </c:pt>
                <c:pt idx="288">
                  <c:v>990000</c:v>
                </c:pt>
                <c:pt idx="289">
                  <c:v>1000000</c:v>
                </c:pt>
                <c:pt idx="290">
                  <c:v>1100000</c:v>
                </c:pt>
                <c:pt idx="291">
                  <c:v>1200000</c:v>
                </c:pt>
                <c:pt idx="292">
                  <c:v>1300000</c:v>
                </c:pt>
                <c:pt idx="293">
                  <c:v>1400000</c:v>
                </c:pt>
                <c:pt idx="294">
                  <c:v>1500000</c:v>
                </c:pt>
                <c:pt idx="295">
                  <c:v>1600000</c:v>
                </c:pt>
                <c:pt idx="296">
                  <c:v>1700000</c:v>
                </c:pt>
                <c:pt idx="297">
                  <c:v>1800000</c:v>
                </c:pt>
                <c:pt idx="298">
                  <c:v>1900000</c:v>
                </c:pt>
                <c:pt idx="299">
                  <c:v>2000000</c:v>
                </c:pt>
                <c:pt idx="300">
                  <c:v>2100000</c:v>
                </c:pt>
                <c:pt idx="301">
                  <c:v>2200000</c:v>
                </c:pt>
                <c:pt idx="302">
                  <c:v>2300000</c:v>
                </c:pt>
                <c:pt idx="303">
                  <c:v>2400000</c:v>
                </c:pt>
                <c:pt idx="304">
                  <c:v>2500000</c:v>
                </c:pt>
                <c:pt idx="305">
                  <c:v>2600000</c:v>
                </c:pt>
                <c:pt idx="306">
                  <c:v>2700000</c:v>
                </c:pt>
                <c:pt idx="307">
                  <c:v>2800000</c:v>
                </c:pt>
                <c:pt idx="308">
                  <c:v>2900000</c:v>
                </c:pt>
                <c:pt idx="309">
                  <c:v>3000000</c:v>
                </c:pt>
                <c:pt idx="310">
                  <c:v>3100000</c:v>
                </c:pt>
                <c:pt idx="311">
                  <c:v>3200000</c:v>
                </c:pt>
                <c:pt idx="312">
                  <c:v>3300000</c:v>
                </c:pt>
                <c:pt idx="313">
                  <c:v>3400000</c:v>
                </c:pt>
                <c:pt idx="314">
                  <c:v>3500000</c:v>
                </c:pt>
                <c:pt idx="315">
                  <c:v>3600000</c:v>
                </c:pt>
                <c:pt idx="316">
                  <c:v>3700000</c:v>
                </c:pt>
                <c:pt idx="317">
                  <c:v>3800000</c:v>
                </c:pt>
                <c:pt idx="318">
                  <c:v>3900000</c:v>
                </c:pt>
                <c:pt idx="319">
                  <c:v>4000000</c:v>
                </c:pt>
                <c:pt idx="320">
                  <c:v>4100000</c:v>
                </c:pt>
                <c:pt idx="321">
                  <c:v>4200000</c:v>
                </c:pt>
                <c:pt idx="322">
                  <c:v>4300000</c:v>
                </c:pt>
                <c:pt idx="323">
                  <c:v>4400000</c:v>
                </c:pt>
                <c:pt idx="324">
                  <c:v>4500000</c:v>
                </c:pt>
                <c:pt idx="325">
                  <c:v>4600000</c:v>
                </c:pt>
                <c:pt idx="326">
                  <c:v>4700000</c:v>
                </c:pt>
                <c:pt idx="327">
                  <c:v>4800000</c:v>
                </c:pt>
                <c:pt idx="328">
                  <c:v>4900000</c:v>
                </c:pt>
                <c:pt idx="329">
                  <c:v>5000000</c:v>
                </c:pt>
                <c:pt idx="330">
                  <c:v>5100000</c:v>
                </c:pt>
                <c:pt idx="331">
                  <c:v>5200000</c:v>
                </c:pt>
                <c:pt idx="332">
                  <c:v>5300000</c:v>
                </c:pt>
                <c:pt idx="333">
                  <c:v>5400000</c:v>
                </c:pt>
                <c:pt idx="334">
                  <c:v>5500000</c:v>
                </c:pt>
                <c:pt idx="335">
                  <c:v>5600000</c:v>
                </c:pt>
                <c:pt idx="336">
                  <c:v>5700000</c:v>
                </c:pt>
                <c:pt idx="337">
                  <c:v>5800000</c:v>
                </c:pt>
                <c:pt idx="338">
                  <c:v>5900000</c:v>
                </c:pt>
                <c:pt idx="339">
                  <c:v>6000000</c:v>
                </c:pt>
                <c:pt idx="340">
                  <c:v>6100000</c:v>
                </c:pt>
                <c:pt idx="341">
                  <c:v>6200000</c:v>
                </c:pt>
                <c:pt idx="342">
                  <c:v>6300000</c:v>
                </c:pt>
                <c:pt idx="343">
                  <c:v>6400000</c:v>
                </c:pt>
                <c:pt idx="344">
                  <c:v>6500000</c:v>
                </c:pt>
                <c:pt idx="345">
                  <c:v>6600000</c:v>
                </c:pt>
                <c:pt idx="346">
                  <c:v>6700000</c:v>
                </c:pt>
                <c:pt idx="347">
                  <c:v>6800000</c:v>
                </c:pt>
                <c:pt idx="348">
                  <c:v>6900000</c:v>
                </c:pt>
                <c:pt idx="349">
                  <c:v>7000000</c:v>
                </c:pt>
                <c:pt idx="350">
                  <c:v>7100000</c:v>
                </c:pt>
                <c:pt idx="351">
                  <c:v>7200000</c:v>
                </c:pt>
                <c:pt idx="352">
                  <c:v>7300000</c:v>
                </c:pt>
                <c:pt idx="353">
                  <c:v>7400000</c:v>
                </c:pt>
                <c:pt idx="354">
                  <c:v>7500000</c:v>
                </c:pt>
                <c:pt idx="355">
                  <c:v>7600000</c:v>
                </c:pt>
                <c:pt idx="356">
                  <c:v>7700000</c:v>
                </c:pt>
                <c:pt idx="357">
                  <c:v>7800000</c:v>
                </c:pt>
                <c:pt idx="358">
                  <c:v>7900000</c:v>
                </c:pt>
                <c:pt idx="359">
                  <c:v>8000000</c:v>
                </c:pt>
                <c:pt idx="360">
                  <c:v>8100000</c:v>
                </c:pt>
                <c:pt idx="361">
                  <c:v>8200000</c:v>
                </c:pt>
                <c:pt idx="362">
                  <c:v>8300000</c:v>
                </c:pt>
                <c:pt idx="363">
                  <c:v>8400000</c:v>
                </c:pt>
                <c:pt idx="364">
                  <c:v>8500000</c:v>
                </c:pt>
                <c:pt idx="365">
                  <c:v>8600000</c:v>
                </c:pt>
                <c:pt idx="366">
                  <c:v>8700000</c:v>
                </c:pt>
                <c:pt idx="367">
                  <c:v>8800000</c:v>
                </c:pt>
                <c:pt idx="368">
                  <c:v>8900000</c:v>
                </c:pt>
                <c:pt idx="369">
                  <c:v>9000000</c:v>
                </c:pt>
                <c:pt idx="370">
                  <c:v>9100000</c:v>
                </c:pt>
                <c:pt idx="371">
                  <c:v>9200000</c:v>
                </c:pt>
                <c:pt idx="372">
                  <c:v>9300000</c:v>
                </c:pt>
                <c:pt idx="373">
                  <c:v>9400000</c:v>
                </c:pt>
                <c:pt idx="374">
                  <c:v>9500000</c:v>
                </c:pt>
                <c:pt idx="375">
                  <c:v>9600000</c:v>
                </c:pt>
                <c:pt idx="376">
                  <c:v>9700000</c:v>
                </c:pt>
                <c:pt idx="377">
                  <c:v>9800000</c:v>
                </c:pt>
                <c:pt idx="378">
                  <c:v>9900000</c:v>
                </c:pt>
                <c:pt idx="379">
                  <c:v>10000000</c:v>
                </c:pt>
              </c:numCache>
            </c:numRef>
          </c:xVal>
          <c:yVal>
            <c:numRef>
              <c:f>'Loop Gain'!$H$2:$H$381</c:f>
              <c:numCache>
                <c:formatCode>General</c:formatCode>
                <c:ptCount val="380"/>
                <c:pt idx="0">
                  <c:v>31.82146830164044</c:v>
                </c:pt>
                <c:pt idx="1">
                  <c:v>31.818555996130232</c:v>
                </c:pt>
                <c:pt idx="2">
                  <c:v>31.809742737260617</c:v>
                </c:pt>
                <c:pt idx="3">
                  <c:v>31.795093608928624</c:v>
                </c:pt>
                <c:pt idx="4">
                  <c:v>31.774667506737671</c:v>
                </c:pt>
                <c:pt idx="5">
                  <c:v>31.748545782519276</c:v>
                </c:pt>
                <c:pt idx="6">
                  <c:v>31.71683117917577</c:v>
                </c:pt>
                <c:pt idx="7">
                  <c:v>31.679646511883874</c:v>
                </c:pt>
                <c:pt idx="8">
                  <c:v>31.637133130398762</c:v>
                </c:pt>
                <c:pt idx="9">
                  <c:v>31.589449201564783</c:v>
                </c:pt>
                <c:pt idx="10">
                  <c:v>31.536767853861924</c:v>
                </c:pt>
                <c:pt idx="11">
                  <c:v>30.779947076011226</c:v>
                </c:pt>
                <c:pt idx="12">
                  <c:v>29.753801656901508</c:v>
                </c:pt>
                <c:pt idx="13">
                  <c:v>28.632477290108362</c:v>
                </c:pt>
                <c:pt idx="14">
                  <c:v>27.518043689391149</c:v>
                </c:pt>
                <c:pt idx="15">
                  <c:v>26.457545962551158</c:v>
                </c:pt>
                <c:pt idx="16">
                  <c:v>25.467614652834026</c:v>
                </c:pt>
                <c:pt idx="17">
                  <c:v>24.550451491467371</c:v>
                </c:pt>
                <c:pt idx="18">
                  <c:v>23.702148943145517</c:v>
                </c:pt>
                <c:pt idx="19">
                  <c:v>22.916634596032569</c:v>
                </c:pt>
                <c:pt idx="20">
                  <c:v>22.18743721091834</c:v>
                </c:pt>
                <c:pt idx="21">
                  <c:v>21.508424490114656</c:v>
                </c:pt>
                <c:pt idx="22">
                  <c:v>20.874068796479705</c:v>
                </c:pt>
                <c:pt idx="23">
                  <c:v>20.279502530495186</c:v>
                </c:pt>
                <c:pt idx="24">
                  <c:v>19.720484970522204</c:v>
                </c:pt>
                <c:pt idx="25">
                  <c:v>19.193336665044434</c:v>
                </c:pt>
                <c:pt idx="26">
                  <c:v>18.69486661131457</c:v>
                </c:pt>
                <c:pt idx="27">
                  <c:v>18.222302970391748</c:v>
                </c:pt>
                <c:pt idx="28">
                  <c:v>17.773231317481894</c:v>
                </c:pt>
                <c:pt idx="29">
                  <c:v>17.345541351096536</c:v>
                </c:pt>
                <c:pt idx="30">
                  <c:v>16.937381658939433</c:v>
                </c:pt>
                <c:pt idx="31">
                  <c:v>16.547121639412417</c:v>
                </c:pt>
                <c:pt idx="32">
                  <c:v>16.17331955967849</c:v>
                </c:pt>
                <c:pt idx="33">
                  <c:v>15.81469577921688</c:v>
                </c:pt>
                <c:pt idx="34">
                  <c:v>15.470110278850749</c:v>
                </c:pt>
                <c:pt idx="35">
                  <c:v>15.138543761385549</c:v>
                </c:pt>
                <c:pt idx="36">
                  <c:v>14.81908171020468</c:v>
                </c:pt>
                <c:pt idx="37">
                  <c:v>14.510900898372501</c:v>
                </c:pt>
                <c:pt idx="38">
                  <c:v>14.213257931047263</c:v>
                </c:pt>
                <c:pt idx="39">
                  <c:v>13.925479479067203</c:v>
                </c:pt>
                <c:pt idx="40">
                  <c:v>13.646953923241178</c:v>
                </c:pt>
                <c:pt idx="41">
                  <c:v>13.377124179202095</c:v>
                </c:pt>
                <c:pt idx="42">
                  <c:v>13.115481513617819</c:v>
                </c:pt>
                <c:pt idx="43">
                  <c:v>12.861560195819074</c:v>
                </c:pt>
                <c:pt idx="44">
                  <c:v>12.614932855945671</c:v>
                </c:pt>
                <c:pt idx="45">
                  <c:v>12.375206442727492</c:v>
                </c:pt>
                <c:pt idx="46">
                  <c:v>12.142018691976663</c:v>
                </c:pt>
                <c:pt idx="47">
                  <c:v>11.915035031559283</c:v>
                </c:pt>
                <c:pt idx="48">
                  <c:v>11.693945860664821</c:v>
                </c:pt>
                <c:pt idx="49">
                  <c:v>11.47846415110836</c:v>
                </c:pt>
                <c:pt idx="50">
                  <c:v>11.268323326586122</c:v>
                </c:pt>
                <c:pt idx="51">
                  <c:v>11.063275382583704</c:v>
                </c:pt>
                <c:pt idx="52">
                  <c:v>10.863089215270886</c:v>
                </c:pt>
                <c:pt idx="53">
                  <c:v>10.667549132411418</c:v>
                </c:pt>
                <c:pt idx="54">
                  <c:v>10.476453523245848</c:v>
                </c:pt>
                <c:pt idx="55">
                  <c:v>10.289613667600431</c:v>
                </c:pt>
                <c:pt idx="56">
                  <c:v>10.106852667249427</c:v>
                </c:pt>
                <c:pt idx="57">
                  <c:v>9.9280044849021074</c:v>
                </c:pt>
                <c:pt idx="58">
                  <c:v>9.7529130781680315</c:v>
                </c:pt>
                <c:pt idx="59">
                  <c:v>9.5814316175408898</c:v>
                </c:pt>
                <c:pt idx="60">
                  <c:v>9.4134217788771544</c:v>
                </c:pt>
                <c:pt idx="61">
                  <c:v>9.2487531020709604</c:v>
                </c:pt>
                <c:pt idx="62">
                  <c:v>9.0873024086794221</c:v>
                </c:pt>
                <c:pt idx="63">
                  <c:v>8.9289532721536684</c:v>
                </c:pt>
                <c:pt idx="64">
                  <c:v>8.7735955351092993</c:v>
                </c:pt>
                <c:pt idx="65">
                  <c:v>8.6211248687398445</c:v>
                </c:pt>
                <c:pt idx="66">
                  <c:v>8.471442370059032</c:v>
                </c:pt>
                <c:pt idx="67">
                  <c:v>8.3244541931603102</c:v>
                </c:pt>
                <c:pt idx="68">
                  <c:v>8.180071211120671</c:v>
                </c:pt>
                <c:pt idx="69">
                  <c:v>8.0382087055580893</c:v>
                </c:pt>
                <c:pt idx="70">
                  <c:v>7.8987860811841495</c:v>
                </c:pt>
                <c:pt idx="71">
                  <c:v>7.7617266029869185</c:v>
                </c:pt>
                <c:pt idx="72">
                  <c:v>7.6269571539333523</c:v>
                </c:pt>
                <c:pt idx="73">
                  <c:v>7.4944080113072804</c:v>
                </c:pt>
                <c:pt idx="74">
                  <c:v>7.364012639995333</c:v>
                </c:pt>
                <c:pt idx="75">
                  <c:v>7.2357075012093253</c:v>
                </c:pt>
                <c:pt idx="76">
                  <c:v>7.1094318752876866</c:v>
                </c:pt>
                <c:pt idx="77">
                  <c:v>6.9851276973542156</c:v>
                </c:pt>
                <c:pt idx="78">
                  <c:v>6.8627394047357502</c:v>
                </c:pt>
                <c:pt idx="79">
                  <c:v>6.7422137951461938</c:v>
                </c:pt>
                <c:pt idx="80">
                  <c:v>6.6234998947413848</c:v>
                </c:pt>
                <c:pt idx="81">
                  <c:v>6.5065488352341792</c:v>
                </c:pt>
                <c:pt idx="82">
                  <c:v>6.3913137393362343</c:v>
                </c:pt>
                <c:pt idx="83">
                  <c:v>6.2777496138599407</c:v>
                </c:pt>
                <c:pt idx="84">
                  <c:v>6.1658132498761571</c:v>
                </c:pt>
                <c:pt idx="85">
                  <c:v>6.0554631293782695</c:v>
                </c:pt>
                <c:pt idx="86">
                  <c:v>5.9466593379510879</c:v>
                </c:pt>
                <c:pt idx="87">
                  <c:v>5.8393634829886771</c:v>
                </c:pt>
                <c:pt idx="88">
                  <c:v>5.7335386170443714</c:v>
                </c:pt>
                <c:pt idx="89">
                  <c:v>5.6291491659326631</c:v>
                </c:pt>
                <c:pt idx="90">
                  <c:v>5.5261608612343052</c:v>
                </c:pt>
                <c:pt idx="91">
                  <c:v>5.4245406768857993</c:v>
                </c:pt>
                <c:pt idx="92">
                  <c:v>5.3242567695618224</c:v>
                </c:pt>
                <c:pt idx="93">
                  <c:v>5.2252784225811251</c:v>
                </c:pt>
                <c:pt idx="94">
                  <c:v>5.1275759930901943</c:v>
                </c:pt>
                <c:pt idx="95">
                  <c:v>5.0311208622983239</c:v>
                </c:pt>
                <c:pt idx="96">
                  <c:v>4.935885388554718</c:v>
                </c:pt>
                <c:pt idx="97">
                  <c:v>4.8418428630762085</c:v>
                </c:pt>
                <c:pt idx="98">
                  <c:v>4.7489674681481278</c:v>
                </c:pt>
                <c:pt idx="99">
                  <c:v>4.6572342376346674</c:v>
                </c:pt>
                <c:pt idx="100">
                  <c:v>4.566619019647991</c:v>
                </c:pt>
                <c:pt idx="101">
                  <c:v>4.4770984412355848</c:v>
                </c:pt>
                <c:pt idx="102">
                  <c:v>4.3886498749579923</c:v>
                </c:pt>
                <c:pt idx="103">
                  <c:v>4.3012514072352479</c:v>
                </c:pt>
                <c:pt idx="104">
                  <c:v>4.2148818083529296</c:v>
                </c:pt>
                <c:pt idx="105">
                  <c:v>4.1295205040234926</c:v>
                </c:pt>
                <c:pt idx="106">
                  <c:v>4.0451475484078872</c:v>
                </c:pt>
                <c:pt idx="107">
                  <c:v>3.9617435985083578</c:v>
                </c:pt>
                <c:pt idx="108">
                  <c:v>3.879289889850158</c:v>
                </c:pt>
                <c:pt idx="109">
                  <c:v>3.7977682133748853</c:v>
                </c:pt>
                <c:pt idx="110">
                  <c:v>3.0301633941412871</c:v>
                </c:pt>
                <c:pt idx="111">
                  <c:v>2.3391297058904219</c:v>
                </c:pt>
                <c:pt idx="112">
                  <c:v>1.7129824006303145</c:v>
                </c:pt>
                <c:pt idx="113">
                  <c:v>1.1425755016886823</c:v>
                </c:pt>
                <c:pt idx="114">
                  <c:v>0.62060279204269275</c:v>
                </c:pt>
                <c:pt idx="115">
                  <c:v>0.1411243773320531</c:v>
                </c:pt>
                <c:pt idx="116">
                  <c:v>-0.30076308276352248</c:v>
                </c:pt>
                <c:pt idx="117">
                  <c:v>-0.70916169776144999</c:v>
                </c:pt>
                <c:pt idx="118">
                  <c:v>-1.0875438612415007</c:v>
                </c:pt>
                <c:pt idx="119">
                  <c:v>-1.4388796155980688</c:v>
                </c:pt>
                <c:pt idx="120">
                  <c:v>-1.7657328211669183</c:v>
                </c:pt>
                <c:pt idx="121">
                  <c:v>-2.0703348696258335</c:v>
                </c:pt>
                <c:pt idx="122">
                  <c:v>-2.3546419624766779</c:v>
                </c:pt>
                <c:pt idx="123">
                  <c:v>-2.6203801802103821</c:v>
                </c:pt>
                <c:pt idx="124">
                  <c:v>-2.8690813577418997</c:v>
                </c:pt>
                <c:pt idx="125">
                  <c:v>-3.1021119507815538</c:v>
                </c:pt>
                <c:pt idx="126">
                  <c:v>-3.3206964975257107</c:v>
                </c:pt>
                <c:pt idx="127">
                  <c:v>-3.5259368685723129</c:v>
                </c:pt>
                <c:pt idx="128">
                  <c:v>-3.7188282021154984</c:v>
                </c:pt>
                <c:pt idx="129">
                  <c:v>-3.9002722060561013</c:v>
                </c:pt>
                <c:pt idx="130">
                  <c:v>-4.071088349994251</c:v>
                </c:pt>
                <c:pt idx="131">
                  <c:v>-4.2320233519569586</c:v>
                </c:pt>
                <c:pt idx="132">
                  <c:v>-4.3837592759343433</c:v>
                </c:pt>
                <c:pt idx="133">
                  <c:v>-4.5269204889654961</c:v>
                </c:pt>
                <c:pt idx="134">
                  <c:v>-4.6620796750228521</c:v>
                </c:pt>
                <c:pt idx="135">
                  <c:v>-4.7897630632577677</c:v>
                </c:pt>
                <c:pt idx="136">
                  <c:v>-4.9104549973597607</c:v>
                </c:pt>
                <c:pt idx="137">
                  <c:v>-5.0246019486957092</c:v>
                </c:pt>
                <c:pt idx="138">
                  <c:v>-5.1326160569421839</c:v>
                </c:pt>
                <c:pt idx="139">
                  <c:v>-5.2348782669146914</c:v>
                </c:pt>
                <c:pt idx="140">
                  <c:v>-5.3317411183385754</c:v>
                </c:pt>
                <c:pt idx="141">
                  <c:v>-5.4235312357203016</c:v>
                </c:pt>
                <c:pt idx="142">
                  <c:v>-5.5105515577497721</c:v>
                </c:pt>
                <c:pt idx="143">
                  <c:v>-5.5930833393968555</c:v>
                </c:pt>
                <c:pt idx="144">
                  <c:v>-5.6713879547544561</c:v>
                </c:pt>
                <c:pt idx="145">
                  <c:v>-5.7457085244886494</c:v>
                </c:pt>
                <c:pt idx="146">
                  <c:v>-5.816271388299886</c:v>
                </c:pt>
                <c:pt idx="147">
                  <c:v>-5.8832874399321256</c:v>
                </c:pt>
                <c:pt idx="148">
                  <c:v>-5.9469533398771057</c:v>
                </c:pt>
                <c:pt idx="149">
                  <c:v>-6.0074526189172142</c:v>
                </c:pt>
                <c:pt idx="150">
                  <c:v>-6.0649566839618538</c:v>
                </c:pt>
                <c:pt idx="151">
                  <c:v>-6.1196257362027353</c:v>
                </c:pt>
                <c:pt idx="152">
                  <c:v>-6.1716096103953788</c:v>
                </c:pt>
                <c:pt idx="153">
                  <c:v>-6.2210485430334481</c:v>
                </c:pt>
                <c:pt idx="154">
                  <c:v>-6.2680738762870556</c:v>
                </c:pt>
                <c:pt idx="155">
                  <c:v>-6.3128087038034284</c:v>
                </c:pt>
                <c:pt idx="156">
                  <c:v>-6.355368463798885</c:v>
                </c:pt>
                <c:pt idx="157">
                  <c:v>-6.3958614842875239</c:v>
                </c:pt>
                <c:pt idx="158">
                  <c:v>-6.4343894847819367</c:v>
                </c:pt>
                <c:pt idx="159">
                  <c:v>-6.471048038354926</c:v>
                </c:pt>
                <c:pt idx="160">
                  <c:v>-6.5059269975569247</c:v>
                </c:pt>
                <c:pt idx="161">
                  <c:v>-6.539110887336717</c:v>
                </c:pt>
                <c:pt idx="162">
                  <c:v>-6.5706792678054162</c:v>
                </c:pt>
                <c:pt idx="163">
                  <c:v>-6.6007070694095349</c:v>
                </c:pt>
                <c:pt idx="164">
                  <c:v>-6.6292649028369208</c:v>
                </c:pt>
                <c:pt idx="165">
                  <c:v>-6.6564193457607441</c:v>
                </c:pt>
                <c:pt idx="166">
                  <c:v>-6.6822332083331046</c:v>
                </c:pt>
                <c:pt idx="167">
                  <c:v>-6.7067657791656652</c:v>
                </c:pt>
                <c:pt idx="168">
                  <c:v>-6.7300730533777866</c:v>
                </c:pt>
                <c:pt idx="169">
                  <c:v>-6.752207944152123</c:v>
                </c:pt>
                <c:pt idx="170">
                  <c:v>-6.7732204791109147</c:v>
                </c:pt>
                <c:pt idx="171">
                  <c:v>-6.7931579827111861</c:v>
                </c:pt>
                <c:pt idx="172">
                  <c:v>-6.8120652457539332</c:v>
                </c:pt>
                <c:pt idx="173">
                  <c:v>-6.8299846830086501</c:v>
                </c:pt>
                <c:pt idx="174">
                  <c:v>-6.8469564798692435</c:v>
                </c:pt>
                <c:pt idx="175">
                  <c:v>-6.8630187288809772</c:v>
                </c:pt>
                <c:pt idx="176">
                  <c:v>-6.878207556907185</c:v>
                </c:pt>
                <c:pt idx="177">
                  <c:v>-6.8925572436420337</c:v>
                </c:pt>
                <c:pt idx="178">
                  <c:v>-6.9061003321164316</c:v>
                </c:pt>
                <c:pt idx="179">
                  <c:v>-6.9188677317925098</c:v>
                </c:pt>
                <c:pt idx="180">
                  <c:v>-6.9308888147933345</c:v>
                </c:pt>
                <c:pt idx="181">
                  <c:v>-6.94219150577071</c:v>
                </c:pt>
                <c:pt idx="182">
                  <c:v>-6.9528023658744136</c:v>
                </c:pt>
                <c:pt idx="183">
                  <c:v>-6.9627466712484516</c:v>
                </c:pt>
                <c:pt idx="184">
                  <c:v>-6.9720484864478296</c:v>
                </c:pt>
                <c:pt idx="185">
                  <c:v>-6.9807307331374426</c:v>
                </c:pt>
                <c:pt idx="186">
                  <c:v>-6.988815254407255</c:v>
                </c:pt>
                <c:pt idx="187">
                  <c:v>-6.9963228750121296</c:v>
                </c:pt>
                <c:pt idx="188">
                  <c:v>-7.0032734578213551</c:v>
                </c:pt>
                <c:pt idx="189">
                  <c:v>-7.0096859567401237</c:v>
                </c:pt>
                <c:pt idx="190">
                  <c:v>-7.0155784663470611</c:v>
                </c:pt>
                <c:pt idx="191">
                  <c:v>-7.0209682684719468</c:v>
                </c:pt>
                <c:pt idx="192">
                  <c:v>-7.0258718759229595</c:v>
                </c:pt>
                <c:pt idx="193">
                  <c:v>-7.0303050735548958</c:v>
                </c:pt>
                <c:pt idx="194">
                  <c:v>-7.0342829568573944</c:v>
                </c:pt>
                <c:pt idx="195">
                  <c:v>-7.0378199682295328</c:v>
                </c:pt>
                <c:pt idx="196">
                  <c:v>-7.0409299310927951</c:v>
                </c:pt>
                <c:pt idx="197">
                  <c:v>-7.0436260819857406</c:v>
                </c:pt>
                <c:pt idx="198">
                  <c:v>-7.0459211007720057</c:v>
                </c:pt>
                <c:pt idx="199">
                  <c:v>-7.0478271390852356</c:v>
                </c:pt>
                <c:pt idx="200">
                  <c:v>-7.0478385964456827</c:v>
                </c:pt>
                <c:pt idx="201">
                  <c:v>-7.019258786512971</c:v>
                </c:pt>
                <c:pt idx="202">
                  <c:v>-6.9685966619643125</c:v>
                </c:pt>
                <c:pt idx="203">
                  <c:v>-6.9004613353850672</c:v>
                </c:pt>
                <c:pt idx="204">
                  <c:v>-6.8182300554859552</c:v>
                </c:pt>
                <c:pt idx="205">
                  <c:v>-6.7244559375101467</c:v>
                </c:pt>
                <c:pt idx="206">
                  <c:v>-6.6211240895835939</c:v>
                </c:pt>
                <c:pt idx="207">
                  <c:v>-6.5098167846255626</c:v>
                </c:pt>
                <c:pt idx="208">
                  <c:v>-6.3918226079748743</c:v>
                </c:pt>
                <c:pt idx="209">
                  <c:v>-6.2682102708470406</c:v>
                </c:pt>
                <c:pt idx="210">
                  <c:v>-6.1398796575275769</c:v>
                </c:pt>
                <c:pt idx="211">
                  <c:v>-6.0075979145474978</c:v>
                </c:pt>
                <c:pt idx="212">
                  <c:v>-5.8720255317893146</c:v>
                </c:pt>
                <c:pt idx="213">
                  <c:v>-5.7337356106861872</c:v>
                </c:pt>
                <c:pt idx="214">
                  <c:v>-5.5932284158058945</c:v>
                </c:pt>
                <c:pt idx="215">
                  <c:v>-5.4509426056803614</c:v>
                </c:pt>
                <c:pt idx="216">
                  <c:v>-5.3072640851677235</c:v>
                </c:pt>
                <c:pt idx="217">
                  <c:v>-5.1625331237469076</c:v>
                </c:pt>
                <c:pt idx="218">
                  <c:v>-5.0170501860268431</c:v>
                </c:pt>
                <c:pt idx="219">
                  <c:v>-4.8710807874844706</c:v>
                </c:pt>
                <c:pt idx="220">
                  <c:v>-4.7248595978614691</c:v>
                </c:pt>
                <c:pt idx="221">
                  <c:v>-4.5785939524820662</c:v>
                </c:pt>
                <c:pt idx="222">
                  <c:v>-4.4324668886833019</c:v>
                </c:pt>
                <c:pt idx="223">
                  <c:v>-4.2866397944323458</c:v>
                </c:pt>
                <c:pt idx="224">
                  <c:v>-4.1412547349405662</c:v>
                </c:pt>
                <c:pt idx="225">
                  <c:v>-3.9964365079132684</c:v>
                </c:pt>
                <c:pt idx="226">
                  <c:v>-3.852294467128992</c:v>
                </c:pt>
                <c:pt idx="227">
                  <c:v>-3.708924146043477</c:v>
                </c:pt>
                <c:pt idx="228">
                  <c:v>-3.5664087071873456</c:v>
                </c:pt>
                <c:pt idx="229">
                  <c:v>-3.4248202386648052</c:v>
                </c:pt>
                <c:pt idx="230">
                  <c:v>-3.2842209156471003</c:v>
                </c:pt>
                <c:pt idx="231">
                  <c:v>-3.1446640420917253</c:v>
                </c:pt>
                <c:pt idx="232">
                  <c:v>-3.0061949858068484</c:v>
                </c:pt>
                <c:pt idx="233">
                  <c:v>-2.868852018271832</c:v>
                </c:pt>
                <c:pt idx="234">
                  <c:v>-2.7326670692189343</c:v>
                </c:pt>
                <c:pt idx="235">
                  <c:v>-2.5976664048060867</c:v>
                </c:pt>
                <c:pt idx="236">
                  <c:v>-2.4638712372124068</c:v>
                </c:pt>
                <c:pt idx="237">
                  <c:v>-2.3312982726309999</c:v>
                </c:pt>
                <c:pt idx="238">
                  <c:v>-2.19996020388851</c:v>
                </c:pt>
                <c:pt idx="239">
                  <c:v>-2.0698661532682121</c:v>
                </c:pt>
                <c:pt idx="240">
                  <c:v>-1.9410220705377323</c:v>
                </c:pt>
                <c:pt idx="241">
                  <c:v>-1.8134310906708995</c:v>
                </c:pt>
                <c:pt idx="242">
                  <c:v>-1.6870938552989667</c:v>
                </c:pt>
                <c:pt idx="243">
                  <c:v>-1.562008801518262</c:v>
                </c:pt>
                <c:pt idx="244">
                  <c:v>-1.4381724213183946</c:v>
                </c:pt>
                <c:pt idx="245">
                  <c:v>-1.3155794945656685</c:v>
                </c:pt>
                <c:pt idx="246">
                  <c:v>-1.1942232981856775</c:v>
                </c:pt>
                <c:pt idx="247">
                  <c:v>-1.0740957939214217</c:v>
                </c:pt>
                <c:pt idx="248">
                  <c:v>-0.95518779680805044</c:v>
                </c:pt>
                <c:pt idx="249">
                  <c:v>-0.83748912629048577</c:v>
                </c:pt>
                <c:pt idx="250">
                  <c:v>-0.72098874171716565</c:v>
                </c:pt>
                <c:pt idx="251">
                  <c:v>-0.60567486377116209</c:v>
                </c:pt>
                <c:pt idx="252">
                  <c:v>-0.49153508324270301</c:v>
                </c:pt>
                <c:pt idx="253">
                  <c:v>-0.37855645840749069</c:v>
                </c:pt>
                <c:pt idx="254">
                  <c:v>-0.26672560214912311</c:v>
                </c:pt>
                <c:pt idx="255">
                  <c:v>-0.1560287598491745</c:v>
                </c:pt>
                <c:pt idx="256">
                  <c:v>-4.6451878967925624E-2</c:v>
                </c:pt>
                <c:pt idx="257">
                  <c:v>6.2019328855145155E-2</c:v>
                </c:pt>
                <c:pt idx="258">
                  <c:v>0.16939933243274607</c:v>
                </c:pt>
                <c:pt idx="259">
                  <c:v>0.27570273172111892</c:v>
                </c:pt>
                <c:pt idx="260">
                  <c:v>0.38094421396471656</c:v>
                </c:pt>
                <c:pt idx="261">
                  <c:v>0.48513851474875846</c:v>
                </c:pt>
                <c:pt idx="262">
                  <c:v>0.58830038346817004</c:v>
                </c:pt>
                <c:pt idx="263">
                  <c:v>0.69044455277047279</c:v>
                </c:pt>
                <c:pt idx="264">
                  <c:v>0.79158571157299185</c:v>
                </c:pt>
                <c:pt idx="265">
                  <c:v>0.89173848129572286</c:v>
                </c:pt>
                <c:pt idx="266">
                  <c:v>0.99091739498580422</c:v>
                </c:pt>
                <c:pt idx="267">
                  <c:v>1.0891368790412819</c:v>
                </c:pt>
                <c:pt idx="268">
                  <c:v>1.1864112372718159</c:v>
                </c:pt>
                <c:pt idx="269">
                  <c:v>1.2827546370583227</c:v>
                </c:pt>
                <c:pt idx="270">
                  <c:v>1.3781810973984363</c:v>
                </c:pt>
                <c:pt idx="271">
                  <c:v>1.4727044786441701</c:v>
                </c:pt>
                <c:pt idx="272">
                  <c:v>1.5663384737587953</c:v>
                </c:pt>
                <c:pt idx="273">
                  <c:v>1.6590966009351551</c:v>
                </c:pt>
                <c:pt idx="274">
                  <c:v>1.750992197434724</c:v>
                </c:pt>
                <c:pt idx="275">
                  <c:v>1.8420384145191848</c:v>
                </c:pt>
                <c:pt idx="276">
                  <c:v>1.9322482133598782</c:v>
                </c:pt>
                <c:pt idx="277">
                  <c:v>2.0216343618211634</c:v>
                </c:pt>
                <c:pt idx="278">
                  <c:v>2.1102094320238147</c:v>
                </c:pt>
                <c:pt idx="279">
                  <c:v>2.1979857986040416</c:v>
                </c:pt>
                <c:pt idx="280">
                  <c:v>2.2849756375922934</c:v>
                </c:pt>
                <c:pt idx="281">
                  <c:v>2.3711909258422557</c:v>
                </c:pt>
                <c:pt idx="282">
                  <c:v>2.4566434409492084</c:v>
                </c:pt>
                <c:pt idx="283">
                  <c:v>2.5413447616002145</c:v>
                </c:pt>
                <c:pt idx="284">
                  <c:v>2.6253062683079955</c:v>
                </c:pt>
                <c:pt idx="285">
                  <c:v>2.7085391444801732</c:v>
                </c:pt>
                <c:pt idx="286">
                  <c:v>2.7910543777857244</c:v>
                </c:pt>
                <c:pt idx="287">
                  <c:v>2.8728627617795914</c:v>
                </c:pt>
                <c:pt idx="288">
                  <c:v>2.9539748977539477</c:v>
                </c:pt>
                <c:pt idx="289">
                  <c:v>3.0344011967844171</c:v>
                </c:pt>
                <c:pt idx="290">
                  <c:v>3.8031023889687985</c:v>
                </c:pt>
                <c:pt idx="291">
                  <c:v>4.5133576162568536</c:v>
                </c:pt>
                <c:pt idx="292">
                  <c:v>5.172856616871039</c:v>
                </c:pt>
                <c:pt idx="293">
                  <c:v>5.787985967251541</c:v>
                </c:pt>
                <c:pt idx="294">
                  <c:v>6.3640733972302588</c:v>
                </c:pt>
                <c:pt idx="295">
                  <c:v>6.905589962842785</c:v>
                </c:pt>
                <c:pt idx="296">
                  <c:v>7.4163126280370388</c:v>
                </c:pt>
                <c:pt idx="297">
                  <c:v>7.8994535691168082</c:v>
                </c:pt>
                <c:pt idx="298">
                  <c:v>8.3577627514558515</c:v>
                </c:pt>
                <c:pt idx="299">
                  <c:v>8.7936094565934919</c:v>
                </c:pt>
                <c:pt idx="300">
                  <c:v>9.2090473552140502</c:v>
                </c:pt>
                <c:pt idx="301">
                  <c:v>9.6058667332211698</c:v>
                </c:pt>
                <c:pt idx="302">
                  <c:v>9.9856366642497782</c:v>
                </c:pt>
                <c:pt idx="303">
                  <c:v>10.349739281216475</c:v>
                </c:pt>
                <c:pt idx="304">
                  <c:v>10.69939780559492</c:v>
                </c:pt>
                <c:pt idx="305">
                  <c:v>11.035699615897133</c:v>
                </c:pt>
                <c:pt idx="306">
                  <c:v>11.359615349608575</c:v>
                </c:pt>
                <c:pt idx="307">
                  <c:v>11.672014813944035</c:v>
                </c:pt>
                <c:pt idx="308">
                  <c:v>11.973680313509982</c:v>
                </c:pt>
                <c:pt idx="309">
                  <c:v>12.2653178745731</c:v>
                </c:pt>
                <c:pt idx="310">
                  <c:v>12.547566746605641</c:v>
                </c:pt>
                <c:pt idx="311">
                  <c:v>12.821007484982704</c:v>
                </c:pt>
                <c:pt idx="312">
                  <c:v>13.086168858811318</c:v>
                </c:pt>
                <c:pt idx="313">
                  <c:v>13.343533780892274</c:v>
                </c:pt>
                <c:pt idx="314">
                  <c:v>13.593544419757615</c:v>
                </c:pt>
                <c:pt idx="315">
                  <c:v>13.836606624327541</c:v>
                </c:pt>
                <c:pt idx="316">
                  <c:v>14.073093768281579</c:v>
                </c:pt>
                <c:pt idx="317">
                  <c:v>14.303350102433676</c:v>
                </c:pt>
                <c:pt idx="318">
                  <c:v>14.527693688242781</c:v>
                </c:pt>
                <c:pt idx="319">
                  <c:v>14.746418973309046</c:v>
                </c:pt>
                <c:pt idx="320">
                  <c:v>14.959799059708255</c:v>
                </c:pt>
                <c:pt idx="321">
                  <c:v>15.16808770784009</c:v>
                </c:pt>
                <c:pt idx="322">
                  <c:v>15.371521111747038</c:v>
                </c:pt>
                <c:pt idx="323">
                  <c:v>15.570319476316739</c:v>
                </c:pt>
                <c:pt idx="324">
                  <c:v>15.764688422186863</c:v>
                </c:pt>
                <c:pt idx="325">
                  <c:v>15.954820240349363</c:v>
                </c:pt>
                <c:pt idx="326">
                  <c:v>16.140895015258508</c:v>
                </c:pt>
                <c:pt idx="327">
                  <c:v>16.323081632571508</c:v>
                </c:pt>
                <c:pt idx="328">
                  <c:v>16.501538685398081</c:v>
                </c:pt>
                <c:pt idx="329">
                  <c:v>16.676415291034978</c:v>
                </c:pt>
                <c:pt idx="330">
                  <c:v>16.847851828550702</c:v>
                </c:pt>
                <c:pt idx="331">
                  <c:v>17.015980606217386</c:v>
                </c:pt>
                <c:pt idx="332">
                  <c:v>17.180926466620072</c:v>
                </c:pt>
                <c:pt idx="333">
                  <c:v>17.34280733627552</c:v>
                </c:pt>
                <c:pt idx="334">
                  <c:v>17.501734725739201</c:v>
                </c:pt>
                <c:pt idx="335">
                  <c:v>17.657814185440291</c:v>
                </c:pt>
                <c:pt idx="336">
                  <c:v>17.81114572185356</c:v>
                </c:pt>
                <c:pt idx="337">
                  <c:v>17.961824178067069</c:v>
                </c:pt>
                <c:pt idx="338">
                  <c:v>18.109939582329279</c:v>
                </c:pt>
                <c:pt idx="339">
                  <c:v>18.255577467746868</c:v>
                </c:pt>
                <c:pt idx="340">
                  <c:v>18.398819165945529</c:v>
                </c:pt>
                <c:pt idx="341">
                  <c:v>18.539742077190503</c:v>
                </c:pt>
                <c:pt idx="342">
                  <c:v>18.678419919191377</c:v>
                </c:pt>
                <c:pt idx="343">
                  <c:v>18.814922956573138</c:v>
                </c:pt>
                <c:pt idx="344">
                  <c:v>18.949318212784803</c:v>
                </c:pt>
                <c:pt idx="345">
                  <c:v>19.081669666031239</c:v>
                </c:pt>
                <c:pt idx="346">
                  <c:v>19.212038430649553</c:v>
                </c:pt>
                <c:pt idx="347">
                  <c:v>19.340482925204679</c:v>
                </c:pt>
                <c:pt idx="348">
                  <c:v>19.467059028454262</c:v>
                </c:pt>
                <c:pt idx="349">
                  <c:v>19.591820224214292</c:v>
                </c:pt>
                <c:pt idx="350">
                  <c:v>19.714817736059665</c:v>
                </c:pt>
                <c:pt idx="351">
                  <c:v>19.836100652702321</c:v>
                </c:pt>
                <c:pt idx="352">
                  <c:v>19.955716044808053</c:v>
                </c:pt>
                <c:pt idx="353">
                  <c:v>20.07370907394483</c:v>
                </c:pt>
                <c:pt idx="354">
                  <c:v>20.190123094287266</c:v>
                </c:pt>
                <c:pt idx="355">
                  <c:v>20.304999747648317</c:v>
                </c:pt>
                <c:pt idx="356">
                  <c:v>20.418379052354553</c:v>
                </c:pt>
                <c:pt idx="357">
                  <c:v>20.530299486438249</c:v>
                </c:pt>
                <c:pt idx="358">
                  <c:v>20.640798065574959</c:v>
                </c:pt>
                <c:pt idx="359">
                  <c:v>20.749910416160233</c:v>
                </c:pt>
                <c:pt idx="360">
                  <c:v>20.857670843883611</c:v>
                </c:pt>
                <c:pt idx="361">
                  <c:v>20.964112398128904</c:v>
                </c:pt>
                <c:pt idx="362">
                  <c:v>21.069266932501243</c:v>
                </c:pt>
                <c:pt idx="363">
                  <c:v>21.173165161756941</c:v>
                </c:pt>
                <c:pt idx="364">
                  <c:v>21.275836715389151</c:v>
                </c:pt>
                <c:pt idx="365">
                  <c:v>21.377310188102125</c:v>
                </c:pt>
                <c:pt idx="366">
                  <c:v>21.477613187388176</c:v>
                </c:pt>
                <c:pt idx="367">
                  <c:v>21.576772378404634</c:v>
                </c:pt>
                <c:pt idx="368">
                  <c:v>21.674813526332002</c:v>
                </c:pt>
                <c:pt idx="369">
                  <c:v>21.771761536381035</c:v>
                </c:pt>
                <c:pt idx="370">
                  <c:v>21.867640491603563</c:v>
                </c:pt>
                <c:pt idx="371">
                  <c:v>21.962473688649915</c:v>
                </c:pt>
                <c:pt idx="372">
                  <c:v>22.056283671605531</c:v>
                </c:pt>
                <c:pt idx="373">
                  <c:v>22.14909226402802</c:v>
                </c:pt>
                <c:pt idx="374">
                  <c:v>22.240920599300132</c:v>
                </c:pt>
                <c:pt idx="375">
                  <c:v>22.331789149401477</c:v>
                </c:pt>
                <c:pt idx="376">
                  <c:v>22.421717752198624</c:v>
                </c:pt>
                <c:pt idx="377">
                  <c:v>22.51072563734273</c:v>
                </c:pt>
                <c:pt idx="378">
                  <c:v>22.598831450859947</c:v>
                </c:pt>
                <c:pt idx="379">
                  <c:v>22.686053278512446</c:v>
                </c:pt>
              </c:numCache>
            </c:numRef>
          </c:yVal>
          <c:smooth val="1"/>
          <c:extLst>
            <c:ext xmlns:c16="http://schemas.microsoft.com/office/drawing/2014/chart" uri="{C3380CC4-5D6E-409C-BE32-E72D297353CC}">
              <c16:uniqueId val="{00000000-32AD-48CD-BB29-60DAC4D05902}"/>
            </c:ext>
          </c:extLst>
        </c:ser>
        <c:dLbls>
          <c:showLegendKey val="0"/>
          <c:showVal val="0"/>
          <c:showCatName val="0"/>
          <c:showSerName val="0"/>
          <c:showPercent val="0"/>
          <c:showBubbleSize val="0"/>
        </c:dLbls>
        <c:axId val="1434155088"/>
        <c:axId val="1570699712"/>
      </c:scatterChart>
      <c:valAx>
        <c:axId val="1434155088"/>
        <c:scaling>
          <c:logBase val="10"/>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99712"/>
        <c:crosses val="autoZero"/>
        <c:crossBetween val="midCat"/>
      </c:valAx>
      <c:valAx>
        <c:axId val="157069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155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'Loop Gain'!$I$1</c:f>
              <c:strCache>
                <c:ptCount val="1"/>
                <c:pt idx="0">
                  <c:v>Phase CCM</c:v>
                </c:pt>
              </c:strCache>
            </c:strRef>
          </c:tx>
          <c:spPr>
            <a:ln w="19050" cap="rnd">
              <a:solidFill>
                <a:schemeClr val="accent1"/>
              </a:solidFill>
              <a:round/>
            </a:ln>
            <a:effectLst/>
          </c:spPr>
          <c:marker>
            <c:symbol val="none"/>
          </c:marker>
          <c:xVal>
            <c:numRef>
              <c:f>'Loop Gain'!$A$2:$A$381</c:f>
              <c:numCache>
                <c:formatCode>General</c:formatCode>
                <c:ptCount val="380"/>
                <c:pt idx="0">
                  <c:v>1</c:v>
                </c:pt>
                <c:pt idx="1">
                  <c:v>10</c:v>
                </c:pt>
                <c:pt idx="2">
                  <c:v>20</c:v>
                </c:pt>
                <c:pt idx="3">
                  <c:v>30</c:v>
                </c:pt>
                <c:pt idx="4">
                  <c:v>40</c:v>
                </c:pt>
                <c:pt idx="5">
                  <c:v>50</c:v>
                </c:pt>
                <c:pt idx="6">
                  <c:v>60</c:v>
                </c:pt>
                <c:pt idx="7">
                  <c:v>70</c:v>
                </c:pt>
                <c:pt idx="8">
                  <c:v>80</c:v>
                </c:pt>
                <c:pt idx="9">
                  <c:v>90</c:v>
                </c:pt>
                <c:pt idx="10">
                  <c:v>100</c:v>
                </c:pt>
                <c:pt idx="11">
                  <c:v>200</c:v>
                </c:pt>
                <c:pt idx="12">
                  <c:v>300</c:v>
                </c:pt>
                <c:pt idx="13">
                  <c:v>400</c:v>
                </c:pt>
                <c:pt idx="14">
                  <c:v>500</c:v>
                </c:pt>
                <c:pt idx="15">
                  <c:v>600</c:v>
                </c:pt>
                <c:pt idx="16">
                  <c:v>700</c:v>
                </c:pt>
                <c:pt idx="17">
                  <c:v>800</c:v>
                </c:pt>
                <c:pt idx="18">
                  <c:v>900</c:v>
                </c:pt>
                <c:pt idx="19">
                  <c:v>1000</c:v>
                </c:pt>
                <c:pt idx="20">
                  <c:v>1100</c:v>
                </c:pt>
                <c:pt idx="21">
                  <c:v>1200</c:v>
                </c:pt>
                <c:pt idx="22">
                  <c:v>1300</c:v>
                </c:pt>
                <c:pt idx="23">
                  <c:v>1400</c:v>
                </c:pt>
                <c:pt idx="24">
                  <c:v>1500</c:v>
                </c:pt>
                <c:pt idx="25">
                  <c:v>1600</c:v>
                </c:pt>
                <c:pt idx="26">
                  <c:v>1700</c:v>
                </c:pt>
                <c:pt idx="27">
                  <c:v>1800</c:v>
                </c:pt>
                <c:pt idx="28">
                  <c:v>1900</c:v>
                </c:pt>
                <c:pt idx="29">
                  <c:v>2000</c:v>
                </c:pt>
                <c:pt idx="30">
                  <c:v>2100</c:v>
                </c:pt>
                <c:pt idx="31">
                  <c:v>2200</c:v>
                </c:pt>
                <c:pt idx="32">
                  <c:v>2300</c:v>
                </c:pt>
                <c:pt idx="33">
                  <c:v>2400</c:v>
                </c:pt>
                <c:pt idx="34">
                  <c:v>2500</c:v>
                </c:pt>
                <c:pt idx="35">
                  <c:v>2600</c:v>
                </c:pt>
                <c:pt idx="36">
                  <c:v>2700</c:v>
                </c:pt>
                <c:pt idx="37">
                  <c:v>2800</c:v>
                </c:pt>
                <c:pt idx="38">
                  <c:v>2900</c:v>
                </c:pt>
                <c:pt idx="39">
                  <c:v>3000</c:v>
                </c:pt>
                <c:pt idx="40">
                  <c:v>3100</c:v>
                </c:pt>
                <c:pt idx="41">
                  <c:v>3200</c:v>
                </c:pt>
                <c:pt idx="42">
                  <c:v>3300</c:v>
                </c:pt>
                <c:pt idx="43">
                  <c:v>3400</c:v>
                </c:pt>
                <c:pt idx="44">
                  <c:v>3500</c:v>
                </c:pt>
                <c:pt idx="45">
                  <c:v>3600</c:v>
                </c:pt>
                <c:pt idx="46">
                  <c:v>3700</c:v>
                </c:pt>
                <c:pt idx="47">
                  <c:v>3800</c:v>
                </c:pt>
                <c:pt idx="48">
                  <c:v>3900</c:v>
                </c:pt>
                <c:pt idx="49">
                  <c:v>4000</c:v>
                </c:pt>
                <c:pt idx="50">
                  <c:v>4100</c:v>
                </c:pt>
                <c:pt idx="51">
                  <c:v>4200</c:v>
                </c:pt>
                <c:pt idx="52">
                  <c:v>4300</c:v>
                </c:pt>
                <c:pt idx="53">
                  <c:v>4400</c:v>
                </c:pt>
                <c:pt idx="54">
                  <c:v>4500</c:v>
                </c:pt>
                <c:pt idx="55">
                  <c:v>4600</c:v>
                </c:pt>
                <c:pt idx="56">
                  <c:v>4700</c:v>
                </c:pt>
                <c:pt idx="57">
                  <c:v>4800</c:v>
                </c:pt>
                <c:pt idx="58">
                  <c:v>4900</c:v>
                </c:pt>
                <c:pt idx="59">
                  <c:v>5000</c:v>
                </c:pt>
                <c:pt idx="60">
                  <c:v>5100</c:v>
                </c:pt>
                <c:pt idx="61">
                  <c:v>5200</c:v>
                </c:pt>
                <c:pt idx="62">
                  <c:v>5300</c:v>
                </c:pt>
                <c:pt idx="63">
                  <c:v>5400</c:v>
                </c:pt>
                <c:pt idx="64">
                  <c:v>5500</c:v>
                </c:pt>
                <c:pt idx="65">
                  <c:v>5600</c:v>
                </c:pt>
                <c:pt idx="66">
                  <c:v>5700</c:v>
                </c:pt>
                <c:pt idx="67">
                  <c:v>5800</c:v>
                </c:pt>
                <c:pt idx="68">
                  <c:v>5900</c:v>
                </c:pt>
                <c:pt idx="69">
                  <c:v>6000</c:v>
                </c:pt>
                <c:pt idx="70">
                  <c:v>6100</c:v>
                </c:pt>
                <c:pt idx="71">
                  <c:v>6200</c:v>
                </c:pt>
                <c:pt idx="72">
                  <c:v>6300</c:v>
                </c:pt>
                <c:pt idx="73">
                  <c:v>6400</c:v>
                </c:pt>
                <c:pt idx="74">
                  <c:v>6500</c:v>
                </c:pt>
                <c:pt idx="75">
                  <c:v>6600</c:v>
                </c:pt>
                <c:pt idx="76">
                  <c:v>6700</c:v>
                </c:pt>
                <c:pt idx="77">
                  <c:v>6800</c:v>
                </c:pt>
                <c:pt idx="78">
                  <c:v>6900</c:v>
                </c:pt>
                <c:pt idx="79">
                  <c:v>7000</c:v>
                </c:pt>
                <c:pt idx="80">
                  <c:v>7100</c:v>
                </c:pt>
                <c:pt idx="81">
                  <c:v>7200</c:v>
                </c:pt>
                <c:pt idx="82">
                  <c:v>7300</c:v>
                </c:pt>
                <c:pt idx="83">
                  <c:v>7400</c:v>
                </c:pt>
                <c:pt idx="84">
                  <c:v>7500</c:v>
                </c:pt>
                <c:pt idx="85">
                  <c:v>7600</c:v>
                </c:pt>
                <c:pt idx="86">
                  <c:v>7700</c:v>
                </c:pt>
                <c:pt idx="87">
                  <c:v>7800</c:v>
                </c:pt>
                <c:pt idx="88">
                  <c:v>7900</c:v>
                </c:pt>
                <c:pt idx="89">
                  <c:v>8000</c:v>
                </c:pt>
                <c:pt idx="90">
                  <c:v>8100</c:v>
                </c:pt>
                <c:pt idx="91">
                  <c:v>8200</c:v>
                </c:pt>
                <c:pt idx="92">
                  <c:v>8300</c:v>
                </c:pt>
                <c:pt idx="93">
                  <c:v>8400</c:v>
                </c:pt>
                <c:pt idx="94">
                  <c:v>8500</c:v>
                </c:pt>
                <c:pt idx="95">
                  <c:v>8600</c:v>
                </c:pt>
                <c:pt idx="96">
                  <c:v>8700</c:v>
                </c:pt>
                <c:pt idx="97">
                  <c:v>8800</c:v>
                </c:pt>
                <c:pt idx="98">
                  <c:v>8900</c:v>
                </c:pt>
                <c:pt idx="99">
                  <c:v>9000</c:v>
                </c:pt>
                <c:pt idx="100">
                  <c:v>9100</c:v>
                </c:pt>
                <c:pt idx="101">
                  <c:v>9200</c:v>
                </c:pt>
                <c:pt idx="102">
                  <c:v>9300</c:v>
                </c:pt>
                <c:pt idx="103">
                  <c:v>9400</c:v>
                </c:pt>
                <c:pt idx="104">
                  <c:v>9500</c:v>
                </c:pt>
                <c:pt idx="105">
                  <c:v>9600</c:v>
                </c:pt>
                <c:pt idx="106">
                  <c:v>9700</c:v>
                </c:pt>
                <c:pt idx="107">
                  <c:v>9800</c:v>
                </c:pt>
                <c:pt idx="108">
                  <c:v>9900</c:v>
                </c:pt>
                <c:pt idx="109">
                  <c:v>10000</c:v>
                </c:pt>
                <c:pt idx="110">
                  <c:v>11000</c:v>
                </c:pt>
                <c:pt idx="111">
                  <c:v>12000</c:v>
                </c:pt>
                <c:pt idx="112">
                  <c:v>13000</c:v>
                </c:pt>
                <c:pt idx="113">
                  <c:v>14000</c:v>
                </c:pt>
                <c:pt idx="114">
                  <c:v>15000</c:v>
                </c:pt>
                <c:pt idx="115">
                  <c:v>16000</c:v>
                </c:pt>
                <c:pt idx="116">
                  <c:v>17000</c:v>
                </c:pt>
                <c:pt idx="117">
                  <c:v>18000</c:v>
                </c:pt>
                <c:pt idx="118">
                  <c:v>19000</c:v>
                </c:pt>
                <c:pt idx="119">
                  <c:v>20000</c:v>
                </c:pt>
                <c:pt idx="120">
                  <c:v>21000</c:v>
                </c:pt>
                <c:pt idx="121">
                  <c:v>22000</c:v>
                </c:pt>
                <c:pt idx="122">
                  <c:v>23000</c:v>
                </c:pt>
                <c:pt idx="123">
                  <c:v>24000</c:v>
                </c:pt>
                <c:pt idx="124">
                  <c:v>25000</c:v>
                </c:pt>
                <c:pt idx="125">
                  <c:v>26000</c:v>
                </c:pt>
                <c:pt idx="126">
                  <c:v>27000</c:v>
                </c:pt>
                <c:pt idx="127">
                  <c:v>28000</c:v>
                </c:pt>
                <c:pt idx="128">
                  <c:v>29000</c:v>
                </c:pt>
                <c:pt idx="129">
                  <c:v>30000</c:v>
                </c:pt>
                <c:pt idx="130">
                  <c:v>31000</c:v>
                </c:pt>
                <c:pt idx="131">
                  <c:v>32000</c:v>
                </c:pt>
                <c:pt idx="132">
                  <c:v>33000</c:v>
                </c:pt>
                <c:pt idx="133">
                  <c:v>34000</c:v>
                </c:pt>
                <c:pt idx="134">
                  <c:v>35000</c:v>
                </c:pt>
                <c:pt idx="135">
                  <c:v>36000</c:v>
                </c:pt>
                <c:pt idx="136">
                  <c:v>37000</c:v>
                </c:pt>
                <c:pt idx="137">
                  <c:v>38000</c:v>
                </c:pt>
                <c:pt idx="138">
                  <c:v>39000</c:v>
                </c:pt>
                <c:pt idx="139">
                  <c:v>40000</c:v>
                </c:pt>
                <c:pt idx="140">
                  <c:v>41000</c:v>
                </c:pt>
                <c:pt idx="141">
                  <c:v>42000</c:v>
                </c:pt>
                <c:pt idx="142">
                  <c:v>43000</c:v>
                </c:pt>
                <c:pt idx="143">
                  <c:v>44000</c:v>
                </c:pt>
                <c:pt idx="144">
                  <c:v>45000</c:v>
                </c:pt>
                <c:pt idx="145">
                  <c:v>46000</c:v>
                </c:pt>
                <c:pt idx="146">
                  <c:v>47000</c:v>
                </c:pt>
                <c:pt idx="147">
                  <c:v>48000</c:v>
                </c:pt>
                <c:pt idx="148">
                  <c:v>49000</c:v>
                </c:pt>
                <c:pt idx="149">
                  <c:v>50000</c:v>
                </c:pt>
                <c:pt idx="150">
                  <c:v>51000</c:v>
                </c:pt>
                <c:pt idx="151">
                  <c:v>52000</c:v>
                </c:pt>
                <c:pt idx="152">
                  <c:v>53000</c:v>
                </c:pt>
                <c:pt idx="153">
                  <c:v>54000</c:v>
                </c:pt>
                <c:pt idx="154">
                  <c:v>55000</c:v>
                </c:pt>
                <c:pt idx="155">
                  <c:v>56000</c:v>
                </c:pt>
                <c:pt idx="156">
                  <c:v>57000</c:v>
                </c:pt>
                <c:pt idx="157">
                  <c:v>58000</c:v>
                </c:pt>
                <c:pt idx="158">
                  <c:v>59000</c:v>
                </c:pt>
                <c:pt idx="159">
                  <c:v>60000</c:v>
                </c:pt>
                <c:pt idx="160">
                  <c:v>61000</c:v>
                </c:pt>
                <c:pt idx="161">
                  <c:v>62000</c:v>
                </c:pt>
                <c:pt idx="162">
                  <c:v>63000</c:v>
                </c:pt>
                <c:pt idx="163">
                  <c:v>64000</c:v>
                </c:pt>
                <c:pt idx="164">
                  <c:v>65000</c:v>
                </c:pt>
                <c:pt idx="165">
                  <c:v>66000</c:v>
                </c:pt>
                <c:pt idx="166">
                  <c:v>67000</c:v>
                </c:pt>
                <c:pt idx="167">
                  <c:v>68000</c:v>
                </c:pt>
                <c:pt idx="168">
                  <c:v>69000</c:v>
                </c:pt>
                <c:pt idx="169">
                  <c:v>70000</c:v>
                </c:pt>
                <c:pt idx="170">
                  <c:v>71000</c:v>
                </c:pt>
                <c:pt idx="171">
                  <c:v>72000</c:v>
                </c:pt>
                <c:pt idx="172">
                  <c:v>73000</c:v>
                </c:pt>
                <c:pt idx="173">
                  <c:v>74000</c:v>
                </c:pt>
                <c:pt idx="174">
                  <c:v>75000</c:v>
                </c:pt>
                <c:pt idx="175">
                  <c:v>76000</c:v>
                </c:pt>
                <c:pt idx="176">
                  <c:v>77000</c:v>
                </c:pt>
                <c:pt idx="177">
                  <c:v>78000</c:v>
                </c:pt>
                <c:pt idx="178">
                  <c:v>79000</c:v>
                </c:pt>
                <c:pt idx="179">
                  <c:v>80000</c:v>
                </c:pt>
                <c:pt idx="180">
                  <c:v>81000</c:v>
                </c:pt>
                <c:pt idx="181">
                  <c:v>82000</c:v>
                </c:pt>
                <c:pt idx="182">
                  <c:v>83000</c:v>
                </c:pt>
                <c:pt idx="183">
                  <c:v>84000</c:v>
                </c:pt>
                <c:pt idx="184">
                  <c:v>85000</c:v>
                </c:pt>
                <c:pt idx="185">
                  <c:v>86000</c:v>
                </c:pt>
                <c:pt idx="186">
                  <c:v>87000</c:v>
                </c:pt>
                <c:pt idx="187">
                  <c:v>88000</c:v>
                </c:pt>
                <c:pt idx="188">
                  <c:v>89000</c:v>
                </c:pt>
                <c:pt idx="189">
                  <c:v>90000</c:v>
                </c:pt>
                <c:pt idx="190">
                  <c:v>91000</c:v>
                </c:pt>
                <c:pt idx="191">
                  <c:v>92000</c:v>
                </c:pt>
                <c:pt idx="192">
                  <c:v>93000</c:v>
                </c:pt>
                <c:pt idx="193">
                  <c:v>94000</c:v>
                </c:pt>
                <c:pt idx="194">
                  <c:v>95000</c:v>
                </c:pt>
                <c:pt idx="195">
                  <c:v>96000</c:v>
                </c:pt>
                <c:pt idx="196">
                  <c:v>97000</c:v>
                </c:pt>
                <c:pt idx="197">
                  <c:v>98000</c:v>
                </c:pt>
                <c:pt idx="198">
                  <c:v>99000</c:v>
                </c:pt>
                <c:pt idx="199">
                  <c:v>100000</c:v>
                </c:pt>
                <c:pt idx="200">
                  <c:v>110000</c:v>
                </c:pt>
                <c:pt idx="201">
                  <c:v>120000</c:v>
                </c:pt>
                <c:pt idx="202">
                  <c:v>130000</c:v>
                </c:pt>
                <c:pt idx="203">
                  <c:v>140000</c:v>
                </c:pt>
                <c:pt idx="204">
                  <c:v>150000</c:v>
                </c:pt>
                <c:pt idx="205">
                  <c:v>160000</c:v>
                </c:pt>
                <c:pt idx="206">
                  <c:v>170000</c:v>
                </c:pt>
                <c:pt idx="207">
                  <c:v>180000</c:v>
                </c:pt>
                <c:pt idx="208">
                  <c:v>190000</c:v>
                </c:pt>
                <c:pt idx="209">
                  <c:v>200000</c:v>
                </c:pt>
                <c:pt idx="210">
                  <c:v>210000</c:v>
                </c:pt>
                <c:pt idx="211">
                  <c:v>220000</c:v>
                </c:pt>
                <c:pt idx="212">
                  <c:v>230000</c:v>
                </c:pt>
                <c:pt idx="213">
                  <c:v>240000</c:v>
                </c:pt>
                <c:pt idx="214">
                  <c:v>250000</c:v>
                </c:pt>
                <c:pt idx="215">
                  <c:v>260000</c:v>
                </c:pt>
                <c:pt idx="216">
                  <c:v>270000</c:v>
                </c:pt>
                <c:pt idx="217">
                  <c:v>280000</c:v>
                </c:pt>
                <c:pt idx="218">
                  <c:v>290000</c:v>
                </c:pt>
                <c:pt idx="219">
                  <c:v>300000</c:v>
                </c:pt>
                <c:pt idx="220">
                  <c:v>310000</c:v>
                </c:pt>
                <c:pt idx="221">
                  <c:v>320000</c:v>
                </c:pt>
                <c:pt idx="222">
                  <c:v>330000</c:v>
                </c:pt>
                <c:pt idx="223">
                  <c:v>340000</c:v>
                </c:pt>
                <c:pt idx="224">
                  <c:v>350000</c:v>
                </c:pt>
                <c:pt idx="225">
                  <c:v>360000</c:v>
                </c:pt>
                <c:pt idx="226">
                  <c:v>370000</c:v>
                </c:pt>
                <c:pt idx="227">
                  <c:v>380000</c:v>
                </c:pt>
                <c:pt idx="228">
                  <c:v>390000</c:v>
                </c:pt>
                <c:pt idx="229">
                  <c:v>400000</c:v>
                </c:pt>
                <c:pt idx="230">
                  <c:v>410000</c:v>
                </c:pt>
                <c:pt idx="231">
                  <c:v>420000</c:v>
                </c:pt>
                <c:pt idx="232">
                  <c:v>430000</c:v>
                </c:pt>
                <c:pt idx="233">
                  <c:v>440000</c:v>
                </c:pt>
                <c:pt idx="234">
                  <c:v>450000</c:v>
                </c:pt>
                <c:pt idx="235">
                  <c:v>460000</c:v>
                </c:pt>
                <c:pt idx="236">
                  <c:v>470000</c:v>
                </c:pt>
                <c:pt idx="237">
                  <c:v>480000</c:v>
                </c:pt>
                <c:pt idx="238">
                  <c:v>490000</c:v>
                </c:pt>
                <c:pt idx="239">
                  <c:v>500000</c:v>
                </c:pt>
                <c:pt idx="240">
                  <c:v>510000</c:v>
                </c:pt>
                <c:pt idx="241">
                  <c:v>520000</c:v>
                </c:pt>
                <c:pt idx="242">
                  <c:v>530000</c:v>
                </c:pt>
                <c:pt idx="243">
                  <c:v>540000</c:v>
                </c:pt>
                <c:pt idx="244">
                  <c:v>550000</c:v>
                </c:pt>
                <c:pt idx="245">
                  <c:v>560000</c:v>
                </c:pt>
                <c:pt idx="246">
                  <c:v>570000</c:v>
                </c:pt>
                <c:pt idx="247">
                  <c:v>580000</c:v>
                </c:pt>
                <c:pt idx="248">
                  <c:v>590000</c:v>
                </c:pt>
                <c:pt idx="249">
                  <c:v>600000</c:v>
                </c:pt>
                <c:pt idx="250">
                  <c:v>610000</c:v>
                </c:pt>
                <c:pt idx="251">
                  <c:v>620000</c:v>
                </c:pt>
                <c:pt idx="252">
                  <c:v>630000</c:v>
                </c:pt>
                <c:pt idx="253">
                  <c:v>640000</c:v>
                </c:pt>
                <c:pt idx="254">
                  <c:v>650000</c:v>
                </c:pt>
                <c:pt idx="255">
                  <c:v>660000</c:v>
                </c:pt>
                <c:pt idx="256">
                  <c:v>670000</c:v>
                </c:pt>
                <c:pt idx="257">
                  <c:v>680000</c:v>
                </c:pt>
                <c:pt idx="258">
                  <c:v>690000</c:v>
                </c:pt>
                <c:pt idx="259">
                  <c:v>700000</c:v>
                </c:pt>
                <c:pt idx="260">
                  <c:v>710000</c:v>
                </c:pt>
                <c:pt idx="261">
                  <c:v>720000</c:v>
                </c:pt>
                <c:pt idx="262">
                  <c:v>730000</c:v>
                </c:pt>
                <c:pt idx="263">
                  <c:v>740000</c:v>
                </c:pt>
                <c:pt idx="264">
                  <c:v>750000</c:v>
                </c:pt>
                <c:pt idx="265">
                  <c:v>760000</c:v>
                </c:pt>
                <c:pt idx="266">
                  <c:v>770000</c:v>
                </c:pt>
                <c:pt idx="267">
                  <c:v>780000</c:v>
                </c:pt>
                <c:pt idx="268">
                  <c:v>790000</c:v>
                </c:pt>
                <c:pt idx="269">
                  <c:v>800000</c:v>
                </c:pt>
                <c:pt idx="270">
                  <c:v>810000</c:v>
                </c:pt>
                <c:pt idx="271">
                  <c:v>820000</c:v>
                </c:pt>
                <c:pt idx="272">
                  <c:v>830000</c:v>
                </c:pt>
                <c:pt idx="273">
                  <c:v>840000</c:v>
                </c:pt>
                <c:pt idx="274">
                  <c:v>850000</c:v>
                </c:pt>
                <c:pt idx="275">
                  <c:v>860000</c:v>
                </c:pt>
                <c:pt idx="276">
                  <c:v>870000</c:v>
                </c:pt>
                <c:pt idx="277">
                  <c:v>880000</c:v>
                </c:pt>
                <c:pt idx="278">
                  <c:v>890000</c:v>
                </c:pt>
                <c:pt idx="279">
                  <c:v>900000</c:v>
                </c:pt>
                <c:pt idx="280">
                  <c:v>910000</c:v>
                </c:pt>
                <c:pt idx="281">
                  <c:v>920000</c:v>
                </c:pt>
                <c:pt idx="282">
                  <c:v>930000</c:v>
                </c:pt>
                <c:pt idx="283">
                  <c:v>940000</c:v>
                </c:pt>
                <c:pt idx="284">
                  <c:v>950000</c:v>
                </c:pt>
                <c:pt idx="285">
                  <c:v>960000</c:v>
                </c:pt>
                <c:pt idx="286">
                  <c:v>970000</c:v>
                </c:pt>
                <c:pt idx="287">
                  <c:v>980000</c:v>
                </c:pt>
                <c:pt idx="288">
                  <c:v>990000</c:v>
                </c:pt>
                <c:pt idx="289">
                  <c:v>1000000</c:v>
                </c:pt>
                <c:pt idx="290">
                  <c:v>1100000</c:v>
                </c:pt>
                <c:pt idx="291">
                  <c:v>1200000</c:v>
                </c:pt>
                <c:pt idx="292">
                  <c:v>1300000</c:v>
                </c:pt>
                <c:pt idx="293">
                  <c:v>1400000</c:v>
                </c:pt>
                <c:pt idx="294">
                  <c:v>1500000</c:v>
                </c:pt>
                <c:pt idx="295">
                  <c:v>1600000</c:v>
                </c:pt>
                <c:pt idx="296">
                  <c:v>1700000</c:v>
                </c:pt>
                <c:pt idx="297">
                  <c:v>1800000</c:v>
                </c:pt>
                <c:pt idx="298">
                  <c:v>1900000</c:v>
                </c:pt>
                <c:pt idx="299">
                  <c:v>2000000</c:v>
                </c:pt>
                <c:pt idx="300">
                  <c:v>2100000</c:v>
                </c:pt>
                <c:pt idx="301">
                  <c:v>2200000</c:v>
                </c:pt>
                <c:pt idx="302">
                  <c:v>2300000</c:v>
                </c:pt>
                <c:pt idx="303">
                  <c:v>2400000</c:v>
                </c:pt>
                <c:pt idx="304">
                  <c:v>2500000</c:v>
                </c:pt>
                <c:pt idx="305">
                  <c:v>2600000</c:v>
                </c:pt>
                <c:pt idx="306">
                  <c:v>2700000</c:v>
                </c:pt>
                <c:pt idx="307">
                  <c:v>2800000</c:v>
                </c:pt>
                <c:pt idx="308">
                  <c:v>2900000</c:v>
                </c:pt>
                <c:pt idx="309">
                  <c:v>3000000</c:v>
                </c:pt>
                <c:pt idx="310">
                  <c:v>3100000</c:v>
                </c:pt>
                <c:pt idx="311">
                  <c:v>3200000</c:v>
                </c:pt>
                <c:pt idx="312">
                  <c:v>3300000</c:v>
                </c:pt>
                <c:pt idx="313">
                  <c:v>3400000</c:v>
                </c:pt>
                <c:pt idx="314">
                  <c:v>3500000</c:v>
                </c:pt>
                <c:pt idx="315">
                  <c:v>3600000</c:v>
                </c:pt>
                <c:pt idx="316">
                  <c:v>3700000</c:v>
                </c:pt>
                <c:pt idx="317">
                  <c:v>3800000</c:v>
                </c:pt>
                <c:pt idx="318">
                  <c:v>3900000</c:v>
                </c:pt>
                <c:pt idx="319">
                  <c:v>4000000</c:v>
                </c:pt>
                <c:pt idx="320">
                  <c:v>4100000</c:v>
                </c:pt>
                <c:pt idx="321">
                  <c:v>4200000</c:v>
                </c:pt>
                <c:pt idx="322">
                  <c:v>4300000</c:v>
                </c:pt>
                <c:pt idx="323">
                  <c:v>4400000</c:v>
                </c:pt>
                <c:pt idx="324">
                  <c:v>4500000</c:v>
                </c:pt>
                <c:pt idx="325">
                  <c:v>4600000</c:v>
                </c:pt>
                <c:pt idx="326">
                  <c:v>4700000</c:v>
                </c:pt>
                <c:pt idx="327">
                  <c:v>4800000</c:v>
                </c:pt>
                <c:pt idx="328">
                  <c:v>4900000</c:v>
                </c:pt>
                <c:pt idx="329">
                  <c:v>5000000</c:v>
                </c:pt>
                <c:pt idx="330">
                  <c:v>5100000</c:v>
                </c:pt>
                <c:pt idx="331">
                  <c:v>5200000</c:v>
                </c:pt>
                <c:pt idx="332">
                  <c:v>5300000</c:v>
                </c:pt>
                <c:pt idx="333">
                  <c:v>5400000</c:v>
                </c:pt>
                <c:pt idx="334">
                  <c:v>5500000</c:v>
                </c:pt>
                <c:pt idx="335">
                  <c:v>5600000</c:v>
                </c:pt>
                <c:pt idx="336">
                  <c:v>5700000</c:v>
                </c:pt>
                <c:pt idx="337">
                  <c:v>5800000</c:v>
                </c:pt>
                <c:pt idx="338">
                  <c:v>5900000</c:v>
                </c:pt>
                <c:pt idx="339">
                  <c:v>6000000</c:v>
                </c:pt>
                <c:pt idx="340">
                  <c:v>6100000</c:v>
                </c:pt>
                <c:pt idx="341">
                  <c:v>6200000</c:v>
                </c:pt>
                <c:pt idx="342">
                  <c:v>6300000</c:v>
                </c:pt>
                <c:pt idx="343">
                  <c:v>6400000</c:v>
                </c:pt>
                <c:pt idx="344">
                  <c:v>6500000</c:v>
                </c:pt>
                <c:pt idx="345">
                  <c:v>6600000</c:v>
                </c:pt>
                <c:pt idx="346">
                  <c:v>6700000</c:v>
                </c:pt>
                <c:pt idx="347">
                  <c:v>6800000</c:v>
                </c:pt>
                <c:pt idx="348">
                  <c:v>6900000</c:v>
                </c:pt>
                <c:pt idx="349">
                  <c:v>7000000</c:v>
                </c:pt>
                <c:pt idx="350">
                  <c:v>7100000</c:v>
                </c:pt>
                <c:pt idx="351">
                  <c:v>7200000</c:v>
                </c:pt>
                <c:pt idx="352">
                  <c:v>7300000</c:v>
                </c:pt>
                <c:pt idx="353">
                  <c:v>7400000</c:v>
                </c:pt>
                <c:pt idx="354">
                  <c:v>7500000</c:v>
                </c:pt>
                <c:pt idx="355">
                  <c:v>7600000</c:v>
                </c:pt>
                <c:pt idx="356">
                  <c:v>7700000</c:v>
                </c:pt>
                <c:pt idx="357">
                  <c:v>7800000</c:v>
                </c:pt>
                <c:pt idx="358">
                  <c:v>7900000</c:v>
                </c:pt>
                <c:pt idx="359">
                  <c:v>8000000</c:v>
                </c:pt>
                <c:pt idx="360">
                  <c:v>8100000</c:v>
                </c:pt>
                <c:pt idx="361">
                  <c:v>8200000</c:v>
                </c:pt>
                <c:pt idx="362">
                  <c:v>8300000</c:v>
                </c:pt>
                <c:pt idx="363">
                  <c:v>8400000</c:v>
                </c:pt>
                <c:pt idx="364">
                  <c:v>8500000</c:v>
                </c:pt>
                <c:pt idx="365">
                  <c:v>8600000</c:v>
                </c:pt>
                <c:pt idx="366">
                  <c:v>8700000</c:v>
                </c:pt>
                <c:pt idx="367">
                  <c:v>8800000</c:v>
                </c:pt>
                <c:pt idx="368">
                  <c:v>8900000</c:v>
                </c:pt>
                <c:pt idx="369">
                  <c:v>9000000</c:v>
                </c:pt>
                <c:pt idx="370">
                  <c:v>9100000</c:v>
                </c:pt>
                <c:pt idx="371">
                  <c:v>9200000</c:v>
                </c:pt>
                <c:pt idx="372">
                  <c:v>9300000</c:v>
                </c:pt>
                <c:pt idx="373">
                  <c:v>9400000</c:v>
                </c:pt>
                <c:pt idx="374">
                  <c:v>9500000</c:v>
                </c:pt>
                <c:pt idx="375">
                  <c:v>9600000</c:v>
                </c:pt>
                <c:pt idx="376">
                  <c:v>9700000</c:v>
                </c:pt>
                <c:pt idx="377">
                  <c:v>9800000</c:v>
                </c:pt>
                <c:pt idx="378">
                  <c:v>9900000</c:v>
                </c:pt>
                <c:pt idx="379">
                  <c:v>10000000</c:v>
                </c:pt>
              </c:numCache>
            </c:numRef>
          </c:xVal>
          <c:yVal>
            <c:numRef>
              <c:f>'Loop Gain'!$I$2:$I$381</c:f>
              <c:numCache>
                <c:formatCode>General</c:formatCode>
                <c:ptCount val="380"/>
                <c:pt idx="0">
                  <c:v>-0.14745319203762933</c:v>
                </c:pt>
                <c:pt idx="1">
                  <c:v>-1.4741985140532814</c:v>
                </c:pt>
                <c:pt idx="2">
                  <c:v>-2.9463796552576844</c:v>
                </c:pt>
                <c:pt idx="3">
                  <c:v>-4.4145423784188234</c:v>
                </c:pt>
                <c:pt idx="4">
                  <c:v>-5.8767179646858043</c:v>
                </c:pt>
                <c:pt idx="5">
                  <c:v>-7.3309853746120694</c:v>
                </c:pt>
                <c:pt idx="6">
                  <c:v>-8.7754856627982338</c:v>
                </c:pt>
                <c:pt idx="7">
                  <c:v>-10.208435195362258</c:v>
                </c:pt>
                <c:pt idx="8">
                  <c:v>-11.628137453726746</c:v>
                </c:pt>
                <c:pt idx="9">
                  <c:v>-13.032993256320166</c:v>
                </c:pt>
                <c:pt idx="10">
                  <c:v>-14.421509281213943</c:v>
                </c:pt>
                <c:pt idx="11">
                  <c:v>-27.163554583453674</c:v>
                </c:pt>
                <c:pt idx="12">
                  <c:v>-37.478854820201846</c:v>
                </c:pt>
                <c:pt idx="13">
                  <c:v>-45.479153647645028</c:v>
                </c:pt>
                <c:pt idx="14">
                  <c:v>-51.61631942874061</c:v>
                </c:pt>
                <c:pt idx="15">
                  <c:v>-56.35218734643226</c:v>
                </c:pt>
                <c:pt idx="16">
                  <c:v>-60.054448338468852</c:v>
                </c:pt>
                <c:pt idx="17">
                  <c:v>-62.992286357946156</c:v>
                </c:pt>
                <c:pt idx="18">
                  <c:v>-65.357859644384618</c:v>
                </c:pt>
                <c:pt idx="19">
                  <c:v>-67.288248300940026</c:v>
                </c:pt>
                <c:pt idx="20">
                  <c:v>-68.882218373299622</c:v>
                </c:pt>
                <c:pt idx="21">
                  <c:v>-70.211954843400477</c:v>
                </c:pt>
                <c:pt idx="22">
                  <c:v>-71.331049578139286</c:v>
                </c:pt>
                <c:pt idx="23">
                  <c:v>-72.279919328598709</c:v>
                </c:pt>
                <c:pt idx="24">
                  <c:v>-73.0895061646805</c:v>
                </c:pt>
                <c:pt idx="25">
                  <c:v>-73.783834784252875</c:v>
                </c:pt>
                <c:pt idx="26">
                  <c:v>-74.381804431204628</c:v>
                </c:pt>
                <c:pt idx="27">
                  <c:v>-74.898462771660888</c:v>
                </c:pt>
                <c:pt idx="28">
                  <c:v>-75.345924566918313</c:v>
                </c:pt>
                <c:pt idx="29">
                  <c:v>-75.734043421832112</c:v>
                </c:pt>
                <c:pt idx="30">
                  <c:v>-76.07090949127516</c:v>
                </c:pt>
                <c:pt idx="31">
                  <c:v>-76.363222848790727</c:v>
                </c:pt>
                <c:pt idx="32">
                  <c:v>-76.616576867902765</c:v>
                </c:pt>
                <c:pt idx="33">
                  <c:v>-76.835675668433609</c:v>
                </c:pt>
                <c:pt idx="34">
                  <c:v>-77.024502684205913</c:v>
                </c:pt>
                <c:pt idx="35">
                  <c:v>-77.186452595230207</c:v>
                </c:pt>
                <c:pt idx="36">
                  <c:v>-77.324435514769647</c:v>
                </c:pt>
                <c:pt idx="37">
                  <c:v>-77.440959958344351</c:v>
                </c:pt>
                <c:pt idx="38">
                  <c:v>-77.538199436725009</c:v>
                </c:pt>
                <c:pt idx="39">
                  <c:v>-77.618046300418143</c:v>
                </c:pt>
                <c:pt idx="40">
                  <c:v>-77.682155578624176</c:v>
                </c:pt>
                <c:pt idx="41">
                  <c:v>-77.731980905090339</c:v>
                </c:pt>
                <c:pt idx="42">
                  <c:v>-77.76880414032351</c:v>
                </c:pt>
                <c:pt idx="43">
                  <c:v>-77.793759937907538</c:v>
                </c:pt>
                <c:pt idx="44">
                  <c:v>-77.807856229457329</c:v>
                </c:pt>
                <c:pt idx="45">
                  <c:v>-77.81199139473685</c:v>
                </c:pt>
                <c:pt idx="46">
                  <c:v>-77.806968723898038</c:v>
                </c:pt>
                <c:pt idx="47">
                  <c:v>-77.793508655503175</c:v>
                </c:pt>
                <c:pt idx="48">
                  <c:v>-77.772259178071081</c:v>
                </c:pt>
                <c:pt idx="49">
                  <c:v>-77.743804707774146</c:v>
                </c:pt>
                <c:pt idx="50">
                  <c:v>-77.708673695730312</c:v>
                </c:pt>
                <c:pt idx="51">
                  <c:v>-77.667345171420891</c:v>
                </c:pt>
                <c:pt idx="52">
                  <c:v>-77.620254391376022</c:v>
                </c:pt>
                <c:pt idx="53">
                  <c:v>-77.567797732300562</c:v>
                </c:pt>
                <c:pt idx="54">
                  <c:v>-77.510336943676421</c:v>
                </c:pt>
                <c:pt idx="55">
                  <c:v>-77.448202855335197</c:v>
                </c:pt>
                <c:pt idx="56">
                  <c:v>-77.381698619602318</c:v>
                </c:pt>
                <c:pt idx="57">
                  <c:v>-77.311102554629244</c:v>
                </c:pt>
                <c:pt idx="58">
                  <c:v>-77.236670644874422</c:v>
                </c:pt>
                <c:pt idx="59">
                  <c:v>-77.15863874591507</c:v>
                </c:pt>
                <c:pt idx="60">
                  <c:v>-77.077224533509522</c:v>
                </c:pt>
                <c:pt idx="61">
                  <c:v>-76.992629230796865</c:v>
                </c:pt>
                <c:pt idx="62">
                  <c:v>-76.905039142496094</c:v>
                </c:pt>
                <c:pt idx="63">
                  <c:v>-76.81462702075882</c:v>
                </c:pt>
                <c:pt idx="64">
                  <c:v>-76.721553283805292</c:v>
                </c:pt>
                <c:pt idx="65">
                  <c:v>-76.62596710549569</c:v>
                </c:pt>
                <c:pt idx="66">
                  <c:v>-76.528007391483214</c:v>
                </c:pt>
                <c:pt idx="67">
                  <c:v>-76.427803655466164</c:v>
                </c:pt>
                <c:pt idx="68">
                  <c:v>-76.325476807247966</c:v>
                </c:pt>
                <c:pt idx="69">
                  <c:v>-76.221139862776326</c:v>
                </c:pt>
                <c:pt idx="70">
                  <c:v>-76.114898585011588</c:v>
                </c:pt>
                <c:pt idx="71">
                  <c:v>-76.006852063351673</c:v>
                </c:pt>
                <c:pt idx="72">
                  <c:v>-75.897093238366608</c:v>
                </c:pt>
                <c:pt idx="73">
                  <c:v>-75.785709377765585</c:v>
                </c:pt>
                <c:pt idx="74">
                  <c:v>-75.672782508794967</c:v>
                </c:pt>
                <c:pt idx="75">
                  <c:v>-75.558389811645498</c:v>
                </c:pt>
                <c:pt idx="76">
                  <c:v>-75.44260397790444</c:v>
                </c:pt>
                <c:pt idx="77">
                  <c:v>-75.325493537617945</c:v>
                </c:pt>
                <c:pt idx="78">
                  <c:v>-75.207123158121973</c:v>
                </c:pt>
                <c:pt idx="79">
                  <c:v>-75.087553917439649</c:v>
                </c:pt>
                <c:pt idx="80">
                  <c:v>-74.966843554733444</c:v>
                </c:pt>
                <c:pt idx="81">
                  <c:v>-74.845046700024042</c:v>
                </c:pt>
                <c:pt idx="82">
                  <c:v>-74.722215085150054</c:v>
                </c:pt>
                <c:pt idx="83">
                  <c:v>-74.598397737728661</c:v>
                </c:pt>
                <c:pt idx="84">
                  <c:v>-74.473641159692775</c:v>
                </c:pt>
                <c:pt idx="85">
                  <c:v>-74.347989491815824</c:v>
                </c:pt>
                <c:pt idx="86">
                  <c:v>-74.221484665488319</c:v>
                </c:pt>
                <c:pt idx="87">
                  <c:v>-74.094166542883158</c:v>
                </c:pt>
                <c:pt idx="88">
                  <c:v>-73.966073046531875</c:v>
                </c:pt>
                <c:pt idx="89">
                  <c:v>-73.837240279233029</c:v>
                </c:pt>
                <c:pt idx="90">
                  <c:v>-73.707702635122203</c:v>
                </c:pt>
                <c:pt idx="91">
                  <c:v>-73.577492902653717</c:v>
                </c:pt>
                <c:pt idx="92">
                  <c:v>-73.446642360173868</c:v>
                </c:pt>
                <c:pt idx="93">
                  <c:v>-73.315180864697425</c:v>
                </c:pt>
                <c:pt idx="94">
                  <c:v>-73.18313693444513</c:v>
                </c:pt>
                <c:pt idx="95">
                  <c:v>-73.050537825648249</c:v>
                </c:pt>
                <c:pt idx="96">
                  <c:v>-72.917409604077079</c:v>
                </c:pt>
                <c:pt idx="97">
                  <c:v>-72.783777211712177</c:v>
                </c:pt>
                <c:pt idx="98">
                  <c:v>-72.649664528939681</c:v>
                </c:pt>
                <c:pt idx="99">
                  <c:v>-72.515094432614291</c:v>
                </c:pt>
                <c:pt idx="100">
                  <c:v>-72.380088850309789</c:v>
                </c:pt>
                <c:pt idx="101">
                  <c:v>-72.244668811041592</c:v>
                </c:pt>
                <c:pt idx="102">
                  <c:v>-72.10885449273195</c:v>
                </c:pt>
                <c:pt idx="103">
                  <c:v>-71.972665266652427</c:v>
                </c:pt>
                <c:pt idx="104">
                  <c:v>-71.836119739070384</c:v>
                </c:pt>
                <c:pt idx="105">
                  <c:v>-71.699235790301344</c:v>
                </c:pt>
                <c:pt idx="106">
                  <c:v>-71.562030611352725</c:v>
                </c:pt>
                <c:pt idx="107">
                  <c:v>-71.424520738331054</c:v>
                </c:pt>
                <c:pt idx="108">
                  <c:v>-71.28672208477056</c:v>
                </c:pt>
                <c:pt idx="109">
                  <c:v>-71.148649972028551</c:v>
                </c:pt>
                <c:pt idx="110">
                  <c:v>-69.755888456741999</c:v>
                </c:pt>
                <c:pt idx="111">
                  <c:v>-68.349155888874307</c:v>
                </c:pt>
                <c:pt idx="112">
                  <c:v>-66.937276067562209</c:v>
                </c:pt>
                <c:pt idx="113">
                  <c:v>-65.526760655006541</c:v>
                </c:pt>
                <c:pt idx="114">
                  <c:v>-64.12253716980166</c:v>
                </c:pt>
                <c:pt idx="115">
                  <c:v>-62.728405940987415</c:v>
                </c:pt>
                <c:pt idx="116">
                  <c:v>-61.347337866675907</c:v>
                </c:pt>
                <c:pt idx="117">
                  <c:v>-59.981675118212685</c:v>
                </c:pt>
                <c:pt idx="118">
                  <c:v>-58.633270728605808</c:v>
                </c:pt>
                <c:pt idx="119">
                  <c:v>-57.303588577054271</c:v>
                </c:pt>
                <c:pt idx="120">
                  <c:v>-55.993777033963688</c:v>
                </c:pt>
                <c:pt idx="121">
                  <c:v>-54.704724659570466</c:v>
                </c:pt>
                <c:pt idx="122">
                  <c:v>-53.437103389043656</c:v>
                </c:pt>
                <c:pt idx="123">
                  <c:v>-52.191402792731381</c:v>
                </c:pt>
                <c:pt idx="124">
                  <c:v>-50.967957826070013</c:v>
                </c:pt>
                <c:pt idx="125">
                  <c:v>-49.766971721821413</c:v>
                </c:pt>
                <c:pt idx="126">
                  <c:v>-48.588535174692943</c:v>
                </c:pt>
                <c:pt idx="127">
                  <c:v>-47.432642631936503</c:v>
                </c:pt>
                <c:pt idx="128">
                  <c:v>-46.299206275339877</c:v>
                </c:pt>
                <c:pt idx="129">
                  <c:v>-45.188068123433432</c:v>
                </c:pt>
                <c:pt idx="130">
                  <c:v>-44.09901057407172</c:v>
                </c:pt>
                <c:pt idx="131">
                  <c:v>-43.031765631310478</c:v>
                </c:pt>
                <c:pt idx="132">
                  <c:v>-41.986023006403379</c:v>
                </c:pt>
                <c:pt idx="133">
                  <c:v>-40.961437243880397</c:v>
                </c:pt>
                <c:pt idx="134">
                  <c:v>-39.957633995355835</c:v>
                </c:pt>
                <c:pt idx="135">
                  <c:v>-38.974215542763631</c:v>
                </c:pt>
                <c:pt idx="136">
                  <c:v>-38.010765656918835</c:v>
                </c:pt>
                <c:pt idx="137">
                  <c:v>-37.06685386515111</c:v>
                </c:pt>
                <c:pt idx="138">
                  <c:v>-36.142039192197075</c:v>
                </c:pt>
                <c:pt idx="139">
                  <c:v>-35.235873430830381</c:v>
                </c:pt>
                <c:pt idx="140">
                  <c:v>-34.347903992367186</c:v>
                </c:pt>
                <c:pt idx="141">
                  <c:v>-33.477676381832758</c:v>
                </c:pt>
                <c:pt idx="142">
                  <c:v>-32.624736337980387</c:v>
                </c:pt>
                <c:pt idx="143">
                  <c:v>-31.788631674340376</c:v>
                </c:pt>
                <c:pt idx="144">
                  <c:v>-30.968913853920348</c:v>
                </c:pt>
                <c:pt idx="145">
                  <c:v>-30.165139326999952</c:v>
                </c:pt>
                <c:pt idx="146">
                  <c:v>-29.376870658592146</c:v>
                </c:pt>
                <c:pt idx="147">
                  <c:v>-28.603677469546554</c:v>
                </c:pt>
                <c:pt idx="148">
                  <c:v>-27.845137212906426</c:v>
                </c:pt>
                <c:pt idx="149">
                  <c:v>-27.10083580497686</c:v>
                </c:pt>
                <c:pt idx="150">
                  <c:v>-26.370368128599395</c:v>
                </c:pt>
                <c:pt idx="151">
                  <c:v>-25.653338424340753</c:v>
                </c:pt>
                <c:pt idx="152">
                  <c:v>-24.949360583671368</c:v>
                </c:pt>
                <c:pt idx="153">
                  <c:v>-24.258058356729144</c:v>
                </c:pt>
                <c:pt idx="154">
                  <c:v>-23.579065485918964</c:v>
                </c:pt>
                <c:pt idx="155">
                  <c:v>-22.912025775370772</c:v>
                </c:pt>
                <c:pt idx="156">
                  <c:v>-22.256593105185164</c:v>
                </c:pt>
                <c:pt idx="157">
                  <c:v>-21.612431398385599</c:v>
                </c:pt>
                <c:pt idx="158">
                  <c:v>-20.979214547602723</c:v>
                </c:pt>
                <c:pt idx="159">
                  <c:v>-20.356626307701248</c:v>
                </c:pt>
                <c:pt idx="160">
                  <c:v>-19.744360159835011</c:v>
                </c:pt>
                <c:pt idx="161">
                  <c:v>-19.142119151757488</c:v>
                </c:pt>
                <c:pt idx="162">
                  <c:v>-18.549615718634012</c:v>
                </c:pt>
                <c:pt idx="163">
                  <c:v>-17.966571488074475</c:v>
                </c:pt>
                <c:pt idx="164">
                  <c:v>-17.392717072641904</c:v>
                </c:pt>
                <c:pt idx="165">
                  <c:v>-16.827791852672195</c:v>
                </c:pt>
                <c:pt idx="166">
                  <c:v>-16.271543751874201</c:v>
                </c:pt>
                <c:pt idx="167">
                  <c:v>-15.723729007846645</c:v>
                </c:pt>
                <c:pt idx="168">
                  <c:v>-15.184111939357418</c:v>
                </c:pt>
                <c:pt idx="169">
                  <c:v>-14.652464711976826</c:v>
                </c:pt>
                <c:pt idx="170">
                  <c:v>-14.128567103420808</c:v>
                </c:pt>
                <c:pt idx="171">
                  <c:v>-13.612206269764187</c:v>
                </c:pt>
                <c:pt idx="172">
                  <c:v>-13.103176513504975</c:v>
                </c:pt>
                <c:pt idx="173">
                  <c:v>-12.601279054305666</c:v>
                </c:pt>
                <c:pt idx="174">
                  <c:v>-12.106321803095902</c:v>
                </c:pt>
                <c:pt idx="175">
                  <c:v>-11.618119140108909</c:v>
                </c:pt>
                <c:pt idx="176">
                  <c:v>-11.13649169731139</c:v>
                </c:pt>
                <c:pt idx="177">
                  <c:v>-10.661266145599976</c:v>
                </c:pt>
                <c:pt idx="178">
                  <c:v>-10.192274987055027</c:v>
                </c:pt>
                <c:pt idx="179">
                  <c:v>-9.7293563524752091</c:v>
                </c:pt>
                <c:pt idx="180">
                  <c:v>-9.2723538043554896</c:v>
                </c:pt>
                <c:pt idx="181">
                  <c:v>-8.8211161454190918</c:v>
                </c:pt>
                <c:pt idx="182">
                  <c:v>-8.3754972327712167</c:v>
                </c:pt>
                <c:pt idx="183">
                  <c:v>-7.9353557977025311</c:v>
                </c:pt>
                <c:pt idx="184">
                  <c:v>-7.5005552711395174</c:v>
                </c:pt>
                <c:pt idx="185">
                  <c:v>-7.0709636147098198</c:v>
                </c:pt>
                <c:pt idx="186">
                  <c:v>-6.6464531573699812</c:v>
                </c:pt>
                <c:pt idx="187">
                  <c:v>-6.2269004375201904</c:v>
                </c:pt>
                <c:pt idx="188">
                  <c:v>-5.8121860505189868</c:v>
                </c:pt>
                <c:pt idx="189">
                  <c:v>-5.4021945014934571</c:v>
                </c:pt>
                <c:pt idx="190">
                  <c:v>-4.9968140633329368</c:v>
                </c:pt>
                <c:pt idx="191">
                  <c:v>-4.5959366397445711</c:v>
                </c:pt>
                <c:pt idx="192">
                  <c:v>-4.1994576332432638</c:v>
                </c:pt>
                <c:pt idx="193">
                  <c:v>-3.8072758179426138</c:v>
                </c:pt>
                <c:pt idx="194">
                  <c:v>-3.4192932170109565</c:v>
                </c:pt>
                <c:pt idx="195">
                  <c:v>-3.0354149846549339</c:v>
                </c:pt>
                <c:pt idx="196">
                  <c:v>-2.6555492924899666</c:v>
                </c:pt>
                <c:pt idx="197">
                  <c:v>-2.2796072201588711</c:v>
                </c:pt>
                <c:pt idx="198">
                  <c:v>-1.9075026500587871</c:v>
                </c:pt>
                <c:pt idx="199">
                  <c:v>-1.5391521660389365</c:v>
                </c:pt>
                <c:pt idx="200">
                  <c:v>1.9544824198863771</c:v>
                </c:pt>
                <c:pt idx="201">
                  <c:v>5.1477271629826262</c:v>
                </c:pt>
                <c:pt idx="202">
                  <c:v>8.0917105033661159</c:v>
                </c:pt>
                <c:pt idx="203">
                  <c:v>10.824968850557175</c:v>
                </c:pt>
                <c:pt idx="204">
                  <c:v>13.377059889332093</c:v>
                </c:pt>
                <c:pt idx="205">
                  <c:v>15.771051692394087</c:v>
                </c:pt>
                <c:pt idx="206">
                  <c:v>18.02525790742289</c:v>
                </c:pt>
                <c:pt idx="207">
                  <c:v>20.154462425056639</c:v>
                </c:pt>
                <c:pt idx="208">
                  <c:v>22.170794266516047</c:v>
                </c:pt>
                <c:pt idx="209">
                  <c:v>24.08435985135338</c:v>
                </c:pt>
                <c:pt idx="210">
                  <c:v>25.903704929411816</c:v>
                </c:pt>
                <c:pt idx="211">
                  <c:v>27.636155548324638</c:v>
                </c:pt>
                <c:pt idx="212">
                  <c:v>29.288072199680741</c:v>
                </c:pt>
                <c:pt idx="213">
                  <c:v>30.865041038384064</c:v>
                </c:pt>
                <c:pt idx="214">
                  <c:v>32.372019084274193</c:v>
                </c:pt>
                <c:pt idx="215">
                  <c:v>33.813445494598099</c:v>
                </c:pt>
                <c:pt idx="216">
                  <c:v>35.193327630192307</c:v>
                </c:pt>
                <c:pt idx="217">
                  <c:v>36.515308262496475</c:v>
                </c:pt>
                <c:pt idx="218">
                  <c:v>37.782718574682185</c:v>
                </c:pt>
                <c:pt idx="219">
                  <c:v>38.998620391547384</c:v>
                </c:pt>
                <c:pt idx="220">
                  <c:v>40.165840188892211</c:v>
                </c:pt>
                <c:pt idx="221">
                  <c:v>41.286996787245833</c:v>
                </c:pt>
                <c:pt idx="222">
                  <c:v>42.364524159867322</c:v>
                </c:pt>
                <c:pt idx="223">
                  <c:v>43.40069043366011</c:v>
                </c:pt>
                <c:pt idx="224">
                  <c:v>44.397613900477417</c:v>
                </c:pt>
                <c:pt idx="225">
                  <c:v>45.357276661257039</c:v>
                </c:pt>
                <c:pt idx="226">
                  <c:v>46.281536379149216</c:v>
                </c:pt>
                <c:pt idx="227">
                  <c:v>47.172136507692592</c:v>
                </c:pt>
                <c:pt idx="228">
                  <c:v>48.030715276907827</c:v>
                </c:pt>
                <c:pt idx="229">
                  <c:v>48.858813657126348</c:v>
                </c:pt>
                <c:pt idx="230">
                  <c:v>49.657882472420489</c:v>
                </c:pt>
                <c:pt idx="231">
                  <c:v>50.429288798913348</c:v>
                </c:pt>
                <c:pt idx="232">
                  <c:v>51.174321755234047</c:v>
                </c:pt>
                <c:pt idx="233">
                  <c:v>51.894197770857815</c:v>
                </c:pt>
                <c:pt idx="234">
                  <c:v>52.590065401467669</c:v>
                </c:pt>
                <c:pt idx="235">
                  <c:v>53.263009747605913</c:v>
                </c:pt>
                <c:pt idx="236">
                  <c:v>53.914056522870922</c:v>
                </c:pt>
                <c:pt idx="237">
                  <c:v>54.544175810070847</c:v>
                </c:pt>
                <c:pt idx="238">
                  <c:v>55.154285537577394</c:v>
                </c:pt>
                <c:pt idx="239">
                  <c:v>55.745254703221889</c:v>
                </c:pt>
                <c:pt idx="240">
                  <c:v>56.31790636916989</c:v>
                </c:pt>
                <c:pt idx="241">
                  <c:v>56.87302044805886</c:v>
                </c:pt>
                <c:pt idx="242">
                  <c:v>57.411336298121974</c:v>
                </c:pt>
                <c:pt idx="243">
                  <c:v>57.93355514292309</c:v>
                </c:pt>
                <c:pt idx="244">
                  <c:v>58.440342329581462</c:v>
                </c:pt>
                <c:pt idx="245">
                  <c:v>58.932329437910518</c:v>
                </c:pt>
                <c:pt idx="246">
                  <c:v>59.41011625165347</c:v>
                </c:pt>
                <c:pt idx="247">
                  <c:v>59.874272601949691</c:v>
                </c:pt>
                <c:pt idx="248">
                  <c:v>60.325340092243302</c:v>
                </c:pt>
                <c:pt idx="249">
                  <c:v>60.763833713056407</c:v>
                </c:pt>
                <c:pt idx="250">
                  <c:v>61.190243354344041</c:v>
                </c:pt>
                <c:pt idx="251">
                  <c:v>61.605035222525721</c:v>
                </c:pt>
                <c:pt idx="252">
                  <c:v>62.008653168734767</c:v>
                </c:pt>
                <c:pt idx="253">
                  <c:v>62.401519934322621</c:v>
                </c:pt>
                <c:pt idx="254">
                  <c:v>62.784038319203901</c:v>
                </c:pt>
                <c:pt idx="255">
                  <c:v>63.156592278218433</c:v>
                </c:pt>
                <c:pt idx="256">
                  <c:v>63.519547950305679</c:v>
                </c:pt>
                <c:pt idx="257">
                  <c:v>63.873254624948743</c:v>
                </c:pt>
                <c:pt idx="258">
                  <c:v>64.218045650022646</c:v>
                </c:pt>
                <c:pt idx="259">
                  <c:v>64.554239284895417</c:v>
                </c:pt>
                <c:pt idx="260">
                  <c:v>64.88213950235891</c:v>
                </c:pt>
                <c:pt idx="261">
                  <c:v>65.202036742717198</c:v>
                </c:pt>
                <c:pt idx="262">
                  <c:v>65.514208623133584</c:v>
                </c:pt>
                <c:pt idx="263">
                  <c:v>65.818920605122031</c:v>
                </c:pt>
                <c:pt idx="264">
                  <c:v>66.116426622869639</c:v>
                </c:pt>
                <c:pt idx="265">
                  <c:v>66.406969674897539</c:v>
                </c:pt>
                <c:pt idx="266">
                  <c:v>66.690782381394982</c:v>
                </c:pt>
                <c:pt idx="267">
                  <c:v>66.968087509402054</c:v>
                </c:pt>
                <c:pt idx="268">
                  <c:v>67.239098467873276</c:v>
                </c:pt>
                <c:pt idx="269">
                  <c:v>67.504019774513466</c:v>
                </c:pt>
                <c:pt idx="270">
                  <c:v>67.763047496154314</c:v>
                </c:pt>
                <c:pt idx="271">
                  <c:v>68.016369664318219</c:v>
                </c:pt>
                <c:pt idx="272">
                  <c:v>68.264166667509841</c:v>
                </c:pt>
                <c:pt idx="273">
                  <c:v>68.506611621670245</c:v>
                </c:pt>
                <c:pt idx="274">
                  <c:v>68.743870720136087</c:v>
                </c:pt>
                <c:pt idx="275">
                  <c:v>68.976103564355768</c:v>
                </c:pt>
                <c:pt idx="276">
                  <c:v>69.203463476533429</c:v>
                </c:pt>
                <c:pt idx="277">
                  <c:v>69.426097795295803</c:v>
                </c:pt>
                <c:pt idx="278">
                  <c:v>69.644148155400444</c:v>
                </c:pt>
                <c:pt idx="279">
                  <c:v>69.857750752446663</c:v>
                </c:pt>
                <c:pt idx="280">
                  <c:v>70.067036593478832</c:v>
                </c:pt>
                <c:pt idx="281">
                  <c:v>70.272131734318862</c:v>
                </c:pt>
                <c:pt idx="282">
                  <c:v>70.473157504414175</c:v>
                </c:pt>
                <c:pt idx="283">
                  <c:v>70.670230719927005</c:v>
                </c:pt>
                <c:pt idx="284">
                  <c:v>70.863463885757682</c:v>
                </c:pt>
                <c:pt idx="285">
                  <c:v>71.052965387138372</c:v>
                </c:pt>
                <c:pt idx="286">
                  <c:v>71.238839671403241</c:v>
                </c:pt>
                <c:pt idx="287">
                  <c:v>71.421187420495244</c:v>
                </c:pt>
                <c:pt idx="288">
                  <c:v>71.600105714741048</c:v>
                </c:pt>
                <c:pt idx="289">
                  <c:v>71.77568818838742</c:v>
                </c:pt>
                <c:pt idx="290">
                  <c:v>73.366453501534963</c:v>
                </c:pt>
                <c:pt idx="291">
                  <c:v>74.705915232097098</c:v>
                </c:pt>
                <c:pt idx="292">
                  <c:v>75.848487114697463</c:v>
                </c:pt>
                <c:pt idx="293">
                  <c:v>76.834116093695272</c:v>
                </c:pt>
                <c:pt idx="294">
                  <c:v>77.692738312279062</c:v>
                </c:pt>
                <c:pt idx="295">
                  <c:v>78.447200413448925</c:v>
                </c:pt>
                <c:pt idx="296">
                  <c:v>79.115223361118225</c:v>
                </c:pt>
                <c:pt idx="297">
                  <c:v>79.71075285501415</c:v>
                </c:pt>
                <c:pt idx="298">
                  <c:v>80.244907151527642</c:v>
                </c:pt>
                <c:pt idx="299">
                  <c:v>80.726654766218658</c:v>
                </c:pt>
                <c:pt idx="300">
                  <c:v>81.163307265729827</c:v>
                </c:pt>
                <c:pt idx="301">
                  <c:v>81.560883136690535</c:v>
                </c:pt>
                <c:pt idx="302">
                  <c:v>81.924380247285072</c:v>
                </c:pt>
                <c:pt idx="303">
                  <c:v>82.257982496325923</c:v>
                </c:pt>
                <c:pt idx="304">
                  <c:v>82.565218403555704</c:v>
                </c:pt>
                <c:pt idx="305">
                  <c:v>82.849084145631707</c:v>
                </c:pt>
                <c:pt idx="306">
                  <c:v>83.112139970349531</c:v>
                </c:pt>
                <c:pt idx="307">
                  <c:v>83.356586454138707</c:v>
                </c:pt>
                <c:pt idx="308">
                  <c:v>83.584325339162675</c:v>
                </c:pt>
                <c:pt idx="309">
                  <c:v>83.797008459345207</c:v>
                </c:pt>
                <c:pt idx="310">
                  <c:v>83.99607738305285</c:v>
                </c:pt>
                <c:pt idx="311">
                  <c:v>84.182795759510853</c:v>
                </c:pt>
                <c:pt idx="312">
                  <c:v>84.358275885482598</c:v>
                </c:pt>
                <c:pt idx="313">
                  <c:v>84.523500659668343</c:v>
                </c:pt>
                <c:pt idx="314">
                  <c:v>84.679341830884553</c:v>
                </c:pt>
                <c:pt idx="315">
                  <c:v>84.826575248608719</c:v>
                </c:pt>
                <c:pt idx="316">
                  <c:v>84.965893674045986</c:v>
                </c:pt>
                <c:pt idx="317">
                  <c:v>85.09791759438049</c:v>
                </c:pt>
                <c:pt idx="318">
                  <c:v>85.22320439354354</c:v>
                </c:pt>
                <c:pt idx="319">
                  <c:v>85.342256163249615</c:v>
                </c:pt>
                <c:pt idx="320">
                  <c:v>85.45552638349281</c:v>
                </c:pt>
                <c:pt idx="321">
                  <c:v>85.563425658644562</c:v>
                </c:pt>
                <c:pt idx="322">
                  <c:v>85.66632666111974</c:v>
                </c:pt>
                <c:pt idx="323">
                  <c:v>85.764568407294362</c:v>
                </c:pt>
                <c:pt idx="324">
                  <c:v>85.858459968457652</c:v>
                </c:pt>
                <c:pt idx="325">
                  <c:v>85.948283701910938</c:v>
                </c:pt>
                <c:pt idx="326">
                  <c:v>86.034298072995554</c:v>
                </c:pt>
                <c:pt idx="327">
                  <c:v>86.116740127160213</c:v>
                </c:pt>
                <c:pt idx="328">
                  <c:v>86.195827661622232</c:v>
                </c:pt>
                <c:pt idx="329">
                  <c:v>86.271761138325999</c:v>
                </c:pt>
                <c:pt idx="330">
                  <c:v>86.344725373419593</c:v>
                </c:pt>
                <c:pt idx="331">
                  <c:v>86.414891033100147</c:v>
                </c:pt>
                <c:pt idx="332">
                  <c:v>86.482415961211402</c:v>
                </c:pt>
                <c:pt idx="333">
                  <c:v>86.547446360246184</c:v>
                </c:pt>
                <c:pt idx="334">
                  <c:v>86.610117844283153</c:v>
                </c:pt>
                <c:pt idx="335">
                  <c:v>86.670556379758708</c:v>
                </c:pt>
                <c:pt idx="336">
                  <c:v>86.728879127760834</c:v>
                </c:pt>
                <c:pt idx="337">
                  <c:v>86.785195199656243</c:v>
                </c:pt>
                <c:pt idx="338">
                  <c:v>86.839606336272126</c:v>
                </c:pt>
                <c:pt idx="339">
                  <c:v>86.892207519499209</c:v>
                </c:pt>
                <c:pt idx="340">
                  <c:v>86.943087524028186</c:v>
                </c:pt>
                <c:pt idx="341">
                  <c:v>86.992329415942052</c:v>
                </c:pt>
                <c:pt idx="342">
                  <c:v>87.040011004038249</c:v>
                </c:pt>
                <c:pt idx="343">
                  <c:v>87.086205249024886</c:v>
                </c:pt>
                <c:pt idx="344">
                  <c:v>87.130980635105402</c:v>
                </c:pt>
                <c:pt idx="345">
                  <c:v>87.174401507921587</c:v>
                </c:pt>
                <c:pt idx="346">
                  <c:v>87.216528382354241</c:v>
                </c:pt>
                <c:pt idx="347">
                  <c:v>87.257418223269553</c:v>
                </c:pt>
                <c:pt idx="348">
                  <c:v>87.297124701944981</c:v>
                </c:pt>
                <c:pt idx="349">
                  <c:v>87.335698430595571</c:v>
                </c:pt>
                <c:pt idx="350">
                  <c:v>87.373187177151664</c:v>
                </c:pt>
                <c:pt idx="351">
                  <c:v>87.40963606220005</c:v>
                </c:pt>
                <c:pt idx="352">
                  <c:v>87.445087739792157</c:v>
                </c:pt>
                <c:pt idx="353">
                  <c:v>87.479582563640363</c:v>
                </c:pt>
                <c:pt idx="354">
                  <c:v>87.513158740060092</c:v>
                </c:pt>
                <c:pt idx="355">
                  <c:v>87.545852468875424</c:v>
                </c:pt>
                <c:pt idx="356">
                  <c:v>87.577698073377491</c:v>
                </c:pt>
                <c:pt idx="357">
                  <c:v>87.608728120315774</c:v>
                </c:pt>
                <c:pt idx="358">
                  <c:v>87.638973530801664</c:v>
                </c:pt>
                <c:pt idx="359">
                  <c:v>87.668463682917761</c:v>
                </c:pt>
                <c:pt idx="360">
                  <c:v>87.697226506746887</c:v>
                </c:pt>
                <c:pt idx="361">
                  <c:v>87.725288572465985</c:v>
                </c:pt>
                <c:pt idx="362">
                  <c:v>87.752675172088587</c:v>
                </c:pt>
                <c:pt idx="363">
                  <c:v>87.779410395382882</c:v>
                </c:pt>
                <c:pt idx="364">
                  <c:v>87.805517200444157</c:v>
                </c:pt>
                <c:pt idx="365">
                  <c:v>87.831017479355324</c:v>
                </c:pt>
                <c:pt idx="366">
                  <c:v>87.855932119329836</c:v>
                </c:pt>
                <c:pt idx="367">
                  <c:v>87.880281059695193</c:v>
                </c:pt>
                <c:pt idx="368">
                  <c:v>87.904083345043603</c:v>
                </c:pt>
                <c:pt idx="369">
                  <c:v>87.927357174846861</c:v>
                </c:pt>
                <c:pt idx="370">
                  <c:v>87.950119949807004</c:v>
                </c:pt>
                <c:pt idx="371">
                  <c:v>87.972388315190216</c:v>
                </c:pt>
                <c:pt idx="372">
                  <c:v>87.994178201371227</c:v>
                </c:pt>
                <c:pt idx="373">
                  <c:v>88.015504861794312</c:v>
                </c:pt>
                <c:pt idx="374">
                  <c:v>88.036382908541782</c:v>
                </c:pt>
                <c:pt idx="375">
                  <c:v>88.056826345683788</c:v>
                </c:pt>
                <c:pt idx="376">
                  <c:v>88.076848600568908</c:v>
                </c:pt>
                <c:pt idx="377">
                  <c:v>88.096462553202656</c:v>
                </c:pt>
                <c:pt idx="378">
                  <c:v>88.115680563848528</c:v>
                </c:pt>
                <c:pt idx="379">
                  <c:v>88.134514498976159</c:v>
                </c:pt>
              </c:numCache>
            </c:numRef>
          </c:yVal>
          <c:smooth val="1"/>
          <c:extLst>
            <c:ext xmlns:c16="http://schemas.microsoft.com/office/drawing/2014/chart" uri="{C3380CC4-5D6E-409C-BE32-E72D297353CC}">
              <c16:uniqueId val="{00000000-9430-4BC9-9256-E6EF68D95D16}"/>
            </c:ext>
          </c:extLst>
        </c:ser>
        <c:dLbls>
          <c:showLegendKey val="0"/>
          <c:showVal val="0"/>
          <c:showCatName val="0"/>
          <c:showSerName val="0"/>
          <c:showPercent val="0"/>
          <c:showBubbleSize val="0"/>
        </c:dLbls>
        <c:axId val="1434155088"/>
        <c:axId val="1570699712"/>
      </c:scatterChart>
      <c:valAx>
        <c:axId val="1434155088"/>
        <c:scaling>
          <c:logBase val="10"/>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99712"/>
        <c:crosses val="autoZero"/>
        <c:crossBetween val="midCat"/>
      </c:valAx>
      <c:valAx>
        <c:axId val="157069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155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Transfer Function DCM (db)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'Loop Gain'!$Q$1</c:f>
              <c:strCache>
                <c:ptCount val="1"/>
                <c:pt idx="0">
                  <c:v>Transer Function (db)</c:v>
                </c:pt>
              </c:strCache>
            </c:strRef>
          </c:tx>
          <c:spPr>
            <a:ln w="19050" cap="rnd">
              <a:solidFill>
                <a:schemeClr val="accent1"/>
              </a:solidFill>
              <a:round/>
            </a:ln>
            <a:effectLst/>
          </c:spPr>
          <c:marker>
            <c:symbol val="none"/>
          </c:marker>
          <c:xVal>
            <c:numRef>
              <c:f>'Loop Gain'!$A$2:$A$381</c:f>
              <c:numCache>
                <c:formatCode>General</c:formatCode>
                <c:ptCount val="380"/>
                <c:pt idx="0">
                  <c:v>1</c:v>
                </c:pt>
                <c:pt idx="1">
                  <c:v>10</c:v>
                </c:pt>
                <c:pt idx="2">
                  <c:v>20</c:v>
                </c:pt>
                <c:pt idx="3">
                  <c:v>30</c:v>
                </c:pt>
                <c:pt idx="4">
                  <c:v>40</c:v>
                </c:pt>
                <c:pt idx="5">
                  <c:v>50</c:v>
                </c:pt>
                <c:pt idx="6">
                  <c:v>60</c:v>
                </c:pt>
                <c:pt idx="7">
                  <c:v>70</c:v>
                </c:pt>
                <c:pt idx="8">
                  <c:v>80</c:v>
                </c:pt>
                <c:pt idx="9">
                  <c:v>90</c:v>
                </c:pt>
                <c:pt idx="10">
                  <c:v>100</c:v>
                </c:pt>
                <c:pt idx="11">
                  <c:v>200</c:v>
                </c:pt>
                <c:pt idx="12">
                  <c:v>300</c:v>
                </c:pt>
                <c:pt idx="13">
                  <c:v>400</c:v>
                </c:pt>
                <c:pt idx="14">
                  <c:v>500</c:v>
                </c:pt>
                <c:pt idx="15">
                  <c:v>600</c:v>
                </c:pt>
                <c:pt idx="16">
                  <c:v>700</c:v>
                </c:pt>
                <c:pt idx="17">
                  <c:v>800</c:v>
                </c:pt>
                <c:pt idx="18">
                  <c:v>900</c:v>
                </c:pt>
                <c:pt idx="19">
                  <c:v>1000</c:v>
                </c:pt>
                <c:pt idx="20">
                  <c:v>1100</c:v>
                </c:pt>
                <c:pt idx="21">
                  <c:v>1200</c:v>
                </c:pt>
                <c:pt idx="22">
                  <c:v>1300</c:v>
                </c:pt>
                <c:pt idx="23">
                  <c:v>1400</c:v>
                </c:pt>
                <c:pt idx="24">
                  <c:v>1500</c:v>
                </c:pt>
                <c:pt idx="25">
                  <c:v>1600</c:v>
                </c:pt>
                <c:pt idx="26">
                  <c:v>1700</c:v>
                </c:pt>
                <c:pt idx="27">
                  <c:v>1800</c:v>
                </c:pt>
                <c:pt idx="28">
                  <c:v>1900</c:v>
                </c:pt>
                <c:pt idx="29">
                  <c:v>2000</c:v>
                </c:pt>
                <c:pt idx="30">
                  <c:v>2100</c:v>
                </c:pt>
                <c:pt idx="31">
                  <c:v>2200</c:v>
                </c:pt>
                <c:pt idx="32">
                  <c:v>2300</c:v>
                </c:pt>
                <c:pt idx="33">
                  <c:v>2400</c:v>
                </c:pt>
                <c:pt idx="34">
                  <c:v>2500</c:v>
                </c:pt>
                <c:pt idx="35">
                  <c:v>2600</c:v>
                </c:pt>
                <c:pt idx="36">
                  <c:v>2700</c:v>
                </c:pt>
                <c:pt idx="37">
                  <c:v>2800</c:v>
                </c:pt>
                <c:pt idx="38">
                  <c:v>2900</c:v>
                </c:pt>
                <c:pt idx="39">
                  <c:v>3000</c:v>
                </c:pt>
                <c:pt idx="40">
                  <c:v>3100</c:v>
                </c:pt>
                <c:pt idx="41">
                  <c:v>3200</c:v>
                </c:pt>
                <c:pt idx="42">
                  <c:v>3300</c:v>
                </c:pt>
                <c:pt idx="43">
                  <c:v>3400</c:v>
                </c:pt>
                <c:pt idx="44">
                  <c:v>3500</c:v>
                </c:pt>
                <c:pt idx="45">
                  <c:v>3600</c:v>
                </c:pt>
                <c:pt idx="46">
                  <c:v>3700</c:v>
                </c:pt>
                <c:pt idx="47">
                  <c:v>3800</c:v>
                </c:pt>
                <c:pt idx="48">
                  <c:v>3900</c:v>
                </c:pt>
                <c:pt idx="49">
                  <c:v>4000</c:v>
                </c:pt>
                <c:pt idx="50">
                  <c:v>4100</c:v>
                </c:pt>
                <c:pt idx="51">
                  <c:v>4200</c:v>
                </c:pt>
                <c:pt idx="52">
                  <c:v>4300</c:v>
                </c:pt>
                <c:pt idx="53">
                  <c:v>4400</c:v>
                </c:pt>
                <c:pt idx="54">
                  <c:v>4500</c:v>
                </c:pt>
                <c:pt idx="55">
                  <c:v>4600</c:v>
                </c:pt>
                <c:pt idx="56">
                  <c:v>4700</c:v>
                </c:pt>
                <c:pt idx="57">
                  <c:v>4800</c:v>
                </c:pt>
                <c:pt idx="58">
                  <c:v>4900</c:v>
                </c:pt>
                <c:pt idx="59">
                  <c:v>5000</c:v>
                </c:pt>
                <c:pt idx="60">
                  <c:v>5100</c:v>
                </c:pt>
                <c:pt idx="61">
                  <c:v>5200</c:v>
                </c:pt>
                <c:pt idx="62">
                  <c:v>5300</c:v>
                </c:pt>
                <c:pt idx="63">
                  <c:v>5400</c:v>
                </c:pt>
                <c:pt idx="64">
                  <c:v>5500</c:v>
                </c:pt>
                <c:pt idx="65">
                  <c:v>5600</c:v>
                </c:pt>
                <c:pt idx="66">
                  <c:v>5700</c:v>
                </c:pt>
                <c:pt idx="67">
                  <c:v>5800</c:v>
                </c:pt>
                <c:pt idx="68">
                  <c:v>5900</c:v>
                </c:pt>
                <c:pt idx="69">
                  <c:v>6000</c:v>
                </c:pt>
                <c:pt idx="70">
                  <c:v>6100</c:v>
                </c:pt>
                <c:pt idx="71">
                  <c:v>6200</c:v>
                </c:pt>
                <c:pt idx="72">
                  <c:v>6300</c:v>
                </c:pt>
                <c:pt idx="73">
                  <c:v>6400</c:v>
                </c:pt>
                <c:pt idx="74">
                  <c:v>6500</c:v>
                </c:pt>
                <c:pt idx="75">
                  <c:v>6600</c:v>
                </c:pt>
                <c:pt idx="76">
                  <c:v>6700</c:v>
                </c:pt>
                <c:pt idx="77">
                  <c:v>6800</c:v>
                </c:pt>
                <c:pt idx="78">
                  <c:v>6900</c:v>
                </c:pt>
                <c:pt idx="79">
                  <c:v>7000</c:v>
                </c:pt>
                <c:pt idx="80">
                  <c:v>7100</c:v>
                </c:pt>
                <c:pt idx="81">
                  <c:v>7200</c:v>
                </c:pt>
                <c:pt idx="82">
                  <c:v>7300</c:v>
                </c:pt>
                <c:pt idx="83">
                  <c:v>7400</c:v>
                </c:pt>
                <c:pt idx="84">
                  <c:v>7500</c:v>
                </c:pt>
                <c:pt idx="85">
                  <c:v>7600</c:v>
                </c:pt>
                <c:pt idx="86">
                  <c:v>7700</c:v>
                </c:pt>
                <c:pt idx="87">
                  <c:v>7800</c:v>
                </c:pt>
                <c:pt idx="88">
                  <c:v>7900</c:v>
                </c:pt>
                <c:pt idx="89">
                  <c:v>8000</c:v>
                </c:pt>
                <c:pt idx="90">
                  <c:v>8100</c:v>
                </c:pt>
                <c:pt idx="91">
                  <c:v>8200</c:v>
                </c:pt>
                <c:pt idx="92">
                  <c:v>8300</c:v>
                </c:pt>
                <c:pt idx="93">
                  <c:v>8400</c:v>
                </c:pt>
                <c:pt idx="94">
                  <c:v>8500</c:v>
                </c:pt>
                <c:pt idx="95">
                  <c:v>8600</c:v>
                </c:pt>
                <c:pt idx="96">
                  <c:v>8700</c:v>
                </c:pt>
                <c:pt idx="97">
                  <c:v>8800</c:v>
                </c:pt>
                <c:pt idx="98">
                  <c:v>8900</c:v>
                </c:pt>
                <c:pt idx="99">
                  <c:v>9000</c:v>
                </c:pt>
                <c:pt idx="100">
                  <c:v>9100</c:v>
                </c:pt>
                <c:pt idx="101">
                  <c:v>9200</c:v>
                </c:pt>
                <c:pt idx="102">
                  <c:v>9300</c:v>
                </c:pt>
                <c:pt idx="103">
                  <c:v>9400</c:v>
                </c:pt>
                <c:pt idx="104">
                  <c:v>9500</c:v>
                </c:pt>
                <c:pt idx="105">
                  <c:v>9600</c:v>
                </c:pt>
                <c:pt idx="106">
                  <c:v>9700</c:v>
                </c:pt>
                <c:pt idx="107">
                  <c:v>9800</c:v>
                </c:pt>
                <c:pt idx="108">
                  <c:v>9900</c:v>
                </c:pt>
                <c:pt idx="109">
                  <c:v>10000</c:v>
                </c:pt>
                <c:pt idx="110">
                  <c:v>11000</c:v>
                </c:pt>
                <c:pt idx="111">
                  <c:v>12000</c:v>
                </c:pt>
                <c:pt idx="112">
                  <c:v>13000</c:v>
                </c:pt>
                <c:pt idx="113">
                  <c:v>14000</c:v>
                </c:pt>
                <c:pt idx="114">
                  <c:v>15000</c:v>
                </c:pt>
                <c:pt idx="115">
                  <c:v>16000</c:v>
                </c:pt>
                <c:pt idx="116">
                  <c:v>17000</c:v>
                </c:pt>
                <c:pt idx="117">
                  <c:v>18000</c:v>
                </c:pt>
                <c:pt idx="118">
                  <c:v>19000</c:v>
                </c:pt>
                <c:pt idx="119">
                  <c:v>20000</c:v>
                </c:pt>
                <c:pt idx="120">
                  <c:v>21000</c:v>
                </c:pt>
                <c:pt idx="121">
                  <c:v>22000</c:v>
                </c:pt>
                <c:pt idx="122">
                  <c:v>23000</c:v>
                </c:pt>
                <c:pt idx="123">
                  <c:v>24000</c:v>
                </c:pt>
                <c:pt idx="124">
                  <c:v>25000</c:v>
                </c:pt>
                <c:pt idx="125">
                  <c:v>26000</c:v>
                </c:pt>
                <c:pt idx="126">
                  <c:v>27000</c:v>
                </c:pt>
                <c:pt idx="127">
                  <c:v>28000</c:v>
                </c:pt>
                <c:pt idx="128">
                  <c:v>29000</c:v>
                </c:pt>
                <c:pt idx="129">
                  <c:v>30000</c:v>
                </c:pt>
                <c:pt idx="130">
                  <c:v>31000</c:v>
                </c:pt>
                <c:pt idx="131">
                  <c:v>32000</c:v>
                </c:pt>
                <c:pt idx="132">
                  <c:v>33000</c:v>
                </c:pt>
                <c:pt idx="133">
                  <c:v>34000</c:v>
                </c:pt>
                <c:pt idx="134">
                  <c:v>35000</c:v>
                </c:pt>
                <c:pt idx="135">
                  <c:v>36000</c:v>
                </c:pt>
                <c:pt idx="136">
                  <c:v>37000</c:v>
                </c:pt>
                <c:pt idx="137">
                  <c:v>38000</c:v>
                </c:pt>
                <c:pt idx="138">
                  <c:v>39000</c:v>
                </c:pt>
                <c:pt idx="139">
                  <c:v>40000</c:v>
                </c:pt>
                <c:pt idx="140">
                  <c:v>41000</c:v>
                </c:pt>
                <c:pt idx="141">
                  <c:v>42000</c:v>
                </c:pt>
                <c:pt idx="142">
                  <c:v>43000</c:v>
                </c:pt>
                <c:pt idx="143">
                  <c:v>44000</c:v>
                </c:pt>
                <c:pt idx="144">
                  <c:v>45000</c:v>
                </c:pt>
                <c:pt idx="145">
                  <c:v>46000</c:v>
                </c:pt>
                <c:pt idx="146">
                  <c:v>47000</c:v>
                </c:pt>
                <c:pt idx="147">
                  <c:v>48000</c:v>
                </c:pt>
                <c:pt idx="148">
                  <c:v>49000</c:v>
                </c:pt>
                <c:pt idx="149">
                  <c:v>50000</c:v>
                </c:pt>
                <c:pt idx="150">
                  <c:v>51000</c:v>
                </c:pt>
                <c:pt idx="151">
                  <c:v>52000</c:v>
                </c:pt>
                <c:pt idx="152">
                  <c:v>53000</c:v>
                </c:pt>
                <c:pt idx="153">
                  <c:v>54000</c:v>
                </c:pt>
                <c:pt idx="154">
                  <c:v>55000</c:v>
                </c:pt>
                <c:pt idx="155">
                  <c:v>56000</c:v>
                </c:pt>
                <c:pt idx="156">
                  <c:v>57000</c:v>
                </c:pt>
                <c:pt idx="157">
                  <c:v>58000</c:v>
                </c:pt>
                <c:pt idx="158">
                  <c:v>59000</c:v>
                </c:pt>
                <c:pt idx="159">
                  <c:v>60000</c:v>
                </c:pt>
                <c:pt idx="160">
                  <c:v>61000</c:v>
                </c:pt>
                <c:pt idx="161">
                  <c:v>62000</c:v>
                </c:pt>
                <c:pt idx="162">
                  <c:v>63000</c:v>
                </c:pt>
                <c:pt idx="163">
                  <c:v>64000</c:v>
                </c:pt>
                <c:pt idx="164">
                  <c:v>65000</c:v>
                </c:pt>
                <c:pt idx="165">
                  <c:v>66000</c:v>
                </c:pt>
                <c:pt idx="166">
                  <c:v>67000</c:v>
                </c:pt>
                <c:pt idx="167">
                  <c:v>68000</c:v>
                </c:pt>
                <c:pt idx="168">
                  <c:v>69000</c:v>
                </c:pt>
                <c:pt idx="169">
                  <c:v>70000</c:v>
                </c:pt>
                <c:pt idx="170">
                  <c:v>71000</c:v>
                </c:pt>
                <c:pt idx="171">
                  <c:v>72000</c:v>
                </c:pt>
                <c:pt idx="172">
                  <c:v>73000</c:v>
                </c:pt>
                <c:pt idx="173">
                  <c:v>74000</c:v>
                </c:pt>
                <c:pt idx="174">
                  <c:v>75000</c:v>
                </c:pt>
                <c:pt idx="175">
                  <c:v>76000</c:v>
                </c:pt>
                <c:pt idx="176">
                  <c:v>77000</c:v>
                </c:pt>
                <c:pt idx="177">
                  <c:v>78000</c:v>
                </c:pt>
                <c:pt idx="178">
                  <c:v>79000</c:v>
                </c:pt>
                <c:pt idx="179">
                  <c:v>80000</c:v>
                </c:pt>
                <c:pt idx="180">
                  <c:v>81000</c:v>
                </c:pt>
                <c:pt idx="181">
                  <c:v>82000</c:v>
                </c:pt>
                <c:pt idx="182">
                  <c:v>83000</c:v>
                </c:pt>
                <c:pt idx="183">
                  <c:v>84000</c:v>
                </c:pt>
                <c:pt idx="184">
                  <c:v>85000</c:v>
                </c:pt>
                <c:pt idx="185">
                  <c:v>86000</c:v>
                </c:pt>
                <c:pt idx="186">
                  <c:v>87000</c:v>
                </c:pt>
                <c:pt idx="187">
                  <c:v>88000</c:v>
                </c:pt>
                <c:pt idx="188">
                  <c:v>89000</c:v>
                </c:pt>
                <c:pt idx="189">
                  <c:v>90000</c:v>
                </c:pt>
                <c:pt idx="190">
                  <c:v>91000</c:v>
                </c:pt>
                <c:pt idx="191">
                  <c:v>92000</c:v>
                </c:pt>
                <c:pt idx="192">
                  <c:v>93000</c:v>
                </c:pt>
                <c:pt idx="193">
                  <c:v>94000</c:v>
                </c:pt>
                <c:pt idx="194">
                  <c:v>95000</c:v>
                </c:pt>
                <c:pt idx="195">
                  <c:v>96000</c:v>
                </c:pt>
                <c:pt idx="196">
                  <c:v>97000</c:v>
                </c:pt>
                <c:pt idx="197">
                  <c:v>98000</c:v>
                </c:pt>
                <c:pt idx="198">
                  <c:v>99000</c:v>
                </c:pt>
                <c:pt idx="199">
                  <c:v>100000</c:v>
                </c:pt>
                <c:pt idx="200">
                  <c:v>110000</c:v>
                </c:pt>
                <c:pt idx="201">
                  <c:v>120000</c:v>
                </c:pt>
                <c:pt idx="202">
                  <c:v>130000</c:v>
                </c:pt>
                <c:pt idx="203">
                  <c:v>140000</c:v>
                </c:pt>
                <c:pt idx="204">
                  <c:v>150000</c:v>
                </c:pt>
                <c:pt idx="205">
                  <c:v>160000</c:v>
                </c:pt>
                <c:pt idx="206">
                  <c:v>170000</c:v>
                </c:pt>
                <c:pt idx="207">
                  <c:v>180000</c:v>
                </c:pt>
                <c:pt idx="208">
                  <c:v>190000</c:v>
                </c:pt>
                <c:pt idx="209">
                  <c:v>200000</c:v>
                </c:pt>
                <c:pt idx="210">
                  <c:v>210000</c:v>
                </c:pt>
                <c:pt idx="211">
                  <c:v>220000</c:v>
                </c:pt>
                <c:pt idx="212">
                  <c:v>230000</c:v>
                </c:pt>
                <c:pt idx="213">
                  <c:v>240000</c:v>
                </c:pt>
                <c:pt idx="214">
                  <c:v>250000</c:v>
                </c:pt>
                <c:pt idx="215">
                  <c:v>260000</c:v>
                </c:pt>
                <c:pt idx="216">
                  <c:v>270000</c:v>
                </c:pt>
                <c:pt idx="217">
                  <c:v>280000</c:v>
                </c:pt>
                <c:pt idx="218">
                  <c:v>290000</c:v>
                </c:pt>
                <c:pt idx="219">
                  <c:v>300000</c:v>
                </c:pt>
                <c:pt idx="220">
                  <c:v>310000</c:v>
                </c:pt>
                <c:pt idx="221">
                  <c:v>320000</c:v>
                </c:pt>
                <c:pt idx="222">
                  <c:v>330000</c:v>
                </c:pt>
                <c:pt idx="223">
                  <c:v>340000</c:v>
                </c:pt>
                <c:pt idx="224">
                  <c:v>350000</c:v>
                </c:pt>
                <c:pt idx="225">
                  <c:v>360000</c:v>
                </c:pt>
                <c:pt idx="226">
                  <c:v>370000</c:v>
                </c:pt>
                <c:pt idx="227">
                  <c:v>380000</c:v>
                </c:pt>
                <c:pt idx="228">
                  <c:v>390000</c:v>
                </c:pt>
                <c:pt idx="229">
                  <c:v>400000</c:v>
                </c:pt>
                <c:pt idx="230">
                  <c:v>410000</c:v>
                </c:pt>
                <c:pt idx="231">
                  <c:v>420000</c:v>
                </c:pt>
                <c:pt idx="232">
                  <c:v>430000</c:v>
                </c:pt>
                <c:pt idx="233">
                  <c:v>440000</c:v>
                </c:pt>
                <c:pt idx="234">
                  <c:v>450000</c:v>
                </c:pt>
                <c:pt idx="235">
                  <c:v>460000</c:v>
                </c:pt>
                <c:pt idx="236">
                  <c:v>470000</c:v>
                </c:pt>
                <c:pt idx="237">
                  <c:v>480000</c:v>
                </c:pt>
                <c:pt idx="238">
                  <c:v>490000</c:v>
                </c:pt>
                <c:pt idx="239">
                  <c:v>500000</c:v>
                </c:pt>
                <c:pt idx="240">
                  <c:v>510000</c:v>
                </c:pt>
                <c:pt idx="241">
                  <c:v>520000</c:v>
                </c:pt>
                <c:pt idx="242">
                  <c:v>530000</c:v>
                </c:pt>
                <c:pt idx="243">
                  <c:v>540000</c:v>
                </c:pt>
                <c:pt idx="244">
                  <c:v>550000</c:v>
                </c:pt>
                <c:pt idx="245">
                  <c:v>560000</c:v>
                </c:pt>
                <c:pt idx="246">
                  <c:v>570000</c:v>
                </c:pt>
                <c:pt idx="247">
                  <c:v>580000</c:v>
                </c:pt>
                <c:pt idx="248">
                  <c:v>590000</c:v>
                </c:pt>
                <c:pt idx="249">
                  <c:v>600000</c:v>
                </c:pt>
                <c:pt idx="250">
                  <c:v>610000</c:v>
                </c:pt>
                <c:pt idx="251">
                  <c:v>620000</c:v>
                </c:pt>
                <c:pt idx="252">
                  <c:v>630000</c:v>
                </c:pt>
                <c:pt idx="253">
                  <c:v>640000</c:v>
                </c:pt>
                <c:pt idx="254">
                  <c:v>650000</c:v>
                </c:pt>
                <c:pt idx="255">
                  <c:v>660000</c:v>
                </c:pt>
                <c:pt idx="256">
                  <c:v>670000</c:v>
                </c:pt>
                <c:pt idx="257">
                  <c:v>680000</c:v>
                </c:pt>
                <c:pt idx="258">
                  <c:v>690000</c:v>
                </c:pt>
                <c:pt idx="259">
                  <c:v>700000</c:v>
                </c:pt>
                <c:pt idx="260">
                  <c:v>710000</c:v>
                </c:pt>
                <c:pt idx="261">
                  <c:v>720000</c:v>
                </c:pt>
                <c:pt idx="262">
                  <c:v>730000</c:v>
                </c:pt>
                <c:pt idx="263">
                  <c:v>740000</c:v>
                </c:pt>
                <c:pt idx="264">
                  <c:v>750000</c:v>
                </c:pt>
                <c:pt idx="265">
                  <c:v>760000</c:v>
                </c:pt>
                <c:pt idx="266">
                  <c:v>770000</c:v>
                </c:pt>
                <c:pt idx="267">
                  <c:v>780000</c:v>
                </c:pt>
                <c:pt idx="268">
                  <c:v>790000</c:v>
                </c:pt>
                <c:pt idx="269">
                  <c:v>800000</c:v>
                </c:pt>
                <c:pt idx="270">
                  <c:v>810000</c:v>
                </c:pt>
                <c:pt idx="271">
                  <c:v>820000</c:v>
                </c:pt>
                <c:pt idx="272">
                  <c:v>830000</c:v>
                </c:pt>
                <c:pt idx="273">
                  <c:v>840000</c:v>
                </c:pt>
                <c:pt idx="274">
                  <c:v>850000</c:v>
                </c:pt>
                <c:pt idx="275">
                  <c:v>860000</c:v>
                </c:pt>
                <c:pt idx="276">
                  <c:v>870000</c:v>
                </c:pt>
                <c:pt idx="277">
                  <c:v>880000</c:v>
                </c:pt>
                <c:pt idx="278">
                  <c:v>890000</c:v>
                </c:pt>
                <c:pt idx="279">
                  <c:v>900000</c:v>
                </c:pt>
                <c:pt idx="280">
                  <c:v>910000</c:v>
                </c:pt>
                <c:pt idx="281">
                  <c:v>920000</c:v>
                </c:pt>
                <c:pt idx="282">
                  <c:v>930000</c:v>
                </c:pt>
                <c:pt idx="283">
                  <c:v>940000</c:v>
                </c:pt>
                <c:pt idx="284">
                  <c:v>950000</c:v>
                </c:pt>
                <c:pt idx="285">
                  <c:v>960000</c:v>
                </c:pt>
                <c:pt idx="286">
                  <c:v>970000</c:v>
                </c:pt>
                <c:pt idx="287">
                  <c:v>980000</c:v>
                </c:pt>
                <c:pt idx="288">
                  <c:v>990000</c:v>
                </c:pt>
                <c:pt idx="289">
                  <c:v>1000000</c:v>
                </c:pt>
                <c:pt idx="290">
                  <c:v>1100000</c:v>
                </c:pt>
                <c:pt idx="291">
                  <c:v>1200000</c:v>
                </c:pt>
                <c:pt idx="292">
                  <c:v>1300000</c:v>
                </c:pt>
                <c:pt idx="293">
                  <c:v>1400000</c:v>
                </c:pt>
                <c:pt idx="294">
                  <c:v>1500000</c:v>
                </c:pt>
                <c:pt idx="295">
                  <c:v>1600000</c:v>
                </c:pt>
                <c:pt idx="296">
                  <c:v>1700000</c:v>
                </c:pt>
                <c:pt idx="297">
                  <c:v>1800000</c:v>
                </c:pt>
                <c:pt idx="298">
                  <c:v>1900000</c:v>
                </c:pt>
                <c:pt idx="299">
                  <c:v>2000000</c:v>
                </c:pt>
                <c:pt idx="300">
                  <c:v>2100000</c:v>
                </c:pt>
                <c:pt idx="301">
                  <c:v>2200000</c:v>
                </c:pt>
                <c:pt idx="302">
                  <c:v>2300000</c:v>
                </c:pt>
                <c:pt idx="303">
                  <c:v>2400000</c:v>
                </c:pt>
                <c:pt idx="304">
                  <c:v>2500000</c:v>
                </c:pt>
                <c:pt idx="305">
                  <c:v>2600000</c:v>
                </c:pt>
                <c:pt idx="306">
                  <c:v>2700000</c:v>
                </c:pt>
                <c:pt idx="307">
                  <c:v>2800000</c:v>
                </c:pt>
                <c:pt idx="308">
                  <c:v>2900000</c:v>
                </c:pt>
                <c:pt idx="309">
                  <c:v>3000000</c:v>
                </c:pt>
                <c:pt idx="310">
                  <c:v>3100000</c:v>
                </c:pt>
                <c:pt idx="311">
                  <c:v>3200000</c:v>
                </c:pt>
                <c:pt idx="312">
                  <c:v>3300000</c:v>
                </c:pt>
                <c:pt idx="313">
                  <c:v>3400000</c:v>
                </c:pt>
                <c:pt idx="314">
                  <c:v>3500000</c:v>
                </c:pt>
                <c:pt idx="315">
                  <c:v>3600000</c:v>
                </c:pt>
                <c:pt idx="316">
                  <c:v>3700000</c:v>
                </c:pt>
                <c:pt idx="317">
                  <c:v>3800000</c:v>
                </c:pt>
                <c:pt idx="318">
                  <c:v>3900000</c:v>
                </c:pt>
                <c:pt idx="319">
                  <c:v>4000000</c:v>
                </c:pt>
                <c:pt idx="320">
                  <c:v>4100000</c:v>
                </c:pt>
                <c:pt idx="321">
                  <c:v>4200000</c:v>
                </c:pt>
                <c:pt idx="322">
                  <c:v>4300000</c:v>
                </c:pt>
                <c:pt idx="323">
                  <c:v>4400000</c:v>
                </c:pt>
                <c:pt idx="324">
                  <c:v>4500000</c:v>
                </c:pt>
                <c:pt idx="325">
                  <c:v>4600000</c:v>
                </c:pt>
                <c:pt idx="326">
                  <c:v>4700000</c:v>
                </c:pt>
                <c:pt idx="327">
                  <c:v>4800000</c:v>
                </c:pt>
                <c:pt idx="328">
                  <c:v>4900000</c:v>
                </c:pt>
                <c:pt idx="329">
                  <c:v>5000000</c:v>
                </c:pt>
                <c:pt idx="330">
                  <c:v>5100000</c:v>
                </c:pt>
                <c:pt idx="331">
                  <c:v>5200000</c:v>
                </c:pt>
                <c:pt idx="332">
                  <c:v>5300000</c:v>
                </c:pt>
                <c:pt idx="333">
                  <c:v>5400000</c:v>
                </c:pt>
                <c:pt idx="334">
                  <c:v>5500000</c:v>
                </c:pt>
                <c:pt idx="335">
                  <c:v>5600000</c:v>
                </c:pt>
                <c:pt idx="336">
                  <c:v>5700000</c:v>
                </c:pt>
                <c:pt idx="337">
                  <c:v>5800000</c:v>
                </c:pt>
                <c:pt idx="338">
                  <c:v>5900000</c:v>
                </c:pt>
                <c:pt idx="339">
                  <c:v>6000000</c:v>
                </c:pt>
                <c:pt idx="340">
                  <c:v>6100000</c:v>
                </c:pt>
                <c:pt idx="341">
                  <c:v>6200000</c:v>
                </c:pt>
                <c:pt idx="342">
                  <c:v>6300000</c:v>
                </c:pt>
                <c:pt idx="343">
                  <c:v>6400000</c:v>
                </c:pt>
                <c:pt idx="344">
                  <c:v>6500000</c:v>
                </c:pt>
                <c:pt idx="345">
                  <c:v>6600000</c:v>
                </c:pt>
                <c:pt idx="346">
                  <c:v>6700000</c:v>
                </c:pt>
                <c:pt idx="347">
                  <c:v>6800000</c:v>
                </c:pt>
                <c:pt idx="348">
                  <c:v>6900000</c:v>
                </c:pt>
                <c:pt idx="349">
                  <c:v>7000000</c:v>
                </c:pt>
                <c:pt idx="350">
                  <c:v>7100000</c:v>
                </c:pt>
                <c:pt idx="351">
                  <c:v>7200000</c:v>
                </c:pt>
                <c:pt idx="352">
                  <c:v>7300000</c:v>
                </c:pt>
                <c:pt idx="353">
                  <c:v>7400000</c:v>
                </c:pt>
                <c:pt idx="354">
                  <c:v>7500000</c:v>
                </c:pt>
                <c:pt idx="355">
                  <c:v>7600000</c:v>
                </c:pt>
                <c:pt idx="356">
                  <c:v>7700000</c:v>
                </c:pt>
                <c:pt idx="357">
                  <c:v>7800000</c:v>
                </c:pt>
                <c:pt idx="358">
                  <c:v>7900000</c:v>
                </c:pt>
                <c:pt idx="359">
                  <c:v>8000000</c:v>
                </c:pt>
                <c:pt idx="360">
                  <c:v>8100000</c:v>
                </c:pt>
                <c:pt idx="361">
                  <c:v>8200000</c:v>
                </c:pt>
                <c:pt idx="362">
                  <c:v>8300000</c:v>
                </c:pt>
                <c:pt idx="363">
                  <c:v>8400000</c:v>
                </c:pt>
                <c:pt idx="364">
                  <c:v>8500000</c:v>
                </c:pt>
                <c:pt idx="365">
                  <c:v>8600000</c:v>
                </c:pt>
                <c:pt idx="366">
                  <c:v>8700000</c:v>
                </c:pt>
                <c:pt idx="367">
                  <c:v>8800000</c:v>
                </c:pt>
                <c:pt idx="368">
                  <c:v>8900000</c:v>
                </c:pt>
                <c:pt idx="369">
                  <c:v>9000000</c:v>
                </c:pt>
                <c:pt idx="370">
                  <c:v>9100000</c:v>
                </c:pt>
                <c:pt idx="371">
                  <c:v>9200000</c:v>
                </c:pt>
                <c:pt idx="372">
                  <c:v>9300000</c:v>
                </c:pt>
                <c:pt idx="373">
                  <c:v>9400000</c:v>
                </c:pt>
                <c:pt idx="374">
                  <c:v>9500000</c:v>
                </c:pt>
                <c:pt idx="375">
                  <c:v>9600000</c:v>
                </c:pt>
                <c:pt idx="376">
                  <c:v>9700000</c:v>
                </c:pt>
                <c:pt idx="377">
                  <c:v>9800000</c:v>
                </c:pt>
                <c:pt idx="378">
                  <c:v>9900000</c:v>
                </c:pt>
                <c:pt idx="379">
                  <c:v>10000000</c:v>
                </c:pt>
              </c:numCache>
            </c:numRef>
          </c:xVal>
          <c:yVal>
            <c:numRef>
              <c:f>'Loop Gain'!$Q$2:$Q$381</c:f>
              <c:numCache>
                <c:formatCode>General</c:formatCode>
                <c:ptCount val="380"/>
                <c:pt idx="0">
                  <c:v>26.936600028129874</c:v>
                </c:pt>
                <c:pt idx="1">
                  <c:v>26.933658254321415</c:v>
                </c:pt>
                <c:pt idx="2">
                  <c:v>26.924755939008286</c:v>
                </c:pt>
                <c:pt idx="3">
                  <c:v>26.909959185144388</c:v>
                </c:pt>
                <c:pt idx="4">
                  <c:v>26.889328074126084</c:v>
                </c:pt>
                <c:pt idx="5">
                  <c:v>26.862945584515213</c:v>
                </c:pt>
                <c:pt idx="6">
                  <c:v>26.83091649499389</c:v>
                </c:pt>
                <c:pt idx="7">
                  <c:v>26.793366026600843</c:v>
                </c:pt>
                <c:pt idx="8">
                  <c:v>26.750438260348432</c:v>
                </c:pt>
                <c:pt idx="9">
                  <c:v>26.702294370821949</c:v>
                </c:pt>
                <c:pt idx="10">
                  <c:v>26.649110719145838</c:v>
                </c:pt>
                <c:pt idx="11">
                  <c:v>25.885709396936797</c:v>
                </c:pt>
                <c:pt idx="12">
                  <c:v>24.852289238568453</c:v>
                </c:pt>
                <c:pt idx="13">
                  <c:v>23.724743976349536</c:v>
                </c:pt>
                <c:pt idx="14">
                  <c:v>22.605511171393893</c:v>
                </c:pt>
                <c:pt idx="15">
                  <c:v>21.541431552947934</c:v>
                </c:pt>
                <c:pt idx="16">
                  <c:v>20.548827597209907</c:v>
                </c:pt>
                <c:pt idx="17">
                  <c:v>19.629640065117385</c:v>
                </c:pt>
                <c:pt idx="18">
                  <c:v>18.77977010280766</c:v>
                </c:pt>
                <c:pt idx="19">
                  <c:v>17.993011445929486</c:v>
                </c:pt>
                <c:pt idx="20">
                  <c:v>17.262800198979921</c:v>
                </c:pt>
                <c:pt idx="21">
                  <c:v>16.582939619299463</c:v>
                </c:pt>
                <c:pt idx="22">
                  <c:v>15.947856726643327</c:v>
                </c:pt>
                <c:pt idx="23">
                  <c:v>15.352651558215824</c:v>
                </c:pt>
                <c:pt idx="24">
                  <c:v>14.793059940360862</c:v>
                </c:pt>
                <c:pt idx="25">
                  <c:v>14.265385169408608</c:v>
                </c:pt>
                <c:pt idx="26">
                  <c:v>13.766423366438241</c:v>
                </c:pt>
                <c:pt idx="27">
                  <c:v>13.293392950166265</c:v>
                </c:pt>
                <c:pt idx="28">
                  <c:v>12.843872029721194</c:v>
                </c:pt>
                <c:pt idx="29">
                  <c:v>12.415744513443421</c:v>
                </c:pt>
                <c:pt idx="30">
                  <c:v>12.007154448666089</c:v>
                </c:pt>
                <c:pt idx="31">
                  <c:v>11.616467636753772</c:v>
                </c:pt>
                <c:pt idx="32">
                  <c:v>11.242239467938051</c:v>
                </c:pt>
                <c:pt idx="33">
                  <c:v>10.883187980312615</c:v>
                </c:pt>
                <c:pt idx="34">
                  <c:v>10.53817126616714</c:v>
                </c:pt>
                <c:pt idx="35">
                  <c:v>10.206168480165489</c:v>
                </c:pt>
                <c:pt idx="36">
                  <c:v>9.8862638275611161</c:v>
                </c:pt>
                <c:pt idx="37">
                  <c:v>9.5776330192182755</c:v>
                </c:pt>
                <c:pt idx="38">
                  <c:v>9.2795317720967159</c:v>
                </c:pt>
                <c:pt idx="39">
                  <c:v>8.9912860100584062</c:v>
                </c:pt>
                <c:pt idx="40">
                  <c:v>8.7122834823285515</c:v>
                </c:pt>
                <c:pt idx="41">
                  <c:v>8.4419665678444407</c:v>
                </c:pt>
                <c:pt idx="42">
                  <c:v>8.1798260750736951</c:v>
                </c:pt>
                <c:pt idx="43">
                  <c:v>7.925395880450381</c:v>
                </c:pt>
                <c:pt idx="44">
                  <c:v>7.6782482758383717</c:v>
                </c:pt>
                <c:pt idx="45">
                  <c:v>7.4379899176094835</c:v>
                </c:pt>
                <c:pt idx="46">
                  <c:v>7.2042582880061783</c:v>
                </c:pt>
                <c:pt idx="47">
                  <c:v>6.9767185942415813</c:v>
                </c:pt>
                <c:pt idx="48">
                  <c:v>6.7550610429079327</c:v>
                </c:pt>
                <c:pt idx="49">
                  <c:v>6.5389984372358043</c:v>
                </c:pt>
                <c:pt idx="50">
                  <c:v>6.3282640529707344</c:v>
                </c:pt>
                <c:pt idx="51">
                  <c:v>6.1226097554466365</c:v>
                </c:pt>
                <c:pt idx="52">
                  <c:v>5.9218043260898838</c:v>
                </c:pt>
                <c:pt idx="53">
                  <c:v>5.7256319713075339</c:v>
                </c:pt>
                <c:pt idx="54">
                  <c:v>5.5338909906522096</c:v>
                </c:pt>
                <c:pt idx="55">
                  <c:v>5.3463925844669467</c:v>
                </c:pt>
                <c:pt idx="56">
                  <c:v>5.162959783994598</c:v>
                </c:pt>
                <c:pt idx="57">
                  <c:v>4.9834264892899585</c:v>
                </c:pt>
                <c:pt idx="58">
                  <c:v>4.8076366022588433</c:v>
                </c:pt>
                <c:pt idx="59">
                  <c:v>4.6354432438426949</c:v>
                </c:pt>
                <c:pt idx="60">
                  <c:v>4.46670804580374</c:v>
                </c:pt>
                <c:pt idx="61">
                  <c:v>4.301300508798894</c:v>
                </c:pt>
                <c:pt idx="62">
                  <c:v>4.1390974194797217</c:v>
                </c:pt>
                <c:pt idx="63">
                  <c:v>3.9799823202665428</c:v>
                </c:pt>
                <c:pt idx="64">
                  <c:v>3.8238450262168162</c:v>
                </c:pt>
                <c:pt idx="65">
                  <c:v>3.6705811840875029</c:v>
                </c:pt>
                <c:pt idx="66">
                  <c:v>3.5200918692666843</c:v>
                </c:pt>
                <c:pt idx="67">
                  <c:v>3.3722832167606374</c:v>
                </c:pt>
                <c:pt idx="68">
                  <c:v>3.2270660828555133</c:v>
                </c:pt>
                <c:pt idx="69">
                  <c:v>3.0843557344614219</c:v>
                </c:pt>
                <c:pt idx="70">
                  <c:v>2.9440715634750223</c:v>
                </c:pt>
                <c:pt idx="71">
                  <c:v>2.8061368237934774</c:v>
                </c:pt>
                <c:pt idx="72">
                  <c:v>2.6704783888666181</c:v>
                </c:pt>
                <c:pt idx="73">
                  <c:v>2.5370265279004061</c:v>
                </c:pt>
                <c:pt idx="74">
                  <c:v>2.4057146990226776</c:v>
                </c:pt>
                <c:pt idx="75">
                  <c:v>2.2764793578984452</c:v>
                </c:pt>
                <c:pt idx="76">
                  <c:v>2.1492597804339288</c:v>
                </c:pt>
                <c:pt idx="77">
                  <c:v>2.0239978983490712</c:v>
                </c:pt>
                <c:pt idx="78">
                  <c:v>1.9006381465166655</c:v>
                </c:pt>
                <c:pt idx="79">
                  <c:v>1.7791273210761585</c:v>
                </c:pt>
                <c:pt idx="80">
                  <c:v>1.6594144474244554</c:v>
                </c:pt>
                <c:pt idx="81">
                  <c:v>1.5414506572736921</c:v>
                </c:pt>
                <c:pt idx="82">
                  <c:v>1.4251890740405091</c:v>
                </c:pt>
                <c:pt idx="83">
                  <c:v>1.3105847059009097</c:v>
                </c:pt>
                <c:pt idx="84">
                  <c:v>1.1975943459046368</c:v>
                </c:pt>
                <c:pt idx="85">
                  <c:v>1.0861764786003909</c:v>
                </c:pt>
                <c:pt idx="86">
                  <c:v>0.97629119266871833</c:v>
                </c:pt>
                <c:pt idx="87">
                  <c:v>0.86790009910770927</c:v>
                </c:pt>
                <c:pt idx="88">
                  <c:v>0.76096625455276057</c:v>
                </c:pt>
                <c:pt idx="89">
                  <c:v>0.65545408935188021</c:v>
                </c:pt>
                <c:pt idx="90">
                  <c:v>0.55132934004518896</c:v>
                </c:pt>
                <c:pt idx="91">
                  <c:v>0.44855898593258509</c:v>
                </c:pt>
                <c:pt idx="92">
                  <c:v>0.34711118943406033</c:v>
                </c:pt>
                <c:pt idx="93">
                  <c:v>0.24695523997718216</c:v>
                </c:pt>
                <c:pt idx="94">
                  <c:v>0.14806150116290692</c:v>
                </c:pt>
                <c:pt idx="95">
                  <c:v>5.0401360983876639E-2</c:v>
                </c:pt>
                <c:pt idx="96">
                  <c:v>-4.6052815112891214E-2</c:v>
                </c:pt>
                <c:pt idx="97">
                  <c:v>-0.14132772851246253</c:v>
                </c:pt>
                <c:pt idx="98">
                  <c:v>-0.23544918924404326</c:v>
                </c:pt>
                <c:pt idx="99">
                  <c:v>-0.32844215548227507</c:v>
                </c:pt>
                <c:pt idx="100">
                  <c:v>-0.4203307708893847</c:v>
                </c:pt>
                <c:pt idx="101">
                  <c:v>-0.51113839993755694</c:v>
                </c:pt>
                <c:pt idx="102">
                  <c:v>-0.60088766134137361</c:v>
                </c:pt>
                <c:pt idx="103">
                  <c:v>-0.68960045971937556</c:v>
                </c:pt>
                <c:pt idx="104">
                  <c:v>-0.77729801559678469</c:v>
                </c:pt>
                <c:pt idx="105">
                  <c:v>-0.86400089385142198</c:v>
                </c:pt>
                <c:pt idx="106">
                  <c:v>-0.94972903069953085</c:v>
                </c:pt>
                <c:pt idx="107">
                  <c:v>-1.0345017593091999</c:v>
                </c:pt>
                <c:pt idx="108">
                  <c:v>-1.1183378341251027</c:v>
                </c:pt>
                <c:pt idx="109">
                  <c:v>-1.2012554539808191</c:v>
                </c:pt>
                <c:pt idx="110">
                  <c:v>-1.9835640754872883</c:v>
                </c:pt>
                <c:pt idx="111">
                  <c:v>-2.6906467671870793</c:v>
                </c:pt>
                <c:pt idx="112">
                  <c:v>-3.3341754500621388</c:v>
                </c:pt>
                <c:pt idx="113">
                  <c:v>-3.923282000301644</c:v>
                </c:pt>
                <c:pt idx="114">
                  <c:v>-4.4652574056847847</c:v>
                </c:pt>
                <c:pt idx="115">
                  <c:v>-4.9660253056917085</c:v>
                </c:pt>
                <c:pt idx="116">
                  <c:v>-5.430471841272726</c:v>
                </c:pt>
                <c:pt idx="117">
                  <c:v>-5.8626810472509563</c:v>
                </c:pt>
                <c:pt idx="118">
                  <c:v>-6.2661064296614422</c:v>
                </c:pt>
                <c:pt idx="119">
                  <c:v>-6.6436983891520951</c:v>
                </c:pt>
                <c:pt idx="120">
                  <c:v>-6.998000446503438</c:v>
                </c:pt>
                <c:pt idx="121">
                  <c:v>-7.3312230110150045</c:v>
                </c:pt>
                <c:pt idx="122">
                  <c:v>-7.6453007130035751</c:v>
                </c:pt>
                <c:pt idx="123">
                  <c:v>-7.9419375262122252</c:v>
                </c:pt>
                <c:pt idx="124">
                  <c:v>-8.2226426957722349</c:v>
                </c:pt>
                <c:pt idx="125">
                  <c:v>-8.4887596563575265</c:v>
                </c:pt>
                <c:pt idx="126">
                  <c:v>-8.7414895448369805</c:v>
                </c:pt>
                <c:pt idx="127">
                  <c:v>-8.9819105002278015</c:v>
                </c:pt>
                <c:pt idx="128">
                  <c:v>-9.2109936478884631</c:v>
                </c:pt>
                <c:pt idx="129">
                  <c:v>-9.4296164494690231</c:v>
                </c:pt>
                <c:pt idx="130">
                  <c:v>-9.6385739414678344</c:v>
                </c:pt>
                <c:pt idx="131">
                  <c:v>-9.8385882671377356</c:v>
                </c:pt>
                <c:pt idx="132">
                  <c:v>-10.030316817713121</c:v>
                </c:pt>
                <c:pt idx="133">
                  <c:v>-10.214359231607975</c:v>
                </c:pt>
                <c:pt idx="134">
                  <c:v>-10.391263448753401</c:v>
                </c:pt>
                <c:pt idx="135">
                  <c:v>-10.561530977570177</c:v>
                </c:pt>
                <c:pt idx="136">
                  <c:v>-10.725621501272251</c:v>
                </c:pt>
                <c:pt idx="137">
                  <c:v>-10.883956926123759</c:v>
                </c:pt>
                <c:pt idx="138">
                  <c:v>-11.036924955331319</c:v>
                </c:pt>
                <c:pt idx="139">
                  <c:v>-11.184882257252838</c:v>
                </c:pt>
                <c:pt idx="140">
                  <c:v>-11.328157284659618</c:v>
                </c:pt>
                <c:pt idx="141">
                  <c:v>-11.467052792208175</c:v>
                </c:pt>
                <c:pt idx="142">
                  <c:v>-11.601848091563722</c:v>
                </c:pt>
                <c:pt idx="143">
                  <c:v>-11.732801077354857</c:v>
                </c:pt>
                <c:pt idx="144">
                  <c:v>-11.860150052039431</c:v>
                </c:pt>
                <c:pt idx="145">
                  <c:v>-11.984115373573204</c:v>
                </c:pt>
                <c:pt idx="146">
                  <c:v>-12.104900946327328</c:v>
                </c:pt>
                <c:pt idx="147">
                  <c:v>-12.222695572834038</c:v>
                </c:pt>
                <c:pt idx="148">
                  <c:v>-12.337674181560534</c:v>
                </c:pt>
                <c:pt idx="149">
                  <c:v>-12.449998943906341</c:v>
                </c:pt>
                <c:pt idx="150">
                  <c:v>-12.559820291939275</c:v>
                </c:pt>
                <c:pt idx="151">
                  <c:v>-12.667277846953917</c:v>
                </c:pt>
                <c:pt idx="152">
                  <c:v>-12.772501267725438</c:v>
                </c:pt>
                <c:pt idx="153">
                  <c:v>-12.875611026287476</c:v>
                </c:pt>
                <c:pt idx="154">
                  <c:v>-12.976719118173348</c:v>
                </c:pt>
                <c:pt idx="155">
                  <c:v>-13.075929713284465</c:v>
                </c:pt>
                <c:pt idx="156">
                  <c:v>-13.173339752882081</c:v>
                </c:pt>
                <c:pt idx="157">
                  <c:v>-13.269039497614088</c:v>
                </c:pt>
                <c:pt idx="158">
                  <c:v>-13.363113030979449</c:v>
                </c:pt>
                <c:pt idx="159">
                  <c:v>-13.45563872218289</c:v>
                </c:pt>
                <c:pt idx="160">
                  <c:v>-13.54668965194074</c:v>
                </c:pt>
                <c:pt idx="161">
                  <c:v>-13.636334004446265</c:v>
                </c:pt>
                <c:pt idx="162">
                  <c:v>-13.724635428397349</c:v>
                </c:pt>
                <c:pt idx="163">
                  <c:v>-13.811653369711298</c:v>
                </c:pt>
                <c:pt idx="164">
                  <c:v>-13.897443378307099</c:v>
                </c:pt>
                <c:pt idx="165">
                  <c:v>-13.982057391117246</c:v>
                </c:pt>
                <c:pt idx="166">
                  <c:v>-14.065543993293588</c:v>
                </c:pt>
                <c:pt idx="167">
                  <c:v>-14.147948659394169</c:v>
                </c:pt>
                <c:pt idx="168">
                  <c:v>-14.229313976183178</c:v>
                </c:pt>
                <c:pt idx="169">
                  <c:v>-14.3096798485278</c:v>
                </c:pt>
                <c:pt idx="170">
                  <c:v>-14.389083689750844</c:v>
                </c:pt>
                <c:pt idx="171">
                  <c:v>-14.467560597678954</c:v>
                </c:pt>
                <c:pt idx="172">
                  <c:v>-14.545143517520678</c:v>
                </c:pt>
                <c:pt idx="173">
                  <c:v>-14.621863392613502</c:v>
                </c:pt>
                <c:pt idx="174">
                  <c:v>-14.697749303990911</c:v>
                </c:pt>
                <c:pt idx="175">
                  <c:v>-14.772828599641256</c:v>
                </c:pt>
                <c:pt idx="176">
                  <c:v>-14.847127014259442</c:v>
                </c:pt>
                <c:pt idx="177">
                  <c:v>-14.920668780224432</c:v>
                </c:pt>
                <c:pt idx="178">
                  <c:v>-14.99347673047853</c:v>
                </c:pt>
                <c:pt idx="179">
                  <c:v>-15.065572393926299</c:v>
                </c:pt>
                <c:pt idx="180">
                  <c:v>-15.136976083924971</c:v>
                </c:pt>
                <c:pt idx="181">
                  <c:v>-15.207706980388654</c:v>
                </c:pt>
                <c:pt idx="182">
                  <c:v>-15.277783205989902</c:v>
                </c:pt>
                <c:pt idx="183">
                  <c:v>-15.347221896902262</c:v>
                </c:pt>
                <c:pt idx="184">
                  <c:v>-15.416039268492383</c:v>
                </c:pt>
                <c:pt idx="185">
                  <c:v>-15.484250676340206</c:v>
                </c:pt>
                <c:pt idx="186">
                  <c:v>-15.551870672932823</c:v>
                </c:pt>
                <c:pt idx="187">
                  <c:v>-15.618913060353554</c:v>
                </c:pt>
                <c:pt idx="188">
                  <c:v>-15.685390939262437</c:v>
                </c:pt>
                <c:pt idx="189">
                  <c:v>-15.751316754439124</c:v>
                </c:pt>
                <c:pt idx="190">
                  <c:v>-15.816702337142761</c:v>
                </c:pt>
                <c:pt idx="191">
                  <c:v>-15.881558944518304</c:v>
                </c:pt>
                <c:pt idx="192">
                  <c:v>-15.945897296267965</c:v>
                </c:pt>
                <c:pt idx="193">
                  <c:v>-16.009727608782576</c:v>
                </c:pt>
                <c:pt idx="194">
                  <c:v>-16.073059626919466</c:v>
                </c:pt>
                <c:pt idx="195">
                  <c:v>-16.135902653595263</c:v>
                </c:pt>
                <c:pt idx="196">
                  <c:v>-16.19826557735059</c:v>
                </c:pt>
                <c:pt idx="197">
                  <c:v>-16.260156898032889</c:v>
                </c:pt>
                <c:pt idx="198">
                  <c:v>-16.321584750730342</c:v>
                </c:pt>
                <c:pt idx="199">
                  <c:v>-16.382556928083524</c:v>
                </c:pt>
                <c:pt idx="200">
                  <c:v>-16.968723845649073</c:v>
                </c:pt>
                <c:pt idx="201">
                  <c:v>-17.516002061792054</c:v>
                </c:pt>
                <c:pt idx="202">
                  <c:v>-18.028800030548197</c:v>
                </c:pt>
                <c:pt idx="203">
                  <c:v>-18.510498099321556</c:v>
                </c:pt>
                <c:pt idx="204">
                  <c:v>-18.963840268294241</c:v>
                </c:pt>
                <c:pt idx="205">
                  <c:v>-19.391146606837466</c:v>
                </c:pt>
                <c:pt idx="206">
                  <c:v>-19.794433474204787</c:v>
                </c:pt>
                <c:pt idx="207">
                  <c:v>-20.175485248281188</c:v>
                </c:pt>
                <c:pt idx="208">
                  <c:v>-20.535899855396821</c:v>
                </c:pt>
                <c:pt idx="209">
                  <c:v>-20.877119668389113</c:v>
                </c:pt>
                <c:pt idx="210">
                  <c:v>-21.200453885152974</c:v>
                </c:pt>
                <c:pt idx="211">
                  <c:v>-21.507095685745771</c:v>
                </c:pt>
                <c:pt idx="212">
                  <c:v>-21.798135993860903</c:v>
                </c:pt>
                <c:pt idx="213">
                  <c:v>-22.074574887040498</c:v>
                </c:pt>
                <c:pt idx="214">
                  <c:v>-22.337331278477556</c:v>
                </c:pt>
                <c:pt idx="215">
                  <c:v>-22.587251261409627</c:v>
                </c:pt>
                <c:pt idx="216">
                  <c:v>-22.82511537634641</c:v>
                </c:pt>
                <c:pt idx="217">
                  <c:v>-23.051644985152052</c:v>
                </c:pt>
                <c:pt idx="218">
                  <c:v>-23.26750788962384</c:v>
                </c:pt>
                <c:pt idx="219">
                  <c:v>-23.47332330246029</c:v>
                </c:pt>
                <c:pt idx="220">
                  <c:v>-23.669666258268439</c:v>
                </c:pt>
                <c:pt idx="221">
                  <c:v>-23.857071537632635</c:v>
                </c:pt>
                <c:pt idx="222">
                  <c:v>-24.036037166117573</c:v>
                </c:pt>
                <c:pt idx="223">
                  <c:v>-24.207027541196315</c:v>
                </c:pt>
                <c:pt idx="224">
                  <c:v>-24.37047623279852</c:v>
                </c:pt>
                <c:pt idx="225">
                  <c:v>-24.526788497039892</c:v>
                </c:pt>
                <c:pt idx="226">
                  <c:v>-24.676343537472356</c:v>
                </c:pt>
                <c:pt idx="227">
                  <c:v>-24.81949654370942</c:v>
                </c:pt>
                <c:pt idx="228">
                  <c:v>-24.956580533408847</c:v>
                </c:pt>
                <c:pt idx="229">
                  <c:v>-25.087908020246736</c:v>
                </c:pt>
                <c:pt idx="230">
                  <c:v>-25.213772527616594</c:v>
                </c:pt>
                <c:pt idx="231">
                  <c:v>-25.334449965272164</c:v>
                </c:pt>
                <c:pt idx="232">
                  <c:v>-25.450199883956689</c:v>
                </c:pt>
                <c:pt idx="233">
                  <c:v>-25.56126662117169</c:v>
                </c:pt>
                <c:pt idx="234">
                  <c:v>-25.667880349604793</c:v>
                </c:pt>
                <c:pt idx="235">
                  <c:v>-25.770258038317635</c:v>
                </c:pt>
                <c:pt idx="236">
                  <c:v>-25.868604335567369</c:v>
                </c:pt>
                <c:pt idx="237">
                  <c:v>-25.963112381069593</c:v>
                </c:pt>
                <c:pt idx="238">
                  <c:v>-26.05396455458709</c:v>
                </c:pt>
                <c:pt idx="239">
                  <c:v>-26.141333166925879</c:v>
                </c:pt>
                <c:pt idx="240">
                  <c:v>-26.225381098723194</c:v>
                </c:pt>
                <c:pt idx="241">
                  <c:v>-26.30626239180507</c:v>
                </c:pt>
                <c:pt idx="242">
                  <c:v>-26.384122797362778</c:v>
                </c:pt>
                <c:pt idx="243">
                  <c:v>-26.459100284735818</c:v>
                </c:pt>
                <c:pt idx="244">
                  <c:v>-26.531325514186733</c:v>
                </c:pt>
                <c:pt idx="245">
                  <c:v>-26.600922276697663</c:v>
                </c:pt>
                <c:pt idx="246">
                  <c:v>-26.668007903514169</c:v>
                </c:pt>
                <c:pt idx="247">
                  <c:v>-26.73269364788192</c:v>
                </c:pt>
                <c:pt idx="248">
                  <c:v>-26.795085041189317</c:v>
                </c:pt>
                <c:pt idx="249">
                  <c:v>-26.855282225512767</c:v>
                </c:pt>
                <c:pt idx="250">
                  <c:v>-26.913380264375672</c:v>
                </c:pt>
                <c:pt idx="251">
                  <c:v>-26.969469433364665</c:v>
                </c:pt>
                <c:pt idx="252">
                  <c:v>-27.023635492100944</c:v>
                </c:pt>
                <c:pt idx="253">
                  <c:v>-27.075959938930474</c:v>
                </c:pt>
                <c:pt idx="254">
                  <c:v>-27.126520249578874</c:v>
                </c:pt>
                <c:pt idx="255">
                  <c:v>-27.175390100914587</c:v>
                </c:pt>
                <c:pt idx="256">
                  <c:v>-27.222639580863898</c:v>
                </c:pt>
                <c:pt idx="257">
                  <c:v>-27.268335385440924</c:v>
                </c:pt>
                <c:pt idx="258">
                  <c:v>-27.312541003775404</c:v>
                </c:pt>
                <c:pt idx="259">
                  <c:v>-27.355316891953159</c:v>
                </c:pt>
                <c:pt idx="260">
                  <c:v>-27.396720636420021</c:v>
                </c:pt>
                <c:pt idx="261">
                  <c:v>-27.436807107644196</c:v>
                </c:pt>
                <c:pt idx="262">
                  <c:v>-27.4756286046767</c:v>
                </c:pt>
                <c:pt idx="263">
                  <c:v>-27.513234991206858</c:v>
                </c:pt>
                <c:pt idx="264">
                  <c:v>-27.549673823660786</c:v>
                </c:pt>
                <c:pt idx="265">
                  <c:v>-27.584990471855825</c:v>
                </c:pt>
                <c:pt idx="266">
                  <c:v>-27.619228232684094</c:v>
                </c:pt>
                <c:pt idx="267">
                  <c:v>-27.652428437266817</c:v>
                </c:pt>
                <c:pt idx="268">
                  <c:v>-27.684630551989372</c:v>
                </c:pt>
                <c:pt idx="269">
                  <c:v>-27.715872273798496</c:v>
                </c:pt>
                <c:pt idx="270">
                  <c:v>-27.746189620118216</c:v>
                </c:pt>
                <c:pt idx="271">
                  <c:v>-27.775617013715109</c:v>
                </c:pt>
                <c:pt idx="272">
                  <c:v>-27.804187362822859</c:v>
                </c:pt>
                <c:pt idx="273">
                  <c:v>-27.831932136814252</c:v>
                </c:pt>
                <c:pt idx="274">
                  <c:v>-27.858881437689938</c:v>
                </c:pt>
                <c:pt idx="275">
                  <c:v>-27.885064067637209</c:v>
                </c:pt>
                <c:pt idx="276">
                  <c:v>-27.910507592891722</c:v>
                </c:pt>
                <c:pt idx="277">
                  <c:v>-27.935238404124387</c:v>
                </c:pt>
                <c:pt idx="278">
                  <c:v>-27.95928177355848</c:v>
                </c:pt>
                <c:pt idx="279">
                  <c:v>-27.982661909009821</c:v>
                </c:pt>
                <c:pt idx="280">
                  <c:v>-28.005402005030437</c:v>
                </c:pt>
                <c:pt idx="281">
                  <c:v>-28.027524291324358</c:v>
                </c:pt>
                <c:pt idx="282">
                  <c:v>-28.049050078595684</c:v>
                </c:pt>
                <c:pt idx="283">
                  <c:v>-28.06999980197515</c:v>
                </c:pt>
                <c:pt idx="284">
                  <c:v>-28.090393062165468</c:v>
                </c:pt>
                <c:pt idx="285">
                  <c:v>-28.110248664436966</c:v>
                </c:pt>
                <c:pt idx="286">
                  <c:v>-28.129584655594364</c:v>
                </c:pt>
                <c:pt idx="287">
                  <c:v>-28.148418359031307</c:v>
                </c:pt>
                <c:pt idx="288">
                  <c:v>-28.166766407979011</c:v>
                </c:pt>
                <c:pt idx="289">
                  <c:v>-28.184644777052775</c:v>
                </c:pt>
                <c:pt idx="290">
                  <c:v>-28.340695229042403</c:v>
                </c:pt>
                <c:pt idx="291">
                  <c:v>-28.46344215058409</c:v>
                </c:pt>
                <c:pt idx="292">
                  <c:v>-28.561542279745492</c:v>
                </c:pt>
                <c:pt idx="293">
                  <c:v>-28.641062434377936</c:v>
                </c:pt>
                <c:pt idx="294">
                  <c:v>-28.706341236472635</c:v>
                </c:pt>
                <c:pt idx="295">
                  <c:v>-28.760539166713194</c:v>
                </c:pt>
                <c:pt idx="296">
                  <c:v>-28.805997528001281</c:v>
                </c:pt>
                <c:pt idx="297">
                  <c:v>-28.844477587409926</c:v>
                </c:pt>
                <c:pt idx="298">
                  <c:v>-28.877322977794133</c:v>
                </c:pt>
                <c:pt idx="299">
                  <c:v>-28.905571964511534</c:v>
                </c:pt>
                <c:pt idx="300">
                  <c:v>-28.930036344543979</c:v>
                </c:pt>
                <c:pt idx="301">
                  <c:v>-28.951357749179497</c:v>
                </c:pt>
                <c:pt idx="302">
                  <c:v>-28.970048395073611</c:v>
                </c:pt>
                <c:pt idx="303">
                  <c:v>-28.986520969676274</c:v>
                </c:pt>
                <c:pt idx="304">
                  <c:v>-29.001110817632973</c:v>
                </c:pt>
                <c:pt idx="305">
                  <c:v>-29.014092599934472</c:v>
                </c:pt>
                <c:pt idx="306">
                  <c:v>-29.025692936090653</c:v>
                </c:pt>
                <c:pt idx="307">
                  <c:v>-29.036100093324563</c:v>
                </c:pt>
                <c:pt idx="308">
                  <c:v>-29.045471481569418</c:v>
                </c:pt>
                <c:pt idx="309">
                  <c:v>-29.053939501615183</c:v>
                </c:pt>
                <c:pt idx="310">
                  <c:v>-29.06161614550324</c:v>
                </c:pt>
                <c:pt idx="311">
                  <c:v>-29.068596643129645</c:v>
                </c:pt>
                <c:pt idx="312">
                  <c:v>-29.074962373652827</c:v>
                </c:pt>
                <c:pt idx="313">
                  <c:v>-29.080783205723417</c:v>
                </c:pt>
                <c:pt idx="314">
                  <c:v>-29.086119390657636</c:v>
                </c:pt>
                <c:pt idx="315">
                  <c:v>-29.091023103233951</c:v>
                </c:pt>
                <c:pt idx="316">
                  <c:v>-29.095539702891365</c:v>
                </c:pt>
                <c:pt idx="317">
                  <c:v>-29.099708771674525</c:v>
                </c:pt>
                <c:pt idx="318">
                  <c:v>-29.103564972846851</c:v>
                </c:pt>
                <c:pt idx="319">
                  <c:v>-29.107138764632793</c:v>
                </c:pt>
                <c:pt idx="320">
                  <c:v>-29.110456996295511</c:v>
                </c:pt>
                <c:pt idx="321">
                  <c:v>-29.113543408152434</c:v>
                </c:pt>
                <c:pt idx="322">
                  <c:v>-29.11641905278254</c:v>
                </c:pt>
                <c:pt idx="323">
                  <c:v>-29.119102651275721</c:v>
                </c:pt>
                <c:pt idx="324">
                  <c:v>-29.121610895701508</c:v>
                </c:pt>
                <c:pt idx="325">
                  <c:v>-29.123958706861011</c:v>
                </c:pt>
                <c:pt idx="326">
                  <c:v>-29.126159454705942</c:v>
                </c:pt>
                <c:pt idx="327">
                  <c:v>-29.128225147467568</c:v>
                </c:pt>
                <c:pt idx="328">
                  <c:v>-29.130166594462036</c:v>
                </c:pt>
                <c:pt idx="329">
                  <c:v>-29.13199354666968</c:v>
                </c:pt>
                <c:pt idx="330">
                  <c:v>-29.133714818484648</c:v>
                </c:pt>
                <c:pt idx="331">
                  <c:v>-29.135338393458078</c:v>
                </c:pt>
                <c:pt idx="332">
                  <c:v>-29.136871516391089</c:v>
                </c:pt>
                <c:pt idx="333">
                  <c:v>-29.138320773753719</c:v>
                </c:pt>
                <c:pt idx="334">
                  <c:v>-29.139692164086238</c:v>
                </c:pt>
                <c:pt idx="335">
                  <c:v>-29.140991159783308</c:v>
                </c:pt>
                <c:pt idx="336">
                  <c:v>-29.142222761444515</c:v>
                </c:pt>
                <c:pt idx="337">
                  <c:v>-29.143391545793417</c:v>
                </c:pt>
                <c:pt idx="338">
                  <c:v>-29.14450170802067</c:v>
                </c:pt>
                <c:pt idx="339">
                  <c:v>-29.145557099278861</c:v>
                </c:pt>
                <c:pt idx="340">
                  <c:v>-29.146561259952701</c:v>
                </c:pt>
                <c:pt idx="341">
                  <c:v>-29.147517449239682</c:v>
                </c:pt>
                <c:pt idx="342">
                  <c:v>-29.148428671500387</c:v>
                </c:pt>
                <c:pt idx="343">
                  <c:v>-29.149297699776177</c:v>
                </c:pt>
                <c:pt idx="344">
                  <c:v>-29.150127096814277</c:v>
                </c:pt>
                <c:pt idx="345">
                  <c:v>-29.150919233900574</c:v>
                </c:pt>
                <c:pt idx="346">
                  <c:v>-29.151676307754769</c:v>
                </c:pt>
                <c:pt idx="347">
                  <c:v>-29.152400355712462</c:v>
                </c:pt>
                <c:pt idx="348">
                  <c:v>-29.153093269391729</c:v>
                </c:pt>
                <c:pt idx="349">
                  <c:v>-29.153756807011636</c:v>
                </c:pt>
                <c:pt idx="350">
                  <c:v>-29.154392604514364</c:v>
                </c:pt>
                <c:pt idx="351">
                  <c:v>-29.155002185621587</c:v>
                </c:pt>
                <c:pt idx="352">
                  <c:v>-29.155586970938664</c:v>
                </c:pt>
                <c:pt idx="353">
                  <c:v>-29.15614828621068</c:v>
                </c:pt>
                <c:pt idx="354">
                  <c:v>-29.156687369816922</c:v>
                </c:pt>
                <c:pt idx="355">
                  <c:v>-29.157205379584905</c:v>
                </c:pt>
                <c:pt idx="356">
                  <c:v>-29.157703398992176</c:v>
                </c:pt>
                <c:pt idx="357">
                  <c:v>-29.158182442818919</c:v>
                </c:pt>
                <c:pt idx="358">
                  <c:v>-29.158643462305733</c:v>
                </c:pt>
                <c:pt idx="359">
                  <c:v>-29.159087349865164</c:v>
                </c:pt>
                <c:pt idx="360">
                  <c:v>-29.159514943391542</c:v>
                </c:pt>
                <c:pt idx="361">
                  <c:v>-29.159927030206433</c:v>
                </c:pt>
                <c:pt idx="362">
                  <c:v>-29.160324350675797</c:v>
                </c:pt>
                <c:pt idx="363">
                  <c:v>-29.160707601528799</c:v>
                </c:pt>
                <c:pt idx="364">
                  <c:v>-29.161077438905657</c:v>
                </c:pt>
                <c:pt idx="365">
                  <c:v>-29.161434481161713</c:v>
                </c:pt>
                <c:pt idx="366">
                  <c:v>-29.161779311446505</c:v>
                </c:pt>
                <c:pt idx="367">
                  <c:v>-29.162112480080861</c:v>
                </c:pt>
                <c:pt idx="368">
                  <c:v>-29.162434506748681</c:v>
                </c:pt>
                <c:pt idx="369">
                  <c:v>-29.16274588252012</c:v>
                </c:pt>
                <c:pt idx="370">
                  <c:v>-29.163047071720559</c:v>
                </c:pt>
                <c:pt idx="371">
                  <c:v>-29.163338513658186</c:v>
                </c:pt>
                <c:pt idx="372">
                  <c:v>-29.16362062422423</c:v>
                </c:pt>
                <c:pt idx="373">
                  <c:v>-29.163893797373824</c:v>
                </c:pt>
                <c:pt idx="374">
                  <c:v>-29.164158406498956</c:v>
                </c:pt>
                <c:pt idx="375">
                  <c:v>-29.16441480570338</c:v>
                </c:pt>
                <c:pt idx="376">
                  <c:v>-29.164663330984677</c:v>
                </c:pt>
                <c:pt idx="377">
                  <c:v>-29.164904301333792</c:v>
                </c:pt>
                <c:pt idx="378">
                  <c:v>-29.165138019757059</c:v>
                </c:pt>
                <c:pt idx="379">
                  <c:v>-29.165364774227598</c:v>
                </c:pt>
              </c:numCache>
            </c:numRef>
          </c:yVal>
          <c:smooth val="1"/>
          <c:extLst>
            <c:ext xmlns:c16="http://schemas.microsoft.com/office/drawing/2014/chart" uri="{C3380CC4-5D6E-409C-BE32-E72D297353CC}">
              <c16:uniqueId val="{00000000-F295-4CB6-94E4-F219950E12B6}"/>
            </c:ext>
          </c:extLst>
        </c:ser>
        <c:dLbls>
          <c:showLegendKey val="0"/>
          <c:showVal val="0"/>
          <c:showCatName val="0"/>
          <c:showSerName val="0"/>
          <c:showPercent val="0"/>
          <c:showBubbleSize val="0"/>
        </c:dLbls>
        <c:axId val="1434155088"/>
        <c:axId val="1570699712"/>
      </c:scatterChart>
      <c:valAx>
        <c:axId val="1434155088"/>
        <c:scaling>
          <c:logBase val="10"/>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99712"/>
        <c:crosses val="autoZero"/>
        <c:crossBetween val="midCat"/>
      </c:valAx>
      <c:valAx>
        <c:axId val="157069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155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'Loop Gain'!$R$1</c:f>
              <c:strCache>
                <c:ptCount val="1"/>
                <c:pt idx="0">
                  <c:v>Phase DCM</c:v>
                </c:pt>
              </c:strCache>
            </c:strRef>
          </c:tx>
          <c:spPr>
            <a:ln w="19050" cap="rnd">
              <a:solidFill>
                <a:schemeClr val="accent1"/>
              </a:solidFill>
              <a:round/>
            </a:ln>
            <a:effectLst/>
          </c:spPr>
          <c:marker>
            <c:symbol val="none"/>
          </c:marker>
          <c:xVal>
            <c:numRef>
              <c:f>'Loop Gain'!$A$2:$A$381</c:f>
              <c:numCache>
                <c:formatCode>General</c:formatCode>
                <c:ptCount val="380"/>
                <c:pt idx="0">
                  <c:v>1</c:v>
                </c:pt>
                <c:pt idx="1">
                  <c:v>10</c:v>
                </c:pt>
                <c:pt idx="2">
                  <c:v>20</c:v>
                </c:pt>
                <c:pt idx="3">
                  <c:v>30</c:v>
                </c:pt>
                <c:pt idx="4">
                  <c:v>40</c:v>
                </c:pt>
                <c:pt idx="5">
                  <c:v>50</c:v>
                </c:pt>
                <c:pt idx="6">
                  <c:v>60</c:v>
                </c:pt>
                <c:pt idx="7">
                  <c:v>70</c:v>
                </c:pt>
                <c:pt idx="8">
                  <c:v>80</c:v>
                </c:pt>
                <c:pt idx="9">
                  <c:v>90</c:v>
                </c:pt>
                <c:pt idx="10">
                  <c:v>100</c:v>
                </c:pt>
                <c:pt idx="11">
                  <c:v>200</c:v>
                </c:pt>
                <c:pt idx="12">
                  <c:v>300</c:v>
                </c:pt>
                <c:pt idx="13">
                  <c:v>400</c:v>
                </c:pt>
                <c:pt idx="14">
                  <c:v>500</c:v>
                </c:pt>
                <c:pt idx="15">
                  <c:v>600</c:v>
                </c:pt>
                <c:pt idx="16">
                  <c:v>700</c:v>
                </c:pt>
                <c:pt idx="17">
                  <c:v>800</c:v>
                </c:pt>
                <c:pt idx="18">
                  <c:v>900</c:v>
                </c:pt>
                <c:pt idx="19">
                  <c:v>1000</c:v>
                </c:pt>
                <c:pt idx="20">
                  <c:v>1100</c:v>
                </c:pt>
                <c:pt idx="21">
                  <c:v>1200</c:v>
                </c:pt>
                <c:pt idx="22">
                  <c:v>1300</c:v>
                </c:pt>
                <c:pt idx="23">
                  <c:v>1400</c:v>
                </c:pt>
                <c:pt idx="24">
                  <c:v>1500</c:v>
                </c:pt>
                <c:pt idx="25">
                  <c:v>1600</c:v>
                </c:pt>
                <c:pt idx="26">
                  <c:v>1700</c:v>
                </c:pt>
                <c:pt idx="27">
                  <c:v>1800</c:v>
                </c:pt>
                <c:pt idx="28">
                  <c:v>1900</c:v>
                </c:pt>
                <c:pt idx="29">
                  <c:v>2000</c:v>
                </c:pt>
                <c:pt idx="30">
                  <c:v>2100</c:v>
                </c:pt>
                <c:pt idx="31">
                  <c:v>2200</c:v>
                </c:pt>
                <c:pt idx="32">
                  <c:v>2300</c:v>
                </c:pt>
                <c:pt idx="33">
                  <c:v>2400</c:v>
                </c:pt>
                <c:pt idx="34">
                  <c:v>2500</c:v>
                </c:pt>
                <c:pt idx="35">
                  <c:v>2600</c:v>
                </c:pt>
                <c:pt idx="36">
                  <c:v>2700</c:v>
                </c:pt>
                <c:pt idx="37">
                  <c:v>2800</c:v>
                </c:pt>
                <c:pt idx="38">
                  <c:v>2900</c:v>
                </c:pt>
                <c:pt idx="39">
                  <c:v>3000</c:v>
                </c:pt>
                <c:pt idx="40">
                  <c:v>3100</c:v>
                </c:pt>
                <c:pt idx="41">
                  <c:v>3200</c:v>
                </c:pt>
                <c:pt idx="42">
                  <c:v>3300</c:v>
                </c:pt>
                <c:pt idx="43">
                  <c:v>3400</c:v>
                </c:pt>
                <c:pt idx="44">
                  <c:v>3500</c:v>
                </c:pt>
                <c:pt idx="45">
                  <c:v>3600</c:v>
                </c:pt>
                <c:pt idx="46">
                  <c:v>3700</c:v>
                </c:pt>
                <c:pt idx="47">
                  <c:v>3800</c:v>
                </c:pt>
                <c:pt idx="48">
                  <c:v>3900</c:v>
                </c:pt>
                <c:pt idx="49">
                  <c:v>4000</c:v>
                </c:pt>
                <c:pt idx="50">
                  <c:v>4100</c:v>
                </c:pt>
                <c:pt idx="51">
                  <c:v>4200</c:v>
                </c:pt>
                <c:pt idx="52">
                  <c:v>4300</c:v>
                </c:pt>
                <c:pt idx="53">
                  <c:v>4400</c:v>
                </c:pt>
                <c:pt idx="54">
                  <c:v>4500</c:v>
                </c:pt>
                <c:pt idx="55">
                  <c:v>4600</c:v>
                </c:pt>
                <c:pt idx="56">
                  <c:v>4700</c:v>
                </c:pt>
                <c:pt idx="57">
                  <c:v>4800</c:v>
                </c:pt>
                <c:pt idx="58">
                  <c:v>4900</c:v>
                </c:pt>
                <c:pt idx="59">
                  <c:v>5000</c:v>
                </c:pt>
                <c:pt idx="60">
                  <c:v>5100</c:v>
                </c:pt>
                <c:pt idx="61">
                  <c:v>5200</c:v>
                </c:pt>
                <c:pt idx="62">
                  <c:v>5300</c:v>
                </c:pt>
                <c:pt idx="63">
                  <c:v>5400</c:v>
                </c:pt>
                <c:pt idx="64">
                  <c:v>5500</c:v>
                </c:pt>
                <c:pt idx="65">
                  <c:v>5600</c:v>
                </c:pt>
                <c:pt idx="66">
                  <c:v>5700</c:v>
                </c:pt>
                <c:pt idx="67">
                  <c:v>5800</c:v>
                </c:pt>
                <c:pt idx="68">
                  <c:v>5900</c:v>
                </c:pt>
                <c:pt idx="69">
                  <c:v>6000</c:v>
                </c:pt>
                <c:pt idx="70">
                  <c:v>6100</c:v>
                </c:pt>
                <c:pt idx="71">
                  <c:v>6200</c:v>
                </c:pt>
                <c:pt idx="72">
                  <c:v>6300</c:v>
                </c:pt>
                <c:pt idx="73">
                  <c:v>6400</c:v>
                </c:pt>
                <c:pt idx="74">
                  <c:v>6500</c:v>
                </c:pt>
                <c:pt idx="75">
                  <c:v>6600</c:v>
                </c:pt>
                <c:pt idx="76">
                  <c:v>6700</c:v>
                </c:pt>
                <c:pt idx="77">
                  <c:v>6800</c:v>
                </c:pt>
                <c:pt idx="78">
                  <c:v>6900</c:v>
                </c:pt>
                <c:pt idx="79">
                  <c:v>7000</c:v>
                </c:pt>
                <c:pt idx="80">
                  <c:v>7100</c:v>
                </c:pt>
                <c:pt idx="81">
                  <c:v>7200</c:v>
                </c:pt>
                <c:pt idx="82">
                  <c:v>7300</c:v>
                </c:pt>
                <c:pt idx="83">
                  <c:v>7400</c:v>
                </c:pt>
                <c:pt idx="84">
                  <c:v>7500</c:v>
                </c:pt>
                <c:pt idx="85">
                  <c:v>7600</c:v>
                </c:pt>
                <c:pt idx="86">
                  <c:v>7700</c:v>
                </c:pt>
                <c:pt idx="87">
                  <c:v>7800</c:v>
                </c:pt>
                <c:pt idx="88">
                  <c:v>7900</c:v>
                </c:pt>
                <c:pt idx="89">
                  <c:v>8000</c:v>
                </c:pt>
                <c:pt idx="90">
                  <c:v>8100</c:v>
                </c:pt>
                <c:pt idx="91">
                  <c:v>8200</c:v>
                </c:pt>
                <c:pt idx="92">
                  <c:v>8300</c:v>
                </c:pt>
                <c:pt idx="93">
                  <c:v>8400</c:v>
                </c:pt>
                <c:pt idx="94">
                  <c:v>8500</c:v>
                </c:pt>
                <c:pt idx="95">
                  <c:v>8600</c:v>
                </c:pt>
                <c:pt idx="96">
                  <c:v>8700</c:v>
                </c:pt>
                <c:pt idx="97">
                  <c:v>8800</c:v>
                </c:pt>
                <c:pt idx="98">
                  <c:v>8900</c:v>
                </c:pt>
                <c:pt idx="99">
                  <c:v>9000</c:v>
                </c:pt>
                <c:pt idx="100">
                  <c:v>9100</c:v>
                </c:pt>
                <c:pt idx="101">
                  <c:v>9200</c:v>
                </c:pt>
                <c:pt idx="102">
                  <c:v>9300</c:v>
                </c:pt>
                <c:pt idx="103">
                  <c:v>9400</c:v>
                </c:pt>
                <c:pt idx="104">
                  <c:v>9500</c:v>
                </c:pt>
                <c:pt idx="105">
                  <c:v>9600</c:v>
                </c:pt>
                <c:pt idx="106">
                  <c:v>9700</c:v>
                </c:pt>
                <c:pt idx="107">
                  <c:v>9800</c:v>
                </c:pt>
                <c:pt idx="108">
                  <c:v>9900</c:v>
                </c:pt>
                <c:pt idx="109">
                  <c:v>10000</c:v>
                </c:pt>
                <c:pt idx="110">
                  <c:v>11000</c:v>
                </c:pt>
                <c:pt idx="111">
                  <c:v>12000</c:v>
                </c:pt>
                <c:pt idx="112">
                  <c:v>13000</c:v>
                </c:pt>
                <c:pt idx="113">
                  <c:v>14000</c:v>
                </c:pt>
                <c:pt idx="114">
                  <c:v>15000</c:v>
                </c:pt>
                <c:pt idx="115">
                  <c:v>16000</c:v>
                </c:pt>
                <c:pt idx="116">
                  <c:v>17000</c:v>
                </c:pt>
                <c:pt idx="117">
                  <c:v>18000</c:v>
                </c:pt>
                <c:pt idx="118">
                  <c:v>19000</c:v>
                </c:pt>
                <c:pt idx="119">
                  <c:v>20000</c:v>
                </c:pt>
                <c:pt idx="120">
                  <c:v>21000</c:v>
                </c:pt>
                <c:pt idx="121">
                  <c:v>22000</c:v>
                </c:pt>
                <c:pt idx="122">
                  <c:v>23000</c:v>
                </c:pt>
                <c:pt idx="123">
                  <c:v>24000</c:v>
                </c:pt>
                <c:pt idx="124">
                  <c:v>25000</c:v>
                </c:pt>
                <c:pt idx="125">
                  <c:v>26000</c:v>
                </c:pt>
                <c:pt idx="126">
                  <c:v>27000</c:v>
                </c:pt>
                <c:pt idx="127">
                  <c:v>28000</c:v>
                </c:pt>
                <c:pt idx="128">
                  <c:v>29000</c:v>
                </c:pt>
                <c:pt idx="129">
                  <c:v>30000</c:v>
                </c:pt>
                <c:pt idx="130">
                  <c:v>31000</c:v>
                </c:pt>
                <c:pt idx="131">
                  <c:v>32000</c:v>
                </c:pt>
                <c:pt idx="132">
                  <c:v>33000</c:v>
                </c:pt>
                <c:pt idx="133">
                  <c:v>34000</c:v>
                </c:pt>
                <c:pt idx="134">
                  <c:v>35000</c:v>
                </c:pt>
                <c:pt idx="135">
                  <c:v>36000</c:v>
                </c:pt>
                <c:pt idx="136">
                  <c:v>37000</c:v>
                </c:pt>
                <c:pt idx="137">
                  <c:v>38000</c:v>
                </c:pt>
                <c:pt idx="138">
                  <c:v>39000</c:v>
                </c:pt>
                <c:pt idx="139">
                  <c:v>40000</c:v>
                </c:pt>
                <c:pt idx="140">
                  <c:v>41000</c:v>
                </c:pt>
                <c:pt idx="141">
                  <c:v>42000</c:v>
                </c:pt>
                <c:pt idx="142">
                  <c:v>43000</c:v>
                </c:pt>
                <c:pt idx="143">
                  <c:v>44000</c:v>
                </c:pt>
                <c:pt idx="144">
                  <c:v>45000</c:v>
                </c:pt>
                <c:pt idx="145">
                  <c:v>46000</c:v>
                </c:pt>
                <c:pt idx="146">
                  <c:v>47000</c:v>
                </c:pt>
                <c:pt idx="147">
                  <c:v>48000</c:v>
                </c:pt>
                <c:pt idx="148">
                  <c:v>49000</c:v>
                </c:pt>
                <c:pt idx="149">
                  <c:v>50000</c:v>
                </c:pt>
                <c:pt idx="150">
                  <c:v>51000</c:v>
                </c:pt>
                <c:pt idx="151">
                  <c:v>52000</c:v>
                </c:pt>
                <c:pt idx="152">
                  <c:v>53000</c:v>
                </c:pt>
                <c:pt idx="153">
                  <c:v>54000</c:v>
                </c:pt>
                <c:pt idx="154">
                  <c:v>55000</c:v>
                </c:pt>
                <c:pt idx="155">
                  <c:v>56000</c:v>
                </c:pt>
                <c:pt idx="156">
                  <c:v>57000</c:v>
                </c:pt>
                <c:pt idx="157">
                  <c:v>58000</c:v>
                </c:pt>
                <c:pt idx="158">
                  <c:v>59000</c:v>
                </c:pt>
                <c:pt idx="159">
                  <c:v>60000</c:v>
                </c:pt>
                <c:pt idx="160">
                  <c:v>61000</c:v>
                </c:pt>
                <c:pt idx="161">
                  <c:v>62000</c:v>
                </c:pt>
                <c:pt idx="162">
                  <c:v>63000</c:v>
                </c:pt>
                <c:pt idx="163">
                  <c:v>64000</c:v>
                </c:pt>
                <c:pt idx="164">
                  <c:v>65000</c:v>
                </c:pt>
                <c:pt idx="165">
                  <c:v>66000</c:v>
                </c:pt>
                <c:pt idx="166">
                  <c:v>67000</c:v>
                </c:pt>
                <c:pt idx="167">
                  <c:v>68000</c:v>
                </c:pt>
                <c:pt idx="168">
                  <c:v>69000</c:v>
                </c:pt>
                <c:pt idx="169">
                  <c:v>70000</c:v>
                </c:pt>
                <c:pt idx="170">
                  <c:v>71000</c:v>
                </c:pt>
                <c:pt idx="171">
                  <c:v>72000</c:v>
                </c:pt>
                <c:pt idx="172">
                  <c:v>73000</c:v>
                </c:pt>
                <c:pt idx="173">
                  <c:v>74000</c:v>
                </c:pt>
                <c:pt idx="174">
                  <c:v>75000</c:v>
                </c:pt>
                <c:pt idx="175">
                  <c:v>76000</c:v>
                </c:pt>
                <c:pt idx="176">
                  <c:v>77000</c:v>
                </c:pt>
                <c:pt idx="177">
                  <c:v>78000</c:v>
                </c:pt>
                <c:pt idx="178">
                  <c:v>79000</c:v>
                </c:pt>
                <c:pt idx="179">
                  <c:v>80000</c:v>
                </c:pt>
                <c:pt idx="180">
                  <c:v>81000</c:v>
                </c:pt>
                <c:pt idx="181">
                  <c:v>82000</c:v>
                </c:pt>
                <c:pt idx="182">
                  <c:v>83000</c:v>
                </c:pt>
                <c:pt idx="183">
                  <c:v>84000</c:v>
                </c:pt>
                <c:pt idx="184">
                  <c:v>85000</c:v>
                </c:pt>
                <c:pt idx="185">
                  <c:v>86000</c:v>
                </c:pt>
                <c:pt idx="186">
                  <c:v>87000</c:v>
                </c:pt>
                <c:pt idx="187">
                  <c:v>88000</c:v>
                </c:pt>
                <c:pt idx="188">
                  <c:v>89000</c:v>
                </c:pt>
                <c:pt idx="189">
                  <c:v>90000</c:v>
                </c:pt>
                <c:pt idx="190">
                  <c:v>91000</c:v>
                </c:pt>
                <c:pt idx="191">
                  <c:v>92000</c:v>
                </c:pt>
                <c:pt idx="192">
                  <c:v>93000</c:v>
                </c:pt>
                <c:pt idx="193">
                  <c:v>94000</c:v>
                </c:pt>
                <c:pt idx="194">
                  <c:v>95000</c:v>
                </c:pt>
                <c:pt idx="195">
                  <c:v>96000</c:v>
                </c:pt>
                <c:pt idx="196">
                  <c:v>97000</c:v>
                </c:pt>
                <c:pt idx="197">
                  <c:v>98000</c:v>
                </c:pt>
                <c:pt idx="198">
                  <c:v>99000</c:v>
                </c:pt>
                <c:pt idx="199">
                  <c:v>100000</c:v>
                </c:pt>
                <c:pt idx="200">
                  <c:v>110000</c:v>
                </c:pt>
                <c:pt idx="201">
                  <c:v>120000</c:v>
                </c:pt>
                <c:pt idx="202">
                  <c:v>130000</c:v>
                </c:pt>
                <c:pt idx="203">
                  <c:v>140000</c:v>
                </c:pt>
                <c:pt idx="204">
                  <c:v>150000</c:v>
                </c:pt>
                <c:pt idx="205">
                  <c:v>160000</c:v>
                </c:pt>
                <c:pt idx="206">
                  <c:v>170000</c:v>
                </c:pt>
                <c:pt idx="207">
                  <c:v>180000</c:v>
                </c:pt>
                <c:pt idx="208">
                  <c:v>190000</c:v>
                </c:pt>
                <c:pt idx="209">
                  <c:v>200000</c:v>
                </c:pt>
                <c:pt idx="210">
                  <c:v>210000</c:v>
                </c:pt>
                <c:pt idx="211">
                  <c:v>220000</c:v>
                </c:pt>
                <c:pt idx="212">
                  <c:v>230000</c:v>
                </c:pt>
                <c:pt idx="213">
                  <c:v>240000</c:v>
                </c:pt>
                <c:pt idx="214">
                  <c:v>250000</c:v>
                </c:pt>
                <c:pt idx="215">
                  <c:v>260000</c:v>
                </c:pt>
                <c:pt idx="216">
                  <c:v>270000</c:v>
                </c:pt>
                <c:pt idx="217">
                  <c:v>280000</c:v>
                </c:pt>
                <c:pt idx="218">
                  <c:v>290000</c:v>
                </c:pt>
                <c:pt idx="219">
                  <c:v>300000</c:v>
                </c:pt>
                <c:pt idx="220">
                  <c:v>310000</c:v>
                </c:pt>
                <c:pt idx="221">
                  <c:v>320000</c:v>
                </c:pt>
                <c:pt idx="222">
                  <c:v>330000</c:v>
                </c:pt>
                <c:pt idx="223">
                  <c:v>340000</c:v>
                </c:pt>
                <c:pt idx="224">
                  <c:v>350000</c:v>
                </c:pt>
                <c:pt idx="225">
                  <c:v>360000</c:v>
                </c:pt>
                <c:pt idx="226">
                  <c:v>370000</c:v>
                </c:pt>
                <c:pt idx="227">
                  <c:v>380000</c:v>
                </c:pt>
                <c:pt idx="228">
                  <c:v>390000</c:v>
                </c:pt>
                <c:pt idx="229">
                  <c:v>400000</c:v>
                </c:pt>
                <c:pt idx="230">
                  <c:v>410000</c:v>
                </c:pt>
                <c:pt idx="231">
                  <c:v>420000</c:v>
                </c:pt>
                <c:pt idx="232">
                  <c:v>430000</c:v>
                </c:pt>
                <c:pt idx="233">
                  <c:v>440000</c:v>
                </c:pt>
                <c:pt idx="234">
                  <c:v>450000</c:v>
                </c:pt>
                <c:pt idx="235">
                  <c:v>460000</c:v>
                </c:pt>
                <c:pt idx="236">
                  <c:v>470000</c:v>
                </c:pt>
                <c:pt idx="237">
                  <c:v>480000</c:v>
                </c:pt>
                <c:pt idx="238">
                  <c:v>490000</c:v>
                </c:pt>
                <c:pt idx="239">
                  <c:v>500000</c:v>
                </c:pt>
                <c:pt idx="240">
                  <c:v>510000</c:v>
                </c:pt>
                <c:pt idx="241">
                  <c:v>520000</c:v>
                </c:pt>
                <c:pt idx="242">
                  <c:v>530000</c:v>
                </c:pt>
                <c:pt idx="243">
                  <c:v>540000</c:v>
                </c:pt>
                <c:pt idx="244">
                  <c:v>550000</c:v>
                </c:pt>
                <c:pt idx="245">
                  <c:v>560000</c:v>
                </c:pt>
                <c:pt idx="246">
                  <c:v>570000</c:v>
                </c:pt>
                <c:pt idx="247">
                  <c:v>580000</c:v>
                </c:pt>
                <c:pt idx="248">
                  <c:v>590000</c:v>
                </c:pt>
                <c:pt idx="249">
                  <c:v>600000</c:v>
                </c:pt>
                <c:pt idx="250">
                  <c:v>610000</c:v>
                </c:pt>
                <c:pt idx="251">
                  <c:v>620000</c:v>
                </c:pt>
                <c:pt idx="252">
                  <c:v>630000</c:v>
                </c:pt>
                <c:pt idx="253">
                  <c:v>640000</c:v>
                </c:pt>
                <c:pt idx="254">
                  <c:v>650000</c:v>
                </c:pt>
                <c:pt idx="255">
                  <c:v>660000</c:v>
                </c:pt>
                <c:pt idx="256">
                  <c:v>670000</c:v>
                </c:pt>
                <c:pt idx="257">
                  <c:v>680000</c:v>
                </c:pt>
                <c:pt idx="258">
                  <c:v>690000</c:v>
                </c:pt>
                <c:pt idx="259">
                  <c:v>700000</c:v>
                </c:pt>
                <c:pt idx="260">
                  <c:v>710000</c:v>
                </c:pt>
                <c:pt idx="261">
                  <c:v>720000</c:v>
                </c:pt>
                <c:pt idx="262">
                  <c:v>730000</c:v>
                </c:pt>
                <c:pt idx="263">
                  <c:v>740000</c:v>
                </c:pt>
                <c:pt idx="264">
                  <c:v>750000</c:v>
                </c:pt>
                <c:pt idx="265">
                  <c:v>760000</c:v>
                </c:pt>
                <c:pt idx="266">
                  <c:v>770000</c:v>
                </c:pt>
                <c:pt idx="267">
                  <c:v>780000</c:v>
                </c:pt>
                <c:pt idx="268">
                  <c:v>790000</c:v>
                </c:pt>
                <c:pt idx="269">
                  <c:v>800000</c:v>
                </c:pt>
                <c:pt idx="270">
                  <c:v>810000</c:v>
                </c:pt>
                <c:pt idx="271">
                  <c:v>820000</c:v>
                </c:pt>
                <c:pt idx="272">
                  <c:v>830000</c:v>
                </c:pt>
                <c:pt idx="273">
                  <c:v>840000</c:v>
                </c:pt>
                <c:pt idx="274">
                  <c:v>850000</c:v>
                </c:pt>
                <c:pt idx="275">
                  <c:v>860000</c:v>
                </c:pt>
                <c:pt idx="276">
                  <c:v>870000</c:v>
                </c:pt>
                <c:pt idx="277">
                  <c:v>880000</c:v>
                </c:pt>
                <c:pt idx="278">
                  <c:v>890000</c:v>
                </c:pt>
                <c:pt idx="279">
                  <c:v>900000</c:v>
                </c:pt>
                <c:pt idx="280">
                  <c:v>910000</c:v>
                </c:pt>
                <c:pt idx="281">
                  <c:v>920000</c:v>
                </c:pt>
                <c:pt idx="282">
                  <c:v>930000</c:v>
                </c:pt>
                <c:pt idx="283">
                  <c:v>940000</c:v>
                </c:pt>
                <c:pt idx="284">
                  <c:v>950000</c:v>
                </c:pt>
                <c:pt idx="285">
                  <c:v>960000</c:v>
                </c:pt>
                <c:pt idx="286">
                  <c:v>970000</c:v>
                </c:pt>
                <c:pt idx="287">
                  <c:v>980000</c:v>
                </c:pt>
                <c:pt idx="288">
                  <c:v>990000</c:v>
                </c:pt>
                <c:pt idx="289">
                  <c:v>1000000</c:v>
                </c:pt>
                <c:pt idx="290">
                  <c:v>1100000</c:v>
                </c:pt>
                <c:pt idx="291">
                  <c:v>1200000</c:v>
                </c:pt>
                <c:pt idx="292">
                  <c:v>1300000</c:v>
                </c:pt>
                <c:pt idx="293">
                  <c:v>1400000</c:v>
                </c:pt>
                <c:pt idx="294">
                  <c:v>1500000</c:v>
                </c:pt>
                <c:pt idx="295">
                  <c:v>1600000</c:v>
                </c:pt>
                <c:pt idx="296">
                  <c:v>1700000</c:v>
                </c:pt>
                <c:pt idx="297">
                  <c:v>1800000</c:v>
                </c:pt>
                <c:pt idx="298">
                  <c:v>1900000</c:v>
                </c:pt>
                <c:pt idx="299">
                  <c:v>2000000</c:v>
                </c:pt>
                <c:pt idx="300">
                  <c:v>2100000</c:v>
                </c:pt>
                <c:pt idx="301">
                  <c:v>2200000</c:v>
                </c:pt>
                <c:pt idx="302">
                  <c:v>2300000</c:v>
                </c:pt>
                <c:pt idx="303">
                  <c:v>2400000</c:v>
                </c:pt>
                <c:pt idx="304">
                  <c:v>2500000</c:v>
                </c:pt>
                <c:pt idx="305">
                  <c:v>2600000</c:v>
                </c:pt>
                <c:pt idx="306">
                  <c:v>2700000</c:v>
                </c:pt>
                <c:pt idx="307">
                  <c:v>2800000</c:v>
                </c:pt>
                <c:pt idx="308">
                  <c:v>2900000</c:v>
                </c:pt>
                <c:pt idx="309">
                  <c:v>3000000</c:v>
                </c:pt>
                <c:pt idx="310">
                  <c:v>3100000</c:v>
                </c:pt>
                <c:pt idx="311">
                  <c:v>3200000</c:v>
                </c:pt>
                <c:pt idx="312">
                  <c:v>3300000</c:v>
                </c:pt>
                <c:pt idx="313">
                  <c:v>3400000</c:v>
                </c:pt>
                <c:pt idx="314">
                  <c:v>3500000</c:v>
                </c:pt>
                <c:pt idx="315">
                  <c:v>3600000</c:v>
                </c:pt>
                <c:pt idx="316">
                  <c:v>3700000</c:v>
                </c:pt>
                <c:pt idx="317">
                  <c:v>3800000</c:v>
                </c:pt>
                <c:pt idx="318">
                  <c:v>3900000</c:v>
                </c:pt>
                <c:pt idx="319">
                  <c:v>4000000</c:v>
                </c:pt>
                <c:pt idx="320">
                  <c:v>4100000</c:v>
                </c:pt>
                <c:pt idx="321">
                  <c:v>4200000</c:v>
                </c:pt>
                <c:pt idx="322">
                  <c:v>4300000</c:v>
                </c:pt>
                <c:pt idx="323">
                  <c:v>4400000</c:v>
                </c:pt>
                <c:pt idx="324">
                  <c:v>4500000</c:v>
                </c:pt>
                <c:pt idx="325">
                  <c:v>4600000</c:v>
                </c:pt>
                <c:pt idx="326">
                  <c:v>4700000</c:v>
                </c:pt>
                <c:pt idx="327">
                  <c:v>4800000</c:v>
                </c:pt>
                <c:pt idx="328">
                  <c:v>4900000</c:v>
                </c:pt>
                <c:pt idx="329">
                  <c:v>5000000</c:v>
                </c:pt>
                <c:pt idx="330">
                  <c:v>5100000</c:v>
                </c:pt>
                <c:pt idx="331">
                  <c:v>5200000</c:v>
                </c:pt>
                <c:pt idx="332">
                  <c:v>5300000</c:v>
                </c:pt>
                <c:pt idx="333">
                  <c:v>5400000</c:v>
                </c:pt>
                <c:pt idx="334">
                  <c:v>5500000</c:v>
                </c:pt>
                <c:pt idx="335">
                  <c:v>5600000</c:v>
                </c:pt>
                <c:pt idx="336">
                  <c:v>5700000</c:v>
                </c:pt>
                <c:pt idx="337">
                  <c:v>5800000</c:v>
                </c:pt>
                <c:pt idx="338">
                  <c:v>5900000</c:v>
                </c:pt>
                <c:pt idx="339">
                  <c:v>6000000</c:v>
                </c:pt>
                <c:pt idx="340">
                  <c:v>6100000</c:v>
                </c:pt>
                <c:pt idx="341">
                  <c:v>6200000</c:v>
                </c:pt>
                <c:pt idx="342">
                  <c:v>6300000</c:v>
                </c:pt>
                <c:pt idx="343">
                  <c:v>6400000</c:v>
                </c:pt>
                <c:pt idx="344">
                  <c:v>6500000</c:v>
                </c:pt>
                <c:pt idx="345">
                  <c:v>6600000</c:v>
                </c:pt>
                <c:pt idx="346">
                  <c:v>6700000</c:v>
                </c:pt>
                <c:pt idx="347">
                  <c:v>6800000</c:v>
                </c:pt>
                <c:pt idx="348">
                  <c:v>6900000</c:v>
                </c:pt>
                <c:pt idx="349">
                  <c:v>7000000</c:v>
                </c:pt>
                <c:pt idx="350">
                  <c:v>7100000</c:v>
                </c:pt>
                <c:pt idx="351">
                  <c:v>7200000</c:v>
                </c:pt>
                <c:pt idx="352">
                  <c:v>7300000</c:v>
                </c:pt>
                <c:pt idx="353">
                  <c:v>7400000</c:v>
                </c:pt>
                <c:pt idx="354">
                  <c:v>7500000</c:v>
                </c:pt>
                <c:pt idx="355">
                  <c:v>7600000</c:v>
                </c:pt>
                <c:pt idx="356">
                  <c:v>7700000</c:v>
                </c:pt>
                <c:pt idx="357">
                  <c:v>7800000</c:v>
                </c:pt>
                <c:pt idx="358">
                  <c:v>7900000</c:v>
                </c:pt>
                <c:pt idx="359">
                  <c:v>8000000</c:v>
                </c:pt>
                <c:pt idx="360">
                  <c:v>8100000</c:v>
                </c:pt>
                <c:pt idx="361">
                  <c:v>8200000</c:v>
                </c:pt>
                <c:pt idx="362">
                  <c:v>8300000</c:v>
                </c:pt>
                <c:pt idx="363">
                  <c:v>8400000</c:v>
                </c:pt>
                <c:pt idx="364">
                  <c:v>8500000</c:v>
                </c:pt>
                <c:pt idx="365">
                  <c:v>8600000</c:v>
                </c:pt>
                <c:pt idx="366">
                  <c:v>8700000</c:v>
                </c:pt>
                <c:pt idx="367">
                  <c:v>8800000</c:v>
                </c:pt>
                <c:pt idx="368">
                  <c:v>8900000</c:v>
                </c:pt>
                <c:pt idx="369">
                  <c:v>9000000</c:v>
                </c:pt>
                <c:pt idx="370">
                  <c:v>9100000</c:v>
                </c:pt>
                <c:pt idx="371">
                  <c:v>9200000</c:v>
                </c:pt>
                <c:pt idx="372">
                  <c:v>9300000</c:v>
                </c:pt>
                <c:pt idx="373">
                  <c:v>9400000</c:v>
                </c:pt>
                <c:pt idx="374">
                  <c:v>9500000</c:v>
                </c:pt>
                <c:pt idx="375">
                  <c:v>9600000</c:v>
                </c:pt>
                <c:pt idx="376">
                  <c:v>9700000</c:v>
                </c:pt>
                <c:pt idx="377">
                  <c:v>9800000</c:v>
                </c:pt>
                <c:pt idx="378">
                  <c:v>9900000</c:v>
                </c:pt>
                <c:pt idx="379">
                  <c:v>10000000</c:v>
                </c:pt>
              </c:numCache>
            </c:numRef>
          </c:xVal>
          <c:yVal>
            <c:numRef>
              <c:f>'Loop Gain'!$R$2:$R$381</c:f>
              <c:numCache>
                <c:formatCode>General</c:formatCode>
                <c:ptCount val="380"/>
                <c:pt idx="0">
                  <c:v>-0.1492295182622366</c:v>
                </c:pt>
                <c:pt idx="1">
                  <c:v>-1.4919567154176316</c:v>
                </c:pt>
                <c:pt idx="2">
                  <c:v>-2.9818654691005984</c:v>
                </c:pt>
                <c:pt idx="3">
                  <c:v>-4.4676950410979925</c:v>
                </c:pt>
                <c:pt idx="4">
                  <c:v>-5.9474473543420094</c:v>
                </c:pt>
                <c:pt idx="5">
                  <c:v>-7.4191732072469527</c:v>
                </c:pt>
                <c:pt idx="6">
                  <c:v>-8.8809870349527671</c:v>
                </c:pt>
                <c:pt idx="7">
                  <c:v>-10.331080431927496</c:v>
                </c:pt>
                <c:pt idx="8">
                  <c:v>-11.767734212760416</c:v>
                </c:pt>
                <c:pt idx="9">
                  <c:v>-13.189328838166022</c:v>
                </c:pt>
                <c:pt idx="10">
                  <c:v>-14.594353086808546</c:v>
                </c:pt>
                <c:pt idx="11">
                  <c:v>-27.486658647668328</c:v>
                </c:pt>
                <c:pt idx="12">
                  <c:v>-37.926123705427685</c:v>
                </c:pt>
                <c:pt idx="13">
                  <c:v>-46.033016973704335</c:v>
                </c:pt>
                <c:pt idx="14">
                  <c:v>-52.26788882603924</c:v>
                </c:pt>
                <c:pt idx="15">
                  <c:v>-57.097878921513875</c:v>
                </c:pt>
                <c:pt idx="16">
                  <c:v>-60.893325829588271</c:v>
                </c:pt>
                <c:pt idx="17">
                  <c:v>-63.924588405579087</c:v>
                </c:pt>
                <c:pt idx="18">
                  <c:v>-66.384281898105911</c:v>
                </c:pt>
                <c:pt idx="19">
                  <c:v>-68.409615272953701</c:v>
                </c:pt>
                <c:pt idx="20">
                  <c:v>-70.099341834617448</c:v>
                </c:pt>
                <c:pt idx="21">
                  <c:v>-71.525578572320484</c:v>
                </c:pt>
                <c:pt idx="22">
                  <c:v>-72.741833071048063</c:v>
                </c:pt>
                <c:pt idx="23">
                  <c:v>-73.788438381377787</c:v>
                </c:pt>
                <c:pt idx="24">
                  <c:v>-74.696260116204144</c:v>
                </c:pt>
                <c:pt idx="25">
                  <c:v>-75.489255779688705</c:v>
                </c:pt>
                <c:pt idx="26">
                  <c:v>-76.186266672658633</c:v>
                </c:pt>
                <c:pt idx="27">
                  <c:v>-76.802290943494327</c:v>
                </c:pt>
                <c:pt idx="28">
                  <c:v>-77.349401184743414</c:v>
                </c:pt>
                <c:pt idx="29">
                  <c:v>-77.837415103024355</c:v>
                </c:pt>
                <c:pt idx="30">
                  <c:v>-78.274392245403078</c:v>
                </c:pt>
                <c:pt idx="31">
                  <c:v>-78.667006517804737</c:v>
                </c:pt>
                <c:pt idx="32">
                  <c:v>-79.020828846407966</c:v>
                </c:pt>
                <c:pt idx="33">
                  <c:v>-79.340544022239513</c:v>
                </c:pt>
                <c:pt idx="34">
                  <c:v>-79.630118769237797</c:v>
                </c:pt>
                <c:pt idx="35">
                  <c:v>-79.892933262713214</c:v>
                </c:pt>
                <c:pt idx="36">
                  <c:v>-80.131884973954627</c:v>
                </c:pt>
                <c:pt idx="37">
                  <c:v>-80.349471355448301</c:v>
                </c:pt>
                <c:pt idx="38">
                  <c:v>-80.547856198206418</c:v>
                </c:pt>
                <c:pt idx="39">
                  <c:v>-80.728923280014698</c:v>
                </c:pt>
                <c:pt idx="40">
                  <c:v>-80.894320040467207</c:v>
                </c:pt>
                <c:pt idx="41">
                  <c:v>-81.045493369426453</c:v>
                </c:pt>
                <c:pt idx="42">
                  <c:v>-81.183719113675579</c:v>
                </c:pt>
                <c:pt idx="43">
                  <c:v>-81.310126545688505</c:v>
                </c:pt>
                <c:pt idx="44">
                  <c:v>-81.425718765948758</c:v>
                </c:pt>
                <c:pt idx="45">
                  <c:v>-81.531389802814658</c:v>
                </c:pt>
                <c:pt idx="46">
                  <c:v>-81.627939014823539</c:v>
                </c:pt>
                <c:pt idx="47">
                  <c:v>-81.716083277407535</c:v>
                </c:pt>
                <c:pt idx="48">
                  <c:v>-81.796467340370938</c:v>
                </c:pt>
                <c:pt idx="49">
                  <c:v>-81.869672667613386</c:v>
                </c:pt>
                <c:pt idx="50">
                  <c:v>-81.936225011595639</c:v>
                </c:pt>
                <c:pt idx="51">
                  <c:v>-81.996600928294612</c:v>
                </c:pt>
                <c:pt idx="52">
                  <c:v>-82.051233401136059</c:v>
                </c:pt>
                <c:pt idx="53">
                  <c:v>-82.100516712532098</c:v>
                </c:pt>
                <c:pt idx="54">
                  <c:v>-82.144810677603942</c:v>
                </c:pt>
                <c:pt idx="55">
                  <c:v>-82.184444335197568</c:v>
                </c:pt>
                <c:pt idx="56">
                  <c:v>-82.219719175472449</c:v>
                </c:pt>
                <c:pt idx="57">
                  <c:v>-82.25091197040372</c:v>
                </c:pt>
                <c:pt idx="58">
                  <c:v>-82.278277262928597</c:v>
                </c:pt>
                <c:pt idx="59">
                  <c:v>-82.30204956171967</c:v>
                </c:pt>
                <c:pt idx="60">
                  <c:v>-82.322445281337423</c:v>
                </c:pt>
                <c:pt idx="61">
                  <c:v>-82.339664461504583</c:v>
                </c:pt>
                <c:pt idx="62">
                  <c:v>-82.353892294240438</c:v>
                </c:pt>
                <c:pt idx="63">
                  <c:v>-82.365300483403217</c:v>
                </c:pt>
                <c:pt idx="64">
                  <c:v>-82.374048457678086</c:v>
                </c:pt>
                <c:pt idx="65">
                  <c:v>-82.380284455084265</c:v>
                </c:pt>
                <c:pt idx="66">
                  <c:v>-82.384146494578474</c:v>
                </c:pt>
                <c:pt idx="67">
                  <c:v>-82.385763248212328</c:v>
                </c:pt>
                <c:pt idx="68">
                  <c:v>-82.385254825501335</c:v>
                </c:pt>
                <c:pt idx="69">
                  <c:v>-82.382733480130042</c:v>
                </c:pt>
                <c:pt idx="70">
                  <c:v>-82.378304247805943</c:v>
                </c:pt>
                <c:pt idx="71">
                  <c:v>-82.372065522952056</c:v>
                </c:pt>
                <c:pt idx="72">
                  <c:v>-82.364109580963813</c:v>
                </c:pt>
                <c:pt idx="73">
                  <c:v>-82.354523051922996</c:v>
                </c:pt>
                <c:pt idx="74">
                  <c:v>-82.343387350947168</c:v>
                </c:pt>
                <c:pt idx="75">
                  <c:v>-82.330779069729019</c:v>
                </c:pt>
                <c:pt idx="76">
                  <c:v>-82.316770333284097</c:v>
                </c:pt>
                <c:pt idx="77">
                  <c:v>-82.301429125456565</c:v>
                </c:pt>
                <c:pt idx="78">
                  <c:v>-82.284819586324971</c:v>
                </c:pt>
                <c:pt idx="79">
                  <c:v>-82.267002284295415</c:v>
                </c:pt>
                <c:pt idx="80">
                  <c:v>-82.248034465356184</c:v>
                </c:pt>
                <c:pt idx="81">
                  <c:v>-82.227970281698347</c:v>
                </c:pt>
                <c:pt idx="82">
                  <c:v>-82.206861001665061</c:v>
                </c:pt>
                <c:pt idx="83">
                  <c:v>-82.18475520278264</c:v>
                </c:pt>
                <c:pt idx="84">
                  <c:v>-82.161698949441401</c:v>
                </c:pt>
                <c:pt idx="85">
                  <c:v>-82.137735956630422</c:v>
                </c:pt>
                <c:pt idx="86">
                  <c:v>-82.112907740985165</c:v>
                </c:pt>
                <c:pt idx="87">
                  <c:v>-82.087253760278813</c:v>
                </c:pt>
                <c:pt idx="88">
                  <c:v>-82.06081154237539</c:v>
                </c:pt>
                <c:pt idx="89">
                  <c:v>-82.033616804561092</c:v>
                </c:pt>
                <c:pt idx="90">
                  <c:v>-82.005703564078857</c:v>
                </c:pt>
                <c:pt idx="91">
                  <c:v>-81.977104240615589</c:v>
                </c:pt>
                <c:pt idx="92">
                  <c:v>-81.947849751412832</c:v>
                </c:pt>
                <c:pt idx="93">
                  <c:v>-81.917969599616896</c:v>
                </c:pt>
                <c:pt idx="94">
                  <c:v>-81.887491956417875</c:v>
                </c:pt>
                <c:pt idx="95">
                  <c:v>-81.856443737483701</c:v>
                </c:pt>
                <c:pt idx="96">
                  <c:v>-81.82485067414396</c:v>
                </c:pt>
                <c:pt idx="97">
                  <c:v>-81.792737379739975</c:v>
                </c:pt>
                <c:pt idx="98">
                  <c:v>-81.760127411519264</c:v>
                </c:pt>
                <c:pt idx="99">
                  <c:v>-81.727043328419143</c:v>
                </c:pt>
                <c:pt idx="100">
                  <c:v>-81.693506745055458</c:v>
                </c:pt>
                <c:pt idx="101">
                  <c:v>-81.65953838220122</c:v>
                </c:pt>
                <c:pt idx="102">
                  <c:v>-81.625158114021914</c:v>
                </c:pt>
                <c:pt idx="103">
                  <c:v>-81.590385012304992</c:v>
                </c:pt>
                <c:pt idx="104">
                  <c:v>-81.555237387905095</c:v>
                </c:pt>
                <c:pt idx="105">
                  <c:v>-81.519732829608884</c:v>
                </c:pt>
                <c:pt idx="106">
                  <c:v>-81.483888240601914</c:v>
                </c:pt>
                <c:pt idx="107">
                  <c:v>-81.447719872711005</c:v>
                </c:pt>
                <c:pt idx="108">
                  <c:v>-81.41124335857738</c:v>
                </c:pt>
                <c:pt idx="109">
                  <c:v>-81.374473741905732</c:v>
                </c:pt>
                <c:pt idx="110">
                  <c:v>-80.993597784316108</c:v>
                </c:pt>
                <c:pt idx="111">
                  <c:v>-80.596500690364763</c:v>
                </c:pt>
                <c:pt idx="112">
                  <c:v>-80.191766464797865</c:v>
                </c:pt>
                <c:pt idx="113">
                  <c:v>-79.785682275324305</c:v>
                </c:pt>
                <c:pt idx="114">
                  <c:v>-79.382963128578965</c:v>
                </c:pt>
                <c:pt idx="115">
                  <c:v>-78.987206829287999</c:v>
                </c:pt>
                <c:pt idx="116">
                  <c:v>-78.601190516126081</c:v>
                </c:pt>
                <c:pt idx="117">
                  <c:v>-78.22707060796472</c:v>
                </c:pt>
                <c:pt idx="118">
                  <c:v>-77.866521920643635</c:v>
                </c:pt>
                <c:pt idx="119">
                  <c:v>-77.520837358619417</c:v>
                </c:pt>
                <c:pt idx="120">
                  <c:v>-77.191001379231679</c:v>
                </c:pt>
                <c:pt idx="121">
                  <c:v>-76.877745580308883</c:v>
                </c:pt>
                <c:pt idx="122">
                  <c:v>-76.581591816421508</c:v>
                </c:pt>
                <c:pt idx="123">
                  <c:v>-76.302886414226592</c:v>
                </c:pt>
                <c:pt idx="124">
                  <c:v>-76.04182788921311</c:v>
                </c:pt>
                <c:pt idx="125">
                  <c:v>-75.798489808284131</c:v>
                </c:pt>
                <c:pt idx="126">
                  <c:v>-75.572839942672218</c:v>
                </c:pt>
                <c:pt idx="127">
                  <c:v>-75.36475652107184</c:v>
                </c:pt>
                <c:pt idx="128">
                  <c:v>-75.174042165973901</c:v>
                </c:pt>
                <c:pt idx="129">
                  <c:v>-75.000435940512958</c:v>
                </c:pt>
                <c:pt idx="130">
                  <c:v>-74.843623825135069</c:v>
                </c:pt>
                <c:pt idx="131">
                  <c:v>-74.703247867628718</c:v>
                </c:pt>
                <c:pt idx="132">
                  <c:v>-74.578914196329862</c:v>
                </c:pt>
                <c:pt idx="133">
                  <c:v>-74.470200047691463</c:v>
                </c:pt>
                <c:pt idx="134">
                  <c:v>-74.376659931304516</c:v>
                </c:pt>
                <c:pt idx="135">
                  <c:v>-74.297831034628203</c:v>
                </c:pt>
                <c:pt idx="136">
                  <c:v>-74.233237954002206</c:v>
                </c:pt>
                <c:pt idx="137">
                  <c:v>-74.182396826420586</c:v>
                </c:pt>
                <c:pt idx="138">
                  <c:v>-74.144818927038045</c:v>
                </c:pt>
                <c:pt idx="139">
                  <c:v>-74.120013789696714</c:v>
                </c:pt>
                <c:pt idx="140">
                  <c:v>-74.107491901427707</c:v>
                </c:pt>
                <c:pt idx="141">
                  <c:v>-74.106767016534675</c:v>
                </c:pt>
                <c:pt idx="142">
                  <c:v>-74.117358131252729</c:v>
                </c:pt>
                <c:pt idx="143">
                  <c:v>-74.138791155951395</c:v>
                </c:pt>
                <c:pt idx="144">
                  <c:v>-74.170600318259858</c:v>
                </c:pt>
                <c:pt idx="145">
                  <c:v>-74.212329327292323</c:v>
                </c:pt>
                <c:pt idx="146">
                  <c:v>-74.263532326236046</c:v>
                </c:pt>
                <c:pt idx="147">
                  <c:v>-74.323774657941968</c:v>
                </c:pt>
                <c:pt idx="148">
                  <c:v>-74.392633465738712</c:v>
                </c:pt>
                <c:pt idx="149">
                  <c:v>-74.469698149514755</c:v>
                </c:pt>
                <c:pt idx="150">
                  <c:v>-74.554570695089581</c:v>
                </c:pt>
                <c:pt idx="151">
                  <c:v>-74.646865893080061</c:v>
                </c:pt>
                <c:pt idx="152">
                  <c:v>-74.746211461785521</c:v>
                </c:pt>
                <c:pt idx="153">
                  <c:v>-74.852248087097308</c:v>
                </c:pt>
                <c:pt idx="154">
                  <c:v>-74.96462939104903</c:v>
                </c:pt>
                <c:pt idx="155">
                  <c:v>-75.083021839363639</c:v>
                </c:pt>
                <c:pt idx="156">
                  <c:v>-75.207104597211455</c:v>
                </c:pt>
                <c:pt idx="157">
                  <c:v>-75.336569341357091</c:v>
                </c:pt>
                <c:pt idx="158">
                  <c:v>-75.471120035933694</c:v>
                </c:pt>
                <c:pt idx="159">
                  <c:v>-75.610472678251398</c:v>
                </c:pt>
                <c:pt idx="160">
                  <c:v>-75.75435502026636</c:v>
                </c:pt>
                <c:pt idx="161">
                  <c:v>-75.902506270673896</c:v>
                </c:pt>
                <c:pt idx="162">
                  <c:v>-76.054676781964659</c:v>
                </c:pt>
                <c:pt idx="163">
                  <c:v>-76.210627726237206</c:v>
                </c:pt>
                <c:pt idx="164">
                  <c:v>-76.370130763066726</c:v>
                </c:pt>
                <c:pt idx="165">
                  <c:v>-76.532967702299302</c:v>
                </c:pt>
                <c:pt idx="166">
                  <c:v>-76.698930164239968</c:v>
                </c:pt>
                <c:pt idx="167">
                  <c:v>-76.867819239365929</c:v>
                </c:pt>
                <c:pt idx="168">
                  <c:v>-77.039445149380285</c:v>
                </c:pt>
                <c:pt idx="169">
                  <c:v>-77.21362691115624</c:v>
                </c:pt>
                <c:pt idx="170">
                  <c:v>-77.390192004869348</c:v>
                </c:pt>
                <c:pt idx="171">
                  <c:v>-77.568976047420207</c:v>
                </c:pt>
                <c:pt idx="172">
                  <c:v>-77.749822472037323</c:v>
                </c:pt>
                <c:pt idx="173">
                  <c:v>-77.932582214811504</c:v>
                </c:pt>
                <c:pt idx="174">
                  <c:v>-78.117113408746576</c:v>
                </c:pt>
                <c:pt idx="175">
                  <c:v>-78.303281085799128</c:v>
                </c:pt>
                <c:pt idx="176">
                  <c:v>-78.490956887261305</c:v>
                </c:pt>
                <c:pt idx="177">
                  <c:v>-78.680018782748519</c:v>
                </c:pt>
                <c:pt idx="178">
                  <c:v>-78.870350797969522</c:v>
                </c:pt>
                <c:pt idx="179">
                  <c:v>-79.061842751386209</c:v>
                </c:pt>
                <c:pt idx="180">
                  <c:v>-79.25438999980193</c:v>
                </c:pt>
                <c:pt idx="181">
                  <c:v>-79.447893192877672</c:v>
                </c:pt>
                <c:pt idx="182">
                  <c:v>-79.642258036512246</c:v>
                </c:pt>
                <c:pt idx="183">
                  <c:v>-79.837395065005154</c:v>
                </c:pt>
                <c:pt idx="184">
                  <c:v>-80.033219421866278</c:v>
                </c:pt>
                <c:pt idx="185">
                  <c:v>-80.229650649134015</c:v>
                </c:pt>
                <c:pt idx="186">
                  <c:v>-80.426612485019191</c:v>
                </c:pt>
                <c:pt idx="187">
                  <c:v>-80.624032669689498</c:v>
                </c:pt>
                <c:pt idx="188">
                  <c:v>-80.821842758992034</c:v>
                </c:pt>
                <c:pt idx="189">
                  <c:v>-81.019977945893942</c:v>
                </c:pt>
                <c:pt idx="190">
                  <c:v>-81.218376889421364</c:v>
                </c:pt>
                <c:pt idx="191">
                  <c:v>-81.416981550866311</c:v>
                </c:pt>
                <c:pt idx="192">
                  <c:v>-81.615737037029547</c:v>
                </c:pt>
                <c:pt idx="193">
                  <c:v>-81.814591450266107</c:v>
                </c:pt>
                <c:pt idx="194">
                  <c:v>-82.013495745091134</c:v>
                </c:pt>
                <c:pt idx="195">
                  <c:v>-82.212403591124556</c:v>
                </c:pt>
                <c:pt idx="196">
                  <c:v>-82.411271242129928</c:v>
                </c:pt>
                <c:pt idx="197">
                  <c:v>-82.610057410924924</c:v>
                </c:pt>
                <c:pt idx="198">
                  <c:v>-82.808723149934892</c:v>
                </c:pt>
                <c:pt idx="199">
                  <c:v>-83.007231737171182</c:v>
                </c:pt>
                <c:pt idx="200">
                  <c:v>-84.976983176428064</c:v>
                </c:pt>
                <c:pt idx="201">
                  <c:v>-86.903537561978538</c:v>
                </c:pt>
                <c:pt idx="202">
                  <c:v>-88.773783593677607</c:v>
                </c:pt>
                <c:pt idx="203">
                  <c:v>-90.582052560164655</c:v>
                </c:pt>
                <c:pt idx="204">
                  <c:v>-92.326986720219068</c:v>
                </c:pt>
                <c:pt idx="205">
                  <c:v>-94.009645971473049</c:v>
                </c:pt>
                <c:pt idx="206">
                  <c:v>-95.632371489420052</c:v>
                </c:pt>
                <c:pt idx="207">
                  <c:v>-97.198110492944352</c:v>
                </c:pt>
                <c:pt idx="208">
                  <c:v>-98.710021424791847</c:v>
                </c:pt>
                <c:pt idx="209">
                  <c:v>-100.17124931394683</c:v>
                </c:pt>
                <c:pt idx="210">
                  <c:v>-101.58480401475083</c:v>
                </c:pt>
                <c:pt idx="211">
                  <c:v>-102.95350015957835</c:v>
                </c:pt>
                <c:pt idx="212">
                  <c:v>-104.27993361922042</c:v>
                </c:pt>
                <c:pt idx="213">
                  <c:v>-105.56647903991509</c:v>
                </c:pt>
                <c:pt idx="214">
                  <c:v>-106.81529903593263</c:v>
                </c:pt>
                <c:pt idx="215">
                  <c:v>-108.02835932375007</c:v>
                </c:pt>
                <c:pt idx="216">
                  <c:v>-109.20744637530269</c:v>
                </c:pt>
                <c:pt idx="217">
                  <c:v>-110.35418558465956</c:v>
                </c:pt>
                <c:pt idx="218">
                  <c:v>-111.47005881657948</c:v>
                </c:pt>
                <c:pt idx="219">
                  <c:v>-112.55642074150194</c:v>
                </c:pt>
                <c:pt idx="220">
                  <c:v>-113.61451368666084</c:v>
                </c:pt>
                <c:pt idx="221">
                  <c:v>-114.64548092639195</c:v>
                </c:pt>
                <c:pt idx="222">
                  <c:v>-115.65037844599991</c:v>
                </c:pt>
                <c:pt idx="223">
                  <c:v>-116.630185273931</c:v>
                </c:pt>
                <c:pt idx="224">
                  <c:v>-117.58581250615373</c:v>
                </c:pt>
                <c:pt idx="225">
                  <c:v>-118.5181111569478</c:v>
                </c:pt>
                <c:pt idx="226">
                  <c:v>-119.42787896955004</c:v>
                </c:pt>
                <c:pt idx="227">
                  <c:v>-120.31586631317306</c:v>
                </c:pt>
                <c:pt idx="228">
                  <c:v>-121.18278128284915</c:v>
                </c:pt>
                <c:pt idx="229">
                  <c:v>-122.029294107179</c:v>
                </c:pt>
                <c:pt idx="230">
                  <c:v>-122.85604095752508</c:v>
                </c:pt>
                <c:pt idx="231">
                  <c:v>-123.66362724108254</c:v>
                </c:pt>
                <c:pt idx="232">
                  <c:v>-124.45263044994627</c:v>
                </c:pt>
                <c:pt idx="233">
                  <c:v>-125.22360262892671</c:v>
                </c:pt>
                <c:pt idx="234">
                  <c:v>-125.9770725164646</c:v>
                </c:pt>
                <c:pt idx="235">
                  <c:v>-126.71354740557865</c:v>
                </c:pt>
                <c:pt idx="236">
                  <c:v>-127.43351476525299</c:v>
                </c:pt>
                <c:pt idx="237">
                  <c:v>-128.13744365697792</c:v>
                </c:pt>
                <c:pt idx="238">
                  <c:v>-128.82578597620906</c:v>
                </c:pt>
                <c:pt idx="239">
                  <c:v>-129.49897754423498</c:v>
                </c:pt>
                <c:pt idx="240">
                  <c:v>-130.15743907223472</c:v>
                </c:pt>
                <c:pt idx="241">
                  <c:v>-130.80157701613513</c:v>
                </c:pt>
                <c:pt idx="242">
                  <c:v>-131.43178433813412</c:v>
                </c:pt>
                <c:pt idx="243">
                  <c:v>-132.04844118841024</c:v>
                </c:pt>
                <c:pt idx="244">
                  <c:v>-132.65191551852828</c:v>
                </c:pt>
                <c:pt idx="245">
                  <c:v>-133.24256363633086</c:v>
                </c:pt>
                <c:pt idx="246">
                  <c:v>-133.82073071062572</c:v>
                </c:pt>
                <c:pt idx="247">
                  <c:v>-134.38675123273947</c:v>
                </c:pt>
                <c:pt idx="248">
                  <c:v>-134.94094944091472</c:v>
                </c:pt>
                <c:pt idx="249">
                  <c:v>-135.48363971264078</c:v>
                </c:pt>
                <c:pt idx="250">
                  <c:v>-136.01512692920443</c:v>
                </c:pt>
                <c:pt idx="251">
                  <c:v>-136.53570681611106</c:v>
                </c:pt>
                <c:pt idx="252">
                  <c:v>-137.04566626245006</c:v>
                </c:pt>
                <c:pt idx="253">
                  <c:v>-137.54528362180636</c:v>
                </c:pt>
                <c:pt idx="254">
                  <c:v>-138.03482899692409</c:v>
                </c:pt>
                <c:pt idx="255">
                  <c:v>-138.51456450997458</c:v>
                </c:pt>
                <c:pt idx="256">
                  <c:v>-138.98474456000474</c:v>
                </c:pt>
                <c:pt idx="257">
                  <c:v>-139.4456160688909</c:v>
                </c:pt>
                <c:pt idx="258">
                  <c:v>-139.89741871691888</c:v>
                </c:pt>
                <c:pt idx="259">
                  <c:v>-140.34038516894373</c:v>
                </c:pt>
                <c:pt idx="260">
                  <c:v>-140.77474129192802</c:v>
                </c:pt>
                <c:pt idx="261">
                  <c:v>-141.20070636454685</c:v>
                </c:pt>
                <c:pt idx="262">
                  <c:v>-141.61849327943634</c:v>
                </c:pt>
                <c:pt idx="263">
                  <c:v>-142.02830873857954</c:v>
                </c:pt>
                <c:pt idx="264">
                  <c:v>-142.43035344225831</c:v>
                </c:pt>
                <c:pt idx="265">
                  <c:v>-142.82482227193125</c:v>
                </c:pt>
                <c:pt idx="266">
                  <c:v>-143.21190446735443</c:v>
                </c:pt>
                <c:pt idx="267">
                  <c:v>-143.59178379821969</c:v>
                </c:pt>
                <c:pt idx="268">
                  <c:v>-143.96463873054884</c:v>
                </c:pt>
                <c:pt idx="269">
                  <c:v>-144.33064258805933</c:v>
                </c:pt>
                <c:pt idx="270">
                  <c:v>-144.68996370868555</c:v>
                </c:pt>
                <c:pt idx="271">
                  <c:v>-145.04276559643171</c:v>
                </c:pt>
                <c:pt idx="272">
                  <c:v>-145.38920706870405</c:v>
                </c:pt>
                <c:pt idx="273">
                  <c:v>-145.72944239927128</c:v>
                </c:pt>
                <c:pt idx="274">
                  <c:v>-146.06362145697787</c:v>
                </c:pt>
                <c:pt idx="275">
                  <c:v>-146.39188984033572</c:v>
                </c:pt>
                <c:pt idx="276">
                  <c:v>-146.71438900811003</c:v>
                </c:pt>
                <c:pt idx="277">
                  <c:v>-147.03125640600598</c:v>
                </c:pt>
                <c:pt idx="278">
                  <c:v>-147.34262558956448</c:v>
                </c:pt>
                <c:pt idx="279">
                  <c:v>-147.64862634336413</c:v>
                </c:pt>
                <c:pt idx="280">
                  <c:v>-147.94938479662912</c:v>
                </c:pt>
                <c:pt idx="281">
                  <c:v>-148.24502353533632</c:v>
                </c:pt>
                <c:pt idx="282">
                  <c:v>-148.53566171091356</c:v>
                </c:pt>
                <c:pt idx="283">
                  <c:v>-148.82141514562002</c:v>
                </c:pt>
                <c:pt idx="284">
                  <c:v>-149.10239643469404</c:v>
                </c:pt>
                <c:pt idx="285">
                  <c:v>-149.37871504535843</c:v>
                </c:pt>
                <c:pt idx="286">
                  <c:v>-149.65047741276484</c:v>
                </c:pt>
                <c:pt idx="287">
                  <c:v>-149.91778703295992</c:v>
                </c:pt>
                <c:pt idx="288">
                  <c:v>-150.18074455295928</c:v>
                </c:pt>
                <c:pt idx="289">
                  <c:v>-150.43944785800309</c:v>
                </c:pt>
                <c:pt idx="290">
                  <c:v>-152.8122206532467</c:v>
                </c:pt>
                <c:pt idx="291">
                  <c:v>-154.84967645653924</c:v>
                </c:pt>
                <c:pt idx="292">
                  <c:v>-156.61516147799267</c:v>
                </c:pt>
                <c:pt idx="293">
                  <c:v>-158.1576934411396</c:v>
                </c:pt>
                <c:pt idx="294">
                  <c:v>-159.51561300108196</c:v>
                </c:pt>
                <c:pt idx="295">
                  <c:v>-160.71922925465347</c:v>
                </c:pt>
                <c:pt idx="296">
                  <c:v>-161.79274876158397</c:v>
                </c:pt>
                <c:pt idx="297">
                  <c:v>-162.75569370959951</c:v>
                </c:pt>
                <c:pt idx="298">
                  <c:v>-163.6239541264558</c:v>
                </c:pt>
                <c:pt idx="299">
                  <c:v>-164.41057611261502</c:v>
                </c:pt>
                <c:pt idx="300">
                  <c:v>-165.1263580749754</c:v>
                </c:pt>
                <c:pt idx="301">
                  <c:v>-165.78030606146714</c:v>
                </c:pt>
                <c:pt idx="302">
                  <c:v>-166.37998473912387</c:v>
                </c:pt>
                <c:pt idx="303">
                  <c:v>-166.93179036372638</c:v>
                </c:pt>
                <c:pt idx="304">
                  <c:v>-167.44116490415951</c:v>
                </c:pt>
                <c:pt idx="305">
                  <c:v>-167.9127653826902</c:v>
                </c:pt>
                <c:pt idx="306">
                  <c:v>-168.35059884006139</c:v>
                </c:pt>
                <c:pt idx="307">
                  <c:v>-168.75813069766798</c:v>
                </c:pt>
                <c:pt idx="308">
                  <c:v>-169.13837236946821</c:v>
                </c:pt>
                <c:pt idx="309">
                  <c:v>-169.49395256688598</c:v>
                </c:pt>
                <c:pt idx="310">
                  <c:v>-169.82717569657751</c:v>
                </c:pt>
                <c:pt idx="311">
                  <c:v>-170.14006997227673</c:v>
                </c:pt>
                <c:pt idx="312">
                  <c:v>-170.43442727628036</c:v>
                </c:pt>
                <c:pt idx="313">
                  <c:v>-170.71183636231456</c:v>
                </c:pt>
                <c:pt idx="314">
                  <c:v>-170.97371065274027</c:v>
                </c:pt>
                <c:pt idx="315">
                  <c:v>-171.22131162264429</c:v>
                </c:pt>
                <c:pt idx="316">
                  <c:v>-171.45576856184172</c:v>
                </c:pt>
                <c:pt idx="317">
                  <c:v>-171.67809534886632</c:v>
                </c:pt>
                <c:pt idx="318">
                  <c:v>-171.88920474803632</c:v>
                </c:pt>
                <c:pt idx="319">
                  <c:v>-172.08992064373066</c:v>
                </c:pt>
                <c:pt idx="320">
                  <c:v>-172.28098854914981</c:v>
                </c:pt>
                <c:pt idx="321">
                  <c:v>-172.46308466557556</c:v>
                </c:pt>
                <c:pt idx="322">
                  <c:v>-172.63682371905651</c:v>
                </c:pt>
                <c:pt idx="323">
                  <c:v>-172.80276576191861</c:v>
                </c:pt>
                <c:pt idx="324">
                  <c:v>-172.96142209452225</c:v>
                </c:pt>
                <c:pt idx="325">
                  <c:v>-173.11326043668544</c:v>
                </c:pt>
                <c:pt idx="326">
                  <c:v>-173.25870945697324</c:v>
                </c:pt>
                <c:pt idx="327">
                  <c:v>-173.39816275064604</c:v>
                </c:pt>
                <c:pt idx="328">
                  <c:v>-173.53198234273313</c:v>
                </c:pt>
                <c:pt idx="329">
                  <c:v>-173.66050178085629</c:v>
                </c:pt>
                <c:pt idx="330">
                  <c:v>-173.78402887259978</c:v>
                </c:pt>
                <c:pt idx="331">
                  <c:v>-173.90284811404436</c:v>
                </c:pt>
                <c:pt idx="332">
                  <c:v>-174.01722284924409</c:v>
                </c:pt>
                <c:pt idx="333">
                  <c:v>-174.12739719469201</c:v>
                </c:pt>
                <c:pt idx="334">
                  <c:v>-174.23359775799963</c:v>
                </c:pt>
                <c:pt idx="335">
                  <c:v>-174.33603517594523</c:v>
                </c:pt>
                <c:pt idx="336">
                  <c:v>-174.43490549359964</c:v>
                </c:pt>
                <c:pt idx="337">
                  <c:v>-174.53039140331725</c:v>
                </c:pt>
                <c:pt idx="338">
                  <c:v>-174.62266335988721</c:v>
                </c:pt>
                <c:pt idx="339">
                  <c:v>-174.7118805860166</c:v>
                </c:pt>
                <c:pt idx="340">
                  <c:v>-174.79819198049736</c:v>
                </c:pt>
                <c:pt idx="341">
                  <c:v>-174.88173693984669</c:v>
                </c:pt>
                <c:pt idx="342">
                  <c:v>-174.96264610286929</c:v>
                </c:pt>
                <c:pt idx="343">
                  <c:v>-175.04104202642975</c:v>
                </c:pt>
                <c:pt idx="344">
                  <c:v>-175.11703979972353</c:v>
                </c:pt>
                <c:pt idx="345">
                  <c:v>-175.19074760346572</c:v>
                </c:pt>
                <c:pt idx="346">
                  <c:v>-175.26226721966523</c:v>
                </c:pt>
                <c:pt idx="347">
                  <c:v>-175.33169449699636</c:v>
                </c:pt>
                <c:pt idx="348">
                  <c:v>-175.39911977620562</c:v>
                </c:pt>
                <c:pt idx="349">
                  <c:v>-175.46462827949756</c:v>
                </c:pt>
                <c:pt idx="350">
                  <c:v>-175.5283004673997</c:v>
                </c:pt>
                <c:pt idx="351">
                  <c:v>-175.590212366229</c:v>
                </c:pt>
                <c:pt idx="352">
                  <c:v>-175.65043586894143</c:v>
                </c:pt>
                <c:pt idx="353">
                  <c:v>-175.70903901185213</c:v>
                </c:pt>
                <c:pt idx="354">
                  <c:v>-175.76608622944977</c:v>
                </c:pt>
                <c:pt idx="355">
                  <c:v>-175.82163858930002</c:v>
                </c:pt>
                <c:pt idx="356">
                  <c:v>-175.87575400882724</c:v>
                </c:pt>
                <c:pt idx="357">
                  <c:v>-175.92848745558192</c:v>
                </c:pt>
                <c:pt idx="358">
                  <c:v>-175.97989113244148</c:v>
                </c:pt>
                <c:pt idx="359">
                  <c:v>-176.0300146490498</c:v>
                </c:pt>
                <c:pt idx="360">
                  <c:v>-176.07890518067043</c:v>
                </c:pt>
                <c:pt idx="361">
                  <c:v>-176.12660761551913</c:v>
                </c:pt>
                <c:pt idx="362">
                  <c:v>-176.17316469153599</c:v>
                </c:pt>
                <c:pt idx="363">
                  <c:v>-176.21861712347035</c:v>
                </c:pt>
                <c:pt idx="364">
                  <c:v>-176.26300372106772</c:v>
                </c:pt>
                <c:pt idx="365">
                  <c:v>-176.30636149907639</c:v>
                </c:pt>
                <c:pt idx="366">
                  <c:v>-176.34872577972672</c:v>
                </c:pt>
                <c:pt idx="367">
                  <c:v>-176.39013028827591</c:v>
                </c:pt>
                <c:pt idx="368">
                  <c:v>-176.43060724215962</c:v>
                </c:pt>
                <c:pt idx="369">
                  <c:v>-176.47018743424255</c:v>
                </c:pt>
                <c:pt idx="370">
                  <c:v>-176.50890031061982</c:v>
                </c:pt>
                <c:pt idx="371">
                  <c:v>-176.54677404337878</c:v>
                </c:pt>
                <c:pt idx="372">
                  <c:v>-176.58383559869856</c:v>
                </c:pt>
                <c:pt idx="373">
                  <c:v>-176.62011080063172</c:v>
                </c:pt>
                <c:pt idx="374">
                  <c:v>-176.65562439088387</c:v>
                </c:pt>
                <c:pt idx="375">
                  <c:v>-176.69040008488042</c:v>
                </c:pt>
                <c:pt idx="376">
                  <c:v>-176.72446062438726</c:v>
                </c:pt>
                <c:pt idx="377">
                  <c:v>-176.75782782692934</c:v>
                </c:pt>
                <c:pt idx="378">
                  <c:v>-176.79052263223181</c:v>
                </c:pt>
                <c:pt idx="379">
                  <c:v>-176.82256514589128</c:v>
                </c:pt>
              </c:numCache>
            </c:numRef>
          </c:yVal>
          <c:smooth val="1"/>
          <c:extLst>
            <c:ext xmlns:c16="http://schemas.microsoft.com/office/drawing/2014/chart" uri="{C3380CC4-5D6E-409C-BE32-E72D297353CC}">
              <c16:uniqueId val="{00000000-01E6-44FF-AC1F-2FACD9E04281}"/>
            </c:ext>
          </c:extLst>
        </c:ser>
        <c:dLbls>
          <c:showLegendKey val="0"/>
          <c:showVal val="0"/>
          <c:showCatName val="0"/>
          <c:showSerName val="0"/>
          <c:showPercent val="0"/>
          <c:showBubbleSize val="0"/>
        </c:dLbls>
        <c:axId val="1434155088"/>
        <c:axId val="1570699712"/>
      </c:scatterChart>
      <c:valAx>
        <c:axId val="1434155088"/>
        <c:scaling>
          <c:logBase val="10"/>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99712"/>
        <c:crosses val="autoZero"/>
        <c:crossBetween val="midCat"/>
      </c:valAx>
      <c:valAx>
        <c:axId val="157069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155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Transfer Function Comp (db)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'Loop Gain'!$X$1</c:f>
              <c:strCache>
                <c:ptCount val="1"/>
                <c:pt idx="0">
                  <c:v>Transfer Function Comp(dB)</c:v>
                </c:pt>
              </c:strCache>
            </c:strRef>
          </c:tx>
          <c:spPr>
            <a:ln w="19050" cap="rnd">
              <a:solidFill>
                <a:schemeClr val="accent1"/>
              </a:solidFill>
              <a:round/>
            </a:ln>
            <a:effectLst/>
          </c:spPr>
          <c:marker>
            <c:symbol val="none"/>
          </c:marker>
          <c:xVal>
            <c:numRef>
              <c:f>'Loop Gain'!$A$2:$A$381</c:f>
              <c:numCache>
                <c:formatCode>General</c:formatCode>
                <c:ptCount val="380"/>
                <c:pt idx="0">
                  <c:v>1</c:v>
                </c:pt>
                <c:pt idx="1">
                  <c:v>10</c:v>
                </c:pt>
                <c:pt idx="2">
                  <c:v>20</c:v>
                </c:pt>
                <c:pt idx="3">
                  <c:v>30</c:v>
                </c:pt>
                <c:pt idx="4">
                  <c:v>40</c:v>
                </c:pt>
                <c:pt idx="5">
                  <c:v>50</c:v>
                </c:pt>
                <c:pt idx="6">
                  <c:v>60</c:v>
                </c:pt>
                <c:pt idx="7">
                  <c:v>70</c:v>
                </c:pt>
                <c:pt idx="8">
                  <c:v>80</c:v>
                </c:pt>
                <c:pt idx="9">
                  <c:v>90</c:v>
                </c:pt>
                <c:pt idx="10">
                  <c:v>100</c:v>
                </c:pt>
                <c:pt idx="11">
                  <c:v>200</c:v>
                </c:pt>
                <c:pt idx="12">
                  <c:v>300</c:v>
                </c:pt>
                <c:pt idx="13">
                  <c:v>400</c:v>
                </c:pt>
                <c:pt idx="14">
                  <c:v>500</c:v>
                </c:pt>
                <c:pt idx="15">
                  <c:v>600</c:v>
                </c:pt>
                <c:pt idx="16">
                  <c:v>700</c:v>
                </c:pt>
                <c:pt idx="17">
                  <c:v>800</c:v>
                </c:pt>
                <c:pt idx="18">
                  <c:v>900</c:v>
                </c:pt>
                <c:pt idx="19">
                  <c:v>1000</c:v>
                </c:pt>
                <c:pt idx="20">
                  <c:v>1100</c:v>
                </c:pt>
                <c:pt idx="21">
                  <c:v>1200</c:v>
                </c:pt>
                <c:pt idx="22">
                  <c:v>1300</c:v>
                </c:pt>
                <c:pt idx="23">
                  <c:v>1400</c:v>
                </c:pt>
                <c:pt idx="24">
                  <c:v>1500</c:v>
                </c:pt>
                <c:pt idx="25">
                  <c:v>1600</c:v>
                </c:pt>
                <c:pt idx="26">
                  <c:v>1700</c:v>
                </c:pt>
                <c:pt idx="27">
                  <c:v>1800</c:v>
                </c:pt>
                <c:pt idx="28">
                  <c:v>1900</c:v>
                </c:pt>
                <c:pt idx="29">
                  <c:v>2000</c:v>
                </c:pt>
                <c:pt idx="30">
                  <c:v>2100</c:v>
                </c:pt>
                <c:pt idx="31">
                  <c:v>2200</c:v>
                </c:pt>
                <c:pt idx="32">
                  <c:v>2300</c:v>
                </c:pt>
                <c:pt idx="33">
                  <c:v>2400</c:v>
                </c:pt>
                <c:pt idx="34">
                  <c:v>2500</c:v>
                </c:pt>
                <c:pt idx="35">
                  <c:v>2600</c:v>
                </c:pt>
                <c:pt idx="36">
                  <c:v>2700</c:v>
                </c:pt>
                <c:pt idx="37">
                  <c:v>2800</c:v>
                </c:pt>
                <c:pt idx="38">
                  <c:v>2900</c:v>
                </c:pt>
                <c:pt idx="39">
                  <c:v>3000</c:v>
                </c:pt>
                <c:pt idx="40">
                  <c:v>3100</c:v>
                </c:pt>
                <c:pt idx="41">
                  <c:v>3200</c:v>
                </c:pt>
                <c:pt idx="42">
                  <c:v>3300</c:v>
                </c:pt>
                <c:pt idx="43">
                  <c:v>3400</c:v>
                </c:pt>
                <c:pt idx="44">
                  <c:v>3500</c:v>
                </c:pt>
                <c:pt idx="45">
                  <c:v>3600</c:v>
                </c:pt>
                <c:pt idx="46">
                  <c:v>3700</c:v>
                </c:pt>
                <c:pt idx="47">
                  <c:v>3800</c:v>
                </c:pt>
                <c:pt idx="48">
                  <c:v>3900</c:v>
                </c:pt>
                <c:pt idx="49">
                  <c:v>4000</c:v>
                </c:pt>
                <c:pt idx="50">
                  <c:v>4100</c:v>
                </c:pt>
                <c:pt idx="51">
                  <c:v>4200</c:v>
                </c:pt>
                <c:pt idx="52">
                  <c:v>4300</c:v>
                </c:pt>
                <c:pt idx="53">
                  <c:v>4400</c:v>
                </c:pt>
                <c:pt idx="54">
                  <c:v>4500</c:v>
                </c:pt>
                <c:pt idx="55">
                  <c:v>4600</c:v>
                </c:pt>
                <c:pt idx="56">
                  <c:v>4700</c:v>
                </c:pt>
                <c:pt idx="57">
                  <c:v>4800</c:v>
                </c:pt>
                <c:pt idx="58">
                  <c:v>4900</c:v>
                </c:pt>
                <c:pt idx="59">
                  <c:v>5000</c:v>
                </c:pt>
                <c:pt idx="60">
                  <c:v>5100</c:v>
                </c:pt>
                <c:pt idx="61">
                  <c:v>5200</c:v>
                </c:pt>
                <c:pt idx="62">
                  <c:v>5300</c:v>
                </c:pt>
                <c:pt idx="63">
                  <c:v>5400</c:v>
                </c:pt>
                <c:pt idx="64">
                  <c:v>5500</c:v>
                </c:pt>
                <c:pt idx="65">
                  <c:v>5600</c:v>
                </c:pt>
                <c:pt idx="66">
                  <c:v>5700</c:v>
                </c:pt>
                <c:pt idx="67">
                  <c:v>5800</c:v>
                </c:pt>
                <c:pt idx="68">
                  <c:v>5900</c:v>
                </c:pt>
                <c:pt idx="69">
                  <c:v>6000</c:v>
                </c:pt>
                <c:pt idx="70">
                  <c:v>6100</c:v>
                </c:pt>
                <c:pt idx="71">
                  <c:v>6200</c:v>
                </c:pt>
                <c:pt idx="72">
                  <c:v>6300</c:v>
                </c:pt>
                <c:pt idx="73">
                  <c:v>6400</c:v>
                </c:pt>
                <c:pt idx="74">
                  <c:v>6500</c:v>
                </c:pt>
                <c:pt idx="75">
                  <c:v>6600</c:v>
                </c:pt>
                <c:pt idx="76">
                  <c:v>6700</c:v>
                </c:pt>
                <c:pt idx="77">
                  <c:v>6800</c:v>
                </c:pt>
                <c:pt idx="78">
                  <c:v>6900</c:v>
                </c:pt>
                <c:pt idx="79">
                  <c:v>7000</c:v>
                </c:pt>
                <c:pt idx="80">
                  <c:v>7100</c:v>
                </c:pt>
                <c:pt idx="81">
                  <c:v>7200</c:v>
                </c:pt>
                <c:pt idx="82">
                  <c:v>7300</c:v>
                </c:pt>
                <c:pt idx="83">
                  <c:v>7400</c:v>
                </c:pt>
                <c:pt idx="84">
                  <c:v>7500</c:v>
                </c:pt>
                <c:pt idx="85">
                  <c:v>7600</c:v>
                </c:pt>
                <c:pt idx="86">
                  <c:v>7700</c:v>
                </c:pt>
                <c:pt idx="87">
                  <c:v>7800</c:v>
                </c:pt>
                <c:pt idx="88">
                  <c:v>7900</c:v>
                </c:pt>
                <c:pt idx="89">
                  <c:v>8000</c:v>
                </c:pt>
                <c:pt idx="90">
                  <c:v>8100</c:v>
                </c:pt>
                <c:pt idx="91">
                  <c:v>8200</c:v>
                </c:pt>
                <c:pt idx="92">
                  <c:v>8300</c:v>
                </c:pt>
                <c:pt idx="93">
                  <c:v>8400</c:v>
                </c:pt>
                <c:pt idx="94">
                  <c:v>8500</c:v>
                </c:pt>
                <c:pt idx="95">
                  <c:v>8600</c:v>
                </c:pt>
                <c:pt idx="96">
                  <c:v>8700</c:v>
                </c:pt>
                <c:pt idx="97">
                  <c:v>8800</c:v>
                </c:pt>
                <c:pt idx="98">
                  <c:v>8900</c:v>
                </c:pt>
                <c:pt idx="99">
                  <c:v>9000</c:v>
                </c:pt>
                <c:pt idx="100">
                  <c:v>9100</c:v>
                </c:pt>
                <c:pt idx="101">
                  <c:v>9200</c:v>
                </c:pt>
                <c:pt idx="102">
                  <c:v>9300</c:v>
                </c:pt>
                <c:pt idx="103">
                  <c:v>9400</c:v>
                </c:pt>
                <c:pt idx="104">
                  <c:v>9500</c:v>
                </c:pt>
                <c:pt idx="105">
                  <c:v>9600</c:v>
                </c:pt>
                <c:pt idx="106">
                  <c:v>9700</c:v>
                </c:pt>
                <c:pt idx="107">
                  <c:v>9800</c:v>
                </c:pt>
                <c:pt idx="108">
                  <c:v>9900</c:v>
                </c:pt>
                <c:pt idx="109">
                  <c:v>10000</c:v>
                </c:pt>
                <c:pt idx="110">
                  <c:v>11000</c:v>
                </c:pt>
                <c:pt idx="111">
                  <c:v>12000</c:v>
                </c:pt>
                <c:pt idx="112">
                  <c:v>13000</c:v>
                </c:pt>
                <c:pt idx="113">
                  <c:v>14000</c:v>
                </c:pt>
                <c:pt idx="114">
                  <c:v>15000</c:v>
                </c:pt>
                <c:pt idx="115">
                  <c:v>16000</c:v>
                </c:pt>
                <c:pt idx="116">
                  <c:v>17000</c:v>
                </c:pt>
                <c:pt idx="117">
                  <c:v>18000</c:v>
                </c:pt>
                <c:pt idx="118">
                  <c:v>19000</c:v>
                </c:pt>
                <c:pt idx="119">
                  <c:v>20000</c:v>
                </c:pt>
                <c:pt idx="120">
                  <c:v>21000</c:v>
                </c:pt>
                <c:pt idx="121">
                  <c:v>22000</c:v>
                </c:pt>
                <c:pt idx="122">
                  <c:v>23000</c:v>
                </c:pt>
                <c:pt idx="123">
                  <c:v>24000</c:v>
                </c:pt>
                <c:pt idx="124">
                  <c:v>25000</c:v>
                </c:pt>
                <c:pt idx="125">
                  <c:v>26000</c:v>
                </c:pt>
                <c:pt idx="126">
                  <c:v>27000</c:v>
                </c:pt>
                <c:pt idx="127">
                  <c:v>28000</c:v>
                </c:pt>
                <c:pt idx="128">
                  <c:v>29000</c:v>
                </c:pt>
                <c:pt idx="129">
                  <c:v>30000</c:v>
                </c:pt>
                <c:pt idx="130">
                  <c:v>31000</c:v>
                </c:pt>
                <c:pt idx="131">
                  <c:v>32000</c:v>
                </c:pt>
                <c:pt idx="132">
                  <c:v>33000</c:v>
                </c:pt>
                <c:pt idx="133">
                  <c:v>34000</c:v>
                </c:pt>
                <c:pt idx="134">
                  <c:v>35000</c:v>
                </c:pt>
                <c:pt idx="135">
                  <c:v>36000</c:v>
                </c:pt>
                <c:pt idx="136">
                  <c:v>37000</c:v>
                </c:pt>
                <c:pt idx="137">
                  <c:v>38000</c:v>
                </c:pt>
                <c:pt idx="138">
                  <c:v>39000</c:v>
                </c:pt>
                <c:pt idx="139">
                  <c:v>40000</c:v>
                </c:pt>
                <c:pt idx="140">
                  <c:v>41000</c:v>
                </c:pt>
                <c:pt idx="141">
                  <c:v>42000</c:v>
                </c:pt>
                <c:pt idx="142">
                  <c:v>43000</c:v>
                </c:pt>
                <c:pt idx="143">
                  <c:v>44000</c:v>
                </c:pt>
                <c:pt idx="144">
                  <c:v>45000</c:v>
                </c:pt>
                <c:pt idx="145">
                  <c:v>46000</c:v>
                </c:pt>
                <c:pt idx="146">
                  <c:v>47000</c:v>
                </c:pt>
                <c:pt idx="147">
                  <c:v>48000</c:v>
                </c:pt>
                <c:pt idx="148">
                  <c:v>49000</c:v>
                </c:pt>
                <c:pt idx="149">
                  <c:v>50000</c:v>
                </c:pt>
                <c:pt idx="150">
                  <c:v>51000</c:v>
                </c:pt>
                <c:pt idx="151">
                  <c:v>52000</c:v>
                </c:pt>
                <c:pt idx="152">
                  <c:v>53000</c:v>
                </c:pt>
                <c:pt idx="153">
                  <c:v>54000</c:v>
                </c:pt>
                <c:pt idx="154">
                  <c:v>55000</c:v>
                </c:pt>
                <c:pt idx="155">
                  <c:v>56000</c:v>
                </c:pt>
                <c:pt idx="156">
                  <c:v>57000</c:v>
                </c:pt>
                <c:pt idx="157">
                  <c:v>58000</c:v>
                </c:pt>
                <c:pt idx="158">
                  <c:v>59000</c:v>
                </c:pt>
                <c:pt idx="159">
                  <c:v>60000</c:v>
                </c:pt>
                <c:pt idx="160">
                  <c:v>61000</c:v>
                </c:pt>
                <c:pt idx="161">
                  <c:v>62000</c:v>
                </c:pt>
                <c:pt idx="162">
                  <c:v>63000</c:v>
                </c:pt>
                <c:pt idx="163">
                  <c:v>64000</c:v>
                </c:pt>
                <c:pt idx="164">
                  <c:v>65000</c:v>
                </c:pt>
                <c:pt idx="165">
                  <c:v>66000</c:v>
                </c:pt>
                <c:pt idx="166">
                  <c:v>67000</c:v>
                </c:pt>
                <c:pt idx="167">
                  <c:v>68000</c:v>
                </c:pt>
                <c:pt idx="168">
                  <c:v>69000</c:v>
                </c:pt>
                <c:pt idx="169">
                  <c:v>70000</c:v>
                </c:pt>
                <c:pt idx="170">
                  <c:v>71000</c:v>
                </c:pt>
                <c:pt idx="171">
                  <c:v>72000</c:v>
                </c:pt>
                <c:pt idx="172">
                  <c:v>73000</c:v>
                </c:pt>
                <c:pt idx="173">
                  <c:v>74000</c:v>
                </c:pt>
                <c:pt idx="174">
                  <c:v>75000</c:v>
                </c:pt>
                <c:pt idx="175">
                  <c:v>76000</c:v>
                </c:pt>
                <c:pt idx="176">
                  <c:v>77000</c:v>
                </c:pt>
                <c:pt idx="177">
                  <c:v>78000</c:v>
                </c:pt>
                <c:pt idx="178">
                  <c:v>79000</c:v>
                </c:pt>
                <c:pt idx="179">
                  <c:v>80000</c:v>
                </c:pt>
                <c:pt idx="180">
                  <c:v>81000</c:v>
                </c:pt>
                <c:pt idx="181">
                  <c:v>82000</c:v>
                </c:pt>
                <c:pt idx="182">
                  <c:v>83000</c:v>
                </c:pt>
                <c:pt idx="183">
                  <c:v>84000</c:v>
                </c:pt>
                <c:pt idx="184">
                  <c:v>85000</c:v>
                </c:pt>
                <c:pt idx="185">
                  <c:v>86000</c:v>
                </c:pt>
                <c:pt idx="186">
                  <c:v>87000</c:v>
                </c:pt>
                <c:pt idx="187">
                  <c:v>88000</c:v>
                </c:pt>
                <c:pt idx="188">
                  <c:v>89000</c:v>
                </c:pt>
                <c:pt idx="189">
                  <c:v>90000</c:v>
                </c:pt>
                <c:pt idx="190">
                  <c:v>91000</c:v>
                </c:pt>
                <c:pt idx="191">
                  <c:v>92000</c:v>
                </c:pt>
                <c:pt idx="192">
                  <c:v>93000</c:v>
                </c:pt>
                <c:pt idx="193">
                  <c:v>94000</c:v>
                </c:pt>
                <c:pt idx="194">
                  <c:v>95000</c:v>
                </c:pt>
                <c:pt idx="195">
                  <c:v>96000</c:v>
                </c:pt>
                <c:pt idx="196">
                  <c:v>97000</c:v>
                </c:pt>
                <c:pt idx="197">
                  <c:v>98000</c:v>
                </c:pt>
                <c:pt idx="198">
                  <c:v>99000</c:v>
                </c:pt>
                <c:pt idx="199">
                  <c:v>100000</c:v>
                </c:pt>
                <c:pt idx="200">
                  <c:v>110000</c:v>
                </c:pt>
                <c:pt idx="201">
                  <c:v>120000</c:v>
                </c:pt>
                <c:pt idx="202">
                  <c:v>130000</c:v>
                </c:pt>
                <c:pt idx="203">
                  <c:v>140000</c:v>
                </c:pt>
                <c:pt idx="204">
                  <c:v>150000</c:v>
                </c:pt>
                <c:pt idx="205">
                  <c:v>160000</c:v>
                </c:pt>
                <c:pt idx="206">
                  <c:v>170000</c:v>
                </c:pt>
                <c:pt idx="207">
                  <c:v>180000</c:v>
                </c:pt>
                <c:pt idx="208">
                  <c:v>190000</c:v>
                </c:pt>
                <c:pt idx="209">
                  <c:v>200000</c:v>
                </c:pt>
                <c:pt idx="210">
                  <c:v>210000</c:v>
                </c:pt>
                <c:pt idx="211">
                  <c:v>220000</c:v>
                </c:pt>
                <c:pt idx="212">
                  <c:v>230000</c:v>
                </c:pt>
                <c:pt idx="213">
                  <c:v>240000</c:v>
                </c:pt>
                <c:pt idx="214">
                  <c:v>250000</c:v>
                </c:pt>
                <c:pt idx="215">
                  <c:v>260000</c:v>
                </c:pt>
                <c:pt idx="216">
                  <c:v>270000</c:v>
                </c:pt>
                <c:pt idx="217">
                  <c:v>280000</c:v>
                </c:pt>
                <c:pt idx="218">
                  <c:v>290000</c:v>
                </c:pt>
                <c:pt idx="219">
                  <c:v>300000</c:v>
                </c:pt>
                <c:pt idx="220">
                  <c:v>310000</c:v>
                </c:pt>
                <c:pt idx="221">
                  <c:v>320000</c:v>
                </c:pt>
                <c:pt idx="222">
                  <c:v>330000</c:v>
                </c:pt>
                <c:pt idx="223">
                  <c:v>340000</c:v>
                </c:pt>
                <c:pt idx="224">
                  <c:v>350000</c:v>
                </c:pt>
                <c:pt idx="225">
                  <c:v>360000</c:v>
                </c:pt>
                <c:pt idx="226">
                  <c:v>370000</c:v>
                </c:pt>
                <c:pt idx="227">
                  <c:v>380000</c:v>
                </c:pt>
                <c:pt idx="228">
                  <c:v>390000</c:v>
                </c:pt>
                <c:pt idx="229">
                  <c:v>400000</c:v>
                </c:pt>
                <c:pt idx="230">
                  <c:v>410000</c:v>
                </c:pt>
                <c:pt idx="231">
                  <c:v>420000</c:v>
                </c:pt>
                <c:pt idx="232">
                  <c:v>430000</c:v>
                </c:pt>
                <c:pt idx="233">
                  <c:v>440000</c:v>
                </c:pt>
                <c:pt idx="234">
                  <c:v>450000</c:v>
                </c:pt>
                <c:pt idx="235">
                  <c:v>460000</c:v>
                </c:pt>
                <c:pt idx="236">
                  <c:v>470000</c:v>
                </c:pt>
                <c:pt idx="237">
                  <c:v>480000</c:v>
                </c:pt>
                <c:pt idx="238">
                  <c:v>490000</c:v>
                </c:pt>
                <c:pt idx="239">
                  <c:v>500000</c:v>
                </c:pt>
                <c:pt idx="240">
                  <c:v>510000</c:v>
                </c:pt>
                <c:pt idx="241">
                  <c:v>520000</c:v>
                </c:pt>
                <c:pt idx="242">
                  <c:v>530000</c:v>
                </c:pt>
                <c:pt idx="243">
                  <c:v>540000</c:v>
                </c:pt>
                <c:pt idx="244">
                  <c:v>550000</c:v>
                </c:pt>
                <c:pt idx="245">
                  <c:v>560000</c:v>
                </c:pt>
                <c:pt idx="246">
                  <c:v>570000</c:v>
                </c:pt>
                <c:pt idx="247">
                  <c:v>580000</c:v>
                </c:pt>
                <c:pt idx="248">
                  <c:v>590000</c:v>
                </c:pt>
                <c:pt idx="249">
                  <c:v>600000</c:v>
                </c:pt>
                <c:pt idx="250">
                  <c:v>610000</c:v>
                </c:pt>
                <c:pt idx="251">
                  <c:v>620000</c:v>
                </c:pt>
                <c:pt idx="252">
                  <c:v>630000</c:v>
                </c:pt>
                <c:pt idx="253">
                  <c:v>640000</c:v>
                </c:pt>
                <c:pt idx="254">
                  <c:v>650000</c:v>
                </c:pt>
                <c:pt idx="255">
                  <c:v>660000</c:v>
                </c:pt>
                <c:pt idx="256">
                  <c:v>670000</c:v>
                </c:pt>
                <c:pt idx="257">
                  <c:v>680000</c:v>
                </c:pt>
                <c:pt idx="258">
                  <c:v>690000</c:v>
                </c:pt>
                <c:pt idx="259">
                  <c:v>700000</c:v>
                </c:pt>
                <c:pt idx="260">
                  <c:v>710000</c:v>
                </c:pt>
                <c:pt idx="261">
                  <c:v>720000</c:v>
                </c:pt>
                <c:pt idx="262">
                  <c:v>730000</c:v>
                </c:pt>
                <c:pt idx="263">
                  <c:v>740000</c:v>
                </c:pt>
                <c:pt idx="264">
                  <c:v>750000</c:v>
                </c:pt>
                <c:pt idx="265">
                  <c:v>760000</c:v>
                </c:pt>
                <c:pt idx="266">
                  <c:v>770000</c:v>
                </c:pt>
                <c:pt idx="267">
                  <c:v>780000</c:v>
                </c:pt>
                <c:pt idx="268">
                  <c:v>790000</c:v>
                </c:pt>
                <c:pt idx="269">
                  <c:v>800000</c:v>
                </c:pt>
                <c:pt idx="270">
                  <c:v>810000</c:v>
                </c:pt>
                <c:pt idx="271">
                  <c:v>820000</c:v>
                </c:pt>
                <c:pt idx="272">
                  <c:v>830000</c:v>
                </c:pt>
                <c:pt idx="273">
                  <c:v>840000</c:v>
                </c:pt>
                <c:pt idx="274">
                  <c:v>850000</c:v>
                </c:pt>
                <c:pt idx="275">
                  <c:v>860000</c:v>
                </c:pt>
                <c:pt idx="276">
                  <c:v>870000</c:v>
                </c:pt>
                <c:pt idx="277">
                  <c:v>880000</c:v>
                </c:pt>
                <c:pt idx="278">
                  <c:v>890000</c:v>
                </c:pt>
                <c:pt idx="279">
                  <c:v>900000</c:v>
                </c:pt>
                <c:pt idx="280">
                  <c:v>910000</c:v>
                </c:pt>
                <c:pt idx="281">
                  <c:v>920000</c:v>
                </c:pt>
                <c:pt idx="282">
                  <c:v>930000</c:v>
                </c:pt>
                <c:pt idx="283">
                  <c:v>940000</c:v>
                </c:pt>
                <c:pt idx="284">
                  <c:v>950000</c:v>
                </c:pt>
                <c:pt idx="285">
                  <c:v>960000</c:v>
                </c:pt>
                <c:pt idx="286">
                  <c:v>970000</c:v>
                </c:pt>
                <c:pt idx="287">
                  <c:v>980000</c:v>
                </c:pt>
                <c:pt idx="288">
                  <c:v>990000</c:v>
                </c:pt>
                <c:pt idx="289">
                  <c:v>1000000</c:v>
                </c:pt>
                <c:pt idx="290">
                  <c:v>1100000</c:v>
                </c:pt>
                <c:pt idx="291">
                  <c:v>1200000</c:v>
                </c:pt>
                <c:pt idx="292">
                  <c:v>1300000</c:v>
                </c:pt>
                <c:pt idx="293">
                  <c:v>1400000</c:v>
                </c:pt>
                <c:pt idx="294">
                  <c:v>1500000</c:v>
                </c:pt>
                <c:pt idx="295">
                  <c:v>1600000</c:v>
                </c:pt>
                <c:pt idx="296">
                  <c:v>1700000</c:v>
                </c:pt>
                <c:pt idx="297">
                  <c:v>1800000</c:v>
                </c:pt>
                <c:pt idx="298">
                  <c:v>1900000</c:v>
                </c:pt>
                <c:pt idx="299">
                  <c:v>2000000</c:v>
                </c:pt>
                <c:pt idx="300">
                  <c:v>2100000</c:v>
                </c:pt>
                <c:pt idx="301">
                  <c:v>2200000</c:v>
                </c:pt>
                <c:pt idx="302">
                  <c:v>2300000</c:v>
                </c:pt>
                <c:pt idx="303">
                  <c:v>2400000</c:v>
                </c:pt>
                <c:pt idx="304">
                  <c:v>2500000</c:v>
                </c:pt>
                <c:pt idx="305">
                  <c:v>2600000</c:v>
                </c:pt>
                <c:pt idx="306">
                  <c:v>2700000</c:v>
                </c:pt>
                <c:pt idx="307">
                  <c:v>2800000</c:v>
                </c:pt>
                <c:pt idx="308">
                  <c:v>2900000</c:v>
                </c:pt>
                <c:pt idx="309">
                  <c:v>3000000</c:v>
                </c:pt>
                <c:pt idx="310">
                  <c:v>3100000</c:v>
                </c:pt>
                <c:pt idx="311">
                  <c:v>3200000</c:v>
                </c:pt>
                <c:pt idx="312">
                  <c:v>3300000</c:v>
                </c:pt>
                <c:pt idx="313">
                  <c:v>3400000</c:v>
                </c:pt>
                <c:pt idx="314">
                  <c:v>3500000</c:v>
                </c:pt>
                <c:pt idx="315">
                  <c:v>3600000</c:v>
                </c:pt>
                <c:pt idx="316">
                  <c:v>3700000</c:v>
                </c:pt>
                <c:pt idx="317">
                  <c:v>3800000</c:v>
                </c:pt>
                <c:pt idx="318">
                  <c:v>3900000</c:v>
                </c:pt>
                <c:pt idx="319">
                  <c:v>4000000</c:v>
                </c:pt>
                <c:pt idx="320">
                  <c:v>4100000</c:v>
                </c:pt>
                <c:pt idx="321">
                  <c:v>4200000</c:v>
                </c:pt>
                <c:pt idx="322">
                  <c:v>4300000</c:v>
                </c:pt>
                <c:pt idx="323">
                  <c:v>4400000</c:v>
                </c:pt>
                <c:pt idx="324">
                  <c:v>4500000</c:v>
                </c:pt>
                <c:pt idx="325">
                  <c:v>4600000</c:v>
                </c:pt>
                <c:pt idx="326">
                  <c:v>4700000</c:v>
                </c:pt>
                <c:pt idx="327">
                  <c:v>4800000</c:v>
                </c:pt>
                <c:pt idx="328">
                  <c:v>4900000</c:v>
                </c:pt>
                <c:pt idx="329">
                  <c:v>5000000</c:v>
                </c:pt>
                <c:pt idx="330">
                  <c:v>5100000</c:v>
                </c:pt>
                <c:pt idx="331">
                  <c:v>5200000</c:v>
                </c:pt>
                <c:pt idx="332">
                  <c:v>5300000</c:v>
                </c:pt>
                <c:pt idx="333">
                  <c:v>5400000</c:v>
                </c:pt>
                <c:pt idx="334">
                  <c:v>5500000</c:v>
                </c:pt>
                <c:pt idx="335">
                  <c:v>5600000</c:v>
                </c:pt>
                <c:pt idx="336">
                  <c:v>5700000</c:v>
                </c:pt>
                <c:pt idx="337">
                  <c:v>5800000</c:v>
                </c:pt>
                <c:pt idx="338">
                  <c:v>5900000</c:v>
                </c:pt>
                <c:pt idx="339">
                  <c:v>6000000</c:v>
                </c:pt>
                <c:pt idx="340">
                  <c:v>6100000</c:v>
                </c:pt>
                <c:pt idx="341">
                  <c:v>6200000</c:v>
                </c:pt>
                <c:pt idx="342">
                  <c:v>6300000</c:v>
                </c:pt>
                <c:pt idx="343">
                  <c:v>6400000</c:v>
                </c:pt>
                <c:pt idx="344">
                  <c:v>6500000</c:v>
                </c:pt>
                <c:pt idx="345">
                  <c:v>6600000</c:v>
                </c:pt>
                <c:pt idx="346">
                  <c:v>6700000</c:v>
                </c:pt>
                <c:pt idx="347">
                  <c:v>6800000</c:v>
                </c:pt>
                <c:pt idx="348">
                  <c:v>6900000</c:v>
                </c:pt>
                <c:pt idx="349">
                  <c:v>7000000</c:v>
                </c:pt>
                <c:pt idx="350">
                  <c:v>7100000</c:v>
                </c:pt>
                <c:pt idx="351">
                  <c:v>7200000</c:v>
                </c:pt>
                <c:pt idx="352">
                  <c:v>7300000</c:v>
                </c:pt>
                <c:pt idx="353">
                  <c:v>7400000</c:v>
                </c:pt>
                <c:pt idx="354">
                  <c:v>7500000</c:v>
                </c:pt>
                <c:pt idx="355">
                  <c:v>7600000</c:v>
                </c:pt>
                <c:pt idx="356">
                  <c:v>7700000</c:v>
                </c:pt>
                <c:pt idx="357">
                  <c:v>7800000</c:v>
                </c:pt>
                <c:pt idx="358">
                  <c:v>7900000</c:v>
                </c:pt>
                <c:pt idx="359">
                  <c:v>8000000</c:v>
                </c:pt>
                <c:pt idx="360">
                  <c:v>8100000</c:v>
                </c:pt>
                <c:pt idx="361">
                  <c:v>8200000</c:v>
                </c:pt>
                <c:pt idx="362">
                  <c:v>8300000</c:v>
                </c:pt>
                <c:pt idx="363">
                  <c:v>8400000</c:v>
                </c:pt>
                <c:pt idx="364">
                  <c:v>8500000</c:v>
                </c:pt>
                <c:pt idx="365">
                  <c:v>8600000</c:v>
                </c:pt>
                <c:pt idx="366">
                  <c:v>8700000</c:v>
                </c:pt>
                <c:pt idx="367">
                  <c:v>8800000</c:v>
                </c:pt>
                <c:pt idx="368">
                  <c:v>8900000</c:v>
                </c:pt>
                <c:pt idx="369">
                  <c:v>9000000</c:v>
                </c:pt>
                <c:pt idx="370">
                  <c:v>9100000</c:v>
                </c:pt>
                <c:pt idx="371">
                  <c:v>9200000</c:v>
                </c:pt>
                <c:pt idx="372">
                  <c:v>9300000</c:v>
                </c:pt>
                <c:pt idx="373">
                  <c:v>9400000</c:v>
                </c:pt>
                <c:pt idx="374">
                  <c:v>9500000</c:v>
                </c:pt>
                <c:pt idx="375">
                  <c:v>9600000</c:v>
                </c:pt>
                <c:pt idx="376">
                  <c:v>9700000</c:v>
                </c:pt>
                <c:pt idx="377">
                  <c:v>9800000</c:v>
                </c:pt>
                <c:pt idx="378">
                  <c:v>9900000</c:v>
                </c:pt>
                <c:pt idx="379">
                  <c:v>10000000</c:v>
                </c:pt>
              </c:numCache>
            </c:numRef>
          </c:xVal>
          <c:yVal>
            <c:numRef>
              <c:f>'Loop Gain'!$X$2:$X$381</c:f>
              <c:numCache>
                <c:formatCode>General</c:formatCode>
                <c:ptCount val="380"/>
                <c:pt idx="0">
                  <c:v>67.843753620309457</c:v>
                </c:pt>
                <c:pt idx="1">
                  <c:v>47.843756060713673</c:v>
                </c:pt>
                <c:pt idx="2">
                  <c:v>41.82316354258964</c:v>
                </c:pt>
                <c:pt idx="3">
                  <c:v>38.301350686706328</c:v>
                </c:pt>
                <c:pt idx="4">
                  <c:v>35.802593209801941</c:v>
                </c:pt>
                <c:pt idx="5">
                  <c:v>33.864415134872885</c:v>
                </c:pt>
                <c:pt idx="6">
                  <c:v>32.280817329044702</c:v>
                </c:pt>
                <c:pt idx="7">
                  <c:v>30.941913581353408</c:v>
                </c:pt>
                <c:pt idx="8">
                  <c:v>29.782111616404336</c:v>
                </c:pt>
                <c:pt idx="9">
                  <c:v>28.759103071614696</c:v>
                </c:pt>
                <c:pt idx="10">
                  <c:v>27.844000093964766</c:v>
                </c:pt>
                <c:pt idx="11">
                  <c:v>21.824139588711549</c:v>
                </c:pt>
                <c:pt idx="12">
                  <c:v>18.30354646477134</c:v>
                </c:pt>
                <c:pt idx="13">
                  <c:v>15.80649600497112</c:v>
                </c:pt>
                <c:pt idx="14">
                  <c:v>13.870511625532668</c:v>
                </c:pt>
                <c:pt idx="15">
                  <c:v>12.289593414642807</c:v>
                </c:pt>
                <c:pt idx="16">
                  <c:v>10.953854211130633</c:v>
                </c:pt>
                <c:pt idx="17">
                  <c:v>9.7977006192171157</c:v>
                </c:pt>
                <c:pt idx="18">
                  <c:v>8.7788229870404937</c:v>
                </c:pt>
                <c:pt idx="19">
                  <c:v>7.8683320048791288</c:v>
                </c:pt>
                <c:pt idx="20">
                  <c:v>7.0456215204154056</c:v>
                </c:pt>
                <c:pt idx="21">
                  <c:v>6.2954761244001292</c:v>
                </c:pt>
                <c:pt idx="22">
                  <c:v>5.6063404755558413</c:v>
                </c:pt>
                <c:pt idx="23">
                  <c:v>4.9692318307906964</c:v>
                </c:pt>
                <c:pt idx="24">
                  <c:v>4.3770286665999549</c:v>
                </c:pt>
                <c:pt idx="25">
                  <c:v>3.8239893581548552</c:v>
                </c:pt>
                <c:pt idx="26">
                  <c:v>3.3054170347840945</c:v>
                </c:pt>
                <c:pt idx="27">
                  <c:v>2.8174203768231343</c:v>
                </c:pt>
                <c:pt idx="28">
                  <c:v>2.3567391733827701</c:v>
                </c:pt>
                <c:pt idx="29">
                  <c:v>1.9206146779720998</c:v>
                </c:pt>
                <c:pt idx="30">
                  <c:v>1.5066916288392329</c:v>
                </c:pt>
                <c:pt idx="31">
                  <c:v>1.1129430842817496</c:v>
                </c:pt>
                <c:pt idx="32">
                  <c:v>0.73761198078459767</c:v>
                </c:pt>
                <c:pt idx="33">
                  <c:v>0.37916513913073868</c:v>
                </c:pt>
                <c:pt idx="34">
                  <c:v>3.6256666613914419E-2</c:v>
                </c:pt>
                <c:pt idx="35">
                  <c:v>-0.29230145774261596</c:v>
                </c:pt>
                <c:pt idx="36">
                  <c:v>-0.60756324282399499</c:v>
                </c:pt>
                <c:pt idx="37">
                  <c:v>-0.91046820299531495</c:v>
                </c:pt>
                <c:pt idx="38">
                  <c:v>-1.201857448455401</c:v>
                </c:pt>
                <c:pt idx="39">
                  <c:v>-1.4824870459512094</c:v>
                </c:pt>
                <c:pt idx="40">
                  <c:v>-1.7530391872018893</c:v>
                </c:pt>
                <c:pt idx="41">
                  <c:v>-2.0141315828818609</c:v>
                </c:pt>
                <c:pt idx="42">
                  <c:v>-2.2663254099513677</c:v>
                </c:pt>
                <c:pt idx="43">
                  <c:v>-2.5101320715857032</c:v>
                </c:pt>
                <c:pt idx="44">
                  <c:v>-2.7460189763212277</c:v>
                </c:pt>
                <c:pt idx="45">
                  <c:v>-2.9744145022715092</c:v>
                </c:pt>
                <c:pt idx="46">
                  <c:v>-3.1957122804439404</c:v>
                </c:pt>
                <c:pt idx="47">
                  <c:v>-3.4102749061551592</c:v>
                </c:pt>
                <c:pt idx="48">
                  <c:v>-3.618437167717838</c:v>
                </c:pt>
                <c:pt idx="49">
                  <c:v>-3.8205088657618305</c:v>
                </c:pt>
                <c:pt idx="50">
                  <c:v>-4.0167772838679214</c:v>
                </c:pt>
                <c:pt idx="51">
                  <c:v>-4.2075093609544192</c:v>
                </c:pt>
                <c:pt idx="52">
                  <c:v>-4.3929536075458877</c:v>
                </c:pt>
                <c:pt idx="53">
                  <c:v>-4.5733418012727878</c:v>
                </c:pt>
                <c:pt idx="54">
                  <c:v>-4.7488904913880496</c:v>
                </c:pt>
                <c:pt idx="55">
                  <c:v>-4.9198023375039384</c:v>
                </c:pt>
                <c:pt idx="56">
                  <c:v>-5.0862673039571602</c:v>
                </c:pt>
                <c:pt idx="57">
                  <c:v>-5.2484637280552624</c:v>
                </c:pt>
                <c:pt idx="58">
                  <c:v>-5.4065592778220974</c:v>
                </c:pt>
                <c:pt idx="59">
                  <c:v>-5.5607118126514017</c:v>
                </c:pt>
                <c:pt idx="60">
                  <c:v>-5.7110701584190524</c:v>
                </c:pt>
                <c:pt idx="61">
                  <c:v>-5.8577748070335041</c:v>
                </c:pt>
                <c:pt idx="62">
                  <c:v>-6.0009585490741397</c:v>
                </c:pt>
                <c:pt idx="63">
                  <c:v>-6.140747047034778</c:v>
                </c:pt>
                <c:pt idx="64">
                  <c:v>-6.2772593557242429</c:v>
                </c:pt>
                <c:pt idx="65">
                  <c:v>-6.410608395549227</c:v>
                </c:pt>
                <c:pt idx="66">
                  <c:v>-6.5409013836955241</c:v>
                </c:pt>
                <c:pt idx="67">
                  <c:v>-6.6682402276126931</c:v>
                </c:pt>
                <c:pt idx="68">
                  <c:v>-6.792721884680085</c:v>
                </c:pt>
                <c:pt idx="69">
                  <c:v>-6.9144386914755955</c:v>
                </c:pt>
                <c:pt idx="70">
                  <c:v>-7.0334786656733357</c:v>
                </c:pt>
                <c:pt idx="71">
                  <c:v>-7.1499257832502821</c:v>
                </c:pt>
                <c:pt idx="72">
                  <c:v>-7.2638602333832676</c:v>
                </c:pt>
                <c:pt idx="73">
                  <c:v>-7.3753586531539366</c:v>
                </c:pt>
                <c:pt idx="74">
                  <c:v>-7.4844943439494926</c:v>
                </c:pt>
                <c:pt idx="75">
                  <c:v>-7.5913374712454953</c:v>
                </c:pt>
                <c:pt idx="76">
                  <c:v>-7.6959552492788577</c:v>
                </c:pt>
                <c:pt idx="77">
                  <c:v>-7.7984121119625271</c:v>
                </c:pt>
                <c:pt idx="78">
                  <c:v>-7.8987698712554639</c:v>
                </c:pt>
                <c:pt idx="79">
                  <c:v>-7.9970878640788365</c:v>
                </c:pt>
                <c:pt idx="80">
                  <c:v>-8.0934230887601331</c:v>
                </c:pt>
                <c:pt idx="81">
                  <c:v>-8.1878303318923873</c:v>
                </c:pt>
                <c:pt idx="82">
                  <c:v>-8.2803622864071169</c:v>
                </c:pt>
                <c:pt idx="83">
                  <c:v>-8.3710696615863061</c:v>
                </c:pt>
                <c:pt idx="84">
                  <c:v>-8.4600012856674276</c:v>
                </c:pt>
                <c:pt idx="85">
                  <c:v>-8.5472042016374665</c:v>
                </c:pt>
                <c:pt idx="86">
                  <c:v>-8.6327237567543396</c:v>
                </c:pt>
                <c:pt idx="87">
                  <c:v>-8.7166036862878524</c:v>
                </c:pt>
                <c:pt idx="88">
                  <c:v>-8.7988861919262433</c:v>
                </c:pt>
                <c:pt idx="89">
                  <c:v>-8.8796120152558871</c:v>
                </c:pt>
                <c:pt idx="90">
                  <c:v>-8.9588205066858801</c:v>
                </c:pt>
                <c:pt idx="91">
                  <c:v>-9.036549690156896</c:v>
                </c:pt>
                <c:pt idx="92">
                  <c:v>-9.1128363239448333</c:v>
                </c:pt>
                <c:pt idx="93">
                  <c:v>-9.1877159578437055</c:v>
                </c:pt>
                <c:pt idx="94">
                  <c:v>-9.2612229869878284</c:v>
                </c:pt>
                <c:pt idx="95">
                  <c:v>-9.333390702552844</c:v>
                </c:pt>
                <c:pt idx="96">
                  <c:v>-9.4042513395546337</c:v>
                </c:pt>
                <c:pt idx="97">
                  <c:v>-9.473836121948084</c:v>
                </c:pt>
                <c:pt idx="98">
                  <c:v>-9.5421753052109075</c:v>
                </c:pt>
                <c:pt idx="99">
                  <c:v>-9.6092982165839835</c:v>
                </c:pt>
                <c:pt idx="100">
                  <c:v>-9.6752332931251779</c:v>
                </c:pt>
                <c:pt idx="101">
                  <c:v>-9.740008117722315</c:v>
                </c:pt>
                <c:pt idx="102">
                  <c:v>-9.8036494531990552</c:v>
                </c:pt>
                <c:pt idx="103">
                  <c:v>-9.8661832746382032</c:v>
                </c:pt>
                <c:pt idx="104">
                  <c:v>-9.9276348000363299</c:v>
                </c:pt>
                <c:pt idx="105">
                  <c:v>-9.9880285193967406</c:v>
                </c:pt>
                <c:pt idx="106">
                  <c:v>-10.047388222357954</c:v>
                </c:pt>
                <c:pt idx="107">
                  <c:v>-10.105737024449724</c:v>
                </c:pt>
                <c:pt idx="108">
                  <c:v>-10.163097392060735</c:v>
                </c:pt>
                <c:pt idx="109">
                  <c:v>-10.219491166196162</c:v>
                </c:pt>
                <c:pt idx="110">
                  <c:v>-10.734666417947111</c:v>
                </c:pt>
                <c:pt idx="111">
                  <c:v>-11.17331595414268</c:v>
                </c:pt>
                <c:pt idx="112">
                  <c:v>-11.54971004292978</c:v>
                </c:pt>
                <c:pt idx="113">
                  <c:v>-11.875037831996826</c:v>
                </c:pt>
                <c:pt idx="114">
                  <c:v>-12.158181752509126</c:v>
                </c:pt>
                <c:pt idx="115">
                  <c:v>-12.406263604825869</c:v>
                </c:pt>
                <c:pt idx="116">
                  <c:v>-12.625041211841978</c:v>
                </c:pt>
                <c:pt idx="117">
                  <c:v>-12.819203205209696</c:v>
                </c:pt>
                <c:pt idx="118">
                  <c:v>-12.992592025364427</c:v>
                </c:pt>
                <c:pt idx="119">
                  <c:v>-13.148374977391885</c:v>
                </c:pt>
                <c:pt idx="120">
                  <c:v>-13.289176909696813</c:v>
                </c:pt>
                <c:pt idx="121">
                  <c:v>-13.417184071217266</c:v>
                </c:pt>
                <c:pt idx="122">
                  <c:v>-13.534226040679105</c:v>
                </c:pt>
                <c:pt idx="123">
                  <c:v>-13.641840796507418</c:v>
                </c:pt>
                <c:pt idx="124">
                  <c:v>-13.741326711108833</c:v>
                </c:pt>
                <c:pt idx="125">
                  <c:v>-13.833784328577279</c:v>
                </c:pt>
                <c:pt idx="126">
                  <c:v>-13.920150107705112</c:v>
                </c:pt>
                <c:pt idx="127">
                  <c:v>-14.001223809231966</c:v>
                </c:pt>
                <c:pt idx="128">
                  <c:v>-14.077690828444609</c:v>
                </c:pt>
                <c:pt idx="129">
                  <c:v>-14.15014048775037</c:v>
                </c:pt>
                <c:pt idx="130">
                  <c:v>-14.219081084893022</c:v>
                </c:pt>
                <c:pt idx="131">
                  <c:v>-14.284952324003669</c:v>
                </c:pt>
                <c:pt idx="132">
                  <c:v>-14.34813562626813</c:v>
                </c:pt>
                <c:pt idx="133">
                  <c:v>-14.408962715492509</c:v>
                </c:pt>
                <c:pt idx="134">
                  <c:v>-14.467722794466621</c:v>
                </c:pt>
                <c:pt idx="135">
                  <c:v>-14.524668565639111</c:v>
                </c:pt>
                <c:pt idx="136">
                  <c:v>-14.58002130038439</c:v>
                </c:pt>
                <c:pt idx="137">
                  <c:v>-14.633975122113142</c:v>
                </c:pt>
                <c:pt idx="138">
                  <c:v>-14.686700637420882</c:v>
                </c:pt>
                <c:pt idx="139">
                  <c:v>-14.73834802465235</c:v>
                </c:pt>
                <c:pt idx="140">
                  <c:v>-14.789049669357158</c:v>
                </c:pt>
                <c:pt idx="141">
                  <c:v>-14.838922420089597</c:v>
                </c:pt>
                <c:pt idx="142">
                  <c:v>-14.888069525059151</c:v>
                </c:pt>
                <c:pt idx="143">
                  <c:v>-14.936582299643561</c:v>
                </c:pt>
                <c:pt idx="144">
                  <c:v>-14.984541566234872</c:v>
                </c:pt>
                <c:pt idx="145">
                  <c:v>-15.032018900917963</c:v>
                </c:pt>
                <c:pt idx="146">
                  <c:v>-15.079077715771215</c:v>
                </c:pt>
                <c:pt idx="147">
                  <c:v>-15.12577420088695</c:v>
                </c:pt>
                <c:pt idx="148">
                  <c:v>-15.172158146340877</c:v>
                </c:pt>
                <c:pt idx="149">
                  <c:v>-15.218273661144844</c:v>
                </c:pt>
                <c:pt idx="150">
                  <c:v>-15.264159803562677</c:v>
                </c:pt>
                <c:pt idx="151">
                  <c:v>-15.309851134965999</c:v>
                </c:pt>
                <c:pt idx="152">
                  <c:v>-15.355378207566165</c:v>
                </c:pt>
                <c:pt idx="153">
                  <c:v>-15.400767994820653</c:v>
                </c:pt>
                <c:pt idx="154">
                  <c:v>-15.446044272022359</c:v>
                </c:pt>
                <c:pt idx="155">
                  <c:v>-15.491227953494706</c:v>
                </c:pt>
                <c:pt idx="156">
                  <c:v>-15.536337391900778</c:v>
                </c:pt>
                <c:pt idx="157">
                  <c:v>-15.581388644403102</c:v>
                </c:pt>
                <c:pt idx="158">
                  <c:v>-15.626395709753151</c:v>
                </c:pt>
                <c:pt idx="159">
                  <c:v>-15.671370739836021</c:v>
                </c:pt>
                <c:pt idx="160">
                  <c:v>-15.716324228720445</c:v>
                </c:pt>
                <c:pt idx="161">
                  <c:v>-15.761265181859867</c:v>
                </c:pt>
                <c:pt idx="162">
                  <c:v>-15.806201267746813</c:v>
                </c:pt>
                <c:pt idx="163">
                  <c:v>-15.851138954023574</c:v>
                </c:pt>
                <c:pt idx="164">
                  <c:v>-15.896083629800264</c:v>
                </c:pt>
                <c:pt idx="165">
                  <c:v>-15.941039715710289</c:v>
                </c:pt>
                <c:pt idx="166">
                  <c:v>-15.986010763046519</c:v>
                </c:pt>
                <c:pt idx="167">
                  <c:v>-16.030999543154653</c:v>
                </c:pt>
                <c:pt idx="168">
                  <c:v>-16.076008128123146</c:v>
                </c:pt>
                <c:pt idx="169">
                  <c:v>-16.121037963682078</c:v>
                </c:pt>
                <c:pt idx="170">
                  <c:v>-16.166089935119892</c:v>
                </c:pt>
                <c:pt idx="171">
                  <c:v>-16.211164426931706</c:v>
                </c:pt>
                <c:pt idx="172">
                  <c:v>-16.256261376832722</c:v>
                </c:pt>
                <c:pt idx="173">
                  <c:v>-16.301380324699252</c:v>
                </c:pt>
                <c:pt idx="174">
                  <c:v>-16.346520456937565</c:v>
                </c:pt>
                <c:pt idx="175">
                  <c:v>-16.391680646725636</c:v>
                </c:pt>
                <c:pt idx="176">
                  <c:v>-16.436859490526576</c:v>
                </c:pt>
                <c:pt idx="177">
                  <c:v>-16.482055341227515</c:v>
                </c:pt>
                <c:pt idx="178">
                  <c:v>-16.527266338223946</c:v>
                </c:pt>
                <c:pt idx="179">
                  <c:v>-16.572490434732913</c:v>
                </c:pt>
                <c:pt idx="180">
                  <c:v>-16.617725422592898</c:v>
                </c:pt>
                <c:pt idx="181">
                  <c:v>-16.662968954778925</c:v>
                </c:pt>
                <c:pt idx="182">
                  <c:v>-16.708218565841747</c:v>
                </c:pt>
                <c:pt idx="183">
                  <c:v>-16.753471690456905</c:v>
                </c:pt>
                <c:pt idx="184">
                  <c:v>-16.798725680253025</c:v>
                </c:pt>
                <c:pt idx="185">
                  <c:v>-16.843977819071604</c:v>
                </c:pt>
                <c:pt idx="186">
                  <c:v>-16.889225336796486</c:v>
                </c:pt>
                <c:pt idx="187">
                  <c:v>-16.934465421877892</c:v>
                </c:pt>
                <c:pt idx="188">
                  <c:v>-16.979695232665186</c:v>
                </c:pt>
                <c:pt idx="189">
                  <c:v>-17.024911907650033</c:v>
                </c:pt>
                <c:pt idx="190">
                  <c:v>-17.070112574715644</c:v>
                </c:pt>
                <c:pt idx="191">
                  <c:v>-17.115294359475254</c:v>
                </c:pt>
                <c:pt idx="192">
                  <c:v>-17.160454392779243</c:v>
                </c:pt>
                <c:pt idx="193">
                  <c:v>-17.205589817461039</c:v>
                </c:pt>
                <c:pt idx="194">
                  <c:v>-17.250697794386017</c:v>
                </c:pt>
                <c:pt idx="195">
                  <c:v>-17.29577550786329</c:v>
                </c:pt>
                <c:pt idx="196">
                  <c:v>-17.340820170474217</c:v>
                </c:pt>
                <c:pt idx="197">
                  <c:v>-17.385829027366171</c:v>
                </c:pt>
                <c:pt idx="198">
                  <c:v>-17.430799360058209</c:v>
                </c:pt>
                <c:pt idx="199">
                  <c:v>-17.475728489798716</c:v>
                </c:pt>
                <c:pt idx="200">
                  <c:v>-17.922197586166174</c:v>
                </c:pt>
                <c:pt idx="201">
                  <c:v>-18.361969294731587</c:v>
                </c:pt>
                <c:pt idx="202">
                  <c:v>-18.79323288365428</c:v>
                </c:pt>
                <c:pt idx="203">
                  <c:v>-19.214698123565302</c:v>
                </c:pt>
                <c:pt idx="204">
                  <c:v>-19.625518531204587</c:v>
                </c:pt>
                <c:pt idx="205">
                  <c:v>-20.025202515421281</c:v>
                </c:pt>
                <c:pt idx="206">
                  <c:v>-20.413531068236423</c:v>
                </c:pt>
                <c:pt idx="207">
                  <c:v>-20.790488275205725</c:v>
                </c:pt>
                <c:pt idx="208">
                  <c:v>-21.156205484784088</c:v>
                </c:pt>
                <c:pt idx="209">
                  <c:v>-21.510917793025289</c:v>
                </c:pt>
                <c:pt idx="210">
                  <c:v>-21.854930819426169</c:v>
                </c:pt>
                <c:pt idx="211">
                  <c:v>-22.188595730538307</c:v>
                </c:pt>
                <c:pt idx="212">
                  <c:v>-22.512290707650276</c:v>
                </c:pt>
                <c:pt idx="213">
                  <c:v>-22.826407366398314</c:v>
                </c:pt>
                <c:pt idx="214">
                  <c:v>-23.131340938160108</c:v>
                </c:pt>
                <c:pt idx="215">
                  <c:v>-23.427483284896251</c:v>
                </c:pt>
                <c:pt idx="216">
                  <c:v>-23.715218033607446</c:v>
                </c:pt>
                <c:pt idx="217">
                  <c:v>-23.994917286705046</c:v>
                </c:pt>
                <c:pt idx="218">
                  <c:v>-24.266939496860843</c:v>
                </c:pt>
                <c:pt idx="219">
                  <c:v>-24.53162819643191</c:v>
                </c:pt>
                <c:pt idx="220">
                  <c:v>-24.789311348851612</c:v>
                </c:pt>
                <c:pt idx="221">
                  <c:v>-25.040301147905161</c:v>
                </c:pt>
                <c:pt idx="222">
                  <c:v>-25.284894134969498</c:v>
                </c:pt>
                <c:pt idx="223">
                  <c:v>-25.523371537542673</c:v>
                </c:pt>
                <c:pt idx="224">
                  <c:v>-25.755999757377438</c:v>
                </c:pt>
                <c:pt idx="225">
                  <c:v>-25.983030955297465</c:v>
                </c:pt>
                <c:pt idx="226">
                  <c:v>-26.204703693850234</c:v>
                </c:pt>
                <c:pt idx="227">
                  <c:v>-26.421243609500131</c:v>
                </c:pt>
                <c:pt idx="228">
                  <c:v>-26.632864093962102</c:v>
                </c:pt>
                <c:pt idx="229">
                  <c:v>-26.83976697017814</c:v>
                </c:pt>
                <c:pt idx="230">
                  <c:v>-27.042143152839717</c:v>
                </c:pt>
                <c:pt idx="231">
                  <c:v>-27.240173286630892</c:v>
                </c:pt>
                <c:pt idx="232">
                  <c:v>-27.434028357788357</c:v>
                </c:pt>
                <c:pt idx="233">
                  <c:v>-27.623870276357209</c:v>
                </c:pt>
                <c:pt idx="234">
                  <c:v>-27.809852427821976</c:v>
                </c:pt>
                <c:pt idx="235">
                  <c:v>-27.992120193732589</c:v>
                </c:pt>
                <c:pt idx="236">
                  <c:v>-28.170811441613598</c:v>
                </c:pt>
                <c:pt idx="237">
                  <c:v>-28.346056984911094</c:v>
                </c:pt>
                <c:pt idx="238">
                  <c:v>-28.517981014045869</c:v>
                </c:pt>
                <c:pt idx="239">
                  <c:v>-28.686701499843966</c:v>
                </c:pt>
                <c:pt idx="240">
                  <c:v>-28.852330570734384</c:v>
                </c:pt>
                <c:pt idx="241">
                  <c:v>-29.014974865163239</c:v>
                </c:pt>
                <c:pt idx="242">
                  <c:v>-29.174735860686845</c:v>
                </c:pt>
                <c:pt idx="243">
                  <c:v>-29.331710181191028</c:v>
                </c:pt>
                <c:pt idx="244">
                  <c:v>-29.485989883644365</c:v>
                </c:pt>
                <c:pt idx="245">
                  <c:v>-29.637662725740974</c:v>
                </c:pt>
                <c:pt idx="246">
                  <c:v>-29.786812415724949</c:v>
                </c:pt>
                <c:pt idx="247">
                  <c:v>-29.933518845622174</c:v>
                </c:pt>
                <c:pt idx="248">
                  <c:v>-30.077858309033061</c:v>
                </c:pt>
                <c:pt idx="249">
                  <c:v>-30.219903704570214</c:v>
                </c:pt>
                <c:pt idx="250">
                  <c:v>-30.359724725954536</c:v>
                </c:pt>
                <c:pt idx="251">
                  <c:v>-30.497388039715048</c:v>
                </c:pt>
                <c:pt idx="252">
                  <c:v>-30.632957451373095</c:v>
                </c:pt>
                <c:pt idx="253">
                  <c:v>-30.766494060928935</c:v>
                </c:pt>
                <c:pt idx="254">
                  <c:v>-30.898056408410216</c:v>
                </c:pt>
                <c:pt idx="255">
                  <c:v>-31.027700610186685</c:v>
                </c:pt>
                <c:pt idx="256">
                  <c:v>-31.155480486703663</c:v>
                </c:pt>
                <c:pt idx="257">
                  <c:v>-31.281447682238554</c:v>
                </c:pt>
                <c:pt idx="258">
                  <c:v>-31.405651777239378</c:v>
                </c:pt>
                <c:pt idx="259">
                  <c:v>-31.52814039376387</c:v>
                </c:pt>
                <c:pt idx="260">
                  <c:v>-31.648959294496851</c:v>
                </c:pt>
                <c:pt idx="261">
                  <c:v>-31.768152475790359</c:v>
                </c:pt>
                <c:pt idx="262">
                  <c:v>-31.885762255135436</c:v>
                </c:pt>
                <c:pt idx="263">
                  <c:v>-32.001829353446034</c:v>
                </c:pt>
                <c:pt idx="264">
                  <c:v>-32.116392972505572</c:v>
                </c:pt>
                <c:pt idx="265">
                  <c:v>-32.229490867901852</c:v>
                </c:pt>
                <c:pt idx="266">
                  <c:v>-32.341159417751172</c:v>
                </c:pt>
                <c:pt idx="267">
                  <c:v>-32.451433687491082</c:v>
                </c:pt>
                <c:pt idx="268">
                  <c:v>-32.560347490999945</c:v>
                </c:pt>
                <c:pt idx="269">
                  <c:v>-32.667933448283158</c:v>
                </c:pt>
                <c:pt idx="270">
                  <c:v>-32.774223039948744</c:v>
                </c:pt>
                <c:pt idx="271">
                  <c:v>-32.879246658678092</c:v>
                </c:pt>
                <c:pt idx="272">
                  <c:v>-32.983033657884121</c:v>
                </c:pt>
                <c:pt idx="273">
                  <c:v>-33.085612397733797</c:v>
                </c:pt>
                <c:pt idx="274">
                  <c:v>-33.187010288701522</c:v>
                </c:pt>
                <c:pt idx="275">
                  <c:v>-33.287253832806051</c:v>
                </c:pt>
                <c:pt idx="276">
                  <c:v>-33.386368662674599</c:v>
                </c:pt>
                <c:pt idx="277">
                  <c:v>-33.484379578566795</c:v>
                </c:pt>
                <c:pt idx="278">
                  <c:v>-33.58131058348274</c:v>
                </c:pt>
                <c:pt idx="279">
                  <c:v>-33.677184916470175</c:v>
                </c:pt>
                <c:pt idx="280">
                  <c:v>-33.772025084238649</c:v>
                </c:pt>
                <c:pt idx="281">
                  <c:v>-33.865852891180957</c:v>
                </c:pt>
                <c:pt idx="282">
                  <c:v>-33.958689467895184</c:v>
                </c:pt>
                <c:pt idx="283">
                  <c:v>-34.0505552982954</c:v>
                </c:pt>
                <c:pt idx="284">
                  <c:v>-34.141470245391687</c:v>
                </c:pt>
                <c:pt idx="285">
                  <c:v>-34.231453575816701</c:v>
                </c:pt>
                <c:pt idx="286">
                  <c:v>-34.320523983169437</c:v>
                </c:pt>
                <c:pt idx="287">
                  <c:v>-34.408699610243374</c:v>
                </c:pt>
                <c:pt idx="288">
                  <c:v>-34.49599807020094</c:v>
                </c:pt>
                <c:pt idx="289">
                  <c:v>-34.582436466753371</c:v>
                </c:pt>
                <c:pt idx="290">
                  <c:v>-35.402951509198196</c:v>
                </c:pt>
                <c:pt idx="291">
                  <c:v>-36.153132463239992</c:v>
                </c:pt>
                <c:pt idx="292">
                  <c:v>-36.844018887083301</c:v>
                </c:pt>
                <c:pt idx="293">
                  <c:v>-37.484253217447055</c:v>
                </c:pt>
                <c:pt idx="294">
                  <c:v>-38.080724787553841</c:v>
                </c:pt>
                <c:pt idx="295">
                  <c:v>-38.63901209303247</c:v>
                </c:pt>
                <c:pt idx="296">
                  <c:v>-39.163694374269198</c:v>
                </c:pt>
                <c:pt idx="297">
                  <c:v>-39.658576108393461</c:v>
                </c:pt>
                <c:pt idx="298">
                  <c:v>-40.126851987921349</c:v>
                </c:pt>
                <c:pt idx="299">
                  <c:v>-40.57123031527528</c:v>
                </c:pt>
                <c:pt idx="300">
                  <c:v>-40.99402675785791</c:v>
                </c:pt>
                <c:pt idx="301">
                  <c:v>-41.397236597344772</c:v>
                </c:pt>
                <c:pt idx="302">
                  <c:v>-41.782591121921271</c:v>
                </c:pt>
                <c:pt idx="303">
                  <c:v>-42.151602154938992</c:v>
                </c:pt>
                <c:pt idx="304">
                  <c:v>-42.505597589315187</c:v>
                </c:pt>
                <c:pt idx="305">
                  <c:v>-42.845750019947928</c:v>
                </c:pt>
                <c:pt idx="306">
                  <c:v>-43.17310002056761</c:v>
                </c:pt>
                <c:pt idx="307">
                  <c:v>-43.488575222277682</c:v>
                </c:pt>
                <c:pt idx="308">
                  <c:v>-43.793006069781271</c:v>
                </c:pt>
                <c:pt idx="309">
                  <c:v>-44.087138925444016</c:v>
                </c:pt>
                <c:pt idx="310">
                  <c:v>-44.371647038925879</c:v>
                </c:pt>
                <c:pt idx="311">
                  <c:v>-44.647139786029456</c:v>
                </c:pt>
                <c:pt idx="312">
                  <c:v>-44.914170494155201</c:v>
                </c:pt>
                <c:pt idx="313">
                  <c:v>-45.173243105920221</c:v>
                </c:pt>
                <c:pt idx="314">
                  <c:v>-45.424817881809183</c:v>
                </c:pt>
                <c:pt idx="315">
                  <c:v>-45.669316303373407</c:v>
                </c:pt>
                <c:pt idx="316">
                  <c:v>-45.907125307709016</c:v>
                </c:pt>
                <c:pt idx="317">
                  <c:v>-46.138600959680609</c:v>
                </c:pt>
                <c:pt idx="318">
                  <c:v>-46.364071649106322</c:v>
                </c:pt>
                <c:pt idx="319">
                  <c:v>-46.583840884742571</c:v>
                </c:pt>
                <c:pt idx="320">
                  <c:v>-46.798189744551387</c:v>
                </c:pt>
                <c:pt idx="321">
                  <c:v>-47.007379031746595</c:v>
                </c:pt>
                <c:pt idx="322">
                  <c:v>-47.211651177998291</c:v>
                </c:pt>
                <c:pt idx="323">
                  <c:v>-47.411231928544609</c:v>
                </c:pt>
                <c:pt idx="324">
                  <c:v>-47.606331838515302</c:v>
                </c:pt>
                <c:pt idx="325">
                  <c:v>-47.797147605280294</c:v>
                </c:pt>
                <c:pt idx="326">
                  <c:v>-47.983863257915324</c:v>
                </c:pt>
                <c:pt idx="327">
                  <c:v>-48.166651221778196</c:v>
                </c:pt>
                <c:pt idx="328">
                  <c:v>-48.345673273602031</c:v>
                </c:pt>
                <c:pt idx="329">
                  <c:v>-48.521081400339256</c:v>
                </c:pt>
                <c:pt idx="330">
                  <c:v>-48.693018573161773</c:v>
                </c:pt>
                <c:pt idx="331">
                  <c:v>-48.861619446476894</c:v>
                </c:pt>
                <c:pt idx="332">
                  <c:v>-49.027010990507911</c:v>
                </c:pt>
                <c:pt idx="333">
                  <c:v>-49.18931306487238</c:v>
                </c:pt>
                <c:pt idx="334">
                  <c:v>-49.348638939638995</c:v>
                </c:pt>
                <c:pt idx="335">
                  <c:v>-49.50509576952912</c:v>
                </c:pt>
                <c:pt idx="336">
                  <c:v>-49.658785026227896</c:v>
                </c:pt>
                <c:pt idx="337">
                  <c:v>-49.809802893167536</c:v>
                </c:pt>
                <c:pt idx="338">
                  <c:v>-49.958240626624288</c:v>
                </c:pt>
                <c:pt idx="339">
                  <c:v>-50.104184886519462</c:v>
                </c:pt>
                <c:pt idx="340">
                  <c:v>-50.247718039923733</c:v>
                </c:pt>
                <c:pt idx="341">
                  <c:v>-50.388918439923231</c:v>
                </c:pt>
                <c:pt idx="342">
                  <c:v>-50.527860682208271</c:v>
                </c:pt>
                <c:pt idx="343">
                  <c:v>-50.664615841486899</c:v>
                </c:pt>
                <c:pt idx="344">
                  <c:v>-50.799251689596154</c:v>
                </c:pt>
                <c:pt idx="345">
                  <c:v>-50.93183289698581</c:v>
                </c:pt>
                <c:pt idx="346">
                  <c:v>-51.062421219071936</c:v>
                </c:pt>
                <c:pt idx="347">
                  <c:v>-51.191075668803805</c:v>
                </c:pt>
                <c:pt idx="348">
                  <c:v>-51.31785267664948</c:v>
                </c:pt>
                <c:pt idx="349">
                  <c:v>-51.442806239085215</c:v>
                </c:pt>
                <c:pt idx="350">
                  <c:v>-51.565988056565395</c:v>
                </c:pt>
                <c:pt idx="351">
                  <c:v>-51.68744766185501</c:v>
                </c:pt>
                <c:pt idx="352">
                  <c:v>-51.80723253952096</c:v>
                </c:pt>
                <c:pt idx="353">
                  <c:v>-51.925388237302919</c:v>
                </c:pt>
                <c:pt idx="354">
                  <c:v>-52.041958470017562</c:v>
                </c:pt>
                <c:pt idx="355">
                  <c:v>-52.156985216588261</c:v>
                </c:pt>
                <c:pt idx="356">
                  <c:v>-52.270508810738917</c:v>
                </c:pt>
                <c:pt idx="357">
                  <c:v>-52.382568025842218</c:v>
                </c:pt>
                <c:pt idx="358">
                  <c:v>-52.493200154368381</c:v>
                </c:pt>
                <c:pt idx="359">
                  <c:v>-52.602441082341549</c:v>
                </c:pt>
                <c:pt idx="360">
                  <c:v>-52.710325359175449</c:v>
                </c:pt>
                <c:pt idx="361">
                  <c:v>-52.816886263228326</c:v>
                </c:pt>
                <c:pt idx="362">
                  <c:v>-52.92215586338817</c:v>
                </c:pt>
                <c:pt idx="363">
                  <c:v>-53.026165076973101</c:v>
                </c:pt>
                <c:pt idx="364">
                  <c:v>-53.128943724208199</c:v>
                </c:pt>
                <c:pt idx="365">
                  <c:v>-53.230520579519336</c:v>
                </c:pt>
                <c:pt idx="366">
                  <c:v>-53.330923419863929</c:v>
                </c:pt>
                <c:pt idx="367">
                  <c:v>-53.430179070301989</c:v>
                </c:pt>
                <c:pt idx="368">
                  <c:v>-53.52831344699468</c:v>
                </c:pt>
                <c:pt idx="369">
                  <c:v>-53.625351597801924</c:v>
                </c:pt>
                <c:pt idx="370">
                  <c:v>-53.721317740638888</c:v>
                </c:pt>
                <c:pt idx="371">
                  <c:v>-53.81623529973777</c:v>
                </c:pt>
                <c:pt idx="372">
                  <c:v>-53.910126939950722</c:v>
                </c:pt>
                <c:pt idx="373">
                  <c:v>-54.003014599219703</c:v>
                </c:pt>
                <c:pt idx="374">
                  <c:v>-54.094919519329324</c:v>
                </c:pt>
                <c:pt idx="375">
                  <c:v>-54.185862275050376</c:v>
                </c:pt>
                <c:pt idx="376">
                  <c:v>-54.275862801774664</c:v>
                </c:pt>
                <c:pt idx="377">
                  <c:v>-54.364940421733188</c:v>
                </c:pt>
                <c:pt idx="378">
                  <c:v>-54.453113868884238</c:v>
                </c:pt>
                <c:pt idx="379">
                  <c:v>-54.54040131255158</c:v>
                </c:pt>
              </c:numCache>
            </c:numRef>
          </c:yVal>
          <c:smooth val="1"/>
          <c:extLst>
            <c:ext xmlns:c16="http://schemas.microsoft.com/office/drawing/2014/chart" uri="{C3380CC4-5D6E-409C-BE32-E72D297353CC}">
              <c16:uniqueId val="{00000000-1EFC-4EB1-A4E3-9F0A62532664}"/>
            </c:ext>
          </c:extLst>
        </c:ser>
        <c:dLbls>
          <c:showLegendKey val="0"/>
          <c:showVal val="0"/>
          <c:showCatName val="0"/>
          <c:showSerName val="0"/>
          <c:showPercent val="0"/>
          <c:showBubbleSize val="0"/>
        </c:dLbls>
        <c:axId val="1434155088"/>
        <c:axId val="1570699712"/>
      </c:scatterChart>
      <c:valAx>
        <c:axId val="1434155088"/>
        <c:scaling>
          <c:logBase val="10"/>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99712"/>
        <c:crosses val="autoZero"/>
        <c:crossBetween val="midCat"/>
      </c:valAx>
      <c:valAx>
        <c:axId val="157069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155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 Phase (db)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'Loop Gain'!$Y$1</c:f>
              <c:strCache>
                <c:ptCount val="1"/>
                <c:pt idx="0">
                  <c:v>Phase</c:v>
                </c:pt>
              </c:strCache>
            </c:strRef>
          </c:tx>
          <c:spPr>
            <a:ln w="19050" cap="rnd">
              <a:solidFill>
                <a:schemeClr val="accent1"/>
              </a:solidFill>
              <a:round/>
            </a:ln>
            <a:effectLst/>
          </c:spPr>
          <c:marker>
            <c:symbol val="none"/>
          </c:marker>
          <c:xVal>
            <c:numRef>
              <c:f>'Loop Gain'!$A$2:$A$381</c:f>
              <c:numCache>
                <c:formatCode>General</c:formatCode>
                <c:ptCount val="380"/>
                <c:pt idx="0">
                  <c:v>1</c:v>
                </c:pt>
                <c:pt idx="1">
                  <c:v>10</c:v>
                </c:pt>
                <c:pt idx="2">
                  <c:v>20</c:v>
                </c:pt>
                <c:pt idx="3">
                  <c:v>30</c:v>
                </c:pt>
                <c:pt idx="4">
                  <c:v>40</c:v>
                </c:pt>
                <c:pt idx="5">
                  <c:v>50</c:v>
                </c:pt>
                <c:pt idx="6">
                  <c:v>60</c:v>
                </c:pt>
                <c:pt idx="7">
                  <c:v>70</c:v>
                </c:pt>
                <c:pt idx="8">
                  <c:v>80</c:v>
                </c:pt>
                <c:pt idx="9">
                  <c:v>90</c:v>
                </c:pt>
                <c:pt idx="10">
                  <c:v>100</c:v>
                </c:pt>
                <c:pt idx="11">
                  <c:v>200</c:v>
                </c:pt>
                <c:pt idx="12">
                  <c:v>300</c:v>
                </c:pt>
                <c:pt idx="13">
                  <c:v>400</c:v>
                </c:pt>
                <c:pt idx="14">
                  <c:v>500</c:v>
                </c:pt>
                <c:pt idx="15">
                  <c:v>600</c:v>
                </c:pt>
                <c:pt idx="16">
                  <c:v>700</c:v>
                </c:pt>
                <c:pt idx="17">
                  <c:v>800</c:v>
                </c:pt>
                <c:pt idx="18">
                  <c:v>900</c:v>
                </c:pt>
                <c:pt idx="19">
                  <c:v>1000</c:v>
                </c:pt>
                <c:pt idx="20">
                  <c:v>1100</c:v>
                </c:pt>
                <c:pt idx="21">
                  <c:v>1200</c:v>
                </c:pt>
                <c:pt idx="22">
                  <c:v>1300</c:v>
                </c:pt>
                <c:pt idx="23">
                  <c:v>1400</c:v>
                </c:pt>
                <c:pt idx="24">
                  <c:v>1500</c:v>
                </c:pt>
                <c:pt idx="25">
                  <c:v>1600</c:v>
                </c:pt>
                <c:pt idx="26">
                  <c:v>1700</c:v>
                </c:pt>
                <c:pt idx="27">
                  <c:v>1800</c:v>
                </c:pt>
                <c:pt idx="28">
                  <c:v>1900</c:v>
                </c:pt>
                <c:pt idx="29">
                  <c:v>2000</c:v>
                </c:pt>
                <c:pt idx="30">
                  <c:v>2100</c:v>
                </c:pt>
                <c:pt idx="31">
                  <c:v>2200</c:v>
                </c:pt>
                <c:pt idx="32">
                  <c:v>2300</c:v>
                </c:pt>
                <c:pt idx="33">
                  <c:v>2400</c:v>
                </c:pt>
                <c:pt idx="34">
                  <c:v>2500</c:v>
                </c:pt>
                <c:pt idx="35">
                  <c:v>2600</c:v>
                </c:pt>
                <c:pt idx="36">
                  <c:v>2700</c:v>
                </c:pt>
                <c:pt idx="37">
                  <c:v>2800</c:v>
                </c:pt>
                <c:pt idx="38">
                  <c:v>2900</c:v>
                </c:pt>
                <c:pt idx="39">
                  <c:v>3000</c:v>
                </c:pt>
                <c:pt idx="40">
                  <c:v>3100</c:v>
                </c:pt>
                <c:pt idx="41">
                  <c:v>3200</c:v>
                </c:pt>
                <c:pt idx="42">
                  <c:v>3300</c:v>
                </c:pt>
                <c:pt idx="43">
                  <c:v>3400</c:v>
                </c:pt>
                <c:pt idx="44">
                  <c:v>3500</c:v>
                </c:pt>
                <c:pt idx="45">
                  <c:v>3600</c:v>
                </c:pt>
                <c:pt idx="46">
                  <c:v>3700</c:v>
                </c:pt>
                <c:pt idx="47">
                  <c:v>3800</c:v>
                </c:pt>
                <c:pt idx="48">
                  <c:v>3900</c:v>
                </c:pt>
                <c:pt idx="49">
                  <c:v>4000</c:v>
                </c:pt>
                <c:pt idx="50">
                  <c:v>4100</c:v>
                </c:pt>
                <c:pt idx="51">
                  <c:v>4200</c:v>
                </c:pt>
                <c:pt idx="52">
                  <c:v>4300</c:v>
                </c:pt>
                <c:pt idx="53">
                  <c:v>4400</c:v>
                </c:pt>
                <c:pt idx="54">
                  <c:v>4500</c:v>
                </c:pt>
                <c:pt idx="55">
                  <c:v>4600</c:v>
                </c:pt>
                <c:pt idx="56">
                  <c:v>4700</c:v>
                </c:pt>
                <c:pt idx="57">
                  <c:v>4800</c:v>
                </c:pt>
                <c:pt idx="58">
                  <c:v>4900</c:v>
                </c:pt>
                <c:pt idx="59">
                  <c:v>5000</c:v>
                </c:pt>
                <c:pt idx="60">
                  <c:v>5100</c:v>
                </c:pt>
                <c:pt idx="61">
                  <c:v>5200</c:v>
                </c:pt>
                <c:pt idx="62">
                  <c:v>5300</c:v>
                </c:pt>
                <c:pt idx="63">
                  <c:v>5400</c:v>
                </c:pt>
                <c:pt idx="64">
                  <c:v>5500</c:v>
                </c:pt>
                <c:pt idx="65">
                  <c:v>5600</c:v>
                </c:pt>
                <c:pt idx="66">
                  <c:v>5700</c:v>
                </c:pt>
                <c:pt idx="67">
                  <c:v>5800</c:v>
                </c:pt>
                <c:pt idx="68">
                  <c:v>5900</c:v>
                </c:pt>
                <c:pt idx="69">
                  <c:v>6000</c:v>
                </c:pt>
                <c:pt idx="70">
                  <c:v>6100</c:v>
                </c:pt>
                <c:pt idx="71">
                  <c:v>6200</c:v>
                </c:pt>
                <c:pt idx="72">
                  <c:v>6300</c:v>
                </c:pt>
                <c:pt idx="73">
                  <c:v>6400</c:v>
                </c:pt>
                <c:pt idx="74">
                  <c:v>6500</c:v>
                </c:pt>
                <c:pt idx="75">
                  <c:v>6600</c:v>
                </c:pt>
                <c:pt idx="76">
                  <c:v>6700</c:v>
                </c:pt>
                <c:pt idx="77">
                  <c:v>6800</c:v>
                </c:pt>
                <c:pt idx="78">
                  <c:v>6900</c:v>
                </c:pt>
                <c:pt idx="79">
                  <c:v>7000</c:v>
                </c:pt>
                <c:pt idx="80">
                  <c:v>7100</c:v>
                </c:pt>
                <c:pt idx="81">
                  <c:v>7200</c:v>
                </c:pt>
                <c:pt idx="82">
                  <c:v>7300</c:v>
                </c:pt>
                <c:pt idx="83">
                  <c:v>7400</c:v>
                </c:pt>
                <c:pt idx="84">
                  <c:v>7500</c:v>
                </c:pt>
                <c:pt idx="85">
                  <c:v>7600</c:v>
                </c:pt>
                <c:pt idx="86">
                  <c:v>7700</c:v>
                </c:pt>
                <c:pt idx="87">
                  <c:v>7800</c:v>
                </c:pt>
                <c:pt idx="88">
                  <c:v>7900</c:v>
                </c:pt>
                <c:pt idx="89">
                  <c:v>8000</c:v>
                </c:pt>
                <c:pt idx="90">
                  <c:v>8100</c:v>
                </c:pt>
                <c:pt idx="91">
                  <c:v>8200</c:v>
                </c:pt>
                <c:pt idx="92">
                  <c:v>8300</c:v>
                </c:pt>
                <c:pt idx="93">
                  <c:v>8400</c:v>
                </c:pt>
                <c:pt idx="94">
                  <c:v>8500</c:v>
                </c:pt>
                <c:pt idx="95">
                  <c:v>8600</c:v>
                </c:pt>
                <c:pt idx="96">
                  <c:v>8700</c:v>
                </c:pt>
                <c:pt idx="97">
                  <c:v>8800</c:v>
                </c:pt>
                <c:pt idx="98">
                  <c:v>8900</c:v>
                </c:pt>
                <c:pt idx="99">
                  <c:v>9000</c:v>
                </c:pt>
                <c:pt idx="100">
                  <c:v>9100</c:v>
                </c:pt>
                <c:pt idx="101">
                  <c:v>9200</c:v>
                </c:pt>
                <c:pt idx="102">
                  <c:v>9300</c:v>
                </c:pt>
                <c:pt idx="103">
                  <c:v>9400</c:v>
                </c:pt>
                <c:pt idx="104">
                  <c:v>9500</c:v>
                </c:pt>
                <c:pt idx="105">
                  <c:v>9600</c:v>
                </c:pt>
                <c:pt idx="106">
                  <c:v>9700</c:v>
                </c:pt>
                <c:pt idx="107">
                  <c:v>9800</c:v>
                </c:pt>
                <c:pt idx="108">
                  <c:v>9900</c:v>
                </c:pt>
                <c:pt idx="109">
                  <c:v>10000</c:v>
                </c:pt>
                <c:pt idx="110">
                  <c:v>11000</c:v>
                </c:pt>
                <c:pt idx="111">
                  <c:v>12000</c:v>
                </c:pt>
                <c:pt idx="112">
                  <c:v>13000</c:v>
                </c:pt>
                <c:pt idx="113">
                  <c:v>14000</c:v>
                </c:pt>
                <c:pt idx="114">
                  <c:v>15000</c:v>
                </c:pt>
                <c:pt idx="115">
                  <c:v>16000</c:v>
                </c:pt>
                <c:pt idx="116">
                  <c:v>17000</c:v>
                </c:pt>
                <c:pt idx="117">
                  <c:v>18000</c:v>
                </c:pt>
                <c:pt idx="118">
                  <c:v>19000</c:v>
                </c:pt>
                <c:pt idx="119">
                  <c:v>20000</c:v>
                </c:pt>
                <c:pt idx="120">
                  <c:v>21000</c:v>
                </c:pt>
                <c:pt idx="121">
                  <c:v>22000</c:v>
                </c:pt>
                <c:pt idx="122">
                  <c:v>23000</c:v>
                </c:pt>
                <c:pt idx="123">
                  <c:v>24000</c:v>
                </c:pt>
                <c:pt idx="124">
                  <c:v>25000</c:v>
                </c:pt>
                <c:pt idx="125">
                  <c:v>26000</c:v>
                </c:pt>
                <c:pt idx="126">
                  <c:v>27000</c:v>
                </c:pt>
                <c:pt idx="127">
                  <c:v>28000</c:v>
                </c:pt>
                <c:pt idx="128">
                  <c:v>29000</c:v>
                </c:pt>
                <c:pt idx="129">
                  <c:v>30000</c:v>
                </c:pt>
                <c:pt idx="130">
                  <c:v>31000</c:v>
                </c:pt>
                <c:pt idx="131">
                  <c:v>32000</c:v>
                </c:pt>
                <c:pt idx="132">
                  <c:v>33000</c:v>
                </c:pt>
                <c:pt idx="133">
                  <c:v>34000</c:v>
                </c:pt>
                <c:pt idx="134">
                  <c:v>35000</c:v>
                </c:pt>
                <c:pt idx="135">
                  <c:v>36000</c:v>
                </c:pt>
                <c:pt idx="136">
                  <c:v>37000</c:v>
                </c:pt>
                <c:pt idx="137">
                  <c:v>38000</c:v>
                </c:pt>
                <c:pt idx="138">
                  <c:v>39000</c:v>
                </c:pt>
                <c:pt idx="139">
                  <c:v>40000</c:v>
                </c:pt>
                <c:pt idx="140">
                  <c:v>41000</c:v>
                </c:pt>
                <c:pt idx="141">
                  <c:v>42000</c:v>
                </c:pt>
                <c:pt idx="142">
                  <c:v>43000</c:v>
                </c:pt>
                <c:pt idx="143">
                  <c:v>44000</c:v>
                </c:pt>
                <c:pt idx="144">
                  <c:v>45000</c:v>
                </c:pt>
                <c:pt idx="145">
                  <c:v>46000</c:v>
                </c:pt>
                <c:pt idx="146">
                  <c:v>47000</c:v>
                </c:pt>
                <c:pt idx="147">
                  <c:v>48000</c:v>
                </c:pt>
                <c:pt idx="148">
                  <c:v>49000</c:v>
                </c:pt>
                <c:pt idx="149">
                  <c:v>50000</c:v>
                </c:pt>
                <c:pt idx="150">
                  <c:v>51000</c:v>
                </c:pt>
                <c:pt idx="151">
                  <c:v>52000</c:v>
                </c:pt>
                <c:pt idx="152">
                  <c:v>53000</c:v>
                </c:pt>
                <c:pt idx="153">
                  <c:v>54000</c:v>
                </c:pt>
                <c:pt idx="154">
                  <c:v>55000</c:v>
                </c:pt>
                <c:pt idx="155">
                  <c:v>56000</c:v>
                </c:pt>
                <c:pt idx="156">
                  <c:v>57000</c:v>
                </c:pt>
                <c:pt idx="157">
                  <c:v>58000</c:v>
                </c:pt>
                <c:pt idx="158">
                  <c:v>59000</c:v>
                </c:pt>
                <c:pt idx="159">
                  <c:v>60000</c:v>
                </c:pt>
                <c:pt idx="160">
                  <c:v>61000</c:v>
                </c:pt>
                <c:pt idx="161">
                  <c:v>62000</c:v>
                </c:pt>
                <c:pt idx="162">
                  <c:v>63000</c:v>
                </c:pt>
                <c:pt idx="163">
                  <c:v>64000</c:v>
                </c:pt>
                <c:pt idx="164">
                  <c:v>65000</c:v>
                </c:pt>
                <c:pt idx="165">
                  <c:v>66000</c:v>
                </c:pt>
                <c:pt idx="166">
                  <c:v>67000</c:v>
                </c:pt>
                <c:pt idx="167">
                  <c:v>68000</c:v>
                </c:pt>
                <c:pt idx="168">
                  <c:v>69000</c:v>
                </c:pt>
                <c:pt idx="169">
                  <c:v>70000</c:v>
                </c:pt>
                <c:pt idx="170">
                  <c:v>71000</c:v>
                </c:pt>
                <c:pt idx="171">
                  <c:v>72000</c:v>
                </c:pt>
                <c:pt idx="172">
                  <c:v>73000</c:v>
                </c:pt>
                <c:pt idx="173">
                  <c:v>74000</c:v>
                </c:pt>
                <c:pt idx="174">
                  <c:v>75000</c:v>
                </c:pt>
                <c:pt idx="175">
                  <c:v>76000</c:v>
                </c:pt>
                <c:pt idx="176">
                  <c:v>77000</c:v>
                </c:pt>
                <c:pt idx="177">
                  <c:v>78000</c:v>
                </c:pt>
                <c:pt idx="178">
                  <c:v>79000</c:v>
                </c:pt>
                <c:pt idx="179">
                  <c:v>80000</c:v>
                </c:pt>
                <c:pt idx="180">
                  <c:v>81000</c:v>
                </c:pt>
                <c:pt idx="181">
                  <c:v>82000</c:v>
                </c:pt>
                <c:pt idx="182">
                  <c:v>83000</c:v>
                </c:pt>
                <c:pt idx="183">
                  <c:v>84000</c:v>
                </c:pt>
                <c:pt idx="184">
                  <c:v>85000</c:v>
                </c:pt>
                <c:pt idx="185">
                  <c:v>86000</c:v>
                </c:pt>
                <c:pt idx="186">
                  <c:v>87000</c:v>
                </c:pt>
                <c:pt idx="187">
                  <c:v>88000</c:v>
                </c:pt>
                <c:pt idx="188">
                  <c:v>89000</c:v>
                </c:pt>
                <c:pt idx="189">
                  <c:v>90000</c:v>
                </c:pt>
                <c:pt idx="190">
                  <c:v>91000</c:v>
                </c:pt>
                <c:pt idx="191">
                  <c:v>92000</c:v>
                </c:pt>
                <c:pt idx="192">
                  <c:v>93000</c:v>
                </c:pt>
                <c:pt idx="193">
                  <c:v>94000</c:v>
                </c:pt>
                <c:pt idx="194">
                  <c:v>95000</c:v>
                </c:pt>
                <c:pt idx="195">
                  <c:v>96000</c:v>
                </c:pt>
                <c:pt idx="196">
                  <c:v>97000</c:v>
                </c:pt>
                <c:pt idx="197">
                  <c:v>98000</c:v>
                </c:pt>
                <c:pt idx="198">
                  <c:v>99000</c:v>
                </c:pt>
                <c:pt idx="199">
                  <c:v>100000</c:v>
                </c:pt>
                <c:pt idx="200">
                  <c:v>110000</c:v>
                </c:pt>
                <c:pt idx="201">
                  <c:v>120000</c:v>
                </c:pt>
                <c:pt idx="202">
                  <c:v>130000</c:v>
                </c:pt>
                <c:pt idx="203">
                  <c:v>140000</c:v>
                </c:pt>
                <c:pt idx="204">
                  <c:v>150000</c:v>
                </c:pt>
                <c:pt idx="205">
                  <c:v>160000</c:v>
                </c:pt>
                <c:pt idx="206">
                  <c:v>170000</c:v>
                </c:pt>
                <c:pt idx="207">
                  <c:v>180000</c:v>
                </c:pt>
                <c:pt idx="208">
                  <c:v>190000</c:v>
                </c:pt>
                <c:pt idx="209">
                  <c:v>200000</c:v>
                </c:pt>
                <c:pt idx="210">
                  <c:v>210000</c:v>
                </c:pt>
                <c:pt idx="211">
                  <c:v>220000</c:v>
                </c:pt>
                <c:pt idx="212">
                  <c:v>230000</c:v>
                </c:pt>
                <c:pt idx="213">
                  <c:v>240000</c:v>
                </c:pt>
                <c:pt idx="214">
                  <c:v>250000</c:v>
                </c:pt>
                <c:pt idx="215">
                  <c:v>260000</c:v>
                </c:pt>
                <c:pt idx="216">
                  <c:v>270000</c:v>
                </c:pt>
                <c:pt idx="217">
                  <c:v>280000</c:v>
                </c:pt>
                <c:pt idx="218">
                  <c:v>290000</c:v>
                </c:pt>
                <c:pt idx="219">
                  <c:v>300000</c:v>
                </c:pt>
                <c:pt idx="220">
                  <c:v>310000</c:v>
                </c:pt>
                <c:pt idx="221">
                  <c:v>320000</c:v>
                </c:pt>
                <c:pt idx="222">
                  <c:v>330000</c:v>
                </c:pt>
                <c:pt idx="223">
                  <c:v>340000</c:v>
                </c:pt>
                <c:pt idx="224">
                  <c:v>350000</c:v>
                </c:pt>
                <c:pt idx="225">
                  <c:v>360000</c:v>
                </c:pt>
                <c:pt idx="226">
                  <c:v>370000</c:v>
                </c:pt>
                <c:pt idx="227">
                  <c:v>380000</c:v>
                </c:pt>
                <c:pt idx="228">
                  <c:v>390000</c:v>
                </c:pt>
                <c:pt idx="229">
                  <c:v>400000</c:v>
                </c:pt>
                <c:pt idx="230">
                  <c:v>410000</c:v>
                </c:pt>
                <c:pt idx="231">
                  <c:v>420000</c:v>
                </c:pt>
                <c:pt idx="232">
                  <c:v>430000</c:v>
                </c:pt>
                <c:pt idx="233">
                  <c:v>440000</c:v>
                </c:pt>
                <c:pt idx="234">
                  <c:v>450000</c:v>
                </c:pt>
                <c:pt idx="235">
                  <c:v>460000</c:v>
                </c:pt>
                <c:pt idx="236">
                  <c:v>470000</c:v>
                </c:pt>
                <c:pt idx="237">
                  <c:v>480000</c:v>
                </c:pt>
                <c:pt idx="238">
                  <c:v>490000</c:v>
                </c:pt>
                <c:pt idx="239">
                  <c:v>500000</c:v>
                </c:pt>
                <c:pt idx="240">
                  <c:v>510000</c:v>
                </c:pt>
                <c:pt idx="241">
                  <c:v>520000</c:v>
                </c:pt>
                <c:pt idx="242">
                  <c:v>530000</c:v>
                </c:pt>
                <c:pt idx="243">
                  <c:v>540000</c:v>
                </c:pt>
                <c:pt idx="244">
                  <c:v>550000</c:v>
                </c:pt>
                <c:pt idx="245">
                  <c:v>560000</c:v>
                </c:pt>
                <c:pt idx="246">
                  <c:v>570000</c:v>
                </c:pt>
                <c:pt idx="247">
                  <c:v>580000</c:v>
                </c:pt>
                <c:pt idx="248">
                  <c:v>590000</c:v>
                </c:pt>
                <c:pt idx="249">
                  <c:v>600000</c:v>
                </c:pt>
                <c:pt idx="250">
                  <c:v>610000</c:v>
                </c:pt>
                <c:pt idx="251">
                  <c:v>620000</c:v>
                </c:pt>
                <c:pt idx="252">
                  <c:v>630000</c:v>
                </c:pt>
                <c:pt idx="253">
                  <c:v>640000</c:v>
                </c:pt>
                <c:pt idx="254">
                  <c:v>650000</c:v>
                </c:pt>
                <c:pt idx="255">
                  <c:v>660000</c:v>
                </c:pt>
                <c:pt idx="256">
                  <c:v>670000</c:v>
                </c:pt>
                <c:pt idx="257">
                  <c:v>680000</c:v>
                </c:pt>
                <c:pt idx="258">
                  <c:v>690000</c:v>
                </c:pt>
                <c:pt idx="259">
                  <c:v>700000</c:v>
                </c:pt>
                <c:pt idx="260">
                  <c:v>710000</c:v>
                </c:pt>
                <c:pt idx="261">
                  <c:v>720000</c:v>
                </c:pt>
                <c:pt idx="262">
                  <c:v>730000</c:v>
                </c:pt>
                <c:pt idx="263">
                  <c:v>740000</c:v>
                </c:pt>
                <c:pt idx="264">
                  <c:v>750000</c:v>
                </c:pt>
                <c:pt idx="265">
                  <c:v>760000</c:v>
                </c:pt>
                <c:pt idx="266">
                  <c:v>770000</c:v>
                </c:pt>
                <c:pt idx="267">
                  <c:v>780000</c:v>
                </c:pt>
                <c:pt idx="268">
                  <c:v>790000</c:v>
                </c:pt>
                <c:pt idx="269">
                  <c:v>800000</c:v>
                </c:pt>
                <c:pt idx="270">
                  <c:v>810000</c:v>
                </c:pt>
                <c:pt idx="271">
                  <c:v>820000</c:v>
                </c:pt>
                <c:pt idx="272">
                  <c:v>830000</c:v>
                </c:pt>
                <c:pt idx="273">
                  <c:v>840000</c:v>
                </c:pt>
                <c:pt idx="274">
                  <c:v>850000</c:v>
                </c:pt>
                <c:pt idx="275">
                  <c:v>860000</c:v>
                </c:pt>
                <c:pt idx="276">
                  <c:v>870000</c:v>
                </c:pt>
                <c:pt idx="277">
                  <c:v>880000</c:v>
                </c:pt>
                <c:pt idx="278">
                  <c:v>890000</c:v>
                </c:pt>
                <c:pt idx="279">
                  <c:v>900000</c:v>
                </c:pt>
                <c:pt idx="280">
                  <c:v>910000</c:v>
                </c:pt>
                <c:pt idx="281">
                  <c:v>920000</c:v>
                </c:pt>
                <c:pt idx="282">
                  <c:v>930000</c:v>
                </c:pt>
                <c:pt idx="283">
                  <c:v>940000</c:v>
                </c:pt>
                <c:pt idx="284">
                  <c:v>950000</c:v>
                </c:pt>
                <c:pt idx="285">
                  <c:v>960000</c:v>
                </c:pt>
                <c:pt idx="286">
                  <c:v>970000</c:v>
                </c:pt>
                <c:pt idx="287">
                  <c:v>980000</c:v>
                </c:pt>
                <c:pt idx="288">
                  <c:v>990000</c:v>
                </c:pt>
                <c:pt idx="289">
                  <c:v>1000000</c:v>
                </c:pt>
                <c:pt idx="290">
                  <c:v>1100000</c:v>
                </c:pt>
                <c:pt idx="291">
                  <c:v>1200000</c:v>
                </c:pt>
                <c:pt idx="292">
                  <c:v>1300000</c:v>
                </c:pt>
                <c:pt idx="293">
                  <c:v>1400000</c:v>
                </c:pt>
                <c:pt idx="294">
                  <c:v>1500000</c:v>
                </c:pt>
                <c:pt idx="295">
                  <c:v>1600000</c:v>
                </c:pt>
                <c:pt idx="296">
                  <c:v>1700000</c:v>
                </c:pt>
                <c:pt idx="297">
                  <c:v>1800000</c:v>
                </c:pt>
                <c:pt idx="298">
                  <c:v>1900000</c:v>
                </c:pt>
                <c:pt idx="299">
                  <c:v>2000000</c:v>
                </c:pt>
                <c:pt idx="300">
                  <c:v>2100000</c:v>
                </c:pt>
                <c:pt idx="301">
                  <c:v>2200000</c:v>
                </c:pt>
                <c:pt idx="302">
                  <c:v>2300000</c:v>
                </c:pt>
                <c:pt idx="303">
                  <c:v>2400000</c:v>
                </c:pt>
                <c:pt idx="304">
                  <c:v>2500000</c:v>
                </c:pt>
                <c:pt idx="305">
                  <c:v>2600000</c:v>
                </c:pt>
                <c:pt idx="306">
                  <c:v>2700000</c:v>
                </c:pt>
                <c:pt idx="307">
                  <c:v>2800000</c:v>
                </c:pt>
                <c:pt idx="308">
                  <c:v>2900000</c:v>
                </c:pt>
                <c:pt idx="309">
                  <c:v>3000000</c:v>
                </c:pt>
                <c:pt idx="310">
                  <c:v>3100000</c:v>
                </c:pt>
                <c:pt idx="311">
                  <c:v>3200000</c:v>
                </c:pt>
                <c:pt idx="312">
                  <c:v>3300000</c:v>
                </c:pt>
                <c:pt idx="313">
                  <c:v>3400000</c:v>
                </c:pt>
                <c:pt idx="314">
                  <c:v>3500000</c:v>
                </c:pt>
                <c:pt idx="315">
                  <c:v>3600000</c:v>
                </c:pt>
                <c:pt idx="316">
                  <c:v>3700000</c:v>
                </c:pt>
                <c:pt idx="317">
                  <c:v>3800000</c:v>
                </c:pt>
                <c:pt idx="318">
                  <c:v>3900000</c:v>
                </c:pt>
                <c:pt idx="319">
                  <c:v>4000000</c:v>
                </c:pt>
                <c:pt idx="320">
                  <c:v>4100000</c:v>
                </c:pt>
                <c:pt idx="321">
                  <c:v>4200000</c:v>
                </c:pt>
                <c:pt idx="322">
                  <c:v>4300000</c:v>
                </c:pt>
                <c:pt idx="323">
                  <c:v>4400000</c:v>
                </c:pt>
                <c:pt idx="324">
                  <c:v>4500000</c:v>
                </c:pt>
                <c:pt idx="325">
                  <c:v>4600000</c:v>
                </c:pt>
                <c:pt idx="326">
                  <c:v>4700000</c:v>
                </c:pt>
                <c:pt idx="327">
                  <c:v>4800000</c:v>
                </c:pt>
                <c:pt idx="328">
                  <c:v>4900000</c:v>
                </c:pt>
                <c:pt idx="329">
                  <c:v>5000000</c:v>
                </c:pt>
                <c:pt idx="330">
                  <c:v>5100000</c:v>
                </c:pt>
                <c:pt idx="331">
                  <c:v>5200000</c:v>
                </c:pt>
                <c:pt idx="332">
                  <c:v>5300000</c:v>
                </c:pt>
                <c:pt idx="333">
                  <c:v>5400000</c:v>
                </c:pt>
                <c:pt idx="334">
                  <c:v>5500000</c:v>
                </c:pt>
                <c:pt idx="335">
                  <c:v>5600000</c:v>
                </c:pt>
                <c:pt idx="336">
                  <c:v>5700000</c:v>
                </c:pt>
                <c:pt idx="337">
                  <c:v>5800000</c:v>
                </c:pt>
                <c:pt idx="338">
                  <c:v>5900000</c:v>
                </c:pt>
                <c:pt idx="339">
                  <c:v>6000000</c:v>
                </c:pt>
                <c:pt idx="340">
                  <c:v>6100000</c:v>
                </c:pt>
                <c:pt idx="341">
                  <c:v>6200000</c:v>
                </c:pt>
                <c:pt idx="342">
                  <c:v>6300000</c:v>
                </c:pt>
                <c:pt idx="343">
                  <c:v>6400000</c:v>
                </c:pt>
                <c:pt idx="344">
                  <c:v>6500000</c:v>
                </c:pt>
                <c:pt idx="345">
                  <c:v>6600000</c:v>
                </c:pt>
                <c:pt idx="346">
                  <c:v>6700000</c:v>
                </c:pt>
                <c:pt idx="347">
                  <c:v>6800000</c:v>
                </c:pt>
                <c:pt idx="348">
                  <c:v>6900000</c:v>
                </c:pt>
                <c:pt idx="349">
                  <c:v>7000000</c:v>
                </c:pt>
                <c:pt idx="350">
                  <c:v>7100000</c:v>
                </c:pt>
                <c:pt idx="351">
                  <c:v>7200000</c:v>
                </c:pt>
                <c:pt idx="352">
                  <c:v>7300000</c:v>
                </c:pt>
                <c:pt idx="353">
                  <c:v>7400000</c:v>
                </c:pt>
                <c:pt idx="354">
                  <c:v>7500000</c:v>
                </c:pt>
                <c:pt idx="355">
                  <c:v>7600000</c:v>
                </c:pt>
                <c:pt idx="356">
                  <c:v>7700000</c:v>
                </c:pt>
                <c:pt idx="357">
                  <c:v>7800000</c:v>
                </c:pt>
                <c:pt idx="358">
                  <c:v>7900000</c:v>
                </c:pt>
                <c:pt idx="359">
                  <c:v>8000000</c:v>
                </c:pt>
                <c:pt idx="360">
                  <c:v>8100000</c:v>
                </c:pt>
                <c:pt idx="361">
                  <c:v>8200000</c:v>
                </c:pt>
                <c:pt idx="362">
                  <c:v>8300000</c:v>
                </c:pt>
                <c:pt idx="363">
                  <c:v>8400000</c:v>
                </c:pt>
                <c:pt idx="364">
                  <c:v>8500000</c:v>
                </c:pt>
                <c:pt idx="365">
                  <c:v>8600000</c:v>
                </c:pt>
                <c:pt idx="366">
                  <c:v>8700000</c:v>
                </c:pt>
                <c:pt idx="367">
                  <c:v>8800000</c:v>
                </c:pt>
                <c:pt idx="368">
                  <c:v>8900000</c:v>
                </c:pt>
                <c:pt idx="369">
                  <c:v>9000000</c:v>
                </c:pt>
                <c:pt idx="370">
                  <c:v>9100000</c:v>
                </c:pt>
                <c:pt idx="371">
                  <c:v>9200000</c:v>
                </c:pt>
                <c:pt idx="372">
                  <c:v>9300000</c:v>
                </c:pt>
                <c:pt idx="373">
                  <c:v>9400000</c:v>
                </c:pt>
                <c:pt idx="374">
                  <c:v>9500000</c:v>
                </c:pt>
                <c:pt idx="375">
                  <c:v>9600000</c:v>
                </c:pt>
                <c:pt idx="376">
                  <c:v>9700000</c:v>
                </c:pt>
                <c:pt idx="377">
                  <c:v>9800000</c:v>
                </c:pt>
                <c:pt idx="378">
                  <c:v>9900000</c:v>
                </c:pt>
                <c:pt idx="379">
                  <c:v>10000000</c:v>
                </c:pt>
              </c:numCache>
            </c:numRef>
          </c:xVal>
          <c:yVal>
            <c:numRef>
              <c:f>'Loop Gain'!$Y$2:$Y$381</c:f>
              <c:numCache>
                <c:formatCode>General</c:formatCode>
                <c:ptCount val="380"/>
                <c:pt idx="0">
                  <c:v>-89.996218478560493</c:v>
                </c:pt>
                <c:pt idx="1">
                  <c:v>-89.962184793886095</c:v>
                </c:pt>
                <c:pt idx="2">
                  <c:v>-89.924369637960439</c:v>
                </c:pt>
                <c:pt idx="3">
                  <c:v>-89.88655458241098</c:v>
                </c:pt>
                <c:pt idx="4">
                  <c:v>-89.848739677424916</c:v>
                </c:pt>
                <c:pt idx="5">
                  <c:v>-89.810924973188435</c:v>
                </c:pt>
                <c:pt idx="6">
                  <c:v>-89.773110519886302</c:v>
                </c:pt>
                <c:pt idx="7">
                  <c:v>-89.735296367701565</c:v>
                </c:pt>
                <c:pt idx="8">
                  <c:v>-89.697482566815168</c:v>
                </c:pt>
                <c:pt idx="9">
                  <c:v>-89.659669167405596</c:v>
                </c:pt>
                <c:pt idx="10">
                  <c:v>-89.621856219648564</c:v>
                </c:pt>
                <c:pt idx="11">
                  <c:v>-89.243762618935165</c:v>
                </c:pt>
                <c:pt idx="12">
                  <c:v>-88.865769342653323</c:v>
                </c:pt>
                <c:pt idx="13">
                  <c:v>-88.487926465967945</c:v>
                </c:pt>
                <c:pt idx="14">
                  <c:v>-88.11028395975174</c:v>
                </c:pt>
                <c:pt idx="15">
                  <c:v>-87.7328916561016</c:v>
                </c:pt>
                <c:pt idx="16">
                  <c:v>-87.355799214094787</c:v>
                </c:pt>
                <c:pt idx="17">
                  <c:v>-86.979056085842387</c:v>
                </c:pt>
                <c:pt idx="18">
                  <c:v>-86.602711482898599</c:v>
                </c:pt>
                <c:pt idx="19">
                  <c:v>-86.22681434308106</c:v>
                </c:pt>
                <c:pt idx="20">
                  <c:v>-85.851413297758086</c:v>
                </c:pt>
                <c:pt idx="21">
                  <c:v>-85.476556639655797</c:v>
                </c:pt>
                <c:pt idx="22">
                  <c:v>-85.102292291237191</c:v>
                </c:pt>
                <c:pt idx="23">
                  <c:v>-84.728667773703492</c:v>
                </c:pt>
                <c:pt idx="24">
                  <c:v>-84.355730176665574</c:v>
                </c:pt>
                <c:pt idx="25">
                  <c:v>-83.983526128531636</c:v>
                </c:pt>
                <c:pt idx="26">
                  <c:v>-83.612101767655702</c:v>
                </c:pt>
                <c:pt idx="27">
                  <c:v>-83.241502714286995</c:v>
                </c:pt>
                <c:pt idx="28">
                  <c:v>-82.871774043361427</c:v>
                </c:pt>
                <c:pt idx="29">
                  <c:v>-82.502960258170575</c:v>
                </c:pt>
                <c:pt idx="30">
                  <c:v>-82.135105264942112</c:v>
                </c:pt>
                <c:pt idx="31">
                  <c:v>-81.768252348364541</c:v>
                </c:pt>
                <c:pt idx="32">
                  <c:v>-81.402444148083674</c:v>
                </c:pt>
                <c:pt idx="33">
                  <c:v>-81.037722636197884</c:v>
                </c:pt>
                <c:pt idx="34">
                  <c:v>-80.674129095774646</c:v>
                </c:pt>
                <c:pt idx="35">
                  <c:v>-80.311704100409344</c:v>
                </c:pt>
                <c:pt idx="36">
                  <c:v>-79.950487494844708</c:v>
                </c:pt>
                <c:pt idx="37">
                  <c:v>-79.590518376664036</c:v>
                </c:pt>
                <c:pt idx="38">
                  <c:v>-79.231835079072283</c:v>
                </c:pt>
                <c:pt idx="39">
                  <c:v>-78.87447515477345</c:v>
                </c:pt>
                <c:pt idx="40">
                  <c:v>-78.518475360950575</c:v>
                </c:pt>
                <c:pt idx="41">
                  <c:v>-78.163871645353652</c:v>
                </c:pt>
                <c:pt idx="42">
                  <c:v>-77.810699133495376</c:v>
                </c:pt>
                <c:pt idx="43">
                  <c:v>-77.458992116954519</c:v>
                </c:pt>
                <c:pt idx="44">
                  <c:v>-77.108784042783128</c:v>
                </c:pt>
                <c:pt idx="45">
                  <c:v>-76.760107504011103</c:v>
                </c:pt>
                <c:pt idx="46">
                  <c:v>-76.412994231240106</c:v>
                </c:pt>
                <c:pt idx="47">
                  <c:v>-76.067475085316275</c:v>
                </c:pt>
                <c:pt idx="48">
                  <c:v>-75.723580051068424</c:v>
                </c:pt>
                <c:pt idx="49">
                  <c:v>-75.381338232097747</c:v>
                </c:pt>
                <c:pt idx="50">
                  <c:v>-75.04077784660187</c:v>
                </c:pt>
                <c:pt idx="51">
                  <c:v>-74.701926224214205</c:v>
                </c:pt>
                <c:pt idx="52">
                  <c:v>-74.364809803840075</c:v>
                </c:pt>
                <c:pt idx="53">
                  <c:v>-74.029454132465574</c:v>
                </c:pt>
                <c:pt idx="54">
                  <c:v>-73.695883864917448</c:v>
                </c:pt>
                <c:pt idx="55">
                  <c:v>-73.364122764548995</c:v>
                </c:pt>
                <c:pt idx="56">
                  <c:v>-73.034193704826336</c:v>
                </c:pt>
                <c:pt idx="57">
                  <c:v>-72.706118671786413</c:v>
                </c:pt>
                <c:pt idx="58">
                  <c:v>-72.379918767341707</c:v>
                </c:pt>
                <c:pt idx="59">
                  <c:v>-72.05561421340056</c:v>
                </c:pt>
                <c:pt idx="60">
                  <c:v>-71.733224356773263</c:v>
                </c:pt>
                <c:pt idx="61">
                  <c:v>-71.412767674835777</c:v>
                </c:pt>
                <c:pt idx="62">
                  <c:v>-71.094261781917837</c:v>
                </c:pt>
                <c:pt idx="63">
                  <c:v>-70.777723436385727</c:v>
                </c:pt>
                <c:pt idx="64">
                  <c:v>-70.463168548387415</c:v>
                </c:pt>
                <c:pt idx="65">
                  <c:v>-70.150612188228337</c:v>
                </c:pt>
                <c:pt idx="66">
                  <c:v>-69.840068595345713</c:v>
                </c:pt>
                <c:pt idx="67">
                  <c:v>-69.531551187849786</c:v>
                </c:pt>
                <c:pt idx="68">
                  <c:v>-69.225072572599501</c:v>
                </c:pt>
                <c:pt idx="69">
                  <c:v>-68.920644555781251</c:v>
                </c:pt>
                <c:pt idx="70">
                  <c:v>-68.618278153957505</c:v>
                </c:pt>
                <c:pt idx="71">
                  <c:v>-68.317983605557188</c:v>
                </c:pt>
                <c:pt idx="72">
                  <c:v>-68.019770382772933</c:v>
                </c:pt>
                <c:pt idx="73">
                  <c:v>-67.723647203836776</c:v>
                </c:pt>
                <c:pt idx="74">
                  <c:v>-67.429622045644692</c:v>
                </c:pt>
                <c:pt idx="75">
                  <c:v>-67.137702156698367</c:v>
                </c:pt>
                <c:pt idx="76">
                  <c:v>-66.847894070336338</c:v>
                </c:pt>
                <c:pt idx="77">
                  <c:v>-66.560203618226708</c:v>
                </c:pt>
                <c:pt idx="78">
                  <c:v>-66.274635944092253</c:v>
                </c:pt>
                <c:pt idx="79">
                  <c:v>-65.991195517642197</c:v>
                </c:pt>
                <c:pt idx="80">
                  <c:v>-65.709886148684205</c:v>
                </c:pt>
                <c:pt idx="81">
                  <c:v>-65.43071100138981</c:v>
                </c:pt>
                <c:pt idx="82">
                  <c:v>-65.153672608690343</c:v>
                </c:pt>
                <c:pt idx="83">
                  <c:v>-64.878772886779075</c:v>
                </c:pt>
                <c:pt idx="84">
                  <c:v>-64.606013149695784</c:v>
                </c:pt>
                <c:pt idx="85">
                  <c:v>-64.335394123972051</c:v>
                </c:pt>
                <c:pt idx="86">
                  <c:v>-64.06691596331693</c:v>
                </c:pt>
                <c:pt idx="87">
                  <c:v>-63.800578263320205</c:v>
                </c:pt>
                <c:pt idx="88">
                  <c:v>-63.536380076157165</c:v>
                </c:pt>
                <c:pt idx="89">
                  <c:v>-63.274319925272373</c:v>
                </c:pt>
                <c:pt idx="90">
                  <c:v>-63.014395820028419</c:v>
                </c:pt>
                <c:pt idx="91">
                  <c:v>-62.756605270299211</c:v>
                </c:pt>
                <c:pt idx="92">
                  <c:v>-62.500945300995355</c:v>
                </c:pt>
                <c:pt idx="93">
                  <c:v>-62.247412466502773</c:v>
                </c:pt>
                <c:pt idx="94">
                  <c:v>-61.996002865023378</c:v>
                </c:pt>
                <c:pt idx="95">
                  <c:v>-61.746712152802658</c:v>
                </c:pt>
                <c:pt idx="96">
                  <c:v>-61.499535558231869</c:v>
                </c:pt>
                <c:pt idx="97">
                  <c:v>-61.254467895812574</c:v>
                </c:pt>
                <c:pt idx="98">
                  <c:v>-61.011503579974423</c:v>
                </c:pt>
                <c:pt idx="99">
                  <c:v>-60.770636638731887</c:v>
                </c:pt>
                <c:pt idx="100">
                  <c:v>-60.531860727174987</c:v>
                </c:pt>
                <c:pt idx="101">
                  <c:v>-60.295169140782924</c:v>
                </c:pt>
                <c:pt idx="102">
                  <c:v>-60.060554828550863</c:v>
                </c:pt>
                <c:pt idx="103">
                  <c:v>-59.828010405926975</c:v>
                </c:pt>
                <c:pt idx="104">
                  <c:v>-59.597528167548163</c:v>
                </c:pt>
                <c:pt idx="105">
                  <c:v>-59.369100099771423</c:v>
                </c:pt>
                <c:pt idx="106">
                  <c:v>-59.142717892995016</c:v>
                </c:pt>
                <c:pt idx="107">
                  <c:v>-58.918372953763011</c:v>
                </c:pt>
                <c:pt idx="108">
                  <c:v>-58.69605641665045</c:v>
                </c:pt>
                <c:pt idx="109">
                  <c:v>-58.475759155924912</c:v>
                </c:pt>
                <c:pt idx="110">
                  <c:v>-56.381675165765458</c:v>
                </c:pt>
                <c:pt idx="111">
                  <c:v>-54.477957995082356</c:v>
                </c:pt>
                <c:pt idx="112">
                  <c:v>-52.752757703868568</c:v>
                </c:pt>
                <c:pt idx="113">
                  <c:v>-51.19356614096246</c:v>
                </c:pt>
                <c:pt idx="114">
                  <c:v>-49.787777314261056</c:v>
                </c:pt>
                <c:pt idx="115">
                  <c:v>-48.523076568177281</c:v>
                </c:pt>
                <c:pt idx="116">
                  <c:v>-47.387694545349262</c:v>
                </c:pt>
                <c:pt idx="117">
                  <c:v>-46.370559070512712</c:v>
                </c:pt>
                <c:pt idx="118">
                  <c:v>-45.461372928297138</c:v>
                </c:pt>
                <c:pt idx="119">
                  <c:v>-44.650639820497261</c:v>
                </c:pt>
                <c:pt idx="120">
                  <c:v>-43.929655525018568</c:v>
                </c:pt>
                <c:pt idx="121">
                  <c:v>-43.290476831831228</c:v>
                </c:pt>
                <c:pt idx="122">
                  <c:v>-42.725877283526096</c:v>
                </c:pt>
                <c:pt idx="123">
                  <c:v>-42.22929602823433</c:v>
                </c:pt>
                <c:pt idx="124">
                  <c:v>-41.794784068986559</c:v>
                </c:pt>
                <c:pt idx="125">
                  <c:v>-41.416950723659554</c:v>
                </c:pt>
                <c:pt idx="126">
                  <c:v>-41.090912064038221</c:v>
                </c:pt>
                <c:pt idx="127">
                  <c:v>-40.812242373305288</c:v>
                </c:pt>
                <c:pt idx="128">
                  <c:v>-40.576929163057194</c:v>
                </c:pt>
                <c:pt idx="129">
                  <c:v>-40.381331958532002</c:v>
                </c:pt>
                <c:pt idx="130">
                  <c:v>-40.222144845491322</c:v>
                </c:pt>
                <c:pt idx="131">
                  <c:v>-40.096362638555796</c:v>
                </c:pt>
                <c:pt idx="132">
                  <c:v>-40.001250453155045</c:v>
                </c:pt>
                <c:pt idx="133">
                  <c:v>-39.934316423329427</c:v>
                </c:pt>
                <c:pt idx="134">
                  <c:v>-39.893287292605919</c:v>
                </c:pt>
                <c:pt idx="135">
                  <c:v>-39.876086606119244</c:v>
                </c:pt>
                <c:pt idx="136">
                  <c:v>-39.880815242879592</c:v>
                </c:pt>
                <c:pt idx="137">
                  <c:v>-39.905734043483335</c:v>
                </c:pt>
                <c:pt idx="138">
                  <c:v>-39.949248307741207</c:v>
                </c:pt>
                <c:pt idx="139">
                  <c:v>-40.0098939569327</c:v>
                </c:pt>
                <c:pt idx="140">
                  <c:v>-40.086325175424648</c:v>
                </c:pt>
                <c:pt idx="141">
                  <c:v>-40.177303365597396</c:v>
                </c:pt>
                <c:pt idx="142">
                  <c:v>-40.281687267925477</c:v>
                </c:pt>
                <c:pt idx="143">
                  <c:v>-40.398424114535466</c:v>
                </c:pt>
                <c:pt idx="144">
                  <c:v>-40.52654169949151</c:v>
                </c:pt>
                <c:pt idx="145">
                  <c:v>-40.665141262501542</c:v>
                </c:pt>
                <c:pt idx="146">
                  <c:v>-40.813391094740801</c:v>
                </c:pt>
                <c:pt idx="147">
                  <c:v>-40.970520786162993</c:v>
                </c:pt>
                <c:pt idx="148">
                  <c:v>-41.135816043131321</c:v>
                </c:pt>
                <c:pt idx="149">
                  <c:v>-41.308614013548613</c:v>
                </c:pt>
                <c:pt idx="150">
                  <c:v>-41.488299064042558</c:v>
                </c:pt>
                <c:pt idx="151">
                  <c:v>-41.674298960235078</c:v>
                </c:pt>
                <c:pt idx="152">
                  <c:v>-41.866081406849567</c:v>
                </c:pt>
                <c:pt idx="153">
                  <c:v>-42.063150909405394</c:v>
                </c:pt>
                <c:pt idx="154">
                  <c:v>-42.265045923676588</c:v>
                </c:pt>
                <c:pt idx="155">
                  <c:v>-42.471336262958197</c:v>
                </c:pt>
                <c:pt idx="156">
                  <c:v>-42.681620736595526</c:v>
                </c:pt>
                <c:pt idx="157">
                  <c:v>-42.895524996227202</c:v>
                </c:pt>
                <c:pt idx="158">
                  <c:v>-43.112699568833563</c:v>
                </c:pt>
                <c:pt idx="159">
                  <c:v>-43.332818057998892</c:v>
                </c:pt>
                <c:pt idx="160">
                  <c:v>-43.555575496853173</c:v>
                </c:pt>
                <c:pt idx="161">
                  <c:v>-43.780686837947123</c:v>
                </c:pt>
                <c:pt idx="162">
                  <c:v>-44.007885566928344</c:v>
                </c:pt>
                <c:pt idx="163">
                  <c:v>-44.236922428271583</c:v>
                </c:pt>
                <c:pt idx="164">
                  <c:v>-44.467564252579294</c:v>
                </c:pt>
                <c:pt idx="165">
                  <c:v>-44.699592876056613</c:v>
                </c:pt>
                <c:pt idx="166">
                  <c:v>-44.932804143749323</c:v>
                </c:pt>
                <c:pt idx="167">
                  <c:v>-45.167006988991858</c:v>
                </c:pt>
                <c:pt idx="168">
                  <c:v>-45.402022582287245</c:v>
                </c:pt>
                <c:pt idx="169">
                  <c:v>-45.637683543518868</c:v>
                </c:pt>
                <c:pt idx="170">
                  <c:v>-45.873833212003078</c:v>
                </c:pt>
                <c:pt idx="171">
                  <c:v>-46.110324969433343</c:v>
                </c:pt>
                <c:pt idx="172">
                  <c:v>-46.347021611249431</c:v>
                </c:pt>
                <c:pt idx="173">
                  <c:v>-46.583794762391989</c:v>
                </c:pt>
                <c:pt idx="174">
                  <c:v>-46.82052433379566</c:v>
                </c:pt>
                <c:pt idx="175">
                  <c:v>-47.057098016306583</c:v>
                </c:pt>
                <c:pt idx="176">
                  <c:v>-47.293410809031244</c:v>
                </c:pt>
                <c:pt idx="177">
                  <c:v>-47.529364579387156</c:v>
                </c:pt>
                <c:pt idx="178">
                  <c:v>-47.764867652386826</c:v>
                </c:pt>
                <c:pt idx="179">
                  <c:v>-47.999834426895511</c:v>
                </c:pt>
                <c:pt idx="180">
                  <c:v>-48.234185016817442</c:v>
                </c:pt>
                <c:pt idx="181">
                  <c:v>-48.467844915333487</c:v>
                </c:pt>
                <c:pt idx="182">
                  <c:v>-48.700744680483126</c:v>
                </c:pt>
                <c:pt idx="183">
                  <c:v>-48.932819640529473</c:v>
                </c:pt>
                <c:pt idx="184">
                  <c:v>-49.164009617675212</c:v>
                </c:pt>
                <c:pt idx="185">
                  <c:v>-49.394258668820754</c:v>
                </c:pt>
                <c:pt idx="186">
                  <c:v>-49.623514842162429</c:v>
                </c:pt>
                <c:pt idx="187">
                  <c:v>-49.851729948527868</c:v>
                </c:pt>
                <c:pt idx="188">
                  <c:v>-50.078859346431443</c:v>
                </c:pt>
                <c:pt idx="189">
                  <c:v>-50.304861739923133</c:v>
                </c:pt>
                <c:pt idx="190">
                  <c:v>-50.529698988361226</c:v>
                </c:pt>
                <c:pt idx="191">
                  <c:v>-50.753335927326738</c:v>
                </c:pt>
                <c:pt idx="192">
                  <c:v>-50.975740199939118</c:v>
                </c:pt>
                <c:pt idx="193">
                  <c:v>-51.196882097900691</c:v>
                </c:pt>
                <c:pt idx="194">
                  <c:v>-51.4167344116468</c:v>
                </c:pt>
                <c:pt idx="195">
                  <c:v>-51.635272289017657</c:v>
                </c:pt>
                <c:pt idx="196">
                  <c:v>-51.852473101917475</c:v>
                </c:pt>
                <c:pt idx="197">
                  <c:v>-52.068316320466529</c:v>
                </c:pt>
                <c:pt idx="198">
                  <c:v>-52.282783394176811</c:v>
                </c:pt>
                <c:pt idx="199">
                  <c:v>-52.495857639729714</c:v>
                </c:pt>
                <c:pt idx="200">
                  <c:v>-54.54746335869055</c:v>
                </c:pt>
                <c:pt idx="201">
                  <c:v>-56.451863205880912</c:v>
                </c:pt>
                <c:pt idx="202">
                  <c:v>-58.210893796328442</c:v>
                </c:pt>
                <c:pt idx="203">
                  <c:v>-59.831492022856359</c:v>
                </c:pt>
                <c:pt idx="204">
                  <c:v>-61.323046229056011</c:v>
                </c:pt>
                <c:pt idx="205">
                  <c:v>-62.695861796704762</c:v>
                </c:pt>
                <c:pt idx="206">
                  <c:v>-63.960289116989912</c:v>
                </c:pt>
                <c:pt idx="207">
                  <c:v>-65.126247630821226</c:v>
                </c:pt>
                <c:pt idx="208">
                  <c:v>-66.202986281450208</c:v>
                </c:pt>
                <c:pt idx="209">
                  <c:v>-67.198983687827749</c:v>
                </c:pt>
                <c:pt idx="210">
                  <c:v>-68.121929206876402</c:v>
                </c:pt>
                <c:pt idx="211">
                  <c:v>-68.978749092628789</c:v>
                </c:pt>
                <c:pt idx="212">
                  <c:v>-69.775656087533349</c:v>
                </c:pt>
                <c:pt idx="213">
                  <c:v>-70.518209479340172</c:v>
                </c:pt>
                <c:pt idx="214">
                  <c:v>-71.211378017831507</c:v>
                </c:pt>
                <c:pt idx="215">
                  <c:v>-71.859601382419385</c:v>
                </c:pt>
                <c:pt idx="216">
                  <c:v>-72.466847906705794</c:v>
                </c:pt>
                <c:pt idx="217">
                  <c:v>-73.03666748382642</c:v>
                </c:pt>
                <c:pt idx="218">
                  <c:v>-73.572239298265814</c:v>
                </c:pt>
                <c:pt idx="219">
                  <c:v>-74.076414444241067</c:v>
                </c:pt>
                <c:pt idx="220">
                  <c:v>-74.551753715733923</c:v>
                </c:pt>
                <c:pt idx="221">
                  <c:v>-75.000560962825773</c:v>
                </c:pt>
                <c:pt idx="222">
                  <c:v>-75.424912449524015</c:v>
                </c:pt>
                <c:pt idx="223">
                  <c:v>-75.826682648712634</c:v>
                </c:pt>
                <c:pt idx="224">
                  <c:v>-76.207566888177624</c:v>
                </c:pt>
                <c:pt idx="225">
                  <c:v>-76.569101228874615</c:v>
                </c:pt>
                <c:pt idx="226">
                  <c:v>-76.912679919365416</c:v>
                </c:pt>
                <c:pt idx="227">
                  <c:v>-77.239570732554853</c:v>
                </c:pt>
                <c:pt idx="228">
                  <c:v>-77.550928454689668</c:v>
                </c:pt>
                <c:pt idx="229">
                  <c:v>-77.847806763165309</c:v>
                </c:pt>
                <c:pt idx="230">
                  <c:v>-78.131168699493969</c:v>
                </c:pt>
                <c:pt idx="231">
                  <c:v>-78.401895916925724</c:v>
                </c:pt>
                <c:pt idx="232">
                  <c:v>-78.660796858557575</c:v>
                </c:pt>
                <c:pt idx="233">
                  <c:v>-78.90861400108686</c:v>
                </c:pt>
                <c:pt idx="234">
                  <c:v>-79.146030281377705</c:v>
                </c:pt>
                <c:pt idx="235">
                  <c:v>-79.373674807419974</c:v>
                </c:pt>
                <c:pt idx="236">
                  <c:v>-79.592127941779466</c:v>
                </c:pt>
                <c:pt idx="237">
                  <c:v>-79.801925833997345</c:v>
                </c:pt>
                <c:pt idx="238">
                  <c:v>-80.003564468354639</c:v>
                </c:pt>
                <c:pt idx="239">
                  <c:v>-80.197503284754745</c:v>
                </c:pt>
                <c:pt idx="240">
                  <c:v>-80.384168423004454</c:v>
                </c:pt>
                <c:pt idx="241">
                  <c:v>-80.563955634324543</c:v>
                </c:pt>
                <c:pt idx="242">
                  <c:v>-80.737232898352261</c:v>
                </c:pt>
                <c:pt idx="243">
                  <c:v>-80.904342779082953</c:v>
                </c:pt>
                <c:pt idx="244">
                  <c:v>-81.065604549033608</c:v>
                </c:pt>
                <c:pt idx="245">
                  <c:v>-81.221316107301874</c:v>
                </c:pt>
                <c:pt idx="246">
                  <c:v>-81.37175571406587</c:v>
                </c:pt>
                <c:pt idx="247">
                  <c:v>-81.517183561350379</c:v>
                </c:pt>
                <c:pt idx="248">
                  <c:v>-81.657843197523931</c:v>
                </c:pt>
                <c:pt idx="249">
                  <c:v>-81.793962820930702</c:v>
                </c:pt>
                <c:pt idx="250">
                  <c:v>-81.925756456267493</c:v>
                </c:pt>
                <c:pt idx="251">
                  <c:v>-82.053425025748126</c:v>
                </c:pt>
                <c:pt idx="252">
                  <c:v>-82.177157325725787</c:v>
                </c:pt>
                <c:pt idx="253">
                  <c:v>-82.297130918243411</c:v>
                </c:pt>
                <c:pt idx="254">
                  <c:v>-82.413512945928346</c:v>
                </c:pt>
                <c:pt idx="255">
                  <c:v>-82.526460877721746</c:v>
                </c:pt>
                <c:pt idx="256">
                  <c:v>-82.636123192118944</c:v>
                </c:pt>
                <c:pt idx="257">
                  <c:v>-82.742640003879501</c:v>
                </c:pt>
                <c:pt idx="258">
                  <c:v>-82.846143639533153</c:v>
                </c:pt>
                <c:pt idx="259">
                  <c:v>-82.946759166446625</c:v>
                </c:pt>
                <c:pt idx="260">
                  <c:v>-83.044604879724673</c:v>
                </c:pt>
                <c:pt idx="261">
                  <c:v>-83.139792750776024</c:v>
                </c:pt>
                <c:pt idx="262">
                  <c:v>-83.232428840989726</c:v>
                </c:pt>
                <c:pt idx="263">
                  <c:v>-83.322613683618897</c:v>
                </c:pt>
                <c:pt idx="264">
                  <c:v>-83.410442636662765</c:v>
                </c:pt>
                <c:pt idx="265">
                  <c:v>-83.496006209263484</c:v>
                </c:pt>
                <c:pt idx="266">
                  <c:v>-83.579390363890042</c:v>
                </c:pt>
                <c:pt idx="267">
                  <c:v>-83.660676796362793</c:v>
                </c:pt>
                <c:pt idx="268">
                  <c:v>-83.739943195577808</c:v>
                </c:pt>
                <c:pt idx="269">
                  <c:v>-83.817263484615211</c:v>
                </c:pt>
                <c:pt idx="270">
                  <c:v>-83.892708044758677</c:v>
                </c:pt>
                <c:pt idx="271">
                  <c:v>-83.96634392381327</c:v>
                </c:pt>
                <c:pt idx="272">
                  <c:v>-84.038235029982118</c:v>
                </c:pt>
                <c:pt idx="273">
                  <c:v>-84.108442312449526</c:v>
                </c:pt>
                <c:pt idx="274">
                  <c:v>-84.177023929714721</c:v>
                </c:pt>
                <c:pt idx="275">
                  <c:v>-84.244035406629521</c:v>
                </c:pt>
                <c:pt idx="276">
                  <c:v>-84.309529781008607</c:v>
                </c:pt>
                <c:pt idx="277">
                  <c:v>-84.373557740607623</c:v>
                </c:pt>
                <c:pt idx="278">
                  <c:v>-84.43616775119429</c:v>
                </c:pt>
                <c:pt idx="279">
                  <c:v>-84.497406176377993</c:v>
                </c:pt>
                <c:pt idx="280">
                  <c:v>-84.557317389806798</c:v>
                </c:pt>
                <c:pt idx="281">
                  <c:v>-84.615943880289421</c:v>
                </c:pt>
                <c:pt idx="282">
                  <c:v>-84.673326350355808</c:v>
                </c:pt>
                <c:pt idx="283">
                  <c:v>-84.729503808725511</c:v>
                </c:pt>
                <c:pt idx="284">
                  <c:v>-84.784513657117856</c:v>
                </c:pt>
                <c:pt idx="285">
                  <c:v>-84.838391771800929</c:v>
                </c:pt>
                <c:pt idx="286">
                  <c:v>-84.891172580246575</c:v>
                </c:pt>
                <c:pt idx="287">
                  <c:v>-84.942889133228675</c:v>
                </c:pt>
                <c:pt idx="288">
                  <c:v>-84.993573172676591</c:v>
                </c:pt>
                <c:pt idx="289">
                  <c:v>-85.04325519557112</c:v>
                </c:pt>
                <c:pt idx="290">
                  <c:v>-85.490894621779304</c:v>
                </c:pt>
                <c:pt idx="291">
                  <c:v>-85.864576329758449</c:v>
                </c:pt>
                <c:pt idx="292">
                  <c:v>-86.181191639932919</c:v>
                </c:pt>
                <c:pt idx="293">
                  <c:v>-86.452861533847312</c:v>
                </c:pt>
                <c:pt idx="294">
                  <c:v>-86.688506832430676</c:v>
                </c:pt>
                <c:pt idx="295">
                  <c:v>-86.894837400883191</c:v>
                </c:pt>
                <c:pt idx="296">
                  <c:v>-87.076996267078187</c:v>
                </c:pt>
                <c:pt idx="297">
                  <c:v>-87.238991217912044</c:v>
                </c:pt>
                <c:pt idx="298">
                  <c:v>-87.383991329608264</c:v>
                </c:pt>
                <c:pt idx="299">
                  <c:v>-87.514535253485391</c:v>
                </c:pt>
                <c:pt idx="300">
                  <c:v>-87.632680420553129</c:v>
                </c:pt>
                <c:pt idx="301">
                  <c:v>-87.740111818778146</c:v>
                </c:pt>
                <c:pt idx="302">
                  <c:v>-87.83822256123851</c:v>
                </c:pt>
                <c:pt idx="303">
                  <c:v>-87.928174420657285</c:v>
                </c:pt>
                <c:pt idx="304">
                  <c:v>-88.010943907229759</c:v>
                </c:pt>
                <c:pt idx="305">
                  <c:v>-88.087357761245315</c:v>
                </c:pt>
                <c:pt idx="306">
                  <c:v>-88.158120591384829</c:v>
                </c:pt>
                <c:pt idx="307">
                  <c:v>-88.223836613395292</c:v>
                </c:pt>
                <c:pt idx="308">
                  <c:v>-88.285026907221052</c:v>
                </c:pt>
                <c:pt idx="309">
                  <c:v>-88.342143234212571</c:v>
                </c:pt>
                <c:pt idx="310">
                  <c:v>-88.395579188350212</c:v>
                </c:pt>
                <c:pt idx="311">
                  <c:v>-88.445679262690419</c:v>
                </c:pt>
                <c:pt idx="312">
                  <c:v>-88.492746271856447</c:v>
                </c:pt>
                <c:pt idx="313">
                  <c:v>-88.537047468026742</c:v>
                </c:pt>
                <c:pt idx="314">
                  <c:v>-88.578819610990351</c:v>
                </c:pt>
                <c:pt idx="315">
                  <c:v>-88.618273195108884</c:v>
                </c:pt>
                <c:pt idx="316">
                  <c:v>-88.655595992291964</c:v>
                </c:pt>
                <c:pt idx="317">
                  <c:v>-88.690956036688149</c:v>
                </c:pt>
                <c:pt idx="318">
                  <c:v>-88.724504151072523</c:v>
                </c:pt>
                <c:pt idx="319">
                  <c:v>-88.756376094965205</c:v>
                </c:pt>
                <c:pt idx="320">
                  <c:v>-88.786694398933847</c:v>
                </c:pt>
                <c:pt idx="321">
                  <c:v>-88.815569937283129</c:v>
                </c:pt>
                <c:pt idx="322">
                  <c:v>-88.84310328164247</c:v>
                </c:pt>
                <c:pt idx="323">
                  <c:v>-88.869385870248536</c:v>
                </c:pt>
                <c:pt idx="324">
                  <c:v>-88.894501021545153</c:v>
                </c:pt>
                <c:pt idx="325">
                  <c:v>-88.918524815754523</c:v>
                </c:pt>
                <c:pt idx="326">
                  <c:v>-88.941526864053245</c:v>
                </c:pt>
                <c:pt idx="327">
                  <c:v>-88.963570981721276</c:v>
                </c:pt>
                <c:pt idx="328">
                  <c:v>-88.984715778962695</c:v>
                </c:pt>
                <c:pt idx="329">
                  <c:v>-89.005015180908856</c:v>
                </c:pt>
                <c:pt idx="330">
                  <c:v>-89.024518886512155</c:v>
                </c:pt>
                <c:pt idx="331">
                  <c:v>-89.043272774546026</c:v>
                </c:pt>
                <c:pt idx="332">
                  <c:v>-89.061319263689498</c:v>
                </c:pt>
                <c:pt idx="333">
                  <c:v>-89.078697632641166</c:v>
                </c:pt>
                <c:pt idx="334">
                  <c:v>-89.095444305344685</c:v>
                </c:pt>
                <c:pt idx="335">
                  <c:v>-89.111593105681777</c:v>
                </c:pt>
                <c:pt idx="336">
                  <c:v>-89.127175485379027</c:v>
                </c:pt>
                <c:pt idx="337">
                  <c:v>-89.142220728357884</c:v>
                </c:pt>
                <c:pt idx="338">
                  <c:v>-89.156756134320148</c:v>
                </c:pt>
                <c:pt idx="339">
                  <c:v>-89.170807183989496</c:v>
                </c:pt>
                <c:pt idx="340">
                  <c:v>-89.184397688111815</c:v>
                </c:pt>
                <c:pt idx="341">
                  <c:v>-89.197549922046946</c:v>
                </c:pt>
                <c:pt idx="342">
                  <c:v>-89.210284747551228</c:v>
                </c:pt>
                <c:pt idx="343">
                  <c:v>-89.222621723150638</c:v>
                </c:pt>
                <c:pt idx="344">
                  <c:v>-89.234579204332633</c:v>
                </c:pt>
                <c:pt idx="345">
                  <c:v>-89.246174434635407</c:v>
                </c:pt>
                <c:pt idx="346">
                  <c:v>-89.257423628584945</c:v>
                </c:pt>
                <c:pt idx="347">
                  <c:v>-89.268342047318711</c:v>
                </c:pt>
                <c:pt idx="348">
                  <c:v>-89.27894406763717</c:v>
                </c:pt>
                <c:pt idx="349">
                  <c:v>-89.289243245139872</c:v>
                </c:pt>
                <c:pt idx="350">
                  <c:v>-89.29925237202923</c:v>
                </c:pt>
                <c:pt idx="351">
                  <c:v>-89.30898353009988</c:v>
                </c:pt>
                <c:pt idx="352">
                  <c:v>-89.318448139374908</c:v>
                </c:pt>
                <c:pt idx="353">
                  <c:v>-89.327657002800862</c:v>
                </c:pt>
                <c:pt idx="354">
                  <c:v>-89.336620347368623</c:v>
                </c:pt>
                <c:pt idx="355">
                  <c:v>-89.345347861989737</c:v>
                </c:pt>
                <c:pt idx="356">
                  <c:v>-89.353848732422634</c:v>
                </c:pt>
                <c:pt idx="357">
                  <c:v>-89.362131673513389</c:v>
                </c:pt>
                <c:pt idx="358">
                  <c:v>-89.370204958989035</c:v>
                </c:pt>
                <c:pt idx="359">
                  <c:v>-89.378076449017144</c:v>
                </c:pt>
                <c:pt idx="360">
                  <c:v>-89.385753615725122</c:v>
                </c:pt>
                <c:pt idx="361">
                  <c:v>-89.393243566852732</c:v>
                </c:pt>
                <c:pt idx="362">
                  <c:v>-89.400553067695668</c:v>
                </c:pt>
                <c:pt idx="363">
                  <c:v>-89.407688561482288</c:v>
                </c:pt>
                <c:pt idx="364">
                  <c:v>-89.414656188312478</c:v>
                </c:pt>
                <c:pt idx="365">
                  <c:v>-89.421461802775795</c:v>
                </c:pt>
                <c:pt idx="366">
                  <c:v>-89.428110990355052</c:v>
                </c:pt>
                <c:pt idx="367">
                  <c:v>-89.434609082711631</c:v>
                </c:pt>
                <c:pt idx="368">
                  <c:v>-89.440961171941012</c:v>
                </c:pt>
                <c:pt idx="369">
                  <c:v>-89.447172123878048</c:v>
                </c:pt>
                <c:pt idx="370">
                  <c:v>-89.453246590525339</c:v>
                </c:pt>
                <c:pt idx="371">
                  <c:v>-89.459189021671207</c:v>
                </c:pt>
                <c:pt idx="372">
                  <c:v>-89.465003675758624</c:v>
                </c:pt>
                <c:pt idx="373">
                  <c:v>-89.470694630060351</c:v>
                </c:pt>
                <c:pt idx="374">
                  <c:v>-89.476265790211613</c:v>
                </c:pt>
                <c:pt idx="375">
                  <c:v>-89.481720899147518</c:v>
                </c:pt>
                <c:pt idx="376">
                  <c:v>-89.487063545487317</c:v>
                </c:pt>
                <c:pt idx="377">
                  <c:v>-89.492297171405866</c:v>
                </c:pt>
                <c:pt idx="378">
                  <c:v>-89.497425080027966</c:v>
                </c:pt>
                <c:pt idx="379">
                  <c:v>-89.502450442379256</c:v>
                </c:pt>
              </c:numCache>
            </c:numRef>
          </c:yVal>
          <c:smooth val="1"/>
          <c:extLst>
            <c:ext xmlns:c16="http://schemas.microsoft.com/office/drawing/2014/chart" uri="{C3380CC4-5D6E-409C-BE32-E72D297353CC}">
              <c16:uniqueId val="{00000000-F181-41D8-B74D-6616CC97AAD6}"/>
            </c:ext>
          </c:extLst>
        </c:ser>
        <c:dLbls>
          <c:showLegendKey val="0"/>
          <c:showVal val="0"/>
          <c:showCatName val="0"/>
          <c:showSerName val="0"/>
          <c:showPercent val="0"/>
          <c:showBubbleSize val="0"/>
        </c:dLbls>
        <c:axId val="1434155088"/>
        <c:axId val="1570699712"/>
      </c:scatterChart>
      <c:valAx>
        <c:axId val="1434155088"/>
        <c:scaling>
          <c:logBase val="10"/>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99712"/>
        <c:crosses val="autoZero"/>
        <c:crossBetween val="midCat"/>
      </c:valAx>
      <c:valAx>
        <c:axId val="157069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155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752475</xdr:colOff>
      <xdr:row>134</xdr:row>
      <xdr:rowOff>8021</xdr:rowOff>
    </xdr:from>
    <xdr:to>
      <xdr:col>6</xdr:col>
      <xdr:colOff>4076700</xdr:colOff>
      <xdr:row>157</xdr:row>
      <xdr:rowOff>28576</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25400</xdr:colOff>
          <xdr:row>134</xdr:row>
          <xdr:rowOff>12700</xdr:rowOff>
        </xdr:from>
        <xdr:to>
          <xdr:col>3</xdr:col>
          <xdr:colOff>723900</xdr:colOff>
          <xdr:row>157</xdr:row>
          <xdr:rowOff>25400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38100</xdr:rowOff>
        </xdr:from>
        <xdr:to>
          <xdr:col>4</xdr:col>
          <xdr:colOff>2044700</xdr:colOff>
          <xdr:row>32</xdr:row>
          <xdr:rowOff>127000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0.01201</cdr:x>
      <cdr:y>0.93142</cdr:y>
    </cdr:from>
    <cdr:to>
      <cdr:x>0.3484</cdr:x>
      <cdr:y>0.98097</cdr:y>
    </cdr:to>
    <cdr:sp macro="" textlink="MsgCrossoverFreq">
      <cdr:nvSpPr>
        <cdr:cNvPr id="2" name="TextBox 1">
          <a:extLst xmlns:a="http://schemas.openxmlformats.org/drawingml/2006/main">
            <a:ext uri="{FF2B5EF4-FFF2-40B4-BE49-F238E27FC236}">
              <a16:creationId xmlns:a16="http://schemas.microsoft.com/office/drawing/2014/main" id="{6E623775-EF4B-4E65-B216-5A01081A8659}"/>
            </a:ext>
          </a:extLst>
        </cdr:cNvPr>
        <cdr:cNvSpPr txBox="1"/>
      </cdr:nvSpPr>
      <cdr:spPr>
        <a:xfrm xmlns:a="http://schemas.openxmlformats.org/drawingml/2006/main">
          <a:off x="78453" y="4717678"/>
          <a:ext cx="2198021" cy="2510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A6E097E-802C-46CF-9FBE-49D85A37B522}" type="TxLink">
            <a:rPr lang="en-US" sz="1100" b="0" i="0" u="none" strike="noStrike">
              <a:solidFill>
                <a:srgbClr val="000000"/>
              </a:solidFill>
              <a:latin typeface="Calibri"/>
              <a:cs typeface="Calibri"/>
            </a:rPr>
            <a:pPr/>
            <a:t>Crossover Frequency: 763.94 Hz</a:t>
          </a:fld>
          <a:endParaRPr lang="en-US" sz="1100"/>
        </a:p>
      </cdr:txBody>
    </cdr:sp>
  </cdr:relSizeAnchor>
  <cdr:relSizeAnchor xmlns:cdr="http://schemas.openxmlformats.org/drawingml/2006/chartDrawing">
    <cdr:from>
      <cdr:x>0.36672</cdr:x>
      <cdr:y>0.93142</cdr:y>
    </cdr:from>
    <cdr:to>
      <cdr:x>0.67203</cdr:x>
      <cdr:y>0.97124</cdr:y>
    </cdr:to>
    <cdr:sp macro="" textlink="MsgPhaseMargin">
      <cdr:nvSpPr>
        <cdr:cNvPr id="3" name="TextBox 2">
          <a:extLst xmlns:a="http://schemas.openxmlformats.org/drawingml/2006/main">
            <a:ext uri="{FF2B5EF4-FFF2-40B4-BE49-F238E27FC236}">
              <a16:creationId xmlns:a16="http://schemas.microsoft.com/office/drawing/2014/main" id="{0FE16552-49FE-4274-AF57-6E307ABEC614}"/>
            </a:ext>
          </a:extLst>
        </cdr:cNvPr>
        <cdr:cNvSpPr txBox="1"/>
      </cdr:nvSpPr>
      <cdr:spPr>
        <a:xfrm xmlns:a="http://schemas.openxmlformats.org/drawingml/2006/main">
          <a:off x="2396183" y="4717678"/>
          <a:ext cx="1994990" cy="2017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83BCA7-8D12-470B-B316-AA957504184E}" type="TxLink">
            <a:rPr lang="en-US" sz="1100" b="0" i="0" u="none" strike="noStrike">
              <a:solidFill>
                <a:srgbClr val="000000"/>
              </a:solidFill>
              <a:latin typeface="Calibri"/>
              <a:cs typeface="Calibri"/>
            </a:rPr>
            <a:pPr/>
            <a:t>Phase Margin: 25.34 deg</a:t>
          </a:fld>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3</xdr:col>
      <xdr:colOff>2105025</xdr:colOff>
      <xdr:row>137</xdr:row>
      <xdr:rowOff>47625</xdr:rowOff>
    </xdr:from>
    <xdr:to>
      <xdr:col>5</xdr:col>
      <xdr:colOff>301364</xdr:colOff>
      <xdr:row>148</xdr:row>
      <xdr:rowOff>169856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677150" y="23783925"/>
          <a:ext cx="2676899" cy="2229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8</xdr:row>
      <xdr:rowOff>23812</xdr:rowOff>
    </xdr:from>
    <xdr:to>
      <xdr:col>6</xdr:col>
      <xdr:colOff>314325</xdr:colOff>
      <xdr:row>22</xdr:row>
      <xdr:rowOff>100012</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22</xdr:row>
      <xdr:rowOff>142875</xdr:rowOff>
    </xdr:from>
    <xdr:to>
      <xdr:col>6</xdr:col>
      <xdr:colOff>323850</xdr:colOff>
      <xdr:row>37</xdr:row>
      <xdr:rowOff>28575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xdr:colOff>
      <xdr:row>6</xdr:row>
      <xdr:rowOff>152400</xdr:rowOff>
    </xdr:from>
    <xdr:to>
      <xdr:col>15</xdr:col>
      <xdr:colOff>333375</xdr:colOff>
      <xdr:row>21</xdr:row>
      <xdr:rowOff>38100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1371600</xdr:colOff>
      <xdr:row>22</xdr:row>
      <xdr:rowOff>9525</xdr:rowOff>
    </xdr:from>
    <xdr:to>
      <xdr:col>15</xdr:col>
      <xdr:colOff>285750</xdr:colOff>
      <xdr:row>36</xdr:row>
      <xdr:rowOff>85725</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476250</xdr:colOff>
      <xdr:row>6</xdr:row>
      <xdr:rowOff>180975</xdr:rowOff>
    </xdr:from>
    <xdr:to>
      <xdr:col>23</xdr:col>
      <xdr:colOff>171450</xdr:colOff>
      <xdr:row>21</xdr:row>
      <xdr:rowOff>66675</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523875</xdr:colOff>
      <xdr:row>22</xdr:row>
      <xdr:rowOff>47625</xdr:rowOff>
    </xdr:from>
    <xdr:to>
      <xdr:col>23</xdr:col>
      <xdr:colOff>219075</xdr:colOff>
      <xdr:row>36</xdr:row>
      <xdr:rowOff>123825</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Visio_Drawing1.vsdx"/><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i.com/legal/terms-conditions/terms-of-sal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DEDD-1D19-47AC-A50D-B8A8C835336C}">
  <sheetPr codeName="Sheet1"/>
  <dimension ref="B1:H131"/>
  <sheetViews>
    <sheetView tabSelected="1" topLeftCell="A35" zoomScaleNormal="100" workbookViewId="0">
      <selection activeCell="D85" sqref="D85"/>
    </sheetView>
  </sheetViews>
  <sheetFormatPr baseColWidth="10" defaultColWidth="8.83203125" defaultRowHeight="16" x14ac:dyDescent="0.2"/>
  <cols>
    <col min="2" max="2" width="56.83203125" style="7" customWidth="1"/>
    <col min="3" max="3" width="13.5" style="7" customWidth="1"/>
    <col min="4" max="5" width="31" style="7" customWidth="1"/>
    <col min="6" max="6" width="21.1640625" customWidth="1"/>
    <col min="7" max="7" width="61.33203125" style="10" bestFit="1" customWidth="1"/>
  </cols>
  <sheetData>
    <row r="1" spans="2:8" ht="34.5" customHeight="1" x14ac:dyDescent="0.5">
      <c r="B1" s="38" t="s">
        <v>401</v>
      </c>
      <c r="C1" s="38"/>
      <c r="D1" s="38"/>
      <c r="E1" s="38"/>
      <c r="F1" s="38"/>
      <c r="G1" s="38"/>
      <c r="H1" s="2"/>
    </row>
    <row r="2" spans="2:8" ht="17" thickBot="1" x14ac:dyDescent="0.25">
      <c r="D2" s="13" t="s">
        <v>0</v>
      </c>
      <c r="E2" s="7" t="s">
        <v>373</v>
      </c>
    </row>
    <row r="3" spans="2:8" x14ac:dyDescent="0.2">
      <c r="B3" s="40" t="s">
        <v>1</v>
      </c>
      <c r="C3" s="41"/>
      <c r="D3" s="41"/>
      <c r="E3" s="41"/>
      <c r="F3" s="41"/>
      <c r="G3" s="42"/>
    </row>
    <row r="4" spans="2:8" ht="15" customHeight="1" x14ac:dyDescent="0.2">
      <c r="B4" s="43" t="s">
        <v>294</v>
      </c>
      <c r="C4" s="44"/>
      <c r="D4" s="44"/>
      <c r="E4" s="44"/>
      <c r="F4" s="44"/>
      <c r="G4" s="45"/>
    </row>
    <row r="5" spans="2:8" ht="15" customHeight="1" x14ac:dyDescent="0.2">
      <c r="B5" s="43"/>
      <c r="C5" s="44"/>
      <c r="D5" s="44"/>
      <c r="E5" s="44"/>
      <c r="F5" s="44"/>
      <c r="G5" s="45"/>
    </row>
    <row r="6" spans="2:8" ht="15" customHeight="1" x14ac:dyDescent="0.2">
      <c r="B6" s="43"/>
      <c r="C6" s="44"/>
      <c r="D6" s="44"/>
      <c r="E6" s="44"/>
      <c r="F6" s="44"/>
      <c r="G6" s="45"/>
    </row>
    <row r="7" spans="2:8" ht="15.75" customHeight="1" thickBot="1" x14ac:dyDescent="0.25">
      <c r="B7" s="46"/>
      <c r="C7" s="47"/>
      <c r="D7" s="47"/>
      <c r="E7" s="47"/>
      <c r="F7" s="47"/>
      <c r="G7" s="48"/>
    </row>
    <row r="8" spans="2:8" ht="52.5" customHeight="1" x14ac:dyDescent="0.2">
      <c r="B8" s="49" t="s">
        <v>402</v>
      </c>
      <c r="C8" s="50"/>
      <c r="D8" s="50"/>
      <c r="E8" s="50"/>
      <c r="F8" s="50"/>
      <c r="G8" s="51"/>
    </row>
    <row r="9" spans="2:8" ht="21" x14ac:dyDescent="0.2">
      <c r="B9" s="52" t="s">
        <v>2</v>
      </c>
      <c r="C9" s="53"/>
      <c r="D9" s="53"/>
      <c r="E9" s="53"/>
      <c r="F9" s="53"/>
      <c r="G9" s="54"/>
    </row>
    <row r="10" spans="2:8" ht="22" thickBot="1" x14ac:dyDescent="0.25">
      <c r="B10" s="55" t="s">
        <v>125</v>
      </c>
      <c r="C10" s="56"/>
      <c r="D10" s="56"/>
      <c r="E10" s="56"/>
      <c r="F10" s="56"/>
      <c r="G10" s="57"/>
    </row>
    <row r="11" spans="2:8" ht="79.5" customHeight="1" thickBot="1" x14ac:dyDescent="0.25">
      <c r="B11" s="58" t="s">
        <v>3</v>
      </c>
      <c r="C11" s="59"/>
      <c r="D11" s="59"/>
      <c r="E11" s="59"/>
      <c r="F11" s="59"/>
      <c r="G11" s="60"/>
    </row>
    <row r="12" spans="2:8" ht="15" x14ac:dyDescent="0.2">
      <c r="B12" s="61" t="s">
        <v>293</v>
      </c>
      <c r="C12" s="62"/>
      <c r="D12" s="62"/>
      <c r="E12" s="62"/>
      <c r="F12" s="62"/>
      <c r="G12" s="63"/>
    </row>
    <row r="13" spans="2:8" thickBot="1" x14ac:dyDescent="0.25">
      <c r="B13" s="64"/>
      <c r="C13" s="65"/>
      <c r="D13" s="65"/>
      <c r="E13" s="65"/>
      <c r="F13" s="65"/>
      <c r="G13" s="66"/>
    </row>
    <row r="14" spans="2:8" ht="17" x14ac:dyDescent="0.2">
      <c r="B14" s="8"/>
      <c r="C14" s="8"/>
      <c r="D14" s="8"/>
      <c r="F14" t="s">
        <v>5</v>
      </c>
      <c r="G14" s="23" t="s">
        <v>302</v>
      </c>
    </row>
    <row r="15" spans="2:8" ht="17" x14ac:dyDescent="0.2">
      <c r="B15" s="8"/>
      <c r="C15" s="8"/>
      <c r="D15" s="8"/>
      <c r="F15" t="s">
        <v>6</v>
      </c>
      <c r="G15" s="24" t="s">
        <v>12</v>
      </c>
    </row>
    <row r="16" spans="2:8" ht="32" x14ac:dyDescent="0.2">
      <c r="B16" s="8"/>
      <c r="C16" s="8"/>
      <c r="D16" s="8"/>
      <c r="F16" s="5" t="s">
        <v>7</v>
      </c>
      <c r="G16" s="24" t="s">
        <v>15</v>
      </c>
    </row>
    <row r="17" spans="2:7" ht="17" x14ac:dyDescent="0.25">
      <c r="B17" s="8"/>
      <c r="C17" s="8"/>
      <c r="D17" s="8"/>
      <c r="F17" s="1"/>
      <c r="G17" s="19"/>
    </row>
    <row r="18" spans="2:7" x14ac:dyDescent="0.2">
      <c r="B18" s="8"/>
      <c r="C18" s="8"/>
      <c r="D18" s="8"/>
      <c r="F18" t="s">
        <v>16</v>
      </c>
    </row>
    <row r="19" spans="2:7" x14ac:dyDescent="0.2">
      <c r="B19" s="8"/>
      <c r="C19" s="8"/>
      <c r="D19" s="8"/>
      <c r="F19" s="39" t="str">
        <f ca="1">SelDevice</f>
        <v>UCC287502</v>
      </c>
      <c r="G19" s="39"/>
    </row>
    <row r="20" spans="2:7" x14ac:dyDescent="0.2">
      <c r="B20" s="8"/>
      <c r="C20" s="8"/>
      <c r="D20" s="8"/>
      <c r="F20" s="39"/>
      <c r="G20" s="39"/>
    </row>
    <row r="21" spans="2:7" x14ac:dyDescent="0.2">
      <c r="B21" s="8"/>
      <c r="C21" s="8"/>
      <c r="D21" s="8"/>
    </row>
    <row r="22" spans="2:7" x14ac:dyDescent="0.2">
      <c r="B22" s="8"/>
      <c r="C22" s="8"/>
      <c r="D22" s="8"/>
    </row>
    <row r="23" spans="2:7" ht="17" x14ac:dyDescent="0.25">
      <c r="B23" s="8"/>
      <c r="C23" s="8"/>
      <c r="D23" s="8"/>
      <c r="F23" s="1"/>
      <c r="G23" s="19"/>
    </row>
    <row r="24" spans="2:7" ht="17" x14ac:dyDescent="0.25">
      <c r="B24" s="8"/>
      <c r="C24" s="8"/>
      <c r="D24" s="8"/>
      <c r="F24" s="1"/>
      <c r="G24" s="19"/>
    </row>
    <row r="25" spans="2:7" ht="17" x14ac:dyDescent="0.25">
      <c r="B25" s="8"/>
      <c r="C25" s="8"/>
      <c r="D25" s="8"/>
      <c r="F25" s="1"/>
      <c r="G25" s="19"/>
    </row>
    <row r="26" spans="2:7" ht="17" x14ac:dyDescent="0.25">
      <c r="B26" s="8"/>
      <c r="C26" s="8"/>
      <c r="D26" s="8"/>
      <c r="F26" s="1"/>
      <c r="G26" s="19"/>
    </row>
    <row r="27" spans="2:7" ht="17" x14ac:dyDescent="0.25">
      <c r="B27" s="8"/>
      <c r="C27" s="8"/>
      <c r="D27" s="8"/>
      <c r="F27" s="1"/>
      <c r="G27" s="19"/>
    </row>
    <row r="28" spans="2:7" ht="17" x14ac:dyDescent="0.25">
      <c r="B28" s="8"/>
      <c r="C28" s="8"/>
      <c r="D28" s="8"/>
      <c r="F28" s="1"/>
      <c r="G28" s="19"/>
    </row>
    <row r="29" spans="2:7" ht="17" x14ac:dyDescent="0.25">
      <c r="B29" s="8"/>
      <c r="C29" s="8"/>
      <c r="D29" s="8"/>
      <c r="F29" s="1"/>
      <c r="G29" s="19"/>
    </row>
    <row r="30" spans="2:7" ht="17" x14ac:dyDescent="0.25">
      <c r="B30" s="8"/>
      <c r="C30" s="8"/>
      <c r="D30" s="8"/>
      <c r="F30" s="1"/>
      <c r="G30" s="19"/>
    </row>
    <row r="31" spans="2:7" ht="17" x14ac:dyDescent="0.25">
      <c r="B31" s="8"/>
      <c r="C31" s="8"/>
      <c r="D31" s="8"/>
      <c r="F31" s="1"/>
      <c r="G31" s="19"/>
    </row>
    <row r="32" spans="2:7" ht="17" x14ac:dyDescent="0.25">
      <c r="B32" s="8"/>
      <c r="C32" s="8"/>
      <c r="D32" s="8"/>
      <c r="F32" s="1"/>
      <c r="G32" s="19"/>
    </row>
    <row r="37" spans="2:7" ht="17" thickBot="1" x14ac:dyDescent="0.25"/>
    <row r="38" spans="2:7" ht="17" thickBot="1" x14ac:dyDescent="0.3">
      <c r="B38" s="32" t="s">
        <v>4</v>
      </c>
      <c r="C38" s="33"/>
      <c r="D38" s="33"/>
      <c r="E38" s="33"/>
      <c r="F38" s="33"/>
      <c r="G38" s="34"/>
    </row>
    <row r="39" spans="2:7" x14ac:dyDescent="0.2">
      <c r="B39" s="7" t="s">
        <v>28</v>
      </c>
      <c r="D39" s="25" t="s">
        <v>29</v>
      </c>
    </row>
    <row r="40" spans="2:7" ht="18" x14ac:dyDescent="0.25">
      <c r="B40" s="7" t="s">
        <v>31</v>
      </c>
      <c r="C40" s="7" t="s">
        <v>325</v>
      </c>
      <c r="D40" s="25">
        <v>90</v>
      </c>
      <c r="E40" s="7" t="str">
        <f>IF(SelVinType="AC","VAC","VDC")</f>
        <v>VAC</v>
      </c>
    </row>
    <row r="41" spans="2:7" ht="18" x14ac:dyDescent="0.25">
      <c r="B41" s="7" t="s">
        <v>63</v>
      </c>
      <c r="C41" s="7" t="s">
        <v>326</v>
      </c>
      <c r="D41" s="25">
        <v>90</v>
      </c>
      <c r="E41" s="7" t="s">
        <v>64</v>
      </c>
    </row>
    <row r="42" spans="2:7" ht="18" x14ac:dyDescent="0.25">
      <c r="B42" s="7" t="s">
        <v>32</v>
      </c>
      <c r="C42" s="7" t="s">
        <v>327</v>
      </c>
      <c r="D42" s="25">
        <v>265</v>
      </c>
      <c r="E42" s="7" t="str">
        <f>IF(SelVinType="AC","VAC","VDC")</f>
        <v>VAC</v>
      </c>
    </row>
    <row r="43" spans="2:7" ht="18" x14ac:dyDescent="0.25">
      <c r="B43" s="7" t="s">
        <v>33</v>
      </c>
      <c r="C43" s="7" t="s">
        <v>328</v>
      </c>
      <c r="D43" s="25">
        <v>115</v>
      </c>
      <c r="E43" s="7" t="str">
        <f>IF(SelVinType="AC","VAC","VDC")</f>
        <v>VAC</v>
      </c>
    </row>
    <row r="44" spans="2:7" ht="18" x14ac:dyDescent="0.25">
      <c r="B44" s="7" t="s">
        <v>34</v>
      </c>
      <c r="C44" s="7" t="s">
        <v>329</v>
      </c>
      <c r="D44" s="25">
        <v>47</v>
      </c>
      <c r="E44" s="7" t="s">
        <v>35</v>
      </c>
    </row>
    <row r="45" spans="2:7" ht="18" x14ac:dyDescent="0.25">
      <c r="B45" s="7" t="s">
        <v>50</v>
      </c>
      <c r="C45" s="7" t="s">
        <v>330</v>
      </c>
      <c r="D45" s="25">
        <v>650</v>
      </c>
      <c r="E45" s="7" t="s">
        <v>41</v>
      </c>
    </row>
    <row r="46" spans="2:7" ht="18" x14ac:dyDescent="0.25">
      <c r="B46" s="7" t="s">
        <v>81</v>
      </c>
      <c r="C46" s="7" t="s">
        <v>331</v>
      </c>
      <c r="D46" s="25">
        <v>80</v>
      </c>
      <c r="E46" s="7" t="s">
        <v>56</v>
      </c>
    </row>
    <row r="47" spans="2:7" ht="35" x14ac:dyDescent="0.25">
      <c r="B47" s="7" t="s">
        <v>55</v>
      </c>
      <c r="C47" s="7" t="s">
        <v>332</v>
      </c>
      <c r="D47" s="25">
        <v>65</v>
      </c>
      <c r="E47" s="7" t="s">
        <v>56</v>
      </c>
      <c r="G47" s="10" t="s">
        <v>255</v>
      </c>
    </row>
    <row r="48" spans="2:7" x14ac:dyDescent="0.2">
      <c r="B48" s="7" t="s">
        <v>68</v>
      </c>
      <c r="C48" s="9" t="s">
        <v>295</v>
      </c>
      <c r="D48" s="25">
        <v>85</v>
      </c>
      <c r="E48" s="7" t="s">
        <v>56</v>
      </c>
    </row>
    <row r="50" spans="2:7" ht="17" thickBot="1" x14ac:dyDescent="0.25"/>
    <row r="51" spans="2:7" ht="17" thickBot="1" x14ac:dyDescent="0.3">
      <c r="B51" s="32" t="s">
        <v>36</v>
      </c>
      <c r="C51" s="33"/>
      <c r="D51" s="33"/>
      <c r="E51" s="33"/>
      <c r="F51" s="33"/>
      <c r="G51" s="34"/>
    </row>
    <row r="52" spans="2:7" ht="19" x14ac:dyDescent="0.25">
      <c r="B52" s="10" t="s">
        <v>37</v>
      </c>
      <c r="C52" s="10" t="s">
        <v>333</v>
      </c>
      <c r="D52" s="25">
        <v>12</v>
      </c>
      <c r="E52" s="7" t="s">
        <v>41</v>
      </c>
    </row>
    <row r="53" spans="2:7" ht="19" x14ac:dyDescent="0.25">
      <c r="B53" s="10" t="s">
        <v>38</v>
      </c>
      <c r="C53" s="10" t="s">
        <v>334</v>
      </c>
      <c r="D53" s="25">
        <v>2</v>
      </c>
      <c r="E53" s="7" t="s">
        <v>42</v>
      </c>
    </row>
    <row r="54" spans="2:7" ht="19" x14ac:dyDescent="0.25">
      <c r="B54" s="10" t="s">
        <v>70</v>
      </c>
      <c r="C54" s="10" t="s">
        <v>335</v>
      </c>
      <c r="D54" s="14">
        <f ca="1">PrettyPo</f>
        <v>24</v>
      </c>
      <c r="E54" s="7" t="str">
        <f ca="1">PrettyUnitPo</f>
        <v>W</v>
      </c>
    </row>
    <row r="55" spans="2:7" ht="19" x14ac:dyDescent="0.25">
      <c r="B55" s="10" t="s">
        <v>382</v>
      </c>
      <c r="C55" s="10" t="s">
        <v>383</v>
      </c>
      <c r="D55" s="14">
        <f ca="1">PrettyPin</f>
        <v>28.24</v>
      </c>
      <c r="E55" s="7" t="s">
        <v>384</v>
      </c>
    </row>
    <row r="56" spans="2:7" ht="19" x14ac:dyDescent="0.25">
      <c r="B56" s="10" t="s">
        <v>40</v>
      </c>
      <c r="C56" s="10" t="s">
        <v>336</v>
      </c>
      <c r="D56" s="25">
        <v>1</v>
      </c>
      <c r="E56" s="7" t="s">
        <v>56</v>
      </c>
    </row>
    <row r="57" spans="2:7" ht="19" x14ac:dyDescent="0.25">
      <c r="B57" s="10" t="s">
        <v>39</v>
      </c>
      <c r="C57" s="10" t="s">
        <v>337</v>
      </c>
      <c r="D57" s="25">
        <v>1</v>
      </c>
      <c r="E57" s="7" t="s">
        <v>56</v>
      </c>
    </row>
    <row r="58" spans="2:7" ht="19" x14ac:dyDescent="0.25">
      <c r="B58" s="10" t="s">
        <v>61</v>
      </c>
      <c r="C58" s="10" t="s">
        <v>374</v>
      </c>
      <c r="D58" s="25">
        <v>1</v>
      </c>
      <c r="E58" s="7" t="s">
        <v>41</v>
      </c>
    </row>
    <row r="60" spans="2:7" ht="17" thickBot="1" x14ac:dyDescent="0.25"/>
    <row r="61" spans="2:7" ht="17" thickBot="1" x14ac:dyDescent="0.3">
      <c r="B61" s="32" t="s">
        <v>47</v>
      </c>
      <c r="C61" s="33"/>
      <c r="D61" s="33"/>
      <c r="E61" s="33"/>
      <c r="F61" s="33"/>
      <c r="G61" s="34"/>
    </row>
    <row r="62" spans="2:7" ht="18" x14ac:dyDescent="0.25">
      <c r="B62" s="7" t="s">
        <v>298</v>
      </c>
      <c r="C62" s="7" t="s">
        <v>338</v>
      </c>
      <c r="D62" s="14">
        <f ca="1">PrettyInputBulkCap</f>
        <v>55.63</v>
      </c>
      <c r="E62" s="7" t="str">
        <f ca="1">PrettyUnitInputBulkCap</f>
        <v>μF</v>
      </c>
      <c r="F62" s="4"/>
      <c r="G62" s="18" t="s">
        <v>299</v>
      </c>
    </row>
    <row r="63" spans="2:7" ht="17" thickBot="1" x14ac:dyDescent="0.25"/>
    <row r="64" spans="2:7" ht="17" thickBot="1" x14ac:dyDescent="0.3">
      <c r="B64" s="32" t="s">
        <v>49</v>
      </c>
      <c r="C64" s="33"/>
      <c r="D64" s="33"/>
      <c r="E64" s="33"/>
      <c r="F64" s="33"/>
      <c r="G64" s="34"/>
    </row>
    <row r="65" spans="2:7" ht="19" x14ac:dyDescent="0.25">
      <c r="B65" s="10" t="s">
        <v>86</v>
      </c>
      <c r="C65" s="10" t="s">
        <v>339</v>
      </c>
      <c r="D65" s="25">
        <v>100</v>
      </c>
      <c r="E65" s="7" t="s">
        <v>56</v>
      </c>
      <c r="G65" s="10" t="s">
        <v>375</v>
      </c>
    </row>
    <row r="66" spans="2:7" ht="19" x14ac:dyDescent="0.25">
      <c r="B66" s="10" t="s">
        <v>322</v>
      </c>
      <c r="C66" s="10" t="s">
        <v>340</v>
      </c>
      <c r="D66" s="15" t="str">
        <f>MsgNPS</f>
        <v>1 : 0.08</v>
      </c>
      <c r="E66" s="7" t="s">
        <v>94</v>
      </c>
    </row>
    <row r="67" spans="2:7" ht="19" x14ac:dyDescent="0.25">
      <c r="B67" s="10" t="s">
        <v>322</v>
      </c>
      <c r="C67" s="10" t="s">
        <v>341</v>
      </c>
      <c r="D67" s="15">
        <f>MsgNs</f>
        <v>12.86</v>
      </c>
    </row>
    <row r="68" spans="2:7" ht="19" x14ac:dyDescent="0.25">
      <c r="B68" s="10" t="s">
        <v>57</v>
      </c>
      <c r="C68" s="10" t="s">
        <v>332</v>
      </c>
      <c r="D68" s="14">
        <f>CalcDutyMax</f>
        <v>65</v>
      </c>
      <c r="E68" s="7" t="s">
        <v>56</v>
      </c>
    </row>
    <row r="69" spans="2:7" ht="19" x14ac:dyDescent="0.25">
      <c r="B69" s="10" t="s">
        <v>297</v>
      </c>
      <c r="C69" s="10" t="s">
        <v>342</v>
      </c>
      <c r="D69" s="14">
        <f ca="1">PrettyLm</f>
        <v>932.34</v>
      </c>
      <c r="E69" s="7" t="str">
        <f ca="1">PrettyUnitLm</f>
        <v>μH</v>
      </c>
    </row>
    <row r="70" spans="2:7" ht="19" x14ac:dyDescent="0.25">
      <c r="B70" s="10" t="s">
        <v>52</v>
      </c>
      <c r="C70" s="10" t="s">
        <v>341</v>
      </c>
      <c r="D70" s="25">
        <v>6</v>
      </c>
      <c r="E70" s="7" t="s">
        <v>96</v>
      </c>
    </row>
    <row r="71" spans="2:7" ht="19" x14ac:dyDescent="0.25">
      <c r="B71" s="10" t="s">
        <v>91</v>
      </c>
      <c r="C71" s="10" t="s">
        <v>343</v>
      </c>
      <c r="D71" s="25">
        <v>1</v>
      </c>
      <c r="E71" s="7" t="s">
        <v>96</v>
      </c>
    </row>
    <row r="72" spans="2:7" ht="19" x14ac:dyDescent="0.25">
      <c r="B72" s="10" t="s">
        <v>93</v>
      </c>
      <c r="C72" s="10" t="s">
        <v>344</v>
      </c>
      <c r="D72" s="15" t="str">
        <f>MsgNSA</f>
        <v>0.17 : 0.17</v>
      </c>
      <c r="E72" s="7" t="s">
        <v>95</v>
      </c>
    </row>
    <row r="73" spans="2:7" ht="35" x14ac:dyDescent="0.25">
      <c r="B73" s="10" t="s">
        <v>185</v>
      </c>
      <c r="C73" s="10" t="s">
        <v>345</v>
      </c>
      <c r="D73" s="14">
        <f>CalcSSVdd</f>
        <v>13</v>
      </c>
      <c r="E73" s="7" t="s">
        <v>41</v>
      </c>
      <c r="G73" s="10" t="str">
        <f>MsgNSAVdd</f>
        <v/>
      </c>
    </row>
    <row r="74" spans="2:7" ht="19" x14ac:dyDescent="0.25">
      <c r="B74" s="10" t="s">
        <v>179</v>
      </c>
      <c r="C74" s="10" t="s">
        <v>332</v>
      </c>
      <c r="D74" s="14">
        <f>CalcUsrDutyMax</f>
        <v>46.43</v>
      </c>
      <c r="E74" s="7" t="s">
        <v>56</v>
      </c>
    </row>
    <row r="75" spans="2:7" ht="19" x14ac:dyDescent="0.25">
      <c r="B75" s="10" t="s">
        <v>180</v>
      </c>
      <c r="C75" s="10" t="s">
        <v>342</v>
      </c>
      <c r="D75" s="14">
        <f ca="1">PrettyUsrLm</f>
        <v>475.71</v>
      </c>
      <c r="E75" s="7" t="str">
        <f ca="1">PrettyUnitUsrLm</f>
        <v>μH</v>
      </c>
    </row>
    <row r="76" spans="2:7" ht="19" x14ac:dyDescent="0.25">
      <c r="B76" s="10" t="s">
        <v>277</v>
      </c>
      <c r="C76" s="10" t="s">
        <v>346</v>
      </c>
      <c r="D76" s="14">
        <f>PrettyMosLeakLeft</f>
        <v>204</v>
      </c>
      <c r="E76" s="7" t="s">
        <v>41</v>
      </c>
      <c r="G76" s="10" t="str">
        <f>MsgLkgLeft</f>
        <v/>
      </c>
    </row>
    <row r="77" spans="2:7" ht="19" x14ac:dyDescent="0.25">
      <c r="B77" s="10" t="s">
        <v>378</v>
      </c>
      <c r="C77" s="10" t="s">
        <v>379</v>
      </c>
      <c r="D77" s="14">
        <f ca="1">PrettyIPk</f>
        <v>1.35</v>
      </c>
      <c r="E77" s="7" t="str">
        <f ca="1">PrettyUnitIPk</f>
        <v>A</v>
      </c>
    </row>
    <row r="78" spans="2:7" ht="20" thickBot="1" x14ac:dyDescent="0.3">
      <c r="B78" s="10" t="s">
        <v>386</v>
      </c>
      <c r="C78" s="10" t="s">
        <v>387</v>
      </c>
      <c r="D78" s="14">
        <f ca="1">PrettyIMean</f>
        <v>510.48</v>
      </c>
      <c r="E78" s="7" t="str">
        <f ca="1">PrettyUnitIRms</f>
        <v>mA</v>
      </c>
    </row>
    <row r="79" spans="2:7" ht="17" thickBot="1" x14ac:dyDescent="0.3">
      <c r="B79" s="32" t="s">
        <v>54</v>
      </c>
      <c r="C79" s="33"/>
      <c r="D79" s="33"/>
      <c r="E79" s="33"/>
      <c r="F79" s="33"/>
      <c r="G79" s="34"/>
    </row>
    <row r="80" spans="2:7" ht="19" x14ac:dyDescent="0.25">
      <c r="B80" s="7" t="s">
        <v>58</v>
      </c>
      <c r="C80" s="10" t="s">
        <v>347</v>
      </c>
      <c r="D80" s="14">
        <f ca="1">PrettyRCs</f>
        <v>586.05999999999995</v>
      </c>
      <c r="E80" s="7" t="str">
        <f ca="1">PrettyUnitRCs</f>
        <v>mΩ</v>
      </c>
    </row>
    <row r="81" spans="2:7" ht="69" x14ac:dyDescent="0.25">
      <c r="B81" s="10" t="s">
        <v>59</v>
      </c>
      <c r="C81" s="10" t="s">
        <v>348</v>
      </c>
      <c r="D81" s="14">
        <f ca="1">PrettyRSlope</f>
        <v>0</v>
      </c>
      <c r="E81" s="7" t="str">
        <f ca="1">PrettyUnitRSlope</f>
        <v>Ω</v>
      </c>
      <c r="G81" s="10" t="s">
        <v>376</v>
      </c>
    </row>
    <row r="82" spans="2:7" ht="35" x14ac:dyDescent="0.25">
      <c r="B82" s="10" t="s">
        <v>118</v>
      </c>
      <c r="C82" s="10" t="s">
        <v>349</v>
      </c>
      <c r="D82" s="14">
        <f ca="1">PrettyVCs</f>
        <v>792</v>
      </c>
      <c r="E82" s="7" t="str">
        <f ca="1">PrettyUnitVCs</f>
        <v>mV</v>
      </c>
    </row>
    <row r="84" spans="2:7" ht="19" x14ac:dyDescent="0.25">
      <c r="B84" s="10" t="s">
        <v>115</v>
      </c>
      <c r="C84" s="10" t="s">
        <v>347</v>
      </c>
      <c r="D84" s="25">
        <v>600</v>
      </c>
      <c r="E84" s="25" t="s">
        <v>286</v>
      </c>
    </row>
    <row r="85" spans="2:7" ht="19" x14ac:dyDescent="0.25">
      <c r="B85" s="10" t="s">
        <v>116</v>
      </c>
      <c r="C85" s="10" t="s">
        <v>348</v>
      </c>
      <c r="D85" s="25">
        <v>2000</v>
      </c>
      <c r="E85" s="25" t="s">
        <v>280</v>
      </c>
      <c r="G85" s="10" t="str">
        <f>MesRSlope</f>
        <v/>
      </c>
    </row>
    <row r="86" spans="2:7" ht="35" x14ac:dyDescent="0.25">
      <c r="B86" s="10" t="s">
        <v>117</v>
      </c>
      <c r="C86" s="10" t="s">
        <v>349</v>
      </c>
      <c r="D86" s="14">
        <f ca="1">PrettyUsrVCs</f>
        <v>1011</v>
      </c>
      <c r="E86" s="7" t="str">
        <f ca="1">PrettyUnitUsrVCs</f>
        <v>mV</v>
      </c>
      <c r="G86" s="10" t="str">
        <f ca="1">MsgUsrRCs</f>
        <v>Modify selection of current sense resistor to lower final voltage below CS Max threshold</v>
      </c>
    </row>
    <row r="87" spans="2:7" ht="17" thickBot="1" x14ac:dyDescent="0.25"/>
    <row r="88" spans="2:7" ht="17" thickBot="1" x14ac:dyDescent="0.3">
      <c r="B88" s="32" t="s">
        <v>73</v>
      </c>
      <c r="C88" s="33"/>
      <c r="D88" s="33"/>
      <c r="E88" s="33"/>
      <c r="F88" s="33"/>
      <c r="G88" s="34"/>
    </row>
    <row r="89" spans="2:7" ht="19" x14ac:dyDescent="0.25">
      <c r="B89" s="7" t="s">
        <v>300</v>
      </c>
      <c r="C89" s="10" t="s">
        <v>389</v>
      </c>
      <c r="D89" s="14">
        <f>ResVoDiodeBlock</f>
        <v>74</v>
      </c>
      <c r="E89" s="7" t="s">
        <v>41</v>
      </c>
      <c r="G89" s="18" t="s">
        <v>377</v>
      </c>
    </row>
    <row r="90" spans="2:7" ht="17" thickBot="1" x14ac:dyDescent="0.25"/>
    <row r="91" spans="2:7" ht="17" thickBot="1" x14ac:dyDescent="0.3">
      <c r="B91" s="32" t="s">
        <v>126</v>
      </c>
      <c r="C91" s="33"/>
      <c r="D91" s="33"/>
      <c r="E91" s="33"/>
      <c r="F91" s="33"/>
      <c r="G91" s="34"/>
    </row>
    <row r="92" spans="2:7" ht="19" x14ac:dyDescent="0.25">
      <c r="B92" s="10" t="s">
        <v>139</v>
      </c>
      <c r="C92" s="10" t="s">
        <v>350</v>
      </c>
      <c r="D92" s="14">
        <f ca="1">ResCout</f>
        <v>872</v>
      </c>
      <c r="E92" s="7" t="s">
        <v>289</v>
      </c>
    </row>
    <row r="93" spans="2:7" ht="17" thickBot="1" x14ac:dyDescent="0.25"/>
    <row r="94" spans="2:7" ht="17" thickBot="1" x14ac:dyDescent="0.3">
      <c r="B94" s="32" t="s">
        <v>136</v>
      </c>
      <c r="C94" s="33"/>
      <c r="D94" s="33"/>
      <c r="E94" s="33"/>
      <c r="F94" s="33"/>
      <c r="G94" s="34"/>
    </row>
    <row r="95" spans="2:7" ht="18" x14ac:dyDescent="0.25">
      <c r="B95" s="7" t="s">
        <v>145</v>
      </c>
      <c r="C95" s="7" t="s">
        <v>351</v>
      </c>
      <c r="D95" s="26">
        <v>1</v>
      </c>
      <c r="E95" s="7" t="s">
        <v>137</v>
      </c>
      <c r="G95" s="10" t="s">
        <v>138</v>
      </c>
    </row>
    <row r="96" spans="2:7" ht="18" x14ac:dyDescent="0.25">
      <c r="B96" s="7" t="s">
        <v>307</v>
      </c>
      <c r="C96" s="7" t="s">
        <v>352</v>
      </c>
      <c r="D96" s="26" t="b">
        <v>0</v>
      </c>
    </row>
    <row r="97" spans="2:7" ht="18" x14ac:dyDescent="0.25">
      <c r="B97" s="7" t="s">
        <v>152</v>
      </c>
      <c r="C97" s="7" t="s">
        <v>353</v>
      </c>
      <c r="D97" s="14">
        <f>ResCVDD1</f>
        <v>6.01</v>
      </c>
      <c r="E97" s="7" t="s">
        <v>289</v>
      </c>
    </row>
    <row r="98" spans="2:7" ht="18" x14ac:dyDescent="0.25">
      <c r="B98" s="7" t="s">
        <v>154</v>
      </c>
      <c r="C98" s="7" t="s">
        <v>354</v>
      </c>
      <c r="D98" s="16" t="str">
        <f ca="1">MsgCVDD2</f>
        <v>7.07 to 67.92</v>
      </c>
      <c r="E98" s="7" t="s">
        <v>289</v>
      </c>
      <c r="G98" s="10" t="s">
        <v>155</v>
      </c>
    </row>
    <row r="99" spans="2:7" ht="18" x14ac:dyDescent="0.25">
      <c r="B99" s="7" t="s">
        <v>153</v>
      </c>
      <c r="C99" s="7" t="s">
        <v>355</v>
      </c>
      <c r="D99" s="14">
        <f ca="1">PrettyRStart</f>
        <v>1.25</v>
      </c>
      <c r="E99" s="7" t="str">
        <f ca="1">PrettyUnitRStart</f>
        <v>MΩ</v>
      </c>
    </row>
    <row r="101" spans="2:7" ht="17" thickBot="1" x14ac:dyDescent="0.25"/>
    <row r="102" spans="2:7" ht="17" thickBot="1" x14ac:dyDescent="0.3">
      <c r="B102" s="32" t="s">
        <v>156</v>
      </c>
      <c r="C102" s="33"/>
      <c r="D102" s="33"/>
      <c r="E102" s="33"/>
      <c r="F102" s="33"/>
      <c r="G102" s="34"/>
    </row>
    <row r="103" spans="2:7" ht="17" thickBot="1" x14ac:dyDescent="0.25">
      <c r="B103" s="12" t="s">
        <v>157</v>
      </c>
      <c r="C103" s="11"/>
      <c r="D103" s="35" t="s">
        <v>249</v>
      </c>
      <c r="E103" s="36"/>
      <c r="F103" s="36"/>
      <c r="G103" s="37"/>
    </row>
    <row r="104" spans="2:7" ht="19" x14ac:dyDescent="0.25">
      <c r="B104" s="10" t="s">
        <v>158</v>
      </c>
      <c r="C104" s="10" t="s">
        <v>356</v>
      </c>
      <c r="D104" s="27">
        <v>3.5</v>
      </c>
      <c r="E104" s="25" t="s">
        <v>282</v>
      </c>
    </row>
    <row r="105" spans="2:7" ht="19" x14ac:dyDescent="0.25">
      <c r="B105" s="10" t="s">
        <v>159</v>
      </c>
      <c r="C105" s="10" t="s">
        <v>357</v>
      </c>
      <c r="D105" s="26">
        <v>50</v>
      </c>
      <c r="E105" s="25" t="s">
        <v>281</v>
      </c>
    </row>
    <row r="106" spans="2:7" ht="19" x14ac:dyDescent="0.25">
      <c r="B106" s="10" t="s">
        <v>160</v>
      </c>
      <c r="C106" s="10" t="s">
        <v>358</v>
      </c>
      <c r="D106" s="14">
        <f>CalcBo</f>
        <v>85.4</v>
      </c>
      <c r="E106" s="7" t="s">
        <v>64</v>
      </c>
    </row>
    <row r="107" spans="2:7" ht="19" x14ac:dyDescent="0.25">
      <c r="B107" s="10" t="s">
        <v>161</v>
      </c>
      <c r="C107" s="10" t="s">
        <v>359</v>
      </c>
      <c r="D107" s="14">
        <f>CalcBi</f>
        <v>102.95</v>
      </c>
      <c r="E107" s="7" t="s">
        <v>64</v>
      </c>
    </row>
    <row r="108" spans="2:7" x14ac:dyDescent="0.2">
      <c r="B108" s="10"/>
      <c r="C108" s="10"/>
    </row>
    <row r="109" spans="2:7" ht="19" x14ac:dyDescent="0.25">
      <c r="B109" s="10" t="s">
        <v>167</v>
      </c>
      <c r="C109" s="10" t="s">
        <v>358</v>
      </c>
      <c r="D109" s="25">
        <v>85</v>
      </c>
      <c r="E109" s="7" t="s">
        <v>64</v>
      </c>
    </row>
    <row r="110" spans="2:7" ht="35" x14ac:dyDescent="0.25">
      <c r="B110" s="10" t="s">
        <v>166</v>
      </c>
      <c r="C110" s="10" t="s">
        <v>356</v>
      </c>
      <c r="D110" s="14">
        <f ca="1">PrettyBoRTop</f>
        <v>3.48</v>
      </c>
      <c r="E110" s="7" t="str">
        <f ca="1">PrettyUnitBoRTop</f>
        <v>MΩ</v>
      </c>
    </row>
    <row r="111" spans="2:7" ht="19" x14ac:dyDescent="0.25">
      <c r="B111" s="10" t="s">
        <v>165</v>
      </c>
      <c r="C111" s="10" t="s">
        <v>359</v>
      </c>
      <c r="D111" s="14">
        <f>CalcBiFromUsrBo</f>
        <v>102.47</v>
      </c>
      <c r="E111" s="7" t="s">
        <v>64</v>
      </c>
    </row>
    <row r="112" spans="2:7" ht="17" thickBot="1" x14ac:dyDescent="0.25"/>
    <row r="113" spans="2:7" ht="17" thickBot="1" x14ac:dyDescent="0.25">
      <c r="B113" s="12" t="s">
        <v>177</v>
      </c>
      <c r="C113" s="11"/>
      <c r="D113" s="35" t="s">
        <v>250</v>
      </c>
      <c r="E113" s="36"/>
      <c r="F113" s="36"/>
      <c r="G113" s="37"/>
    </row>
    <row r="114" spans="2:7" ht="19" x14ac:dyDescent="0.25">
      <c r="B114" s="7" t="s">
        <v>171</v>
      </c>
      <c r="C114" s="10" t="s">
        <v>360</v>
      </c>
      <c r="D114" s="25">
        <v>120</v>
      </c>
      <c r="E114" s="25" t="s">
        <v>281</v>
      </c>
    </row>
    <row r="115" spans="2:7" ht="19" x14ac:dyDescent="0.25">
      <c r="B115" s="7" t="s">
        <v>170</v>
      </c>
      <c r="C115" s="10" t="s">
        <v>361</v>
      </c>
      <c r="D115" s="25">
        <v>25</v>
      </c>
      <c r="E115" s="7" t="s">
        <v>172</v>
      </c>
    </row>
    <row r="116" spans="2:7" ht="17" x14ac:dyDescent="0.2">
      <c r="B116" s="7" t="s">
        <v>173</v>
      </c>
      <c r="C116" s="10" t="s">
        <v>311</v>
      </c>
      <c r="D116" s="25">
        <v>4100</v>
      </c>
      <c r="E116" s="7" t="s">
        <v>176</v>
      </c>
    </row>
    <row r="118" spans="2:7" ht="19" x14ac:dyDescent="0.25">
      <c r="B118" s="7" t="s">
        <v>178</v>
      </c>
      <c r="C118" s="10" t="s">
        <v>362</v>
      </c>
      <c r="D118" s="14">
        <f>CalcTsdTemp</f>
        <v>90.76</v>
      </c>
      <c r="E118" s="7" t="s">
        <v>370</v>
      </c>
    </row>
    <row r="119" spans="2:7" ht="19" x14ac:dyDescent="0.25">
      <c r="B119" s="7" t="s">
        <v>313</v>
      </c>
      <c r="C119" s="10" t="s">
        <v>363</v>
      </c>
      <c r="D119" s="14">
        <f>CalcTsdRecoveryTemp</f>
        <v>84.96</v>
      </c>
      <c r="E119" s="7" t="s">
        <v>370</v>
      </c>
    </row>
    <row r="121" spans="2:7" ht="17" thickBot="1" x14ac:dyDescent="0.25"/>
    <row r="122" spans="2:7" ht="17" thickBot="1" x14ac:dyDescent="0.3">
      <c r="B122" s="32" t="s">
        <v>252</v>
      </c>
      <c r="C122" s="33"/>
      <c r="D122" s="33"/>
      <c r="E122" s="33"/>
      <c r="F122" s="33"/>
      <c r="G122" s="34"/>
    </row>
    <row r="123" spans="2:7" ht="18" x14ac:dyDescent="0.25">
      <c r="B123" s="7" t="s">
        <v>254</v>
      </c>
      <c r="C123" s="7" t="s">
        <v>364</v>
      </c>
      <c r="D123" s="25">
        <v>90</v>
      </c>
      <c r="E123" s="7" t="s">
        <v>253</v>
      </c>
    </row>
    <row r="124" spans="2:7" ht="18" x14ac:dyDescent="0.25">
      <c r="B124" s="7" t="s">
        <v>245</v>
      </c>
      <c r="C124" s="7" t="s">
        <v>365</v>
      </c>
      <c r="D124" s="25">
        <v>0.03</v>
      </c>
      <c r="E124" s="7" t="s">
        <v>112</v>
      </c>
    </row>
    <row r="125" spans="2:7" ht="18" x14ac:dyDescent="0.25">
      <c r="B125" s="7" t="s">
        <v>314</v>
      </c>
      <c r="C125" s="7" t="s">
        <v>366</v>
      </c>
      <c r="D125" s="25">
        <v>1.5</v>
      </c>
      <c r="E125" s="7" t="s">
        <v>41</v>
      </c>
    </row>
    <row r="126" spans="2:7" x14ac:dyDescent="0.2">
      <c r="B126" s="7" t="s">
        <v>222</v>
      </c>
      <c r="C126" s="7" t="s">
        <v>296</v>
      </c>
      <c r="D126" s="25">
        <v>0.1</v>
      </c>
    </row>
    <row r="127" spans="2:7" ht="18" x14ac:dyDescent="0.25">
      <c r="B127" s="7" t="s">
        <v>324</v>
      </c>
      <c r="C127" s="7" t="s">
        <v>367</v>
      </c>
      <c r="D127" s="26">
        <v>1</v>
      </c>
      <c r="E127" s="25" t="s">
        <v>290</v>
      </c>
      <c r="G127" s="10" t="s">
        <v>305</v>
      </c>
    </row>
    <row r="128" spans="2:7" ht="18" x14ac:dyDescent="0.25">
      <c r="B128" s="7" t="s">
        <v>248</v>
      </c>
      <c r="C128" s="7" t="s">
        <v>368</v>
      </c>
      <c r="D128" s="26">
        <v>1</v>
      </c>
      <c r="E128" s="25" t="s">
        <v>290</v>
      </c>
    </row>
    <row r="129" spans="2:5" ht="18" x14ac:dyDescent="0.25">
      <c r="B129" s="7" t="s">
        <v>246</v>
      </c>
      <c r="C129" s="7" t="s">
        <v>371</v>
      </c>
      <c r="D129" s="17">
        <f ca="1">PrettyBodeRa</f>
        <v>76</v>
      </c>
      <c r="E129" s="7" t="str">
        <f ca="1">PrettyUnitBodeRa</f>
        <v>kΩ</v>
      </c>
    </row>
    <row r="130" spans="2:5" ht="18" x14ac:dyDescent="0.25">
      <c r="B130" s="7" t="s">
        <v>247</v>
      </c>
      <c r="C130" s="7" t="s">
        <v>372</v>
      </c>
      <c r="D130" s="14">
        <f ca="1">PrettyBodeRb</f>
        <v>20</v>
      </c>
      <c r="E130" s="7" t="str">
        <f ca="1">PrettyUnitBodeRb</f>
        <v>kΩ</v>
      </c>
    </row>
    <row r="131" spans="2:5" ht="18" x14ac:dyDescent="0.25">
      <c r="B131" s="7" t="s">
        <v>292</v>
      </c>
      <c r="C131" s="7" t="s">
        <v>369</v>
      </c>
      <c r="D131" s="14">
        <f ca="1">PrettyROpto</f>
        <v>5.33</v>
      </c>
      <c r="E131" s="7" t="str">
        <f ca="1">PrettyUnitROpto</f>
        <v>kΩ</v>
      </c>
    </row>
  </sheetData>
  <sheetProtection algorithmName="SHA-512" hashValue="PPkKAYbUGaPZzMdVlF6Avc/GVfaXDgi0zViYVKdPGaUUFm8lHY1+u1R4OXpCovHB+mmA5EzL0Fb2zzUNeQHCCw==" saltValue="wlRCsya6Bi1u+xBvMCaANA==" spinCount="100000" sheet="1" objects="1" scenarios="1" selectLockedCells="1"/>
  <mergeCells count="21">
    <mergeCell ref="B122:G122"/>
    <mergeCell ref="B1:G1"/>
    <mergeCell ref="B64:G64"/>
    <mergeCell ref="B79:G79"/>
    <mergeCell ref="B38:G38"/>
    <mergeCell ref="B51:G51"/>
    <mergeCell ref="B61:G61"/>
    <mergeCell ref="F19:G20"/>
    <mergeCell ref="B3:G3"/>
    <mergeCell ref="B4:G7"/>
    <mergeCell ref="B8:G8"/>
    <mergeCell ref="B9:G9"/>
    <mergeCell ref="B10:G10"/>
    <mergeCell ref="B11:G11"/>
    <mergeCell ref="B12:G13"/>
    <mergeCell ref="B88:G88"/>
    <mergeCell ref="B102:G102"/>
    <mergeCell ref="D113:G113"/>
    <mergeCell ref="D103:G103"/>
    <mergeCell ref="B91:G91"/>
    <mergeCell ref="B94:G94"/>
  </mergeCells>
  <dataValidations xWindow="677" yWindow="783" count="23">
    <dataValidation type="list" allowBlank="1" showInputMessage="1" showErrorMessage="1" errorTitle="Invalid Input" error="Please select only from available values." promptTitle="Device Switching Frequency" prompt="Select the device's switching frequency when in full load, steady state operation." sqref="G14" xr:uid="{0922026C-77B8-487F-B2BF-E2D38A3A2F3A}">
      <formula1>SwFreq</formula1>
    </dataValidation>
    <dataValidation type="list" showInputMessage="1" showErrorMessage="1" errorTitle="Invalid Input" error="Please select only from available values." promptTitle="Device FLT Operation" prompt="Choose between the Brownout option or the Overvoltage/Thermal Shutdown FLT pin operation." sqref="G15" xr:uid="{48D95F26-F3B1-4355-A046-9A1061A4C2F3}">
      <formula1>FltOption</formula1>
    </dataValidation>
    <dataValidation type="list" allowBlank="1" showInputMessage="1" showErrorMessage="1" errorTitle="Invalid Input" error="Please select only from available values." promptTitle="Device Fault Response" prompt="Select the device's response to a fault, either latched response or auto restart." sqref="G16" xr:uid="{88310C6F-6D74-4833-A1D3-287AA3CD12AD}">
      <formula1>FaultResponse</formula1>
    </dataValidation>
    <dataValidation type="list" allowBlank="1" showInputMessage="1" showErrorMessage="1" sqref="D39" xr:uid="{4EAA8DAA-2FFD-4359-9B83-3EBE4D2537FE}">
      <formula1>VinType</formula1>
    </dataValidation>
    <dataValidation type="decimal" operator="lessThan" allowBlank="1" showInputMessage="1" showErrorMessage="1" errorTitle="Invalid Min Bulk Voltage" error="The Minimum Bulk Voltage MUST be below the Rectified Minmum Input Voltage if the input is AC, or below the DC Minmum Input Voltage if the input is DC." sqref="D41" xr:uid="{7FAA0BA2-7CC1-4464-8D72-D2DAD704C9AA}">
      <formula1>IF(SelVinType="AC", UsrVinMin*SQRT(2),UsrVinMin)</formula1>
    </dataValidation>
    <dataValidation type="whole" allowBlank="1" showInputMessage="1" showErrorMessage="1" errorTitle="Out of Range" error="Please enter within the limits of 1-100%." promptTitle="Percentage to Enter CCM" prompt="Enter a percentage of the power that the flyback would enter CCM at the minimum input voltage." sqref="D65" xr:uid="{4DA1BCB7-5005-4AC9-95BC-042FFEA10BB6}">
      <formula1>1</formula1>
      <formula2>100</formula2>
    </dataValidation>
    <dataValidation type="decimal" allowBlank="1" showInputMessage="1" showErrorMessage="1" errorTitle="Outside of Input Min/Max" error="The entered value is outside the input Vin minimum and maximum." sqref="D123" xr:uid="{23035762-FACF-4810-B986-2A5859953EAE}">
      <formula1>D40</formula1>
      <formula2>D42</formula2>
    </dataValidation>
    <dataValidation type="whole" allowBlank="1" showInputMessage="1" showErrorMessage="1" errorTitle="Exceeds Input Range" error="Duty cycle cannot be negative, and must be lower than 80%, which is the maximum duty cycle of the UCC28750X device." sqref="D47" xr:uid="{CE50AA13-8DC3-4BE6-85BB-CE3B224B1004}">
      <formula1>0</formula1>
      <formula2>DutyMax</formula2>
    </dataValidation>
    <dataValidation type="decimal" allowBlank="1" showInputMessage="1" showErrorMessage="1" sqref="D48" xr:uid="{08DCE497-6EE3-4D79-855D-441EA9F6663E}">
      <formula1>1</formula1>
      <formula2>100</formula2>
    </dataValidation>
    <dataValidation type="whole" allowBlank="1" showInputMessage="1" showErrorMessage="1" sqref="D46" xr:uid="{CA4F6DE5-0AE5-4CBD-8331-CB046EBE2E52}">
      <formula1>0</formula1>
      <formula2>100</formula2>
    </dataValidation>
    <dataValidation type="list" allowBlank="1" showInputMessage="1" showErrorMessage="1" sqref="E104:E105" xr:uid="{3325843E-4373-4A63-A227-337D86FB8557}">
      <formula1>OptBoRTop</formula1>
    </dataValidation>
    <dataValidation type="list" allowBlank="1" showInputMessage="1" showErrorMessage="1" sqref="E84" xr:uid="{CA89DDCD-7391-49E3-9A0B-D2DF5C25DF4A}">
      <formula1>OptRCs</formula1>
    </dataValidation>
    <dataValidation type="list" allowBlank="1" showInputMessage="1" showErrorMessage="1" sqref="E85" xr:uid="{B6FCB80D-4256-474D-8861-1907A2BEFB57}">
      <formula1>OptRSlope</formula1>
    </dataValidation>
    <dataValidation type="list" allowBlank="1" showInputMessage="1" showErrorMessage="1" sqref="E114" xr:uid="{C6230011-87F5-4C5E-8E7B-F9D46116B7BC}">
      <formula1>OptNtc</formula1>
    </dataValidation>
    <dataValidation type="list" allowBlank="1" showInputMessage="1" showErrorMessage="1" sqref="E127:E128" xr:uid="{3752CF27-45B4-44D4-8094-824B86726631}">
      <formula1>OptBodeCap</formula1>
    </dataValidation>
    <dataValidation type="decimal" operator="greaterThan" allowBlank="1" showInputMessage="1" showErrorMessage="1" errorTitle="Must Include C_INT" error="The C_INT capacitor is required in compensating the flyback with a Type 2 Compensator." sqref="D128" xr:uid="{BB527CB5-A88B-4B6C-9061-23B1D819554D}">
      <formula1>0</formula1>
    </dataValidation>
    <dataValidation type="decimal" operator="greaterThan" allowBlank="1" showInputMessage="1" showErrorMessage="1" error="The total capacitance seen on the FB pin from the Optocoupler and any other added capacitance is required to calculate the compensation curves." sqref="D127" xr:uid="{8F7F7D3D-D6C4-4ED1-8669-7D1000C2146E}">
      <formula1>0</formula1>
    </dataValidation>
    <dataValidation type="list" allowBlank="1" showInputMessage="1" showErrorMessage="1" sqref="D96" xr:uid="{55D9B88F-0A33-42BB-806D-5C54DE865D96}">
      <formula1>"TRUE,FALSE"</formula1>
    </dataValidation>
    <dataValidation operator="greaterThan" allowBlank="1" showInputMessage="1" showErrorMessage="1" sqref="D106" xr:uid="{90537694-61AF-43A3-976D-170EBBB12B33}"/>
    <dataValidation operator="equal" allowBlank="1" showInputMessage="1" showErrorMessage="1" sqref="D72" xr:uid="{5D054530-C10D-487B-87D5-3F143D0978A3}"/>
    <dataValidation type="decimal" operator="notEqual" allowBlank="1" showInputMessage="1" showErrorMessage="1" sqref="D70 D71" xr:uid="{64DD3D18-DC1C-4935-AE8B-5498C7E9A5B9}">
      <formula1>0</formula1>
    </dataValidation>
    <dataValidation type="decimal" operator="greaterThan" allowBlank="1" showInputMessage="1" showErrorMessage="1" sqref="D56 D57" xr:uid="{25C5B709-D62D-4038-95C6-FBE678A3915A}">
      <formula1>0</formula1>
    </dataValidation>
    <dataValidation type="decimal" operator="greaterThanOrEqual" allowBlank="1" showInputMessage="1" showErrorMessage="1" sqref="D58" xr:uid="{20C864E6-E034-4E5E-B72D-E40403DD7478}">
      <formula1>0</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1049" r:id="rId4">
          <objectPr defaultSize="0" autoPict="0" r:id="rId5">
            <anchor moveWithCells="1">
              <from>
                <xdr:col>1</xdr:col>
                <xdr:colOff>25400</xdr:colOff>
                <xdr:row>134</xdr:row>
                <xdr:rowOff>12700</xdr:rowOff>
              </from>
              <to>
                <xdr:col>3</xdr:col>
                <xdr:colOff>723900</xdr:colOff>
                <xdr:row>157</xdr:row>
                <xdr:rowOff>25400</xdr:rowOff>
              </to>
            </anchor>
          </objectPr>
        </oleObject>
      </mc:Choice>
      <mc:Fallback>
        <oleObject progId="Visio.Drawing.15" shapeId="1049" r:id="rId4"/>
      </mc:Fallback>
    </mc:AlternateContent>
    <mc:AlternateContent xmlns:mc="http://schemas.openxmlformats.org/markup-compatibility/2006">
      <mc:Choice Requires="x14">
        <oleObject progId="Visio.Drawing.15" shapeId="1050" r:id="rId6">
          <objectPr defaultSize="0" autoPict="0" r:id="rId7">
            <anchor moveWithCells="1">
              <from>
                <xdr:col>1</xdr:col>
                <xdr:colOff>0</xdr:colOff>
                <xdr:row>13</xdr:row>
                <xdr:rowOff>38100</xdr:rowOff>
              </from>
              <to>
                <xdr:col>4</xdr:col>
                <xdr:colOff>2044700</xdr:colOff>
                <xdr:row>32</xdr:row>
                <xdr:rowOff>127000</xdr:rowOff>
              </to>
            </anchor>
          </objectPr>
        </oleObject>
      </mc:Choice>
      <mc:Fallback>
        <oleObject progId="Visio.Drawing.15" shapeId="1050" r:id="rId6"/>
      </mc:Fallback>
    </mc:AlternateContent>
  </oleObjects>
  <extLst>
    <ext xmlns:x14="http://schemas.microsoft.com/office/spreadsheetml/2009/9/main" uri="{78C0D931-6437-407d-A8EE-F0AAD7539E65}">
      <x14:conditionalFormattings>
        <x14:conditionalFormatting xmlns:xm="http://schemas.microsoft.com/office/excel/2006/main">
          <x14:cfRule type="colorScale" priority="1" id="{71F353E1-88C4-48AC-A1A0-60864D74F2C2}">
            <x14:colorScale>
              <x14:cfvo type="formula">
                <xm:f>Options!$H$3</xm:f>
              </x14:cfvo>
              <x14:cfvo type="formula">
                <xm:f>Options!$H$10</xm:f>
              </x14:cfvo>
              <x14:color rgb="FFF8696B"/>
              <x14:color rgb="FF63BE7B"/>
            </x14:colorScale>
          </x14:cfRule>
          <xm:sqref>F19:G20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2AA3-E9DF-460B-A7DB-F20CCBA51370}">
  <sheetPr codeName="Sheet2"/>
  <dimension ref="A1:F38"/>
  <sheetViews>
    <sheetView workbookViewId="0">
      <selection activeCell="B18" sqref="B18"/>
    </sheetView>
  </sheetViews>
  <sheetFormatPr baseColWidth="10" defaultColWidth="8.83203125" defaultRowHeight="15" x14ac:dyDescent="0.2"/>
  <cols>
    <col min="2" max="2" width="12" bestFit="1" customWidth="1"/>
    <col min="6" max="6" width="12" bestFit="1" customWidth="1"/>
  </cols>
  <sheetData>
    <row r="1" spans="1:6" x14ac:dyDescent="0.2">
      <c r="A1" t="s">
        <v>267</v>
      </c>
      <c r="B1" s="3">
        <v>1E+17</v>
      </c>
      <c r="C1" t="s">
        <v>270</v>
      </c>
      <c r="D1">
        <v>18</v>
      </c>
    </row>
    <row r="2" spans="1:6" x14ac:dyDescent="0.2">
      <c r="A2" t="s">
        <v>266</v>
      </c>
      <c r="B2" s="3">
        <v>1000000000000000</v>
      </c>
      <c r="C2" t="s">
        <v>269</v>
      </c>
      <c r="D2">
        <v>15</v>
      </c>
    </row>
    <row r="3" spans="1:6" x14ac:dyDescent="0.2">
      <c r="A3" t="s">
        <v>262</v>
      </c>
      <c r="B3" s="3">
        <v>1000000000000</v>
      </c>
      <c r="C3" t="s">
        <v>268</v>
      </c>
      <c r="D3">
        <v>12</v>
      </c>
    </row>
    <row r="4" spans="1:6" x14ac:dyDescent="0.2">
      <c r="A4" t="s">
        <v>263</v>
      </c>
      <c r="B4" s="3">
        <v>1000000000</v>
      </c>
      <c r="C4" t="s">
        <v>261</v>
      </c>
      <c r="D4">
        <f>LOG10(Giga)</f>
        <v>9</v>
      </c>
    </row>
    <row r="5" spans="1:6" x14ac:dyDescent="0.2">
      <c r="A5" t="s">
        <v>264</v>
      </c>
      <c r="B5" s="3">
        <v>1000000</v>
      </c>
      <c r="C5" t="s">
        <v>43</v>
      </c>
      <c r="D5">
        <f>LOG10(Mega)</f>
        <v>6</v>
      </c>
    </row>
    <row r="6" spans="1:6" x14ac:dyDescent="0.2">
      <c r="A6" t="s">
        <v>265</v>
      </c>
      <c r="B6" s="3">
        <v>1000</v>
      </c>
      <c r="C6" t="s">
        <v>44</v>
      </c>
      <c r="D6">
        <f>LOG10(kilo)</f>
        <v>3</v>
      </c>
    </row>
    <row r="7" spans="1:6" x14ac:dyDescent="0.2">
      <c r="B7" s="3">
        <v>1</v>
      </c>
      <c r="D7">
        <f>LOG10(B7)</f>
        <v>0</v>
      </c>
      <c r="F7" s="3"/>
    </row>
    <row r="8" spans="1:6" x14ac:dyDescent="0.2">
      <c r="A8" t="s">
        <v>45</v>
      </c>
      <c r="B8" s="3">
        <v>1E-3</v>
      </c>
      <c r="C8" t="s">
        <v>45</v>
      </c>
      <c r="D8">
        <f>LOG10(milli)</f>
        <v>-3</v>
      </c>
    </row>
    <row r="9" spans="1:6" x14ac:dyDescent="0.2">
      <c r="A9" t="s">
        <v>46</v>
      </c>
      <c r="B9" s="3">
        <v>9.9999999999999995E-7</v>
      </c>
      <c r="C9" t="s">
        <v>258</v>
      </c>
      <c r="D9">
        <f>LOG10(micro)</f>
        <v>-6</v>
      </c>
    </row>
    <row r="10" spans="1:6" x14ac:dyDescent="0.2">
      <c r="A10" t="s">
        <v>106</v>
      </c>
      <c r="B10" s="3">
        <v>1.0000000000000001E-9</v>
      </c>
      <c r="C10" t="s">
        <v>257</v>
      </c>
      <c r="D10">
        <f>LOG10(nano)</f>
        <v>-9</v>
      </c>
    </row>
    <row r="11" spans="1:6" x14ac:dyDescent="0.2">
      <c r="A11" t="s">
        <v>259</v>
      </c>
      <c r="B11" s="3">
        <v>9.9999999999999998E-13</v>
      </c>
      <c r="C11" t="s">
        <v>260</v>
      </c>
      <c r="D11">
        <f>LOG10(pico)</f>
        <v>-12</v>
      </c>
    </row>
    <row r="12" spans="1:6" x14ac:dyDescent="0.2">
      <c r="A12" t="s">
        <v>271</v>
      </c>
      <c r="B12" s="3">
        <v>1.0000000000000001E-15</v>
      </c>
      <c r="C12" t="s">
        <v>272</v>
      </c>
      <c r="D12">
        <v>-15</v>
      </c>
    </row>
    <row r="13" spans="1:6" x14ac:dyDescent="0.2">
      <c r="A13" t="s">
        <v>273</v>
      </c>
      <c r="B13" s="3">
        <v>1.0000000000000001E-18</v>
      </c>
      <c r="C13" t="s">
        <v>275</v>
      </c>
      <c r="D13">
        <v>-18</v>
      </c>
    </row>
    <row r="14" spans="1:6" x14ac:dyDescent="0.2">
      <c r="A14" t="s">
        <v>274</v>
      </c>
      <c r="B14" s="3">
        <v>9.9999999999999991E-22</v>
      </c>
      <c r="C14" t="s">
        <v>276</v>
      </c>
      <c r="D14">
        <v>-21</v>
      </c>
    </row>
    <row r="15" spans="1:6" x14ac:dyDescent="0.2">
      <c r="B15" s="3"/>
    </row>
    <row r="16" spans="1:6" x14ac:dyDescent="0.2">
      <c r="A16" t="s">
        <v>62</v>
      </c>
      <c r="B16" s="3">
        <v>0.9</v>
      </c>
    </row>
    <row r="17" spans="1:2" x14ac:dyDescent="0.2">
      <c r="A17" t="s">
        <v>323</v>
      </c>
      <c r="B17" s="3">
        <v>0.88</v>
      </c>
    </row>
    <row r="18" spans="1:2" x14ac:dyDescent="0.2">
      <c r="A18" t="s">
        <v>89</v>
      </c>
      <c r="B18" s="3">
        <v>15.3</v>
      </c>
    </row>
    <row r="19" spans="1:2" x14ac:dyDescent="0.2">
      <c r="A19" t="s">
        <v>90</v>
      </c>
      <c r="B19" s="3">
        <v>9</v>
      </c>
    </row>
    <row r="20" spans="1:2" x14ac:dyDescent="0.2">
      <c r="A20" t="s">
        <v>97</v>
      </c>
      <c r="B20" s="3">
        <v>1E-4</v>
      </c>
    </row>
    <row r="21" spans="1:2" x14ac:dyDescent="0.2">
      <c r="A21" t="s">
        <v>105</v>
      </c>
      <c r="B21">
        <f>1/(FSw)</f>
        <v>1.5384615384615384E-5</v>
      </c>
    </row>
    <row r="22" spans="1:2" x14ac:dyDescent="0.2">
      <c r="A22" t="s">
        <v>140</v>
      </c>
      <c r="B22" s="3">
        <v>1.0000000000000001E-5</v>
      </c>
    </row>
    <row r="23" spans="1:2" x14ac:dyDescent="0.2">
      <c r="A23" t="s">
        <v>142</v>
      </c>
      <c r="B23" s="3">
        <v>3.6000000000000002E-4</v>
      </c>
    </row>
    <row r="24" spans="1:2" x14ac:dyDescent="0.2">
      <c r="A24" t="s">
        <v>146</v>
      </c>
      <c r="B24" s="3">
        <v>2E-3</v>
      </c>
    </row>
    <row r="25" spans="1:2" x14ac:dyDescent="0.2">
      <c r="A25" t="s">
        <v>150</v>
      </c>
      <c r="B25" s="3">
        <v>3.6000000000000002E-4</v>
      </c>
    </row>
    <row r="26" spans="1:2" x14ac:dyDescent="0.2">
      <c r="A26" t="s">
        <v>308</v>
      </c>
      <c r="B26" s="3">
        <v>2.5999999999999998E-4</v>
      </c>
    </row>
    <row r="27" spans="1:2" x14ac:dyDescent="0.2">
      <c r="A27" t="s">
        <v>162</v>
      </c>
      <c r="B27" s="3">
        <v>1.4</v>
      </c>
    </row>
    <row r="28" spans="1:2" x14ac:dyDescent="0.2">
      <c r="A28" t="s">
        <v>163</v>
      </c>
      <c r="B28" s="3">
        <v>1.45</v>
      </c>
    </row>
    <row r="29" spans="1:2" x14ac:dyDescent="0.2">
      <c r="A29" t="s">
        <v>164</v>
      </c>
      <c r="B29" s="3">
        <v>3.9999999999999998E-6</v>
      </c>
    </row>
    <row r="30" spans="1:2" x14ac:dyDescent="0.2">
      <c r="A30" t="s">
        <v>168</v>
      </c>
      <c r="B30" s="3">
        <v>1E-4</v>
      </c>
    </row>
    <row r="31" spans="1:2" x14ac:dyDescent="0.2">
      <c r="A31" t="s">
        <v>174</v>
      </c>
      <c r="B31" s="3">
        <v>1</v>
      </c>
    </row>
    <row r="32" spans="1:2" x14ac:dyDescent="0.2">
      <c r="A32" t="s">
        <v>224</v>
      </c>
      <c r="B32" s="3">
        <v>10000</v>
      </c>
    </row>
    <row r="33" spans="1:2" x14ac:dyDescent="0.2">
      <c r="A33" t="s">
        <v>230</v>
      </c>
      <c r="B33" s="3">
        <v>2.5</v>
      </c>
    </row>
    <row r="34" spans="1:2" x14ac:dyDescent="0.2">
      <c r="A34" t="s">
        <v>232</v>
      </c>
      <c r="B34" s="3">
        <v>1.25E-4</v>
      </c>
    </row>
    <row r="35" spans="1:2" x14ac:dyDescent="0.2">
      <c r="A35" t="s">
        <v>231</v>
      </c>
      <c r="B35" s="3">
        <v>1E-3</v>
      </c>
    </row>
    <row r="36" spans="1:2" x14ac:dyDescent="0.2">
      <c r="A36" t="s">
        <v>256</v>
      </c>
      <c r="B36" s="3">
        <v>80</v>
      </c>
    </row>
    <row r="37" spans="1:2" x14ac:dyDescent="0.2">
      <c r="A37" t="s">
        <v>319</v>
      </c>
      <c r="B37" s="3">
        <v>28</v>
      </c>
    </row>
    <row r="38" spans="1:2" x14ac:dyDescent="0.2">
      <c r="A38" t="s">
        <v>321</v>
      </c>
      <c r="B38" s="3">
        <v>1</v>
      </c>
    </row>
  </sheetData>
  <sheetProtection algorithmName="SHA-512" hashValue="FyJvVY5XgCVhwkHekKOxvpnGNn7swFBI2xley2KhCdPWQyS4gOA9Qa+yWrmWjHZBw1+PzYByz40U3g0uytLyYg==" saltValue="ivXirr4ksl2BSe7pHkP26g==" spinCount="100000" sheet="1" objects="1" scenarios="1"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5C6E-C366-4E46-B85D-B627DAD39641}">
  <sheetPr codeName="Sheet3"/>
  <dimension ref="A1:M26"/>
  <sheetViews>
    <sheetView workbookViewId="0">
      <selection activeCell="M3" sqref="M3"/>
    </sheetView>
  </sheetViews>
  <sheetFormatPr baseColWidth="10" defaultColWidth="8.83203125" defaultRowHeight="15" x14ac:dyDescent="0.2"/>
  <cols>
    <col min="5" max="5" width="11.33203125" customWidth="1"/>
    <col min="6" max="6" width="14.5" bestFit="1" customWidth="1"/>
    <col min="8" max="8" width="10.5" bestFit="1" customWidth="1"/>
    <col min="10" max="10" width="10.5" bestFit="1" customWidth="1"/>
  </cols>
  <sheetData>
    <row r="1" spans="1:13" x14ac:dyDescent="0.2">
      <c r="A1" t="s">
        <v>8</v>
      </c>
    </row>
    <row r="2" spans="1:13" x14ac:dyDescent="0.2">
      <c r="B2" t="s">
        <v>9</v>
      </c>
      <c r="D2" t="s">
        <v>10</v>
      </c>
      <c r="F2" t="s">
        <v>13</v>
      </c>
      <c r="J2" t="s">
        <v>25</v>
      </c>
      <c r="K2" t="s">
        <v>26</v>
      </c>
      <c r="L2" t="s">
        <v>27</v>
      </c>
    </row>
    <row r="3" spans="1:13" x14ac:dyDescent="0.2">
      <c r="A3">
        <v>0</v>
      </c>
      <c r="B3" t="s">
        <v>302</v>
      </c>
      <c r="C3">
        <v>0</v>
      </c>
      <c r="D3" t="s">
        <v>11</v>
      </c>
      <c r="E3">
        <v>0</v>
      </c>
      <c r="F3" t="s">
        <v>15</v>
      </c>
      <c r="H3" t="s">
        <v>17</v>
      </c>
      <c r="J3">
        <f>IF(Start!G14="65 kHz",0,1)</f>
        <v>0</v>
      </c>
      <c r="K3">
        <f>IF(Start!G16="Auto restart",0,1)</f>
        <v>0</v>
      </c>
      <c r="L3">
        <f>IF(Start!G15="BO",0,1)</f>
        <v>1</v>
      </c>
      <c r="M3">
        <f xml:space="preserve"> L3+(2*K3)+(4*J3)</f>
        <v>1</v>
      </c>
    </row>
    <row r="4" spans="1:13" x14ac:dyDescent="0.2">
      <c r="A4">
        <v>1</v>
      </c>
      <c r="B4" t="s">
        <v>303</v>
      </c>
      <c r="C4">
        <v>1</v>
      </c>
      <c r="D4" t="s">
        <v>12</v>
      </c>
      <c r="E4">
        <v>1</v>
      </c>
      <c r="F4" t="s">
        <v>14</v>
      </c>
      <c r="H4" t="s">
        <v>18</v>
      </c>
      <c r="J4" t="str">
        <f ca="1">OFFSET(H3,M3,0,1,1)</f>
        <v>UCC287502</v>
      </c>
    </row>
    <row r="5" spans="1:13" x14ac:dyDescent="0.2">
      <c r="H5" t="s">
        <v>19</v>
      </c>
    </row>
    <row r="6" spans="1:13" x14ac:dyDescent="0.2">
      <c r="A6" t="s">
        <v>28</v>
      </c>
      <c r="H6" t="s">
        <v>20</v>
      </c>
    </row>
    <row r="7" spans="1:13" x14ac:dyDescent="0.2">
      <c r="A7" t="s">
        <v>29</v>
      </c>
      <c r="H7" t="s">
        <v>21</v>
      </c>
    </row>
    <row r="8" spans="1:13" x14ac:dyDescent="0.2">
      <c r="A8" t="s">
        <v>30</v>
      </c>
      <c r="H8" t="s">
        <v>22</v>
      </c>
    </row>
    <row r="9" spans="1:13" x14ac:dyDescent="0.2">
      <c r="H9" t="s">
        <v>23</v>
      </c>
    </row>
    <row r="10" spans="1:13" x14ac:dyDescent="0.2">
      <c r="H10" t="s">
        <v>24</v>
      </c>
    </row>
    <row r="17" spans="1:8" ht="32.25" customHeight="1" x14ac:dyDescent="0.2">
      <c r="A17" t="s">
        <v>279</v>
      </c>
      <c r="C17" t="s">
        <v>285</v>
      </c>
      <c r="E17" s="5" t="s">
        <v>103</v>
      </c>
      <c r="G17" t="s">
        <v>287</v>
      </c>
    </row>
    <row r="18" spans="1:8" x14ac:dyDescent="0.2">
      <c r="A18" t="s">
        <v>280</v>
      </c>
      <c r="B18">
        <v>1</v>
      </c>
      <c r="C18" t="s">
        <v>286</v>
      </c>
      <c r="D18">
        <v>1E-3</v>
      </c>
      <c r="E18" t="s">
        <v>280</v>
      </c>
      <c r="F18">
        <v>1</v>
      </c>
      <c r="G18" t="s">
        <v>280</v>
      </c>
      <c r="H18">
        <v>1</v>
      </c>
    </row>
    <row r="19" spans="1:8" x14ac:dyDescent="0.2">
      <c r="A19" t="s">
        <v>281</v>
      </c>
      <c r="B19">
        <v>1000</v>
      </c>
      <c r="C19" t="s">
        <v>280</v>
      </c>
      <c r="D19">
        <v>1</v>
      </c>
      <c r="E19" t="s">
        <v>281</v>
      </c>
      <c r="F19">
        <v>1000</v>
      </c>
      <c r="G19" t="s">
        <v>281</v>
      </c>
      <c r="H19">
        <v>1000</v>
      </c>
    </row>
    <row r="20" spans="1:8" x14ac:dyDescent="0.2">
      <c r="A20" t="s">
        <v>282</v>
      </c>
      <c r="B20" s="3">
        <v>1000000</v>
      </c>
    </row>
    <row r="23" spans="1:8" x14ac:dyDescent="0.2">
      <c r="A23" t="s">
        <v>288</v>
      </c>
    </row>
    <row r="24" spans="1:8" x14ac:dyDescent="0.2">
      <c r="A24" t="s">
        <v>289</v>
      </c>
      <c r="B24" s="3">
        <v>9.9999999999999995E-7</v>
      </c>
    </row>
    <row r="25" spans="1:8" x14ac:dyDescent="0.2">
      <c r="A25" t="s">
        <v>290</v>
      </c>
      <c r="B25" s="3">
        <v>1.0000000000000001E-9</v>
      </c>
    </row>
    <row r="26" spans="1:8" x14ac:dyDescent="0.2">
      <c r="A26" t="s">
        <v>291</v>
      </c>
      <c r="B26" s="3">
        <v>9.9999999999999998E-13</v>
      </c>
    </row>
  </sheetData>
  <sheetProtection algorithmName="SHA-512" hashValue="K8t32UStQ1JD+VZnd3rDa09C9swBlZYmjzG/dgW8WgEMQXCPaht3Z199+BXYHqxYzKjSV87nQsCz6xBVBejWjg==" saltValue="T0TY+Eaj9A9bIYp8xaoC4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D3803-383B-42C6-ABA2-830C5F85D389}">
  <sheetPr codeName="Sheet4"/>
  <dimension ref="B1:F155"/>
  <sheetViews>
    <sheetView topLeftCell="A11" workbookViewId="0">
      <selection activeCell="C27" sqref="C27"/>
    </sheetView>
  </sheetViews>
  <sheetFormatPr baseColWidth="10" defaultColWidth="8.83203125" defaultRowHeight="15" x14ac:dyDescent="0.2"/>
  <cols>
    <col min="2" max="2" width="44.6640625" customWidth="1"/>
    <col min="3" max="3" width="29.6640625" customWidth="1"/>
    <col min="4" max="4" width="37.5" bestFit="1" customWidth="1"/>
    <col min="5" max="6" width="29.6640625" customWidth="1"/>
  </cols>
  <sheetData>
    <row r="1" spans="2:6" ht="16" thickBot="1" x14ac:dyDescent="0.25"/>
    <row r="2" spans="2:6" ht="17" thickBot="1" x14ac:dyDescent="0.3">
      <c r="B2" s="32" t="s">
        <v>306</v>
      </c>
      <c r="C2" s="33"/>
      <c r="D2" s="33"/>
      <c r="E2" s="33"/>
      <c r="F2" s="34"/>
    </row>
    <row r="3" spans="2:6" x14ac:dyDescent="0.2">
      <c r="B3" t="s">
        <v>301</v>
      </c>
      <c r="C3">
        <f>IF(SelFreq="65 kHz",65000,100000)</f>
        <v>65000</v>
      </c>
      <c r="D3" t="s">
        <v>35</v>
      </c>
    </row>
    <row r="4" spans="2:6" ht="16" thickBot="1" x14ac:dyDescent="0.25"/>
    <row r="5" spans="2:6" ht="17" thickBot="1" x14ac:dyDescent="0.3">
      <c r="B5" s="32" t="s">
        <v>47</v>
      </c>
      <c r="C5" s="33"/>
      <c r="D5" s="33"/>
      <c r="E5" s="33"/>
      <c r="F5" s="34"/>
    </row>
    <row r="6" spans="2:6" x14ac:dyDescent="0.2">
      <c r="B6" t="s">
        <v>65</v>
      </c>
      <c r="C6">
        <f xml:space="preserve"> IF(SelVinType="AC", SQRT(2)*UsrVinMin, UsrVinMin)</f>
        <v>127.27922061357856</v>
      </c>
    </row>
    <row r="7" spans="2:6" x14ac:dyDescent="0.2">
      <c r="B7" t="s">
        <v>69</v>
      </c>
      <c r="C7">
        <f ca="1">(CalcPo)/(UsrEstEff/100)</f>
        <v>28.235294117647058</v>
      </c>
      <c r="D7" t="s">
        <v>71</v>
      </c>
      <c r="E7">
        <f>(1/PI())*ASIN(UsrVinMinBulk/(C6))</f>
        <v>0.25</v>
      </c>
    </row>
    <row r="8" spans="2:6" x14ac:dyDescent="0.2">
      <c r="B8" t="s">
        <v>66</v>
      </c>
      <c r="C8">
        <f ca="1">C7*(0.5+E7)</f>
        <v>21.176470588235293</v>
      </c>
    </row>
    <row r="9" spans="2:6" x14ac:dyDescent="0.2">
      <c r="B9" t="s">
        <v>67</v>
      </c>
      <c r="C9">
        <f>(POWER(C6,2)-POWER(UsrVinMinBulk,2))*UsrLineFMin</f>
        <v>380700.00000000006</v>
      </c>
    </row>
    <row r="10" spans="2:6" x14ac:dyDescent="0.2">
      <c r="B10" t="s">
        <v>48</v>
      </c>
      <c r="C10">
        <f ca="1">C8/C9</f>
        <v>5.5625086914198295E-5</v>
      </c>
      <c r="D10" s="6">
        <f ca="1">MATCH(ROUND(LOG10(CalcRecInputBulkCap),0),UnitExpo,-1)</f>
        <v>8</v>
      </c>
      <c r="E10" s="6">
        <f ca="1">ROUND(CalcRecInputBulkCap*1/OFFSET(Exa,D10,0),2)</f>
        <v>55.63</v>
      </c>
      <c r="F10" s="6" t="str">
        <f ca="1">OFFSET(UnitSymbolExa,D10,0)&amp;"F"</f>
        <v>μF</v>
      </c>
    </row>
    <row r="11" spans="2:6" x14ac:dyDescent="0.2">
      <c r="B11" t="s">
        <v>278</v>
      </c>
      <c r="C11">
        <f>UsrIout*UsrVout</f>
        <v>24</v>
      </c>
      <c r="D11" s="6">
        <f>MATCH(ROUND(LOG10(CalcUsrPo),0),UnitExpo,-1)</f>
        <v>6</v>
      </c>
      <c r="E11" s="6">
        <f ca="1">ROUND(CalcUsrPo*1/OFFSET(Exa,D11,0),2)</f>
        <v>24</v>
      </c>
      <c r="F11" s="6" t="str">
        <f ca="1">OFFSET(UnitSymbolExa,D11,0)&amp;"W"</f>
        <v>W</v>
      </c>
    </row>
    <row r="12" spans="2:6" ht="16" thickBot="1" x14ac:dyDescent="0.25">
      <c r="B12" t="s">
        <v>381</v>
      </c>
      <c r="C12">
        <f>CalcUsrPo / (UsrEstEff/100)</f>
        <v>28.235294117647058</v>
      </c>
      <c r="D12" s="6">
        <f>MATCH(ROUND(LOG10(CalcEstPin),0),UnitExpo,-1)</f>
        <v>6</v>
      </c>
      <c r="E12" s="6">
        <f ca="1">ROUND(CalcEstPin*1/OFFSET(Exa,D12,0),2)</f>
        <v>28.24</v>
      </c>
      <c r="F12" s="6" t="str">
        <f ca="1">OFFSET(UnitSymbolExa,D12,0)&amp;"W"</f>
        <v>W</v>
      </c>
    </row>
    <row r="13" spans="2:6" ht="17" thickBot="1" x14ac:dyDescent="0.3">
      <c r="B13" s="32" t="s">
        <v>49</v>
      </c>
      <c r="C13" s="33"/>
      <c r="D13" s="33"/>
      <c r="E13" s="33"/>
      <c r="F13" s="34"/>
    </row>
    <row r="14" spans="2:6" x14ac:dyDescent="0.2">
      <c r="B14" t="s">
        <v>72</v>
      </c>
      <c r="C14">
        <v>0.8</v>
      </c>
      <c r="D14" t="s">
        <v>75</v>
      </c>
      <c r="E14">
        <f>IF(SelVinType="AC", UsrVinMax*SQRT(2), UsrVinMax)</f>
        <v>374.7665940288702</v>
      </c>
    </row>
    <row r="15" spans="2:6" x14ac:dyDescent="0.2">
      <c r="B15" t="s">
        <v>80</v>
      </c>
      <c r="C15">
        <f>(UsrMosDerating/100)*UsrMosVds</f>
        <v>520</v>
      </c>
      <c r="D15" t="s">
        <v>84</v>
      </c>
      <c r="E15">
        <f>UsrVout+UsrVF</f>
        <v>13</v>
      </c>
    </row>
    <row r="16" spans="2:6" x14ac:dyDescent="0.2">
      <c r="B16" t="s">
        <v>76</v>
      </c>
      <c r="C16">
        <f>(CalcVoVF*(1-UsrDutyMax/100))/(UsrVinMinBulk*UsrDutyMax/100)</f>
        <v>7.7777777777777779E-2</v>
      </c>
      <c r="D16" t="s">
        <v>77</v>
      </c>
      <c r="E16">
        <f>1/C16</f>
        <v>12.857142857142858</v>
      </c>
      <c r="F16">
        <f>_xlfn.CEILING.MATH(1/C16,1)</f>
        <v>13</v>
      </c>
    </row>
    <row r="17" spans="2:6" x14ac:dyDescent="0.2">
      <c r="D17" t="s">
        <v>78</v>
      </c>
      <c r="E17">
        <f>Np/E16</f>
        <v>7.7777777777777779E-2</v>
      </c>
      <c r="F17">
        <f>1/F16</f>
        <v>7.6923076923076927E-2</v>
      </c>
    </row>
    <row r="18" spans="2:6" x14ac:dyDescent="0.2">
      <c r="B18" t="s">
        <v>79</v>
      </c>
      <c r="C18">
        <f>E14+E16*UsrVout</f>
        <v>529.05230831458448</v>
      </c>
      <c r="D18">
        <f>E14+F16*UsrVout</f>
        <v>530.76659402887026</v>
      </c>
    </row>
    <row r="19" spans="2:6" x14ac:dyDescent="0.2">
      <c r="B19" t="s">
        <v>82</v>
      </c>
      <c r="C19">
        <f>_xlfn.CEILING.MATH(UsrMosVds-C18,1)</f>
        <v>121</v>
      </c>
      <c r="D19">
        <f>_xlfn.CEILING.MATH(UsrMosVds-D18,1)</f>
        <v>120</v>
      </c>
    </row>
    <row r="20" spans="2:6" x14ac:dyDescent="0.2">
      <c r="B20" t="s">
        <v>83</v>
      </c>
      <c r="C20">
        <f>ROUND((CalcVoVF)/(CalcNS*UsrVinMinBulk+(CalcVoVF))*100,2)</f>
        <v>65</v>
      </c>
      <c r="D20" t="s">
        <v>92</v>
      </c>
      <c r="E20">
        <f>ROUND((UsrVout+UsrVF)*(1/UsrNSA),2)</f>
        <v>13</v>
      </c>
      <c r="F20" t="s">
        <v>41</v>
      </c>
    </row>
    <row r="21" spans="2:6" x14ac:dyDescent="0.2">
      <c r="B21" t="s">
        <v>87</v>
      </c>
      <c r="C21">
        <f>POWER(UsrVinMinBulk,2)*POWER((CalcDutyMax/100),2)*(Tsw)*(UsrEstEff/100)</f>
        <v>4.4752500000000001E-2</v>
      </c>
      <c r="E21">
        <f>(UsrVout+UsrVF)*(1/UsrNSA)</f>
        <v>13</v>
      </c>
      <c r="F21" t="str">
        <f>IF(CalcSSVdd&gt;VddOvlo,"Auxiliary winding voltage too high, VDD OVLO protection will be triggered. Too high of a voltage will cause damage!", IF((VUvloOff)/CalcSSVdd &gt; 1, "Device will not operate, steady state VDD Voltage is less than turn off threshold",  IF((VUvloOff+1)/CalcSSVdd &gt; 0.9,"Steady State VDD too close to turn off threshold, a load transient may cause the device to shut off","")))</f>
        <v/>
      </c>
    </row>
    <row r="22" spans="2:6" x14ac:dyDescent="0.2">
      <c r="B22" t="s">
        <v>88</v>
      </c>
      <c r="C22">
        <f ca="1">2*CalcPo*(UsrPoCcm/100)</f>
        <v>48</v>
      </c>
    </row>
    <row r="23" spans="2:6" x14ac:dyDescent="0.2">
      <c r="B23" t="s">
        <v>85</v>
      </c>
      <c r="C23">
        <f ca="1">C21/C22</f>
        <v>9.3234375000000001E-4</v>
      </c>
      <c r="D23" t="s">
        <v>120</v>
      </c>
    </row>
    <row r="24" spans="2:6" x14ac:dyDescent="0.2">
      <c r="B24" t="s">
        <v>85</v>
      </c>
      <c r="C24">
        <f ca="1">C21/C22</f>
        <v>9.3234375000000001E-4</v>
      </c>
      <c r="D24" t="s">
        <v>120</v>
      </c>
    </row>
    <row r="25" spans="2:6" x14ac:dyDescent="0.2">
      <c r="B25" t="s">
        <v>51</v>
      </c>
      <c r="C25" t="str">
        <f>_xlfn.CONCAT("1"," : ",ROUND(CalcNS,2))</f>
        <v>1 : 0.08</v>
      </c>
    </row>
    <row r="26" spans="2:6" x14ac:dyDescent="0.2">
      <c r="B26" t="s">
        <v>320</v>
      </c>
      <c r="C26">
        <f>ROUND(Np/CalcNS,2)</f>
        <v>12.86</v>
      </c>
    </row>
    <row r="27" spans="2:6" x14ac:dyDescent="0.2">
      <c r="B27" t="s">
        <v>53</v>
      </c>
      <c r="C27" t="str">
        <f>_xlfn.CONCAT(ROUND(UsedNS,2), " : ",ROUND(UsrNSA*UsedNS,2))</f>
        <v>0.17 : 0.17</v>
      </c>
    </row>
    <row r="28" spans="2:6" x14ac:dyDescent="0.2">
      <c r="B28" t="s">
        <v>53</v>
      </c>
    </row>
    <row r="29" spans="2:6" x14ac:dyDescent="0.2">
      <c r="B29" t="s">
        <v>57</v>
      </c>
    </row>
    <row r="30" spans="2:6" x14ac:dyDescent="0.2">
      <c r="B30" t="s">
        <v>60</v>
      </c>
    </row>
    <row r="31" spans="2:6" x14ac:dyDescent="0.2">
      <c r="B31" t="s">
        <v>83</v>
      </c>
      <c r="C31">
        <f>ROUND((CalcVoVF)/(UsedNS*UsrVinMinBulk+(CalcVoVF))*100,2)</f>
        <v>46.43</v>
      </c>
    </row>
    <row r="32" spans="2:6" x14ac:dyDescent="0.2">
      <c r="B32" t="s">
        <v>87</v>
      </c>
      <c r="C32">
        <f>POWER(UsrVinMinBulk,2)*POWER((C31/100),2)*(Tsw)*(UsrEstEff/100)</f>
        <v>2.2834313286923074E-2</v>
      </c>
    </row>
    <row r="33" spans="2:6" x14ac:dyDescent="0.2">
      <c r="B33" t="s">
        <v>88</v>
      </c>
      <c r="C33">
        <f ca="1">2*CalcPo*(UsrPoCcm/100)</f>
        <v>48</v>
      </c>
    </row>
    <row r="34" spans="2:6" x14ac:dyDescent="0.2">
      <c r="B34" t="s">
        <v>181</v>
      </c>
      <c r="C34">
        <f ca="1">C32/C33</f>
        <v>4.7571486014423071E-4</v>
      </c>
    </row>
    <row r="36" spans="2:6" x14ac:dyDescent="0.2">
      <c r="B36" t="s">
        <v>184</v>
      </c>
      <c r="C36">
        <f>IF(UsrNPS &lt;&gt; "", CalcUsrDutyMax, CalcDutyMax)</f>
        <v>46.43</v>
      </c>
    </row>
    <row r="37" spans="2:6" x14ac:dyDescent="0.2">
      <c r="B37" t="s">
        <v>182</v>
      </c>
      <c r="C37">
        <f ca="1">IF(CalcUsrLm &lt;&gt; "", CalcUsrLm, CalcLm)</f>
        <v>4.7571486014423071E-4</v>
      </c>
      <c r="D37" t="s">
        <v>183</v>
      </c>
      <c r="E37">
        <f>IF(UsrNPS &lt;&gt; "", Np/UsrNPS, CalcNS)</f>
        <v>0.16666666666666666</v>
      </c>
      <c r="F37">
        <f>IF(UsrNPS &lt;&gt; "", UsrNPS, CalcNPS)</f>
        <v>6</v>
      </c>
    </row>
    <row r="38" spans="2:6" x14ac:dyDescent="0.2">
      <c r="B38" t="s">
        <v>108</v>
      </c>
      <c r="C38">
        <f>UsrVout/(UsedNS*UsrVinMinBulk+UsrVout)</f>
        <v>0.44444444444444442</v>
      </c>
      <c r="D38" t="s">
        <v>109</v>
      </c>
      <c r="E38">
        <f ca="1">(UsrVout/UsrVinMinBulk)*SQRT((2*UsedLm)/(Tsw*(UsrVout/UsrIout)))</f>
        <v>0.4280634491521087</v>
      </c>
    </row>
    <row r="39" spans="2:6" x14ac:dyDescent="0.2">
      <c r="B39" t="s">
        <v>107</v>
      </c>
      <c r="C39" t="b">
        <f ca="1">(CalcNS*SQRT((2*CalcLm)/((UsrVout/UsrIout)*Tsw))&lt;(1-UsrVout/(CalcNS*UsrVinMinBulk+UsrVout)))</f>
        <v>1</v>
      </c>
    </row>
    <row r="40" spans="2:6" x14ac:dyDescent="0.2">
      <c r="B40" t="s">
        <v>110</v>
      </c>
      <c r="C40">
        <f ca="1">(UsrIout*UsedNS)/(1-DCcm) + (UsrVinMinBulk/(2*UsedLm))*Tsw*DCcm</f>
        <v>1.2467998657830854</v>
      </c>
      <c r="E40">
        <f ca="1">(UsrVinMinBulk/UsedLm)*(UsedDutyMax/100)*(Tsw)</f>
        <v>1.3513912995738895</v>
      </c>
    </row>
    <row r="41" spans="2:6" x14ac:dyDescent="0.2">
      <c r="B41" t="s">
        <v>101</v>
      </c>
      <c r="C41">
        <f ca="1">IF(IsDcmFullLoad,E40,C40)</f>
        <v>1.3513912995738895</v>
      </c>
    </row>
    <row r="42" spans="2:6" x14ac:dyDescent="0.2">
      <c r="B42" t="s">
        <v>385</v>
      </c>
      <c r="C42">
        <f>CalcEstPin/(UsrVinMinBulk*UsedDutyMax/100)</f>
        <v>0.67569564978694474</v>
      </c>
    </row>
    <row r="43" spans="2:6" x14ac:dyDescent="0.2">
      <c r="B43" t="s">
        <v>380</v>
      </c>
      <c r="C43">
        <f ca="1">IF(IsDcmFullLoad,CalcIPk*SQRT(DDcm/3),C42*SQRT(DCcm)*SQRT(1+(1/3)*POWER((CalcIPk-C42)/C42,2)))</f>
        <v>0.51047510184899758</v>
      </c>
      <c r="E43" t="str">
        <f>IF(PrettyMosLeakLeft &lt; 0,"Adjust Np:Ns Turns Ratio until this number is positive","")</f>
        <v/>
      </c>
    </row>
    <row r="44" spans="2:6" x14ac:dyDescent="0.2">
      <c r="B44" t="s">
        <v>318</v>
      </c>
      <c r="C44">
        <f>_xlfn.CEILING.MATH(UsrMosVds-(E14+(1/UsedNS)*UsrVout),1)</f>
        <v>204</v>
      </c>
    </row>
    <row r="45" spans="2:6" x14ac:dyDescent="0.2">
      <c r="D45" s="6">
        <f ca="1">MATCH(ROUND(LOG10(CalcLm),0),UnitExpo,-1)</f>
        <v>8</v>
      </c>
      <c r="E45" s="6">
        <f ca="1">ROUND(CalcLm*1/OFFSET(Exa,D45,0),2)</f>
        <v>932.34</v>
      </c>
      <c r="F45" s="6" t="str">
        <f ca="1">OFFSET(UnitSymbolExa,D45,0)&amp;"H"</f>
        <v>μH</v>
      </c>
    </row>
    <row r="46" spans="2:6" x14ac:dyDescent="0.2">
      <c r="D46" s="6">
        <f ca="1">MATCH(ROUND(LOG10(CalcUsrLm),0),UnitExpo,-1)</f>
        <v>8</v>
      </c>
      <c r="E46" s="6">
        <f ca="1">ROUND(CalcUsrLm*1/OFFSET(Exa,D46,0),2)</f>
        <v>475.71</v>
      </c>
      <c r="F46" s="6" t="str">
        <f ca="1">OFFSET(UnitSymbolExa,D46,0)&amp;"H"</f>
        <v>μH</v>
      </c>
    </row>
    <row r="47" spans="2:6" x14ac:dyDescent="0.2">
      <c r="D47" s="6">
        <f ca="1">MATCH(ROUND(LOG10(CalcIPk),1),UnitExpo,-1)</f>
        <v>6</v>
      </c>
      <c r="E47" s="6">
        <f ca="1">ROUND(CalcIPk*1/OFFSET(Exa,D47,0),2)</f>
        <v>1.35</v>
      </c>
      <c r="F47" s="6" t="str">
        <f ca="1">OFFSET(UnitSymbolExa,D47,0)&amp;"A"</f>
        <v>A</v>
      </c>
    </row>
    <row r="48" spans="2:6" ht="16" thickBot="1" x14ac:dyDescent="0.25">
      <c r="D48" s="6">
        <f ca="1">MATCH(ROUND(LOG10(CalcIRms),1),UnitExpo,-1)</f>
        <v>7</v>
      </c>
      <c r="E48" s="6">
        <f ca="1">ROUND(CalcIRms*1/OFFSET(Exa,D48,0),2)</f>
        <v>510.48</v>
      </c>
      <c r="F48" s="6" t="str">
        <f ca="1">OFFSET(UnitSymbolExa,D48,0)&amp;"A"</f>
        <v>mA</v>
      </c>
    </row>
    <row r="49" spans="2:6" ht="17" thickBot="1" x14ac:dyDescent="0.3">
      <c r="B49" s="32" t="s">
        <v>54</v>
      </c>
      <c r="C49" s="33"/>
      <c r="D49" s="33"/>
      <c r="E49" s="33"/>
      <c r="F49" s="34"/>
    </row>
    <row r="50" spans="2:6" x14ac:dyDescent="0.2">
      <c r="C50">
        <f>CsMargin*CsMax</f>
        <v>0.79200000000000004</v>
      </c>
    </row>
    <row r="51" spans="2:6" x14ac:dyDescent="0.2">
      <c r="B51" t="s">
        <v>99</v>
      </c>
      <c r="C51">
        <f>ISlope/((UsedDutyMax/100)*Tsw)</f>
        <v>13.999569244023261</v>
      </c>
      <c r="D51" t="s">
        <v>113</v>
      </c>
    </row>
    <row r="52" spans="2:6" x14ac:dyDescent="0.2">
      <c r="B52" t="s">
        <v>100</v>
      </c>
      <c r="C52">
        <f ca="1">(CsMax*CsMargin)/CalcIPk</f>
        <v>0.58606267499999998</v>
      </c>
      <c r="D52" t="s">
        <v>112</v>
      </c>
    </row>
    <row r="53" spans="2:6" x14ac:dyDescent="0.2">
      <c r="B53" t="s">
        <v>98</v>
      </c>
      <c r="C53">
        <f ca="1">(CalcVoVF*(1/UsedNS))/(UsedLm)</f>
        <v>163963.76597601216</v>
      </c>
      <c r="D53" t="s">
        <v>113</v>
      </c>
    </row>
    <row r="54" spans="2:6" x14ac:dyDescent="0.2">
      <c r="B54" t="s">
        <v>102</v>
      </c>
      <c r="C54">
        <f ca="1">CalcRCs*CalcSOff</f>
        <v>96093.043290975664</v>
      </c>
      <c r="D54" t="s">
        <v>114</v>
      </c>
    </row>
    <row r="55" spans="2:6" x14ac:dyDescent="0.2">
      <c r="B55" t="s">
        <v>103</v>
      </c>
      <c r="C55">
        <f ca="1">(0.5*CalcOffRamp)/(IRamp)</f>
        <v>3432</v>
      </c>
      <c r="D55" t="s">
        <v>112</v>
      </c>
    </row>
    <row r="56" spans="2:6" x14ac:dyDescent="0.2">
      <c r="B56" t="s">
        <v>104</v>
      </c>
      <c r="C56">
        <f ca="1">CalcRSlope*IRamp*(UsedDutyMax/100)*(Tsw)+CalcRCs*CalcIPk</f>
        <v>1.1352</v>
      </c>
      <c r="D56" t="s">
        <v>41</v>
      </c>
    </row>
    <row r="57" spans="2:6" x14ac:dyDescent="0.2">
      <c r="B57" t="s">
        <v>111</v>
      </c>
      <c r="C57">
        <f ca="1">((CsMax*CsMargin)-CalcRSlope*IRamp*(UsedDutyMax/100)*Tsw)/(CalcIPk)</f>
        <v>0.33210218250000001</v>
      </c>
      <c r="D57" t="s">
        <v>112</v>
      </c>
    </row>
    <row r="58" spans="2:6" x14ac:dyDescent="0.2">
      <c r="B58" t="s">
        <v>388</v>
      </c>
      <c r="C58">
        <f ca="1">(CsMargin*CsMax-CalcRCs*CalcSOff*(1-UsedDutyMax/100)*Tsw)/(IRamp*(UsedDutyMax/100)*Tsw)</f>
        <v>0.45487831143553598</v>
      </c>
      <c r="D58" t="s">
        <v>112</v>
      </c>
    </row>
    <row r="59" spans="2:6" x14ac:dyDescent="0.2">
      <c r="C59">
        <f ca="1">CalcRslopeFixedRcs*IRamp*(UsedDutyMax/100)*Tsw+CalcRCs*CalcSOff*(1-UsedDutyMax/100)*Tsw</f>
        <v>0.79200000000000004</v>
      </c>
    </row>
    <row r="60" spans="2:6" x14ac:dyDescent="0.2">
      <c r="B60" t="s">
        <v>119</v>
      </c>
      <c r="C60">
        <f>IF(UsedDutyMax&gt;50,ROUND(CalcRslopeFixedRcs,2),0)</f>
        <v>0</v>
      </c>
    </row>
    <row r="61" spans="2:6" x14ac:dyDescent="0.2">
      <c r="B61" t="s">
        <v>121</v>
      </c>
      <c r="C61">
        <f ca="1">CalcRSlope*IRamp*(UsedDutyMax/100)*(Tsw)+CalcRCsSlopeComp*CalcIPk</f>
        <v>0.79200000000000004</v>
      </c>
    </row>
    <row r="62" spans="2:6" x14ac:dyDescent="0.2">
      <c r="B62" t="s">
        <v>122</v>
      </c>
      <c r="C62">
        <f>UsrRCs*CHOOSE(MATCH(SelRCs,OptRCs,0),0.001,1)</f>
        <v>0.6</v>
      </c>
    </row>
    <row r="63" spans="2:6" x14ac:dyDescent="0.2">
      <c r="B63" t="s">
        <v>123</v>
      </c>
      <c r="C63">
        <f>UsrRSlope*CHOOSE(MATCH(SelRSlope,OptRSlope,0),1,1000)</f>
        <v>2000</v>
      </c>
      <c r="E63" t="str">
        <f>IF(C63&lt;ResRSlope, "User selected slope compensation is lower than calculated slope compensation, sub harmonic oscillation may occur, and take longer than a few cycles to settle","")</f>
        <v/>
      </c>
    </row>
    <row r="64" spans="2:6" x14ac:dyDescent="0.2">
      <c r="B64" t="s">
        <v>124</v>
      </c>
      <c r="C64">
        <f ca="1">ROUND(ConvUsrRSlope*IRamp*(UsedDutyMax/100)*(Tsw)+ConvUsrRCs*CalcSOff*(1-UsedDutyMax/100)*Tsw,3)</f>
        <v>1.0109999999999999</v>
      </c>
    </row>
    <row r="65" spans="2:6" x14ac:dyDescent="0.2">
      <c r="D65" t="str">
        <f ca="1">IF(ResUsrVCs&gt;0.9,"Modify selection of current sense resistor to lower final voltage below CS Max threshold","")</f>
        <v>Modify selection of current sense resistor to lower final voltage below CS Max threshold</v>
      </c>
    </row>
    <row r="66" spans="2:6" x14ac:dyDescent="0.2">
      <c r="D66" s="6">
        <f ca="1">MATCH(ROUND(LOG10(CalcRCs),0),UnitExpo,-1)</f>
        <v>7</v>
      </c>
      <c r="E66" s="6">
        <f ca="1">ROUND(CalcRCs*1/OFFSET(Exa,D66,0),2)</f>
        <v>586.05999999999995</v>
      </c>
      <c r="F66" s="6" t="str">
        <f ca="1">OFFSET(UnitSymbolExa,D66,0)&amp;"Ω"</f>
        <v>mΩ</v>
      </c>
    </row>
    <row r="67" spans="2:6" x14ac:dyDescent="0.2">
      <c r="D67" s="6">
        <f ca="1">MATCH(ROUND(LOG10(ResUsrVCs),0),UnitExpo,-1)</f>
        <v>7</v>
      </c>
      <c r="E67" s="6">
        <f ca="1">ROUND(ResUsrVCs*1/OFFSET(Exa,D67,0),2)</f>
        <v>1011</v>
      </c>
      <c r="F67" s="6" t="str">
        <f ca="1">OFFSET(UnitSymbolExa,D67,0)&amp;"V"</f>
        <v>mV</v>
      </c>
    </row>
    <row r="68" spans="2:6" x14ac:dyDescent="0.2">
      <c r="D68" s="6">
        <f ca="1">MATCH(ROUND(LOG10(CalcRCs),0),UnitExpo,-1)</f>
        <v>7</v>
      </c>
      <c r="E68" s="6">
        <f ca="1">ROUND(CalcRCs*1/OFFSET(Exa,D68,0),2)</f>
        <v>586.05999999999995</v>
      </c>
      <c r="F68" s="6" t="str">
        <f ca="1">OFFSET(UnitSymbolExa,D68,0)&amp;"Ω"</f>
        <v>mΩ</v>
      </c>
    </row>
    <row r="69" spans="2:6" x14ac:dyDescent="0.2">
      <c r="D69" s="6" t="e">
        <f>MATCH(ROUND(LOG10(ResRSlope),2),UnitExpo,-1)</f>
        <v>#NUM!</v>
      </c>
      <c r="E69" s="6">
        <f ca="1">IF(ResRSlope=0,0,ROUND(ResRSlope*1/OFFSET(Exa,D69,0),2))</f>
        <v>0</v>
      </c>
      <c r="F69" s="6" t="str">
        <f ca="1">IF(ResRSlope=0,"Ω", OFFSET(UnitSymbolExa,D69,0)&amp;"Ω")</f>
        <v>Ω</v>
      </c>
    </row>
    <row r="70" spans="2:6" ht="16" thickBot="1" x14ac:dyDescent="0.25">
      <c r="D70" s="6">
        <f ca="1">MATCH(ROUND(LOG10(ResVCs),0),UnitExpo,-1)</f>
        <v>7</v>
      </c>
      <c r="E70" s="6">
        <f ca="1">ROUND(ResVCs*1/OFFSET(Exa,D70,0),2)</f>
        <v>792</v>
      </c>
      <c r="F70" s="6" t="str">
        <f ca="1">OFFSET(UnitSymbolExa,D70,0)&amp;"V"</f>
        <v>mV</v>
      </c>
    </row>
    <row r="71" spans="2:6" ht="17" thickBot="1" x14ac:dyDescent="0.3">
      <c r="B71" s="32" t="s">
        <v>73</v>
      </c>
      <c r="C71" s="33"/>
      <c r="D71" s="33"/>
      <c r="E71" s="33"/>
      <c r="F71" s="34"/>
    </row>
    <row r="72" spans="2:6" x14ac:dyDescent="0.2">
      <c r="B72" t="s">
        <v>74</v>
      </c>
      <c r="C72">
        <f>UsrVout+(UsrVinMax*SQRT(2))*UsedNS</f>
        <v>74.4610990048117</v>
      </c>
      <c r="D72">
        <f>ROUND(C72,0)</f>
        <v>74</v>
      </c>
    </row>
    <row r="74" spans="2:6" ht="16" thickBot="1" x14ac:dyDescent="0.25"/>
    <row r="75" spans="2:6" ht="17" thickBot="1" x14ac:dyDescent="0.3">
      <c r="B75" s="32" t="s">
        <v>126</v>
      </c>
      <c r="C75" s="33"/>
      <c r="D75" s="33"/>
      <c r="E75" s="33"/>
      <c r="F75" s="34"/>
    </row>
    <row r="76" spans="2:6" x14ac:dyDescent="0.2">
      <c r="B76" t="s">
        <v>127</v>
      </c>
      <c r="C76">
        <f>(UsrIout*(UsedDutyMax/100)*Tsw)/(UsrVout*(UsrVoutRipple/100))</f>
        <v>1.1905128205128205E-4</v>
      </c>
      <c r="D76" t="s">
        <v>134</v>
      </c>
    </row>
    <row r="77" spans="2:6" x14ac:dyDescent="0.2">
      <c r="B77" t="s">
        <v>128</v>
      </c>
      <c r="C77">
        <f ca="1">(UsrIout*C83)/(UsrVTransDrop/100 * UsrVout)</f>
        <v>8.7209858355300309E-4</v>
      </c>
      <c r="D77" t="s">
        <v>134</v>
      </c>
      <c r="E77">
        <f ca="1">ROUND(C77*Mega,0)</f>
        <v>872</v>
      </c>
    </row>
    <row r="78" spans="2:6" x14ac:dyDescent="0.2">
      <c r="B78" t="s">
        <v>135</v>
      </c>
      <c r="C78">
        <f ca="1">(UsrIout * (UsedDutyMax/100))/(FSw * C77)</f>
        <v>1.6381351965910611E-2</v>
      </c>
      <c r="D78">
        <f ca="1">C78/UsrVout * 100</f>
        <v>0.13651126638258843</v>
      </c>
    </row>
    <row r="79" spans="2:6" x14ac:dyDescent="0.2">
      <c r="B79" t="s">
        <v>130</v>
      </c>
      <c r="C79">
        <f>POWER((1-UsedDutyMax/100),2)*UsrVout</f>
        <v>3.443693880000001</v>
      </c>
    </row>
    <row r="80" spans="2:6" x14ac:dyDescent="0.2">
      <c r="B80" t="s">
        <v>131</v>
      </c>
      <c r="C80">
        <f ca="1">2*PI()*(UsedDutyMax/100)*(UsedLm)*UsrIout*POWER(UsedNS,2)</f>
        <v>7.7099713606142359E-5</v>
      </c>
    </row>
    <row r="81" spans="2:6" x14ac:dyDescent="0.2">
      <c r="B81" t="s">
        <v>129</v>
      </c>
      <c r="C81">
        <f ca="1">C79/C80</f>
        <v>44665.45618563296</v>
      </c>
    </row>
    <row r="82" spans="2:6" x14ac:dyDescent="0.2">
      <c r="B82" t="s">
        <v>132</v>
      </c>
      <c r="C82">
        <f ca="1">C81/5</f>
        <v>8933.0912371265913</v>
      </c>
    </row>
    <row r="83" spans="2:6" x14ac:dyDescent="0.2">
      <c r="B83" t="s">
        <v>133</v>
      </c>
      <c r="C83">
        <f ca="1">(0.33/CalcRhpZeroDiv5+Tsw)</f>
        <v>5.2325915013180186E-5</v>
      </c>
      <c r="D83">
        <f>(0.33/6500+Tsw)</f>
        <v>6.6153846153846156E-5</v>
      </c>
    </row>
    <row r="84" spans="2:6" x14ac:dyDescent="0.2">
      <c r="B84" t="s">
        <v>149</v>
      </c>
      <c r="C84">
        <f ca="1">1/2 * ((C77*POWER(UsrVout,2))/CalcPo) + 0.002</f>
        <v>4.6162957506590101E-3</v>
      </c>
    </row>
    <row r="85" spans="2:6" x14ac:dyDescent="0.2">
      <c r="B85" t="s">
        <v>148</v>
      </c>
      <c r="C85">
        <f ca="1">SQRT((2*(CalcTVoutRise-0.002+C83)*CalcPo)/CalcCoutTrans)-UsrVout</f>
        <v>0.11940592603449396</v>
      </c>
    </row>
    <row r="87" spans="2:6" ht="16" thickBot="1" x14ac:dyDescent="0.25"/>
    <row r="88" spans="2:6" ht="17" thickBot="1" x14ac:dyDescent="0.3">
      <c r="B88" s="32" t="s">
        <v>141</v>
      </c>
      <c r="C88" s="33"/>
      <c r="D88" s="33"/>
      <c r="E88" s="33"/>
      <c r="F88" s="34"/>
    </row>
    <row r="89" spans="2:6" x14ac:dyDescent="0.2">
      <c r="B89" t="s">
        <v>309</v>
      </c>
      <c r="C89">
        <f>IF(UsrUsingDisable, Idis, IFault)</f>
        <v>3.6000000000000002E-4</v>
      </c>
    </row>
    <row r="90" spans="2:6" ht="16" x14ac:dyDescent="0.2">
      <c r="B90" s="5" t="s">
        <v>310</v>
      </c>
      <c r="C90">
        <f>CurrConstraint*0.8</f>
        <v>2.8800000000000001E-4</v>
      </c>
    </row>
    <row r="91" spans="2:6" x14ac:dyDescent="0.2">
      <c r="B91" t="s">
        <v>143</v>
      </c>
      <c r="C91">
        <f>(SQRT(2)*UsrVinMax-VUvloOn)/CurrConstraintMargin</f>
        <v>1248147.8959335771</v>
      </c>
      <c r="D91" s="6">
        <f>MATCH(ROUND(LOG10(CalcRStart),1),UnitExpo,-1)</f>
        <v>4</v>
      </c>
      <c r="E91" s="6">
        <f ca="1">ROUND(CalcRStart*1/OFFSET(Exa,D91,0),2)</f>
        <v>1.25</v>
      </c>
      <c r="F91" s="6" t="str">
        <f ca="1">OFFSET(UnitSymbolExa,D91,0)&amp;"Ω"</f>
        <v>MΩ</v>
      </c>
    </row>
    <row r="92" spans="2:6" x14ac:dyDescent="0.2">
      <c r="B92" t="s">
        <v>144</v>
      </c>
      <c r="C92">
        <f>(((SQRT(2)*UsrVinMin)/CalcRStart-IStart)*UsrTimeTurnOn)/VUvloOn</f>
        <v>6.0114032912311594E-6</v>
      </c>
      <c r="D92">
        <f>ROUND(C92*Mega,2)</f>
        <v>6.01</v>
      </c>
    </row>
    <row r="93" spans="2:6" x14ac:dyDescent="0.2">
      <c r="B93" t="s">
        <v>317</v>
      </c>
      <c r="C93">
        <v>1E-3</v>
      </c>
      <c r="D93" t="s">
        <v>42</v>
      </c>
    </row>
    <row r="94" spans="2:6" x14ac:dyDescent="0.2">
      <c r="B94" t="s">
        <v>151</v>
      </c>
      <c r="C94">
        <f ca="1">CalcCoutTrans/C93*CalcVoutOvershoot</f>
        <v>0.10413373896251683</v>
      </c>
      <c r="D94">
        <f>ROUND(LOG10(CalcRStart),0)</f>
        <v>6</v>
      </c>
    </row>
    <row r="95" spans="2:6" x14ac:dyDescent="0.2">
      <c r="B95" t="s">
        <v>316</v>
      </c>
      <c r="C95">
        <v>1</v>
      </c>
    </row>
    <row r="96" spans="2:6" x14ac:dyDescent="0.2">
      <c r="B96" t="s">
        <v>147</v>
      </c>
      <c r="C96">
        <f ca="1">((IOff*((CalcCoutTrans*UsrVout)/UsrIout+0.002))/(VUvloOn-VUvloOff-1))</f>
        <v>4.9127036612726165E-7</v>
      </c>
    </row>
    <row r="97" spans="2:6" ht="48" x14ac:dyDescent="0.2">
      <c r="C97">
        <f ca="1">(IOff*CalcTDecayVoutOvershoot)/(VUvloOn-(VUvloOff+1))</f>
        <v>7.0732350993407654E-6</v>
      </c>
      <c r="D97">
        <f ca="1">ROUND(C97*Mega,2)</f>
        <v>7.07</v>
      </c>
      <c r="E97" t="str">
        <f ca="1">_xlfn.CONCAT(D97, " to ", D98)</f>
        <v>7.07 to 67.92</v>
      </c>
      <c r="F97" s="5" t="s">
        <v>315</v>
      </c>
    </row>
    <row r="98" spans="2:6" x14ac:dyDescent="0.2">
      <c r="C98">
        <f>(IOff*C95)/(VUvloOn-(VUvloOff+1))</f>
        <v>6.7924528301886784E-5</v>
      </c>
      <c r="D98">
        <f>ROUND(C98*Mega,2)</f>
        <v>67.92</v>
      </c>
    </row>
    <row r="103" spans="2:6" ht="16" thickBot="1" x14ac:dyDescent="0.25"/>
    <row r="104" spans="2:6" ht="17" thickBot="1" x14ac:dyDescent="0.3">
      <c r="B104" s="32" t="s">
        <v>156</v>
      </c>
      <c r="C104" s="33"/>
      <c r="D104" s="33"/>
      <c r="E104" s="33"/>
      <c r="F104" s="34"/>
    </row>
    <row r="105" spans="2:6" x14ac:dyDescent="0.2">
      <c r="B105" t="s">
        <v>283</v>
      </c>
      <c r="C105">
        <f>UsrBoRTop*CHOOSE(MATCH(SelBoRTop,OptBoRTop,0),1,1000,1000000)</f>
        <v>3500000</v>
      </c>
    </row>
    <row r="106" spans="2:6" x14ac:dyDescent="0.2">
      <c r="B106" t="s">
        <v>284</v>
      </c>
      <c r="C106">
        <f>UsrBoRBot*CHOOSE(MATCH(SelBoRBot,OptBoRTop,0),1,1000,1000000)</f>
        <v>50000</v>
      </c>
    </row>
    <row r="107" spans="2:6" x14ac:dyDescent="0.2">
      <c r="B107" t="s">
        <v>161</v>
      </c>
      <c r="C107">
        <f>(VBi*(ConvUsrBoRBot+ConvUsrBoRTop))/ConvUsrBoRBot</f>
        <v>102.95</v>
      </c>
    </row>
    <row r="108" spans="2:6" x14ac:dyDescent="0.2">
      <c r="B108" t="s">
        <v>160</v>
      </c>
      <c r="C108">
        <f>(ConvUsrBoRBot*VBo+ConvUsrBoRTop*VBo-IBo*ConvUsrBoRBot*ConvUsrBoRTop)/ConvUsrBoRBot</f>
        <v>85.4</v>
      </c>
    </row>
    <row r="110" spans="2:6" ht="32" x14ac:dyDescent="0.2">
      <c r="B110" s="5" t="s">
        <v>166</v>
      </c>
      <c r="C110">
        <f>ROUND((ConvUsrBoRBot*(UsrBo-VBo))/(VBo-IBo*ConvUsrBoRBot),0)</f>
        <v>3483333</v>
      </c>
      <c r="D110" s="6">
        <f>MATCH(ROUND(LOG10(CalcBoRTop),0),UnitExpo,-1)</f>
        <v>4</v>
      </c>
      <c r="E110" s="6">
        <f ca="1">ROUND(CalcBoRTop*1/OFFSET(Exa,D110,0),2)</f>
        <v>3.48</v>
      </c>
      <c r="F110" s="6" t="str">
        <f ca="1">OFFSET(UnitSymbolExa,D110,0)&amp;"Ω"</f>
        <v>MΩ</v>
      </c>
    </row>
    <row r="111" spans="2:6" ht="32" x14ac:dyDescent="0.2">
      <c r="B111" s="5" t="s">
        <v>165</v>
      </c>
      <c r="C111">
        <f>ROUND((VBi*(ConvUsrBoRBot+C110))/ConvUsrBoRBot,2)</f>
        <v>102.47</v>
      </c>
    </row>
    <row r="114" spans="2:6" x14ac:dyDescent="0.2">
      <c r="B114" t="s">
        <v>169</v>
      </c>
      <c r="C114">
        <f>UsrRNtcRef*CHOOSE(MATCH(SelRNtc,OptNtc,0),1,1000)</f>
        <v>120000</v>
      </c>
    </row>
    <row r="115" spans="2:6" x14ac:dyDescent="0.2">
      <c r="B115" t="s">
        <v>175</v>
      </c>
      <c r="C115">
        <f>ROUND(POWER(LN(1/(INtc*UsedRNtcRef))/(UsrRNtcBeta)+1/(UsrRNtcTref+273.15),-1)-273.15,2)</f>
        <v>90.76</v>
      </c>
    </row>
    <row r="116" spans="2:6" x14ac:dyDescent="0.2">
      <c r="B116" t="s">
        <v>312</v>
      </c>
      <c r="C116">
        <f>ROUND(POWER(LN(1.2/(INtc*UsedRNtcRef))/(UsrRNtcBeta)+1/(UsrRNtcTref+273.15),-1)-273.15,2)</f>
        <v>84.96</v>
      </c>
    </row>
    <row r="118" spans="2:6" ht="16" thickBot="1" x14ac:dyDescent="0.25"/>
    <row r="119" spans="2:6" ht="17" thickBot="1" x14ac:dyDescent="0.3">
      <c r="B119" s="32" t="s">
        <v>186</v>
      </c>
      <c r="C119" s="33"/>
      <c r="D119" s="33"/>
      <c r="E119" s="33"/>
      <c r="F119" s="34"/>
    </row>
    <row r="120" spans="2:6" x14ac:dyDescent="0.2">
      <c r="B120" t="s">
        <v>304</v>
      </c>
      <c r="C120" t="b">
        <f ca="1">(CalcNS*SQRT((2*CalcLm)/((UsrVout/UsrIout)*Tsw))&lt;(1-UsrVout/(CalcNS*UsrBodeVin+UsrVout)))</f>
        <v>1</v>
      </c>
    </row>
    <row r="121" spans="2:6" x14ac:dyDescent="0.2">
      <c r="B121" t="s">
        <v>189</v>
      </c>
      <c r="C121">
        <f>ROUND((CalcVoVF)/(1/BodeN*UsrBodeVin+(CalcVoVF)),2)</f>
        <v>0.46</v>
      </c>
    </row>
    <row r="122" spans="2:6" x14ac:dyDescent="0.2">
      <c r="B122" t="s">
        <v>188</v>
      </c>
      <c r="C122">
        <f>FSw</f>
        <v>65000</v>
      </c>
    </row>
    <row r="123" spans="2:6" x14ac:dyDescent="0.2">
      <c r="B123" t="s">
        <v>187</v>
      </c>
      <c r="C123">
        <f>(BodeN*UsrVout)/(SQRT(2)*UsrBodeVin)</f>
        <v>0.56568542494923801</v>
      </c>
    </row>
    <row r="124" spans="2:6" x14ac:dyDescent="0.2">
      <c r="B124" t="s">
        <v>190</v>
      </c>
      <c r="C124">
        <f>1/UsedNS</f>
        <v>6</v>
      </c>
    </row>
    <row r="125" spans="2:6" x14ac:dyDescent="0.2">
      <c r="B125" t="s">
        <v>191</v>
      </c>
      <c r="C125">
        <f ca="1">(2*UsedLm*BodeFsw)/(POWER(BodeN,2)*BodeR)</f>
        <v>0.28630986953124993</v>
      </c>
    </row>
    <row r="126" spans="2:6" x14ac:dyDescent="0.2">
      <c r="B126" t="s">
        <v>192</v>
      </c>
      <c r="C126">
        <f ca="1">CalcSOff</f>
        <v>163963.76597601216</v>
      </c>
    </row>
    <row r="127" spans="2:6" x14ac:dyDescent="0.2">
      <c r="B127" t="s">
        <v>193</v>
      </c>
      <c r="C127">
        <f>IRamp</f>
        <v>13.999569244023261</v>
      </c>
    </row>
    <row r="128" spans="2:6" x14ac:dyDescent="0.2">
      <c r="B128" t="s">
        <v>194</v>
      </c>
      <c r="C128">
        <v>2</v>
      </c>
    </row>
    <row r="129" spans="2:6" x14ac:dyDescent="0.2">
      <c r="B129" t="s">
        <v>195</v>
      </c>
      <c r="C129">
        <f>UsrVout/UsrIout</f>
        <v>6</v>
      </c>
    </row>
    <row r="130" spans="2:6" x14ac:dyDescent="0.2">
      <c r="B130" t="s">
        <v>208</v>
      </c>
      <c r="C130">
        <f>UsrTotalESR</f>
        <v>0.03</v>
      </c>
    </row>
    <row r="131" spans="2:6" x14ac:dyDescent="0.2">
      <c r="B131" t="s">
        <v>222</v>
      </c>
      <c r="C131">
        <f>UsrOptoCTR</f>
        <v>0.1</v>
      </c>
    </row>
    <row r="132" spans="2:6" x14ac:dyDescent="0.2">
      <c r="B132" t="s">
        <v>223</v>
      </c>
      <c r="C132">
        <f>RFb</f>
        <v>10000</v>
      </c>
    </row>
    <row r="133" spans="2:6" x14ac:dyDescent="0.2">
      <c r="B133" t="s">
        <v>225</v>
      </c>
      <c r="C133">
        <f>(UsrVout-Tl431Ref)/Tl431I</f>
        <v>76000</v>
      </c>
      <c r="D133" s="6">
        <f>MATCH(ROUND(LOG10(BodeRa),0),UnitExpo,-1)</f>
        <v>5</v>
      </c>
      <c r="E133" s="6">
        <f ca="1">ROUND(BodeRa*1/OFFSET(Exa,D133,0),2)</f>
        <v>76</v>
      </c>
      <c r="F133" s="6" t="str">
        <f ca="1">OFFSET(UnitSymbolExa,D133,0)&amp;"Ω"</f>
        <v>kΩ</v>
      </c>
    </row>
    <row r="134" spans="2:6" x14ac:dyDescent="0.2">
      <c r="B134" t="s">
        <v>226</v>
      </c>
      <c r="C134">
        <f>Tl431Ref/Tl431I</f>
        <v>20000</v>
      </c>
      <c r="D134" s="6">
        <f>MATCH(ROUND(LOG10(BodeRb),0),UnitExpo,-1)</f>
        <v>5</v>
      </c>
      <c r="E134" s="6">
        <f ca="1">ROUND(BodeRb*1/OFFSET(Exa,D134,0),2)</f>
        <v>20</v>
      </c>
      <c r="F134" s="6" t="str">
        <f ca="1">OFFSET(UnitSymbolExa,D134,0)&amp;"Ω"</f>
        <v>kΩ</v>
      </c>
    </row>
    <row r="135" spans="2:6" x14ac:dyDescent="0.2">
      <c r="B135" t="s">
        <v>227</v>
      </c>
      <c r="C135">
        <f>(UsrVout-UsrOptoLed-Tl431Ref)/0.0015</f>
        <v>5333.333333333333</v>
      </c>
      <c r="D135" s="6">
        <f>MATCH(ROUND(LOG10(BodeRc3),0),UnitExpo,-1)</f>
        <v>5</v>
      </c>
      <c r="E135" s="6">
        <f ca="1">ROUND(BodeRc3*1/OFFSET(Exa,D135,0),2)</f>
        <v>5.33</v>
      </c>
      <c r="F135" s="6" t="str">
        <f ca="1">OFFSET(UnitSymbolExa,D135,0)&amp;"Ω"</f>
        <v>kΩ</v>
      </c>
    </row>
    <row r="136" spans="2:6" x14ac:dyDescent="0.2">
      <c r="B136" t="s">
        <v>228</v>
      </c>
      <c r="C136" s="3">
        <f>UsrOptoParaCap*CHOOSE(MATCH(SelBodeOptoCap,OptBodeCap,0),0.000001,0.000000001,0.000000000001)</f>
        <v>1.0000000000000001E-9</v>
      </c>
      <c r="D136" t="s">
        <v>233</v>
      </c>
    </row>
    <row r="137" spans="2:6" x14ac:dyDescent="0.2">
      <c r="B137" t="s">
        <v>229</v>
      </c>
      <c r="C137" s="3">
        <f>UsrIntCap*CHOOSE(MATCH(SelBodeIntCap,OptBodeCap,0),0.000001,0.000000001,0.000000000001)</f>
        <v>1.0000000000000001E-9</v>
      </c>
    </row>
    <row r="139" spans="2:6" x14ac:dyDescent="0.2">
      <c r="B139" t="s">
        <v>196</v>
      </c>
    </row>
    <row r="140" spans="2:6" x14ac:dyDescent="0.2">
      <c r="B140" t="s">
        <v>197</v>
      </c>
      <c r="C140">
        <f ca="1">(BodeN*BodeR*BodeGFb)/CalcRCs*POWER(POWER(1-BodeD,2)/BodeTauL*(1+2*(BodeSe/BodeSn))+(2*BodeM)+1,-1)</f>
        <v>39.000923110829653</v>
      </c>
    </row>
    <row r="141" spans="2:6" x14ac:dyDescent="0.2">
      <c r="B141" t="s">
        <v>198</v>
      </c>
      <c r="C141">
        <f ca="1" xml:space="preserve"> (POWER(1-BodeD,3)/BodeTauL * (1+2*BodeSe/BodeSn)+BodeD+1)/(BodeR*CalcCoutTrans)</f>
        <v>384.14454174662251</v>
      </c>
    </row>
    <row r="142" spans="2:6" x14ac:dyDescent="0.2">
      <c r="B142" t="s">
        <v>199</v>
      </c>
      <c r="C142">
        <f ca="1" xml:space="preserve"> 1/(BodeESR*CalcCoutTrans)</f>
        <v>38221.978526247025</v>
      </c>
    </row>
    <row r="143" spans="2:6" x14ac:dyDescent="0.2">
      <c r="B143" t="s">
        <v>200</v>
      </c>
      <c r="C143">
        <f ca="1">(POWER(1-BodeD,2)*POWER(BodeN,2)*BodeR)/(BodeD*UsedLm)</f>
        <v>287830.4397508002</v>
      </c>
      <c r="D143" t="s">
        <v>251</v>
      </c>
    </row>
    <row r="145" spans="2:3" x14ac:dyDescent="0.2">
      <c r="B145" t="s">
        <v>206</v>
      </c>
    </row>
    <row r="146" spans="2:3" x14ac:dyDescent="0.2">
      <c r="B146" t="s">
        <v>197</v>
      </c>
      <c r="C146">
        <f ca="1">UsrBodeVin*BodeGFb*SQRT((BodeFsw*BodeR)/(2*UsedLm))*POWER(BodeSe+BodeSn,-1)</f>
        <v>22.224473826228223</v>
      </c>
    </row>
    <row r="147" spans="2:3" x14ac:dyDescent="0.2">
      <c r="B147" t="s">
        <v>199</v>
      </c>
      <c r="C147">
        <f ca="1">1/(BodeESR*CalcCoutTrans)</f>
        <v>38221.978526247025</v>
      </c>
    </row>
    <row r="148" spans="2:3" x14ac:dyDescent="0.2">
      <c r="B148" t="s">
        <v>200</v>
      </c>
      <c r="C148">
        <f ca="1">(POWER(BodeN,2)*BodeR)/(BodeM*(1+BodeM)*UsedLm)</f>
        <v>512657.75972970261</v>
      </c>
    </row>
    <row r="149" spans="2:3" x14ac:dyDescent="0.2">
      <c r="B149" t="s">
        <v>198</v>
      </c>
      <c r="C149">
        <f ca="1">2/(BodeR*CalcCoutTrans)</f>
        <v>382.21978526247028</v>
      </c>
    </row>
    <row r="150" spans="2:3" x14ac:dyDescent="0.2">
      <c r="B150" t="s">
        <v>207</v>
      </c>
      <c r="C150">
        <f>2*BodeFsw*POWER((1/BodeD)/(1+1/BodeM),2)</f>
        <v>80198.943993034161</v>
      </c>
    </row>
    <row r="152" spans="2:3" x14ac:dyDescent="0.2">
      <c r="B152" t="s">
        <v>221</v>
      </c>
    </row>
    <row r="153" spans="2:3" x14ac:dyDescent="0.2">
      <c r="B153" t="s">
        <v>42</v>
      </c>
      <c r="C153">
        <f>BodeCTR*(BodeRFb/BodeRc3)*(1/(BodeCa*BodeRa))</f>
        <v>2467.1052631578946</v>
      </c>
    </row>
    <row r="154" spans="2:3" x14ac:dyDescent="0.2">
      <c r="B154" t="s">
        <v>234</v>
      </c>
      <c r="C154">
        <f>1/(BodeCa*BodeRa)</f>
        <v>13157.894736842105</v>
      </c>
    </row>
    <row r="155" spans="2:3" x14ac:dyDescent="0.2">
      <c r="B155" t="s">
        <v>235</v>
      </c>
      <c r="C155">
        <f>1/(BodeCb*BodeRFb)</f>
        <v>99999.999999999985</v>
      </c>
    </row>
  </sheetData>
  <sheetProtection algorithmName="SHA-512" hashValue="4JSzenU4CqFVD1YVxZtfzD5ckEA+3t2ydFHjeiD0tdV8j5R6s2CfB8mW0BSqFdKL4mFtM6qsoXekv4a1Y2I++w==" saltValue="C98d+auRqP11fiT6qmbMqg==" spinCount="100000" sheet="1" objects="1" scenarios="1"/>
  <mergeCells count="9">
    <mergeCell ref="B2:F2"/>
    <mergeCell ref="B119:F119"/>
    <mergeCell ref="B104:F104"/>
    <mergeCell ref="B88:F88"/>
    <mergeCell ref="B5:F5"/>
    <mergeCell ref="B13:F13"/>
    <mergeCell ref="B49:F49"/>
    <mergeCell ref="B71:F71"/>
    <mergeCell ref="B75:F7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6A0C-A747-4C75-8C35-5D13D28343AE}">
  <sheetPr codeName="Sheet5"/>
  <dimension ref="A1:AF381"/>
  <sheetViews>
    <sheetView topLeftCell="H1" workbookViewId="0">
      <selection activeCell="AD6" sqref="AD6"/>
    </sheetView>
  </sheetViews>
  <sheetFormatPr baseColWidth="10" defaultColWidth="8.83203125" defaultRowHeight="15" x14ac:dyDescent="0.2"/>
  <cols>
    <col min="3" max="3" width="22.5" bestFit="1" customWidth="1"/>
    <col min="4" max="4" width="16.6640625" bestFit="1" customWidth="1"/>
    <col min="7" max="7" width="16.5" bestFit="1" customWidth="1"/>
    <col min="8" max="8" width="20.83203125" bestFit="1" customWidth="1"/>
    <col min="27" max="28" width="10.6640625" bestFit="1" customWidth="1"/>
    <col min="30" max="30" width="19.33203125" bestFit="1" customWidth="1"/>
    <col min="31" max="31" width="18" bestFit="1" customWidth="1"/>
  </cols>
  <sheetData>
    <row r="1" spans="1:32" x14ac:dyDescent="0.2">
      <c r="A1" t="s">
        <v>201</v>
      </c>
      <c r="B1" t="s">
        <v>204</v>
      </c>
      <c r="C1" t="s">
        <v>209</v>
      </c>
      <c r="D1" t="s">
        <v>210</v>
      </c>
      <c r="E1" t="s">
        <v>211</v>
      </c>
      <c r="F1" t="s">
        <v>212</v>
      </c>
      <c r="G1" t="s">
        <v>202</v>
      </c>
      <c r="H1" t="s">
        <v>205</v>
      </c>
      <c r="I1" t="s">
        <v>213</v>
      </c>
      <c r="K1" t="s">
        <v>215</v>
      </c>
      <c r="L1" t="s">
        <v>216</v>
      </c>
      <c r="M1" t="s">
        <v>214</v>
      </c>
      <c r="N1" t="s">
        <v>217</v>
      </c>
      <c r="O1" t="s">
        <v>218</v>
      </c>
      <c r="P1" t="s">
        <v>202</v>
      </c>
      <c r="Q1" t="s">
        <v>219</v>
      </c>
      <c r="R1" t="s">
        <v>220</v>
      </c>
      <c r="T1" t="s">
        <v>236</v>
      </c>
      <c r="U1" t="s">
        <v>237</v>
      </c>
      <c r="V1" t="s">
        <v>42</v>
      </c>
      <c r="W1" t="s">
        <v>202</v>
      </c>
      <c r="X1" t="s">
        <v>239</v>
      </c>
      <c r="Y1" t="s">
        <v>203</v>
      </c>
      <c r="Z1" t="s">
        <v>244</v>
      </c>
      <c r="AA1" t="s">
        <v>238</v>
      </c>
      <c r="AB1" t="s">
        <v>240</v>
      </c>
      <c r="AD1" t="s">
        <v>241</v>
      </c>
      <c r="AE1" t="s">
        <v>242</v>
      </c>
    </row>
    <row r="2" spans="1:32" x14ac:dyDescent="0.2">
      <c r="A2">
        <v>1</v>
      </c>
      <c r="B2" t="str">
        <f>COMPLEX(0,A2)</f>
        <v>i</v>
      </c>
      <c r="C2" t="str">
        <f t="shared" ref="C2:C65" ca="1" si="0">IMSUM(1,IMDIV(B2,CcmWz1))</f>
        <v>1+0.0000261629575065901i</v>
      </c>
      <c r="D2" t="str">
        <f t="shared" ref="D2:D65" ca="1" si="1">IMSUM(1,IMDIV(B2,CcmWz2))</f>
        <v>1+0.000003474267700337i</v>
      </c>
      <c r="E2" t="str">
        <f t="shared" ref="E2:E65" ca="1" si="2">IMSUM(1,IMDIV(B2,CcmWp1))</f>
        <v>1+0.002603186799045i</v>
      </c>
      <c r="F2">
        <f t="shared" ref="F2:F65" ca="1" si="3">CcmGo</f>
        <v>39.000923110829653</v>
      </c>
      <c r="G2" t="str">
        <f ca="1">IMDIV(IMPRODUCT(F2,C2,D2),E2)</f>
        <v>39.0006618250901-0.100370128875579i</v>
      </c>
      <c r="H2">
        <f ca="1">20*LOG(IMABS(G2),10)</f>
        <v>31.82146830164044</v>
      </c>
      <c r="I2">
        <f ca="1">IMARGUMENT(G2)*180/PI()</f>
        <v>-0.14745319203762933</v>
      </c>
      <c r="K2" t="str">
        <f t="shared" ref="K2:K65" ca="1" si="4">IMSUM(1,IMDIV(B2,DcmWz1))</f>
        <v>1+0.0000261629575065901i</v>
      </c>
      <c r="L2" t="str">
        <f t="shared" ref="L2:L65" ca="1" si="5">IMSUB(1,IMDIV($B2,DcmWz2))</f>
        <v>1-1.95061906509958E-06i</v>
      </c>
      <c r="M2" t="str">
        <f t="shared" ref="M2:M65" ca="1" si="6">IMSUM(1,IMDIV($B2,DcmWp1))</f>
        <v>1+0.00261629575065901i</v>
      </c>
      <c r="N2" t="str">
        <f t="shared" ref="N2:N65" si="7">IMSUM(1,IMDIV($B2,DcmWp2))</f>
        <v>1+0.0000124689921115028i</v>
      </c>
      <c r="O2">
        <f t="shared" ref="O2:O65" ca="1" si="8">DcmGo</f>
        <v>22.224473826228223</v>
      </c>
      <c r="P2" t="str">
        <f ca="1">IMDIV(IMPRODUCT(O2,K2,L2,),IMPRODUCT(M2,N2,))</f>
        <v>22.2243223878794-0.0578844105315962i</v>
      </c>
      <c r="Q2">
        <f ca="1">20*LOG(IMABS(P2),10)</f>
        <v>26.936600028129874</v>
      </c>
      <c r="R2">
        <f ca="1">IMARGUMENT(P2)*180/PI()</f>
        <v>-0.1492295182622366</v>
      </c>
      <c r="T2" t="str">
        <f t="shared" ref="T2:T65" si="9">IMSUM(1,IMPRODUCT($B2,1/CompWz1))</f>
        <v>1+0.000076i</v>
      </c>
      <c r="U2" t="str">
        <f t="shared" ref="U2:U65" si="10">IMSUM(1,IMPRODUCT($B2,1/CompWp1))</f>
        <v>1+0.00001i</v>
      </c>
      <c r="V2" t="str">
        <f t="shared" ref="V2:V65" si="11">IMDIV(CompA,$B2)</f>
        <v>-2467.10526315789i</v>
      </c>
      <c r="W2" t="str">
        <f>IMDIV(IMPRODUCT(V2,T2),U2)</f>
        <v>0.162828947352138-2467.10526478618i</v>
      </c>
      <c r="X2">
        <f>20*LOG(IMABS(W2),10)</f>
        <v>67.843753620309457</v>
      </c>
      <c r="Y2">
        <f>IMARGUMENT(W2)*180/PI()</f>
        <v>-89.996218478560493</v>
      </c>
      <c r="Z2">
        <f>A2/(2*PI())</f>
        <v>0.15915494309189535</v>
      </c>
      <c r="AA2">
        <f t="shared" ref="AA2:AA65" ca="1" si="12">IF(IsDcmBode, X2+Q2,X2+H2)</f>
        <v>94.780353648439331</v>
      </c>
      <c r="AB2">
        <f t="shared" ref="AB2:AB65" ca="1" si="13">IF(IsDcmBode, Y2+R2,Y2+I2)</f>
        <v>-90.145447996822725</v>
      </c>
      <c r="AD2">
        <f t="array" aca="1" ref="AD2" ca="1">INDEX(AA2:AA381,MATCH(MIN(ABS(AA2:AA381)),ABS(AA2:AA381),0))</f>
        <v>7.6692480037437782E-2</v>
      </c>
    </row>
    <row r="3" spans="1:32" x14ac:dyDescent="0.2">
      <c r="A3">
        <v>10</v>
      </c>
      <c r="B3" t="str">
        <f t="shared" ref="B3:B66" si="14">COMPLEX(0,A3)</f>
        <v>10i</v>
      </c>
      <c r="C3" t="str">
        <f t="shared" ca="1" si="0"/>
        <v>1+0.000261629575065901i</v>
      </c>
      <c r="D3" t="str">
        <f t="shared" ca="1" si="1"/>
        <v>1+0.00003474267700337i</v>
      </c>
      <c r="E3" t="str">
        <f t="shared" ca="1" si="2"/>
        <v>1+0.02603186799045i</v>
      </c>
      <c r="F3">
        <f t="shared" ca="1" si="3"/>
        <v>39.000923110829653</v>
      </c>
      <c r="G3" t="str">
        <f t="shared" ref="G3:G66" ca="1" si="15">IMDIV(IMPRODUCT(F3,C3,D3),E3)</f>
        <v>38.9748120541797-1.00302837093187i</v>
      </c>
      <c r="H3">
        <f t="shared" ref="H3:H66" ca="1" si="16">20*LOG(IMABS(G3),10)</f>
        <v>31.818555996130232</v>
      </c>
      <c r="I3">
        <f t="shared" ref="I3:I66" ca="1" si="17">IMARGUMENT(G3)*180/PI()</f>
        <v>-1.4741985140532814</v>
      </c>
      <c r="K3" t="str">
        <f t="shared" ca="1" si="4"/>
        <v>1+0.000261629575065901i</v>
      </c>
      <c r="L3" t="str">
        <f t="shared" ca="1" si="5"/>
        <v>1-0.0000195061906509958i</v>
      </c>
      <c r="M3" t="str">
        <f t="shared" ca="1" si="6"/>
        <v>1+0.0261629575065901i</v>
      </c>
      <c r="N3" t="str">
        <f t="shared" si="7"/>
        <v>1+0.000124689921115028i</v>
      </c>
      <c r="O3">
        <f t="shared" ca="1" si="8"/>
        <v>22.224473826228223</v>
      </c>
      <c r="P3" t="str">
        <f t="shared" ref="P3:P17" ca="1" si="18">IMDIV(IMPRODUCT(O3,K3,L3,),IMPRODUCT(M3,N3,))</f>
        <v>22.2093402466255-0.578452128245152i</v>
      </c>
      <c r="Q3">
        <f t="shared" ref="Q3:Q66" ca="1" si="19">20*LOG(IMABS(P3),10)</f>
        <v>26.933658254321415</v>
      </c>
      <c r="R3">
        <f t="shared" ref="R3:R17" ca="1" si="20">IMARGUMENT(P3)*180/PI()</f>
        <v>-1.4919567154176316</v>
      </c>
      <c r="T3" t="str">
        <f t="shared" si="9"/>
        <v>1+0.00076i</v>
      </c>
      <c r="U3" t="str">
        <f t="shared" si="10"/>
        <v>1+0.0001i</v>
      </c>
      <c r="V3" t="str">
        <f t="shared" si="11"/>
        <v>-246.710526315789i</v>
      </c>
      <c r="W3" t="str">
        <f t="shared" ref="W3:W66" si="21">IMDIV(IMPRODUCT(V3,T3),U3)</f>
        <v>0.162828945740132-246.710542598684i</v>
      </c>
      <c r="X3">
        <f t="shared" ref="X3:X66" si="22">20*LOG(IMABS(W3),10)</f>
        <v>47.843756060713673</v>
      </c>
      <c r="Y3">
        <f t="shared" ref="Y3:Y66" si="23">IMARGUMENT(W3)*180/PI()</f>
        <v>-89.962184793886095</v>
      </c>
      <c r="Z3">
        <f t="shared" ref="Z3:Z66" si="24">A3/(2*PI())</f>
        <v>1.5915494309189535</v>
      </c>
      <c r="AA3">
        <f t="shared" ca="1" si="12"/>
        <v>74.777414315035088</v>
      </c>
      <c r="AB3">
        <f t="shared" ca="1" si="13"/>
        <v>-91.454141509303724</v>
      </c>
      <c r="AD3">
        <f t="array" aca="1" ref="AD3" ca="1">MATCH(MIN(ABS(AA2:AA381)),ABS(AA2:AA381),0)</f>
        <v>57</v>
      </c>
      <c r="AE3">
        <f t="array" aca="1" ref="AE3" ca="1">MATCH(TRUE,AA2:AA381&lt;=0,0)</f>
        <v>58</v>
      </c>
    </row>
    <row r="4" spans="1:32" x14ac:dyDescent="0.2">
      <c r="A4">
        <v>20</v>
      </c>
      <c r="B4" t="str">
        <f t="shared" si="14"/>
        <v>20i</v>
      </c>
      <c r="C4" t="str">
        <f t="shared" ca="1" si="0"/>
        <v>1+0.000523259150131802i</v>
      </c>
      <c r="D4" t="str">
        <f t="shared" ca="1" si="1"/>
        <v>1+0.00006948535400674i</v>
      </c>
      <c r="E4" t="str">
        <f t="shared" ca="1" si="2"/>
        <v>1+0.0520637359809001i</v>
      </c>
      <c r="F4">
        <f t="shared" ca="1" si="3"/>
        <v>39.000923110829653</v>
      </c>
      <c r="G4" t="str">
        <f t="shared" ca="1" si="15"/>
        <v>38.896690642675-2.00198944932071i</v>
      </c>
      <c r="H4">
        <f t="shared" ca="1" si="16"/>
        <v>31.809742737260617</v>
      </c>
      <c r="I4">
        <f t="shared" ca="1" si="17"/>
        <v>-2.9463796552576844</v>
      </c>
      <c r="K4" t="str">
        <f t="shared" ca="1" si="4"/>
        <v>1+0.000523259150131802i</v>
      </c>
      <c r="L4" t="str">
        <f t="shared" ca="1" si="5"/>
        <v>1-0.0000390123813019917i</v>
      </c>
      <c r="M4" t="str">
        <f t="shared" ca="1" si="6"/>
        <v>1+0.0523259150131802i</v>
      </c>
      <c r="N4" t="str">
        <f t="shared" si="7"/>
        <v>1+0.000249379842230057i</v>
      </c>
      <c r="O4">
        <f t="shared" ca="1" si="8"/>
        <v>22.224473826228223</v>
      </c>
      <c r="P4" t="str">
        <f t="shared" ca="1" si="18"/>
        <v>22.1640634756615-1.15453510834909i</v>
      </c>
      <c r="Q4">
        <f t="shared" ca="1" si="19"/>
        <v>26.924755939008286</v>
      </c>
      <c r="R4">
        <f t="shared" ca="1" si="20"/>
        <v>-2.9818654691005984</v>
      </c>
      <c r="T4" t="str">
        <f t="shared" si="9"/>
        <v>1+0.00152i</v>
      </c>
      <c r="U4" t="str">
        <f t="shared" si="10"/>
        <v>1+0.0002i</v>
      </c>
      <c r="V4" t="str">
        <f t="shared" si="11"/>
        <v>-123.355263157895i</v>
      </c>
      <c r="W4" t="str">
        <f t="shared" si="21"/>
        <v>0.162828940855263-123.355295723683i</v>
      </c>
      <c r="X4">
        <f t="shared" si="22"/>
        <v>41.82316354258964</v>
      </c>
      <c r="Y4">
        <f t="shared" si="23"/>
        <v>-89.924369637960439</v>
      </c>
      <c r="Z4">
        <f t="shared" si="24"/>
        <v>3.183098861837907</v>
      </c>
      <c r="AA4">
        <f t="shared" ca="1" si="12"/>
        <v>68.747919481597933</v>
      </c>
      <c r="AB4">
        <f t="shared" ca="1" si="13"/>
        <v>-92.906235107061036</v>
      </c>
      <c r="AD4">
        <f ca="1">OFFSET(A1,AD3,0)</f>
        <v>4700</v>
      </c>
      <c r="AE4">
        <f ca="1">OFFSET(A1,AE3,0)</f>
        <v>4800</v>
      </c>
    </row>
    <row r="5" spans="1:32" x14ac:dyDescent="0.2">
      <c r="A5">
        <v>30</v>
      </c>
      <c r="B5" t="str">
        <f t="shared" si="14"/>
        <v>30i</v>
      </c>
      <c r="C5" t="str">
        <f t="shared" ca="1" si="0"/>
        <v>1+0.000784888725197703i</v>
      </c>
      <c r="D5" t="str">
        <f t="shared" ca="1" si="1"/>
        <v>1+0.00010422803101011i</v>
      </c>
      <c r="E5" t="str">
        <f t="shared" ca="1" si="2"/>
        <v>1+0.0780956039713501i</v>
      </c>
      <c r="F5">
        <f t="shared" ca="1" si="3"/>
        <v>39.000923110829653</v>
      </c>
      <c r="G5" t="str">
        <f t="shared" ca="1" si="15"/>
        <v>38.7671898727526-2.99287073313921i</v>
      </c>
      <c r="H5">
        <f t="shared" ca="1" si="16"/>
        <v>31.795093608928624</v>
      </c>
      <c r="I5">
        <f t="shared" ca="1" si="17"/>
        <v>-4.4145423784188234</v>
      </c>
      <c r="K5" t="str">
        <f t="shared" ca="1" si="4"/>
        <v>1+0.000784888725197703i</v>
      </c>
      <c r="L5" t="str">
        <f t="shared" ca="1" si="5"/>
        <v>1-0.0000585185719529875i</v>
      </c>
      <c r="M5" t="str">
        <f t="shared" ca="1" si="6"/>
        <v>1+0.0784888725197703i</v>
      </c>
      <c r="N5" t="str">
        <f t="shared" si="7"/>
        <v>1+0.000374069763345085i</v>
      </c>
      <c r="O5">
        <f t="shared" ca="1" si="8"/>
        <v>22.224473826228223</v>
      </c>
      <c r="P5" t="str">
        <f t="shared" ca="1" si="18"/>
        <v>22.0890128867745-1.72591202724075i</v>
      </c>
      <c r="Q5">
        <f t="shared" ca="1" si="19"/>
        <v>26.909959185144388</v>
      </c>
      <c r="R5">
        <f t="shared" ca="1" si="20"/>
        <v>-4.4676950410979925</v>
      </c>
      <c r="T5" t="str">
        <f t="shared" si="9"/>
        <v>1+0.00228i</v>
      </c>
      <c r="U5" t="str">
        <f t="shared" si="10"/>
        <v>1+0.0003i</v>
      </c>
      <c r="V5" t="str">
        <f t="shared" si="11"/>
        <v>-82.2368421052632i</v>
      </c>
      <c r="W5" t="str">
        <f t="shared" si="21"/>
        <v>0.162828932713817-82.236890953943i</v>
      </c>
      <c r="X5">
        <f t="shared" si="22"/>
        <v>38.301350686706328</v>
      </c>
      <c r="Y5">
        <f t="shared" si="23"/>
        <v>-89.88655458241098</v>
      </c>
      <c r="Z5">
        <f t="shared" si="24"/>
        <v>4.7746482927568605</v>
      </c>
      <c r="AA5">
        <f t="shared" ca="1" si="12"/>
        <v>65.211309871850716</v>
      </c>
      <c r="AB5">
        <f t="shared" ca="1" si="13"/>
        <v>-94.354249623508977</v>
      </c>
      <c r="AD5">
        <f ca="1">AE4/(2*PI())</f>
        <v>763.9437268410976</v>
      </c>
      <c r="AE5" t="s">
        <v>35</v>
      </c>
      <c r="AF5" t="str">
        <f ca="1">_xlfn.CONCAT("Crossover Frequency: ", ROUND(CrossoverFreq,2), " Hz")</f>
        <v>Crossover Frequency: 763.94 Hz</v>
      </c>
    </row>
    <row r="6" spans="1:32" x14ac:dyDescent="0.2">
      <c r="A6">
        <v>40</v>
      </c>
      <c r="B6" t="str">
        <f t="shared" si="14"/>
        <v>40i</v>
      </c>
      <c r="C6" t="str">
        <f t="shared" ca="1" si="0"/>
        <v>1+0.0010465183002636i</v>
      </c>
      <c r="D6" t="str">
        <f t="shared" ca="1" si="1"/>
        <v>1+0.00013897070801348i</v>
      </c>
      <c r="E6" t="str">
        <f t="shared" ca="1" si="2"/>
        <v>1+0.1041274719618i</v>
      </c>
      <c r="F6">
        <f t="shared" ca="1" si="3"/>
        <v>39.000923110829653</v>
      </c>
      <c r="G6" t="str">
        <f t="shared" ca="1" si="15"/>
        <v>38.5873473027834-3.97176775869027i</v>
      </c>
      <c r="H6">
        <f t="shared" ca="1" si="16"/>
        <v>31.774667506737671</v>
      </c>
      <c r="I6">
        <f t="shared" ca="1" si="17"/>
        <v>-5.8767179646858043</v>
      </c>
      <c r="K6" t="str">
        <f t="shared" ca="1" si="4"/>
        <v>1+0.0010465183002636i</v>
      </c>
      <c r="L6" t="str">
        <f t="shared" ca="1" si="5"/>
        <v>1-0.0000780247626039834i</v>
      </c>
      <c r="M6" t="str">
        <f t="shared" ca="1" si="6"/>
        <v>1+0.10465183002636i</v>
      </c>
      <c r="N6" t="str">
        <f t="shared" si="7"/>
        <v>1+0.000498759684460113i</v>
      </c>
      <c r="O6">
        <f t="shared" ca="1" si="8"/>
        <v>22.224473826228223</v>
      </c>
      <c r="P6" t="str">
        <f t="shared" ca="1" si="18"/>
        <v>21.984795764647-2.29030952530243i</v>
      </c>
      <c r="Q6">
        <f t="shared" ca="1" si="19"/>
        <v>26.889328074126084</v>
      </c>
      <c r="R6">
        <f t="shared" ca="1" si="20"/>
        <v>-5.9474473543420094</v>
      </c>
      <c r="T6" t="str">
        <f t="shared" si="9"/>
        <v>1+0.00304i</v>
      </c>
      <c r="U6" t="str">
        <f t="shared" si="10"/>
        <v>1+0.0004i</v>
      </c>
      <c r="V6" t="str">
        <f t="shared" si="11"/>
        <v>-61.6776315789474i</v>
      </c>
      <c r="W6" t="str">
        <f t="shared" si="21"/>
        <v>0.162828921315794-61.6776967105159i</v>
      </c>
      <c r="X6">
        <f t="shared" si="22"/>
        <v>35.802593209801941</v>
      </c>
      <c r="Y6">
        <f t="shared" si="23"/>
        <v>-89.848739677424916</v>
      </c>
      <c r="Z6">
        <f t="shared" si="24"/>
        <v>6.366197723675814</v>
      </c>
      <c r="AA6">
        <f t="shared" ca="1" si="12"/>
        <v>62.691921283928025</v>
      </c>
      <c r="AB6">
        <f t="shared" ca="1" si="13"/>
        <v>-95.79618703176692</v>
      </c>
      <c r="AD6">
        <f ca="1">IF(OFFSET(AB2,AE3,0) &lt;= 0, 180+OFFSET(AB2,AE3,0), 180-OFFSET(AB2,AE3,0))</f>
        <v>25.34180396972971</v>
      </c>
      <c r="AE6" t="s">
        <v>243</v>
      </c>
      <c r="AF6" t="str">
        <f ca="1">_xlfn.CONCAT("Phase Margin: ", ROUND(PhaseMargin,2), " deg")</f>
        <v>Phase Margin: 25.34 deg</v>
      </c>
    </row>
    <row r="7" spans="1:32" x14ac:dyDescent="0.2">
      <c r="A7">
        <v>50</v>
      </c>
      <c r="B7" t="str">
        <f t="shared" si="14"/>
        <v>50i</v>
      </c>
      <c r="C7" t="str">
        <f t="shared" ca="1" si="0"/>
        <v>1+0.0013081478753295i</v>
      </c>
      <c r="D7" t="str">
        <f t="shared" ca="1" si="1"/>
        <v>1+0.00017371338501685i</v>
      </c>
      <c r="E7" t="str">
        <f t="shared" ca="1" si="2"/>
        <v>1+0.13015933995225i</v>
      </c>
      <c r="F7">
        <f t="shared" ca="1" si="3"/>
        <v>39.000923110829653</v>
      </c>
      <c r="G7" t="str">
        <f t="shared" ca="1" si="15"/>
        <v>38.3585864521347-4.93493433703548i</v>
      </c>
      <c r="H7">
        <f t="shared" ca="1" si="16"/>
        <v>31.748545782519276</v>
      </c>
      <c r="I7">
        <f t="shared" ca="1" si="17"/>
        <v>-7.3309853746120694</v>
      </c>
      <c r="K7" t="str">
        <f t="shared" ca="1" si="4"/>
        <v>1+0.0013081478753295i</v>
      </c>
      <c r="L7" t="str">
        <f t="shared" ca="1" si="5"/>
        <v>1-0.0000975309532549792i</v>
      </c>
      <c r="M7" t="str">
        <f t="shared" ca="1" si="6"/>
        <v>1+0.13081478753295i</v>
      </c>
      <c r="N7" t="str">
        <f t="shared" si="7"/>
        <v>1+0.000623449605575141i</v>
      </c>
      <c r="O7">
        <f t="shared" ca="1" si="8"/>
        <v>22.224473826228223</v>
      </c>
      <c r="P7" t="str">
        <f t="shared" ca="1" si="18"/>
        <v>21.8522451285884-2.84554732579706i</v>
      </c>
      <c r="Q7">
        <f t="shared" ca="1" si="19"/>
        <v>26.862945584515213</v>
      </c>
      <c r="R7">
        <f t="shared" ca="1" si="20"/>
        <v>-7.4191732072469527</v>
      </c>
      <c r="T7" t="str">
        <f t="shared" si="9"/>
        <v>1+0.0038i</v>
      </c>
      <c r="U7" t="str">
        <f t="shared" si="10"/>
        <v>1+0.0005i</v>
      </c>
      <c r="V7" t="str">
        <f t="shared" si="11"/>
        <v>-49.3421052631579i</v>
      </c>
      <c r="W7" t="str">
        <f t="shared" si="21"/>
        <v>0.162828906661194-49.3421866776112i</v>
      </c>
      <c r="X7">
        <f t="shared" si="22"/>
        <v>33.864415134872885</v>
      </c>
      <c r="Y7">
        <f t="shared" si="23"/>
        <v>-89.810924973188435</v>
      </c>
      <c r="Z7">
        <f t="shared" si="24"/>
        <v>7.9577471545947667</v>
      </c>
      <c r="AA7">
        <f t="shared" ca="1" si="12"/>
        <v>60.727360719388102</v>
      </c>
      <c r="AB7">
        <f t="shared" ca="1" si="13"/>
        <v>-97.230098180435391</v>
      </c>
    </row>
    <row r="8" spans="1:32" x14ac:dyDescent="0.2">
      <c r="A8">
        <v>60</v>
      </c>
      <c r="B8" t="str">
        <f t="shared" si="14"/>
        <v>60i</v>
      </c>
      <c r="C8" t="str">
        <f t="shared" ca="1" si="0"/>
        <v>1+0.00156977745039541i</v>
      </c>
      <c r="D8" t="str">
        <f t="shared" ca="1" si="1"/>
        <v>1+0.00020845606202022i</v>
      </c>
      <c r="E8" t="str">
        <f t="shared" ca="1" si="2"/>
        <v>1+0.1561912079427i</v>
      </c>
      <c r="F8">
        <f t="shared" ca="1" si="3"/>
        <v>39.000923110829653</v>
      </c>
      <c r="G8" t="str">
        <f t="shared" ca="1" si="15"/>
        <v>38.0826890312102-5.87882845300011i</v>
      </c>
      <c r="H8">
        <f t="shared" ca="1" si="16"/>
        <v>31.71683117917577</v>
      </c>
      <c r="I8">
        <f t="shared" ca="1" si="17"/>
        <v>-8.7754856627982338</v>
      </c>
      <c r="K8" t="str">
        <f t="shared" ca="1" si="4"/>
        <v>1+0.00156977745039541i</v>
      </c>
      <c r="L8" t="str">
        <f t="shared" ca="1" si="5"/>
        <v>1-0.000117037143905975i</v>
      </c>
      <c r="M8" t="str">
        <f t="shared" ca="1" si="6"/>
        <v>1+0.156977745039541i</v>
      </c>
      <c r="N8" t="str">
        <f t="shared" si="7"/>
        <v>1+0.00074813952669017i</v>
      </c>
      <c r="O8">
        <f t="shared" ca="1" si="8"/>
        <v>22.224473826228223</v>
      </c>
      <c r="P8" t="str">
        <f t="shared" ca="1" si="18"/>
        <v>21.6924033247749-3.38956518864231i</v>
      </c>
      <c r="Q8">
        <f t="shared" ca="1" si="19"/>
        <v>26.83091649499389</v>
      </c>
      <c r="R8">
        <f t="shared" ca="1" si="20"/>
        <v>-8.8809870349527671</v>
      </c>
      <c r="T8" t="str">
        <f t="shared" si="9"/>
        <v>1+0.00456i</v>
      </c>
      <c r="U8" t="str">
        <f t="shared" si="10"/>
        <v>1+0.0006i</v>
      </c>
      <c r="V8" t="str">
        <f t="shared" si="11"/>
        <v>-41.1184210526316i</v>
      </c>
      <c r="W8" t="str">
        <f t="shared" si="21"/>
        <v>0.162828888750021-41.1185187499648i</v>
      </c>
      <c r="X8">
        <f t="shared" si="22"/>
        <v>32.280817329044702</v>
      </c>
      <c r="Y8">
        <f t="shared" si="23"/>
        <v>-89.773110519886302</v>
      </c>
      <c r="Z8">
        <f t="shared" si="24"/>
        <v>9.5492965855137211</v>
      </c>
      <c r="AA8">
        <f t="shared" ca="1" si="12"/>
        <v>59.111733824038595</v>
      </c>
      <c r="AB8">
        <f t="shared" ca="1" si="13"/>
        <v>-98.654097554839069</v>
      </c>
    </row>
    <row r="9" spans="1:32" x14ac:dyDescent="0.2">
      <c r="A9">
        <v>70</v>
      </c>
      <c r="B9" t="str">
        <f t="shared" si="14"/>
        <v>70i</v>
      </c>
      <c r="C9" t="str">
        <f t="shared" ca="1" si="0"/>
        <v>1+0.00183140702546131i</v>
      </c>
      <c r="D9" t="str">
        <f t="shared" ca="1" si="1"/>
        <v>1+0.00024319873902359i</v>
      </c>
      <c r="E9" t="str">
        <f t="shared" ca="1" si="2"/>
        <v>1+0.18222307593315i</v>
      </c>
      <c r="F9">
        <f t="shared" ca="1" si="3"/>
        <v>39.000923110829653</v>
      </c>
      <c r="G9" t="str">
        <f t="shared" ca="1" si="15"/>
        <v>37.7617609978468-6.80015270177414i</v>
      </c>
      <c r="H9">
        <f t="shared" ca="1" si="16"/>
        <v>31.679646511883874</v>
      </c>
      <c r="I9">
        <f t="shared" ca="1" si="17"/>
        <v>-10.208435195362258</v>
      </c>
      <c r="K9" t="str">
        <f t="shared" ca="1" si="4"/>
        <v>1+0.00183140702546131i</v>
      </c>
      <c r="L9" t="str">
        <f t="shared" ca="1" si="5"/>
        <v>1-0.000136543334556971i</v>
      </c>
      <c r="M9" t="str">
        <f t="shared" ca="1" si="6"/>
        <v>1+0.183140702546131i</v>
      </c>
      <c r="N9" t="str">
        <f t="shared" si="7"/>
        <v>1+0.000872829447805198i</v>
      </c>
      <c r="O9">
        <f t="shared" ca="1" si="8"/>
        <v>22.224473826228223</v>
      </c>
      <c r="P9" t="str">
        <f t="shared" ca="1" si="18"/>
        <v>21.5065019810555-3.92044662236916i</v>
      </c>
      <c r="Q9">
        <f t="shared" ca="1" si="19"/>
        <v>26.793366026600843</v>
      </c>
      <c r="R9">
        <f t="shared" ca="1" si="20"/>
        <v>-10.331080431927496</v>
      </c>
      <c r="T9" t="str">
        <f t="shared" si="9"/>
        <v>1+0.00532i</v>
      </c>
      <c r="U9" t="str">
        <f t="shared" si="10"/>
        <v>1+0.0007i</v>
      </c>
      <c r="V9" t="str">
        <f t="shared" si="11"/>
        <v>-35.2443609022556i</v>
      </c>
      <c r="W9" t="str">
        <f t="shared" si="21"/>
        <v>0.162828867582276-35.2444748824629i</v>
      </c>
      <c r="X9">
        <f t="shared" si="22"/>
        <v>30.941913581353408</v>
      </c>
      <c r="Y9">
        <f t="shared" si="23"/>
        <v>-89.735296367701565</v>
      </c>
      <c r="Z9">
        <f t="shared" si="24"/>
        <v>11.140846016432674</v>
      </c>
      <c r="AA9">
        <f t="shared" ca="1" si="12"/>
        <v>57.735279607954254</v>
      </c>
      <c r="AB9">
        <f t="shared" ca="1" si="13"/>
        <v>-100.06637679962907</v>
      </c>
    </row>
    <row r="10" spans="1:32" x14ac:dyDescent="0.2">
      <c r="A10">
        <v>80</v>
      </c>
      <c r="B10" t="str">
        <f t="shared" si="14"/>
        <v>80i</v>
      </c>
      <c r="C10" t="str">
        <f t="shared" ca="1" si="0"/>
        <v>1+0.00209303660052721i</v>
      </c>
      <c r="D10" t="str">
        <f t="shared" ca="1" si="1"/>
        <v>1+0.00027794141602696i</v>
      </c>
      <c r="E10" t="str">
        <f t="shared" ca="1" si="2"/>
        <v>1+0.2082549439236i</v>
      </c>
      <c r="F10">
        <f t="shared" ca="1" si="3"/>
        <v>39.000923110829653</v>
      </c>
      <c r="G10" t="str">
        <f t="shared" ca="1" si="15"/>
        <v>37.39819361861-7.69588838356646i</v>
      </c>
      <c r="H10">
        <f t="shared" ca="1" si="16"/>
        <v>31.637133130398762</v>
      </c>
      <c r="I10">
        <f t="shared" ca="1" si="17"/>
        <v>-11.628137453726746</v>
      </c>
      <c r="K10" t="str">
        <f t="shared" ca="1" si="4"/>
        <v>1+0.00209303660052721i</v>
      </c>
      <c r="L10" t="str">
        <f t="shared" ca="1" si="5"/>
        <v>1-0.000156049525207967i</v>
      </c>
      <c r="M10" t="str">
        <f t="shared" ca="1" si="6"/>
        <v>1+0.209303660052721i</v>
      </c>
      <c r="N10" t="str">
        <f t="shared" si="7"/>
        <v>1+0.000997519368920226i</v>
      </c>
      <c r="O10">
        <f t="shared" ca="1" si="8"/>
        <v>22.224473826228223</v>
      </c>
      <c r="P10" t="str">
        <f t="shared" ca="1" si="18"/>
        <v>21.2959390266925-4.43643883511145i</v>
      </c>
      <c r="Q10">
        <f t="shared" ca="1" si="19"/>
        <v>26.750438260348432</v>
      </c>
      <c r="R10">
        <f t="shared" ca="1" si="20"/>
        <v>-11.767734212760416</v>
      </c>
      <c r="T10" t="str">
        <f t="shared" si="9"/>
        <v>1+0.00608i</v>
      </c>
      <c r="U10" t="str">
        <f t="shared" si="10"/>
        <v>1+0.0008i</v>
      </c>
      <c r="V10" t="str">
        <f t="shared" si="11"/>
        <v>-30.8388157894737i</v>
      </c>
      <c r="W10" t="str">
        <f t="shared" si="21"/>
        <v>0.162828843157961-30.8389460525482i</v>
      </c>
      <c r="X10">
        <f t="shared" si="22"/>
        <v>29.782111616404336</v>
      </c>
      <c r="Y10">
        <f t="shared" si="23"/>
        <v>-89.697482566815168</v>
      </c>
      <c r="Z10">
        <f t="shared" si="24"/>
        <v>12.732395447351628</v>
      </c>
      <c r="AA10">
        <f t="shared" ca="1" si="12"/>
        <v>56.532549876752768</v>
      </c>
      <c r="AB10">
        <f t="shared" ca="1" si="13"/>
        <v>-101.46521677957558</v>
      </c>
    </row>
    <row r="11" spans="1:32" x14ac:dyDescent="0.2">
      <c r="A11">
        <v>90</v>
      </c>
      <c r="B11" t="str">
        <f t="shared" si="14"/>
        <v>90i</v>
      </c>
      <c r="C11" t="str">
        <f t="shared" ca="1" si="0"/>
        <v>1+0.00235466617559311i</v>
      </c>
      <c r="D11" t="str">
        <f t="shared" ca="1" si="1"/>
        <v>1+0.00031268409303033i</v>
      </c>
      <c r="E11" t="str">
        <f t="shared" ca="1" si="2"/>
        <v>1+0.23428681191405i</v>
      </c>
      <c r="F11">
        <f t="shared" ca="1" si="3"/>
        <v>39.000923110829653</v>
      </c>
      <c r="G11" t="str">
        <f t="shared" ca="1" si="15"/>
        <v>36.994620832663-8.56332265011748i</v>
      </c>
      <c r="H11">
        <f t="shared" ca="1" si="16"/>
        <v>31.589449201564783</v>
      </c>
      <c r="I11">
        <f t="shared" ca="1" si="17"/>
        <v>-13.032993256320166</v>
      </c>
      <c r="K11" t="str">
        <f t="shared" ca="1" si="4"/>
        <v>1+0.00235466617559311i</v>
      </c>
      <c r="L11" t="str">
        <f t="shared" ca="1" si="5"/>
        <v>1-0.000175555715858963i</v>
      </c>
      <c r="M11" t="str">
        <f t="shared" ca="1" si="6"/>
        <v>1+0.235466617559311i</v>
      </c>
      <c r="N11" t="str">
        <f t="shared" si="7"/>
        <v>1+0.00112220929003525i</v>
      </c>
      <c r="O11">
        <f t="shared" ca="1" si="8"/>
        <v>22.224473826228223</v>
      </c>
      <c r="P11" t="str">
        <f t="shared" ca="1" si="18"/>
        <v>21.0622535495614-4.93596856899972i</v>
      </c>
      <c r="Q11">
        <f t="shared" ca="1" si="19"/>
        <v>26.702294370821949</v>
      </c>
      <c r="R11">
        <f t="shared" ca="1" si="20"/>
        <v>-13.189328838166022</v>
      </c>
      <c r="T11" t="str">
        <f t="shared" si="9"/>
        <v>1+0.00684i</v>
      </c>
      <c r="U11" t="str">
        <f t="shared" si="10"/>
        <v>1+0.0009i</v>
      </c>
      <c r="V11" t="str">
        <f t="shared" si="11"/>
        <v>-27.4122807017544i</v>
      </c>
      <c r="W11" t="str">
        <f t="shared" si="21"/>
        <v>0.162828815477081-27.4124272476883i</v>
      </c>
      <c r="X11">
        <f t="shared" si="22"/>
        <v>28.759103071614696</v>
      </c>
      <c r="Y11">
        <f t="shared" si="23"/>
        <v>-89.659669167405596</v>
      </c>
      <c r="Z11">
        <f t="shared" si="24"/>
        <v>14.323944878270581</v>
      </c>
      <c r="AA11">
        <f t="shared" ca="1" si="12"/>
        <v>55.461397442436649</v>
      </c>
      <c r="AB11">
        <f t="shared" ca="1" si="13"/>
        <v>-102.84899800557162</v>
      </c>
    </row>
    <row r="12" spans="1:32" x14ac:dyDescent="0.2">
      <c r="A12">
        <v>100</v>
      </c>
      <c r="B12" t="str">
        <f t="shared" si="14"/>
        <v>100i</v>
      </c>
      <c r="C12" t="str">
        <f t="shared" ca="1" si="0"/>
        <v>1+0.00261629575065901i</v>
      </c>
      <c r="D12" t="str">
        <f t="shared" ca="1" si="1"/>
        <v>1+0.0003474267700337i</v>
      </c>
      <c r="E12" t="str">
        <f t="shared" ca="1" si="2"/>
        <v>1+0.2603186799045i</v>
      </c>
      <c r="F12">
        <f t="shared" ca="1" si="3"/>
        <v>39.000923110829653</v>
      </c>
      <c r="G12" t="str">
        <f t="shared" ca="1" si="15"/>
        <v>36.5538742682261-9.40006838074831i</v>
      </c>
      <c r="H12">
        <f t="shared" ca="1" si="16"/>
        <v>31.536767853861924</v>
      </c>
      <c r="I12">
        <f t="shared" ca="1" si="17"/>
        <v>-14.421509281213943</v>
      </c>
      <c r="K12" t="str">
        <f t="shared" ca="1" si="4"/>
        <v>1+0.00261629575065901i</v>
      </c>
      <c r="L12" t="str">
        <f t="shared" ca="1" si="5"/>
        <v>1-0.000195061906509958i</v>
      </c>
      <c r="M12" t="str">
        <f t="shared" ca="1" si="6"/>
        <v>1+0.261629575065901i</v>
      </c>
      <c r="N12" t="str">
        <f t="shared" si="7"/>
        <v>1+0.00124689921115028i</v>
      </c>
      <c r="O12">
        <f t="shared" ca="1" si="8"/>
        <v>22.224473826228223</v>
      </c>
      <c r="P12" t="str">
        <f t="shared" ca="1" si="18"/>
        <v>20.8070992934075-5.41765363189375i</v>
      </c>
      <c r="Q12">
        <f t="shared" ca="1" si="19"/>
        <v>26.649110719145838</v>
      </c>
      <c r="R12">
        <f t="shared" ca="1" si="20"/>
        <v>-14.594353086808546</v>
      </c>
      <c r="T12" t="str">
        <f t="shared" si="9"/>
        <v>1+0.0076i</v>
      </c>
      <c r="U12" t="str">
        <f t="shared" si="10"/>
        <v>1+0.001i</v>
      </c>
      <c r="V12" t="str">
        <f t="shared" si="11"/>
        <v>-24.6710526315789i</v>
      </c>
      <c r="W12" t="str">
        <f t="shared" si="21"/>
        <v>0.162828784539637-24.6712154603634i</v>
      </c>
      <c r="X12">
        <f t="shared" si="22"/>
        <v>27.844000093964766</v>
      </c>
      <c r="Y12">
        <f t="shared" si="23"/>
        <v>-89.621856219648564</v>
      </c>
      <c r="Z12">
        <f t="shared" si="24"/>
        <v>15.915494309189533</v>
      </c>
      <c r="AA12">
        <f t="shared" ca="1" si="12"/>
        <v>54.493110813110604</v>
      </c>
      <c r="AB12">
        <f t="shared" ca="1" si="13"/>
        <v>-104.2162093064571</v>
      </c>
    </row>
    <row r="13" spans="1:32" x14ac:dyDescent="0.2">
      <c r="A13">
        <v>200</v>
      </c>
      <c r="B13" t="str">
        <f t="shared" si="14"/>
        <v>200i</v>
      </c>
      <c r="C13" t="str">
        <f t="shared" ca="1" si="0"/>
        <v>1+0.00523259150131802i</v>
      </c>
      <c r="D13" t="str">
        <f t="shared" ca="1" si="1"/>
        <v>1+0.0006948535400674i</v>
      </c>
      <c r="E13" t="str">
        <f t="shared" ca="1" si="2"/>
        <v>1+0.520637359809001i</v>
      </c>
      <c r="F13">
        <f t="shared" ca="1" si="3"/>
        <v>39.000923110829653</v>
      </c>
      <c r="G13" t="str">
        <f t="shared" ca="1" si="15"/>
        <v>30.7782793341597-15.7931462636981i</v>
      </c>
      <c r="H13">
        <f t="shared" ca="1" si="16"/>
        <v>30.779947076011226</v>
      </c>
      <c r="I13">
        <f t="shared" ca="1" si="17"/>
        <v>-27.163554583453674</v>
      </c>
      <c r="K13" t="str">
        <f t="shared" ca="1" si="4"/>
        <v>1+0.00523259150131802i</v>
      </c>
      <c r="L13" t="str">
        <f t="shared" ca="1" si="5"/>
        <v>1-0.000390123813019917i</v>
      </c>
      <c r="M13" t="str">
        <f t="shared" ca="1" si="6"/>
        <v>1+0.523259150131802i</v>
      </c>
      <c r="N13" t="str">
        <f t="shared" si="7"/>
        <v>1+0.00249379842230057i</v>
      </c>
      <c r="O13">
        <f t="shared" ca="1" si="8"/>
        <v>22.224473826228223</v>
      </c>
      <c r="P13" t="str">
        <f t="shared" ca="1" si="18"/>
        <v>17.4689588398388-9.08859505534968i</v>
      </c>
      <c r="Q13">
        <f t="shared" ca="1" si="19"/>
        <v>25.885709396936797</v>
      </c>
      <c r="R13">
        <f t="shared" ca="1" si="20"/>
        <v>-27.486658647668328</v>
      </c>
      <c r="T13" t="str">
        <f t="shared" si="9"/>
        <v>1+0.0152i</v>
      </c>
      <c r="U13" t="str">
        <f t="shared" si="10"/>
        <v>1+0.002i</v>
      </c>
      <c r="V13" t="str">
        <f t="shared" si="11"/>
        <v>-12.3355263157895i</v>
      </c>
      <c r="W13" t="str">
        <f t="shared" si="21"/>
        <v>0.162828296055237-12.3358519723816i</v>
      </c>
      <c r="X13">
        <f t="shared" si="22"/>
        <v>21.824139588711549</v>
      </c>
      <c r="Y13">
        <f t="shared" si="23"/>
        <v>-89.243762618935165</v>
      </c>
      <c r="Z13">
        <f t="shared" si="24"/>
        <v>31.830988618379067</v>
      </c>
      <c r="AA13">
        <f t="shared" ca="1" si="12"/>
        <v>47.70984898564835</v>
      </c>
      <c r="AB13">
        <f t="shared" ca="1" si="13"/>
        <v>-116.73042126660349</v>
      </c>
    </row>
    <row r="14" spans="1:32" x14ac:dyDescent="0.2">
      <c r="A14">
        <v>300</v>
      </c>
      <c r="B14" t="str">
        <f t="shared" si="14"/>
        <v>300i</v>
      </c>
      <c r="C14" t="str">
        <f t="shared" ca="1" si="0"/>
        <v>1+0.00784888725197703i</v>
      </c>
      <c r="D14" t="str">
        <f t="shared" ca="1" si="1"/>
        <v>1+0.0010422803101011i</v>
      </c>
      <c r="E14" t="str">
        <f t="shared" ca="1" si="2"/>
        <v>1+0.780956039713501i</v>
      </c>
      <c r="F14">
        <f t="shared" ca="1" si="3"/>
        <v>39.000923110829653</v>
      </c>
      <c r="G14" t="str">
        <f t="shared" ca="1" si="15"/>
        <v>24.3938121923391-18.70373122079i</v>
      </c>
      <c r="H14">
        <f t="shared" ca="1" si="16"/>
        <v>29.753801656901508</v>
      </c>
      <c r="I14">
        <f t="shared" ca="1" si="17"/>
        <v>-37.478854820201846</v>
      </c>
      <c r="K14" t="str">
        <f t="shared" ca="1" si="4"/>
        <v>1+0.00784888725197703i</v>
      </c>
      <c r="L14" t="str">
        <f t="shared" ca="1" si="5"/>
        <v>1-0.000585185719529875i</v>
      </c>
      <c r="M14" t="str">
        <f t="shared" ca="1" si="6"/>
        <v>1+0.784888725197703i</v>
      </c>
      <c r="N14" t="str">
        <f t="shared" si="7"/>
        <v>1+0.00374069763345085i</v>
      </c>
      <c r="O14">
        <f t="shared" ca="1" si="8"/>
        <v>22.224473826228223</v>
      </c>
      <c r="P14" t="str">
        <f t="shared" ca="1" si="18"/>
        <v>13.7906114888747-10.7458000406744i</v>
      </c>
      <c r="Q14">
        <f t="shared" ca="1" si="19"/>
        <v>24.852289238568453</v>
      </c>
      <c r="R14">
        <f t="shared" ca="1" si="20"/>
        <v>-37.926123705427685</v>
      </c>
      <c r="T14" t="str">
        <f t="shared" si="9"/>
        <v>1+0.0228i</v>
      </c>
      <c r="U14" t="str">
        <f t="shared" si="10"/>
        <v>1+0.003i</v>
      </c>
      <c r="V14" t="str">
        <f t="shared" si="11"/>
        <v>-8.22368421052632i</v>
      </c>
      <c r="W14" t="str">
        <f t="shared" si="21"/>
        <v>0.162827481921084-8.22417269297208i</v>
      </c>
      <c r="X14">
        <f t="shared" si="22"/>
        <v>18.30354646477134</v>
      </c>
      <c r="Y14">
        <f t="shared" si="23"/>
        <v>-88.865769342653323</v>
      </c>
      <c r="Z14">
        <f t="shared" si="24"/>
        <v>47.7464829275686</v>
      </c>
      <c r="AA14">
        <f t="shared" ca="1" si="12"/>
        <v>43.15583570333979</v>
      </c>
      <c r="AB14">
        <f t="shared" ca="1" si="13"/>
        <v>-126.79189304808101</v>
      </c>
    </row>
    <row r="15" spans="1:32" x14ac:dyDescent="0.2">
      <c r="A15">
        <v>400</v>
      </c>
      <c r="B15" t="str">
        <f t="shared" si="14"/>
        <v>400i</v>
      </c>
      <c r="C15" t="str">
        <f t="shared" ca="1" si="0"/>
        <v>1+0.010465183002636i</v>
      </c>
      <c r="D15" t="str">
        <f t="shared" ca="1" si="1"/>
        <v>1+0.0013897070801348i</v>
      </c>
      <c r="E15" t="str">
        <f t="shared" ca="1" si="2"/>
        <v>1+1.041274719618i</v>
      </c>
      <c r="F15">
        <f t="shared" ca="1" si="3"/>
        <v>39.000923110829653</v>
      </c>
      <c r="G15" t="str">
        <f t="shared" ca="1" si="15"/>
        <v>18.9428971438545-19.2624082556143i</v>
      </c>
      <c r="H15">
        <f t="shared" ca="1" si="16"/>
        <v>28.632477290108362</v>
      </c>
      <c r="I15">
        <f t="shared" ca="1" si="17"/>
        <v>-45.479153647645028</v>
      </c>
      <c r="K15" t="str">
        <f t="shared" ca="1" si="4"/>
        <v>1+0.010465183002636i</v>
      </c>
      <c r="L15" t="str">
        <f t="shared" ca="1" si="5"/>
        <v>1-0.000780247626039834i</v>
      </c>
      <c r="M15" t="str">
        <f t="shared" ca="1" si="6"/>
        <v>1+1.0465183002636i</v>
      </c>
      <c r="N15" t="str">
        <f t="shared" si="7"/>
        <v>1+0.00498759684460113i</v>
      </c>
      <c r="O15">
        <f t="shared" ca="1" si="8"/>
        <v>22.224473826228223</v>
      </c>
      <c r="P15" t="str">
        <f t="shared" ca="1" si="18"/>
        <v>10.6598026939281-11.0512862211268i</v>
      </c>
      <c r="Q15">
        <f t="shared" ca="1" si="19"/>
        <v>23.724743976349536</v>
      </c>
      <c r="R15">
        <f t="shared" ca="1" si="20"/>
        <v>-46.033016973704335</v>
      </c>
      <c r="T15" t="str">
        <f t="shared" si="9"/>
        <v>1+0.0304i</v>
      </c>
      <c r="U15" t="str">
        <f t="shared" si="10"/>
        <v>1+0.004i</v>
      </c>
      <c r="V15" t="str">
        <f t="shared" si="11"/>
        <v>-6.16776315789474i</v>
      </c>
      <c r="W15" t="str">
        <f t="shared" si="21"/>
        <v>0.162826342146947-6.16841446326333i</v>
      </c>
      <c r="X15">
        <f t="shared" si="22"/>
        <v>15.80649600497112</v>
      </c>
      <c r="Y15">
        <f t="shared" si="23"/>
        <v>-88.487926465967945</v>
      </c>
      <c r="Z15">
        <f t="shared" si="24"/>
        <v>63.661977236758133</v>
      </c>
      <c r="AA15">
        <f t="shared" ca="1" si="12"/>
        <v>39.531239981320653</v>
      </c>
      <c r="AB15">
        <f t="shared" ca="1" si="13"/>
        <v>-134.52094343967229</v>
      </c>
    </row>
    <row r="16" spans="1:32" x14ac:dyDescent="0.2">
      <c r="A16">
        <v>500</v>
      </c>
      <c r="B16" t="str">
        <f t="shared" si="14"/>
        <v>500i</v>
      </c>
      <c r="C16" t="str">
        <f t="shared" ca="1" si="0"/>
        <v>1+0.013081478753295i</v>
      </c>
      <c r="D16" t="str">
        <f t="shared" ca="1" si="1"/>
        <v>1+0.0017371338501685i</v>
      </c>
      <c r="E16" t="str">
        <f t="shared" ca="1" si="2"/>
        <v>1+1.3015933995225i</v>
      </c>
      <c r="F16">
        <f t="shared" ca="1" si="3"/>
        <v>39.000923110829653</v>
      </c>
      <c r="G16" t="str">
        <f t="shared" ca="1" si="15"/>
        <v>14.7550609194645-18.6271503315706i</v>
      </c>
      <c r="H16">
        <f t="shared" ca="1" si="16"/>
        <v>27.518043689391149</v>
      </c>
      <c r="I16">
        <f t="shared" ca="1" si="17"/>
        <v>-51.61631942874061</v>
      </c>
      <c r="K16" t="str">
        <f t="shared" ca="1" si="4"/>
        <v>1+0.013081478753295i</v>
      </c>
      <c r="L16" t="str">
        <f t="shared" ca="1" si="5"/>
        <v>1-0.000975309532549792i</v>
      </c>
      <c r="M16" t="str">
        <f t="shared" ca="1" si="6"/>
        <v>1+1.3081478753295i</v>
      </c>
      <c r="N16" t="str">
        <f t="shared" si="7"/>
        <v>1+0.00623449605575141i</v>
      </c>
      <c r="O16">
        <f t="shared" ca="1" si="8"/>
        <v>22.224473826228223</v>
      </c>
      <c r="P16" t="str">
        <f t="shared" ca="1" si="18"/>
        <v>8.26049290106855-10.6754582308623i</v>
      </c>
      <c r="Q16">
        <f t="shared" ca="1" si="19"/>
        <v>22.605511171393893</v>
      </c>
      <c r="R16">
        <f t="shared" ca="1" si="20"/>
        <v>-52.26788882603924</v>
      </c>
      <c r="T16" t="str">
        <f t="shared" si="9"/>
        <v>1+0.038i</v>
      </c>
      <c r="U16" t="str">
        <f t="shared" si="10"/>
        <v>1+0.005i</v>
      </c>
      <c r="V16" t="str">
        <f t="shared" si="11"/>
        <v>-4.93421052631579i</v>
      </c>
      <c r="W16" t="str">
        <f t="shared" si="21"/>
        <v>0.162824876746502-4.93502465069952i</v>
      </c>
      <c r="X16">
        <f t="shared" si="22"/>
        <v>13.870511625532668</v>
      </c>
      <c r="Y16">
        <f t="shared" si="23"/>
        <v>-88.11028395975174</v>
      </c>
      <c r="Z16">
        <f t="shared" si="24"/>
        <v>79.577471545947674</v>
      </c>
      <c r="AA16">
        <f t="shared" ca="1" si="12"/>
        <v>36.476022796926557</v>
      </c>
      <c r="AB16">
        <f t="shared" ca="1" si="13"/>
        <v>-140.37817278579098</v>
      </c>
    </row>
    <row r="17" spans="1:28" x14ac:dyDescent="0.2">
      <c r="A17">
        <v>600</v>
      </c>
      <c r="B17" t="str">
        <f t="shared" si="14"/>
        <v>600i</v>
      </c>
      <c r="C17" t="str">
        <f t="shared" ca="1" si="0"/>
        <v>1+0.0156977745039541i</v>
      </c>
      <c r="D17" t="str">
        <f t="shared" ca="1" si="1"/>
        <v>1+0.0020845606202022i</v>
      </c>
      <c r="E17" t="str">
        <f t="shared" ca="1" si="2"/>
        <v>1+1.561912079427i</v>
      </c>
      <c r="F17">
        <f t="shared" ca="1" si="3"/>
        <v>39.000923110829653</v>
      </c>
      <c r="G17" t="str">
        <f t="shared" ca="1" si="15"/>
        <v>11.6534576960131-17.5081488575862i</v>
      </c>
      <c r="H17">
        <f t="shared" ca="1" si="16"/>
        <v>26.457545962551158</v>
      </c>
      <c r="I17">
        <f t="shared" ca="1" si="17"/>
        <v>-56.35218734643226</v>
      </c>
      <c r="K17" t="str">
        <f t="shared" ca="1" si="4"/>
        <v>1+0.0156977745039541i</v>
      </c>
      <c r="L17" t="str">
        <f t="shared" ca="1" si="5"/>
        <v>1-0.00117037143905975i</v>
      </c>
      <c r="M17" t="str">
        <f t="shared" ca="1" si="6"/>
        <v>1+1.56977745039541i</v>
      </c>
      <c r="N17" t="str">
        <f t="shared" si="7"/>
        <v>1+0.0074813952669017i</v>
      </c>
      <c r="O17">
        <f t="shared" ca="1" si="8"/>
        <v>22.224473826228223</v>
      </c>
      <c r="P17" t="str">
        <f t="shared" ca="1" si="18"/>
        <v>6.48687847440217-10.0263735555316i</v>
      </c>
      <c r="Q17">
        <f t="shared" ca="1" si="19"/>
        <v>21.541431552947934</v>
      </c>
      <c r="R17">
        <f t="shared" ca="1" si="20"/>
        <v>-57.097878921513875</v>
      </c>
      <c r="T17" t="str">
        <f t="shared" si="9"/>
        <v>1+0.0456i</v>
      </c>
      <c r="U17" t="str">
        <f t="shared" si="10"/>
        <v>1+0.006i</v>
      </c>
      <c r="V17" t="str">
        <f t="shared" si="11"/>
        <v>-4.11184210526316i</v>
      </c>
      <c r="W17" t="str">
        <f t="shared" si="21"/>
        <v>0.162823085737335-4.11281904377758i</v>
      </c>
      <c r="X17">
        <f t="shared" si="22"/>
        <v>12.289593414642807</v>
      </c>
      <c r="Y17">
        <f t="shared" si="23"/>
        <v>-87.7328916561016</v>
      </c>
      <c r="Z17">
        <f t="shared" si="24"/>
        <v>95.4929658551372</v>
      </c>
      <c r="AA17">
        <f t="shared" ca="1" si="12"/>
        <v>33.831024967590743</v>
      </c>
      <c r="AB17">
        <f t="shared" ca="1" si="13"/>
        <v>-144.83077057761548</v>
      </c>
    </row>
    <row r="18" spans="1:28" x14ac:dyDescent="0.2">
      <c r="A18">
        <v>700</v>
      </c>
      <c r="B18" t="str">
        <f t="shared" si="14"/>
        <v>700i</v>
      </c>
      <c r="C18" t="str">
        <f t="shared" ca="1" si="0"/>
        <v>1+0.0183140702546131i</v>
      </c>
      <c r="D18" t="str">
        <f t="shared" ca="1" si="1"/>
        <v>1+0.0024319873902359i</v>
      </c>
      <c r="E18" t="str">
        <f t="shared" ca="1" si="2"/>
        <v>1+1.8222307593315i</v>
      </c>
      <c r="F18">
        <f t="shared" ca="1" si="3"/>
        <v>39.000923110829653</v>
      </c>
      <c r="G18" t="str">
        <f t="shared" ca="1" si="15"/>
        <v>9.36774617748713-16.2610798311675i</v>
      </c>
      <c r="H18">
        <f t="shared" ca="1" si="16"/>
        <v>25.467614652834026</v>
      </c>
      <c r="I18">
        <f t="shared" ca="1" si="17"/>
        <v>-60.054448338468852</v>
      </c>
      <c r="K18" t="str">
        <f t="shared" ca="1" si="4"/>
        <v>1+0.0183140702546131i</v>
      </c>
      <c r="L18" t="str">
        <f t="shared" ca="1" si="5"/>
        <v>1-0.00136543334556971i</v>
      </c>
      <c r="M18" t="str">
        <f t="shared" ca="1" si="6"/>
        <v>1+1.83140702546131i</v>
      </c>
      <c r="N18" t="str">
        <f t="shared" si="7"/>
        <v>1+0.00872829447805198i</v>
      </c>
      <c r="O18">
        <f t="shared" ca="1" si="8"/>
        <v>22.224473826228223</v>
      </c>
      <c r="P18" t="str">
        <f t="shared" ref="P18:P81" ca="1" si="25">IMDIV(IMPRODUCT(O18,K18,L18,),IMPRODUCT(M18,N18,))</f>
        <v>5.18165058408105-9.30703726548124i</v>
      </c>
      <c r="Q18">
        <f t="shared" ca="1" si="19"/>
        <v>20.548827597209907</v>
      </c>
      <c r="R18">
        <f t="shared" ref="R18:R81" ca="1" si="26">IMARGUMENT(P18)*180/PI()</f>
        <v>-60.893325829588271</v>
      </c>
      <c r="T18" t="str">
        <f t="shared" si="9"/>
        <v>1+0.0532i</v>
      </c>
      <c r="U18" t="str">
        <f t="shared" si="10"/>
        <v>1+0.007i</v>
      </c>
      <c r="V18" t="str">
        <f t="shared" si="11"/>
        <v>-3.52443609022556i</v>
      </c>
      <c r="W18" t="str">
        <f t="shared" si="21"/>
        <v>0.162820969140933-3.52557583700955i</v>
      </c>
      <c r="X18">
        <f t="shared" si="22"/>
        <v>10.953854211130633</v>
      </c>
      <c r="Y18">
        <f t="shared" si="23"/>
        <v>-87.355799214094787</v>
      </c>
      <c r="Z18">
        <f t="shared" si="24"/>
        <v>111.40846016432674</v>
      </c>
      <c r="AA18">
        <f t="shared" ca="1" si="12"/>
        <v>31.50268180834054</v>
      </c>
      <c r="AB18">
        <f t="shared" ca="1" si="13"/>
        <v>-148.24912504368305</v>
      </c>
    </row>
    <row r="19" spans="1:28" x14ac:dyDescent="0.2">
      <c r="A19">
        <v>800</v>
      </c>
      <c r="B19" t="str">
        <f t="shared" si="14"/>
        <v>800i</v>
      </c>
      <c r="C19" t="str">
        <f t="shared" ca="1" si="0"/>
        <v>1+0.0209303660052721i</v>
      </c>
      <c r="D19" t="str">
        <f t="shared" ca="1" si="1"/>
        <v>1+0.0027794141602696i</v>
      </c>
      <c r="E19" t="str">
        <f t="shared" ca="1" si="2"/>
        <v>1+2.082549439236i</v>
      </c>
      <c r="F19">
        <f t="shared" ca="1" si="3"/>
        <v>39.000923110829653</v>
      </c>
      <c r="G19" t="str">
        <f t="shared" ca="1" si="15"/>
        <v>7.66803472653614-15.044358106579i</v>
      </c>
      <c r="H19">
        <f t="shared" ca="1" si="16"/>
        <v>24.550451491467371</v>
      </c>
      <c r="I19">
        <f t="shared" ca="1" si="17"/>
        <v>-62.992286357946156</v>
      </c>
      <c r="K19" t="str">
        <f t="shared" ca="1" si="4"/>
        <v>1+0.0209303660052721i</v>
      </c>
      <c r="L19" t="str">
        <f t="shared" ca="1" si="5"/>
        <v>1-0.00156049525207967i</v>
      </c>
      <c r="M19" t="str">
        <f t="shared" ca="1" si="6"/>
        <v>1+2.09303660052721i</v>
      </c>
      <c r="N19" t="str">
        <f t="shared" si="7"/>
        <v>1+0.00997519368920226i</v>
      </c>
      <c r="O19">
        <f t="shared" ca="1" si="8"/>
        <v>22.224473826228223</v>
      </c>
      <c r="P19" t="str">
        <f t="shared" ca="1" si="25"/>
        <v>4.21205452935514-8.60722055266404i</v>
      </c>
      <c r="Q19">
        <f t="shared" ca="1" si="19"/>
        <v>19.629640065117385</v>
      </c>
      <c r="R19">
        <f t="shared" ca="1" si="26"/>
        <v>-63.924588405579087</v>
      </c>
      <c r="T19" t="str">
        <f t="shared" si="9"/>
        <v>1+0.0608i</v>
      </c>
      <c r="U19" t="str">
        <f t="shared" si="10"/>
        <v>1+0.008i</v>
      </c>
      <c r="V19" t="str">
        <f t="shared" si="11"/>
        <v>-3.08388157894737i</v>
      </c>
      <c r="W19" t="str">
        <f t="shared" si="21"/>
        <v>0.162818526982694-3.08518412716323i</v>
      </c>
      <c r="X19">
        <f t="shared" si="22"/>
        <v>9.7977006192171157</v>
      </c>
      <c r="Y19">
        <f t="shared" si="23"/>
        <v>-86.979056085842387</v>
      </c>
      <c r="Z19">
        <f t="shared" si="24"/>
        <v>127.32395447351627</v>
      </c>
      <c r="AA19">
        <f t="shared" ca="1" si="12"/>
        <v>29.427340684334503</v>
      </c>
      <c r="AB19">
        <f t="shared" ca="1" si="13"/>
        <v>-150.90364449142146</v>
      </c>
    </row>
    <row r="20" spans="1:28" x14ac:dyDescent="0.2">
      <c r="A20">
        <v>900</v>
      </c>
      <c r="B20" t="str">
        <f t="shared" si="14"/>
        <v>900i</v>
      </c>
      <c r="C20" t="str">
        <f t="shared" ca="1" si="0"/>
        <v>1+0.0235466617559311i</v>
      </c>
      <c r="D20" t="str">
        <f t="shared" ca="1" si="1"/>
        <v>1+0.0031268409303033i</v>
      </c>
      <c r="E20" t="str">
        <f t="shared" ca="1" si="2"/>
        <v>1+2.3428681191405i</v>
      </c>
      <c r="F20">
        <f t="shared" ca="1" si="3"/>
        <v>39.000923110829653</v>
      </c>
      <c r="G20" t="str">
        <f t="shared" ca="1" si="15"/>
        <v>6.38543976795145-13.919952031663i</v>
      </c>
      <c r="H20">
        <f t="shared" ca="1" si="16"/>
        <v>23.702148943145517</v>
      </c>
      <c r="I20">
        <f t="shared" ca="1" si="17"/>
        <v>-65.357859644384618</v>
      </c>
      <c r="K20" t="str">
        <f t="shared" ca="1" si="4"/>
        <v>1+0.0235466617559311i</v>
      </c>
      <c r="L20" t="str">
        <f t="shared" ca="1" si="5"/>
        <v>1-0.00175555715858963i</v>
      </c>
      <c r="M20" t="str">
        <f t="shared" ca="1" si="6"/>
        <v>1+2.35466617559311i</v>
      </c>
      <c r="N20" t="str">
        <f t="shared" si="7"/>
        <v>1+0.0112220929003525i</v>
      </c>
      <c r="O20">
        <f t="shared" ca="1" si="8"/>
        <v>22.224473826228223</v>
      </c>
      <c r="P20" t="str">
        <f t="shared" ca="1" si="25"/>
        <v>3.48096686990249-7.96166410890411i</v>
      </c>
      <c r="Q20">
        <f t="shared" ca="1" si="19"/>
        <v>18.77977010280766</v>
      </c>
      <c r="R20">
        <f t="shared" ca="1" si="26"/>
        <v>-66.384281898105911</v>
      </c>
      <c r="T20" t="str">
        <f t="shared" si="9"/>
        <v>1+0.0684i</v>
      </c>
      <c r="U20" t="str">
        <f t="shared" si="10"/>
        <v>1+0.009i</v>
      </c>
      <c r="V20" t="str">
        <f t="shared" si="11"/>
        <v>-2.74122807017544i</v>
      </c>
      <c r="W20" t="str">
        <f t="shared" si="21"/>
        <v>0.162815759291918-2.74269341200907i</v>
      </c>
      <c r="X20">
        <f t="shared" si="22"/>
        <v>8.7788229870404937</v>
      </c>
      <c r="Y20">
        <f t="shared" si="23"/>
        <v>-86.602711482898599</v>
      </c>
      <c r="Z20">
        <f t="shared" si="24"/>
        <v>143.23944878270581</v>
      </c>
      <c r="AA20">
        <f t="shared" ca="1" si="12"/>
        <v>27.558593089848152</v>
      </c>
      <c r="AB20">
        <f t="shared" ca="1" si="13"/>
        <v>-152.98699338100451</v>
      </c>
    </row>
    <row r="21" spans="1:28" x14ac:dyDescent="0.2">
      <c r="A21">
        <v>1000</v>
      </c>
      <c r="B21" t="str">
        <f t="shared" si="14"/>
        <v>1000i</v>
      </c>
      <c r="C21" t="str">
        <f t="shared" ca="1" si="0"/>
        <v>1+0.0261629575065901i</v>
      </c>
      <c r="D21" t="str">
        <f t="shared" ca="1" si="1"/>
        <v>1+0.003474267700337i</v>
      </c>
      <c r="E21" t="str">
        <f t="shared" ca="1" si="2"/>
        <v>1+2.603186799045i</v>
      </c>
      <c r="F21">
        <f t="shared" ca="1" si="3"/>
        <v>39.000923110829653</v>
      </c>
      <c r="G21" t="str">
        <f t="shared" ca="1" si="15"/>
        <v>5.40164689380211-12.9056167455344i</v>
      </c>
      <c r="H21">
        <f t="shared" ca="1" si="16"/>
        <v>22.916634596032569</v>
      </c>
      <c r="I21">
        <f t="shared" ca="1" si="17"/>
        <v>-67.288248300940026</v>
      </c>
      <c r="K21" t="str">
        <f t="shared" ca="1" si="4"/>
        <v>1+0.0261629575065901i</v>
      </c>
      <c r="L21" t="str">
        <f t="shared" ca="1" si="5"/>
        <v>1-0.00195061906509958i</v>
      </c>
      <c r="M21" t="str">
        <f t="shared" ca="1" si="6"/>
        <v>1+2.61629575065901i</v>
      </c>
      <c r="N21" t="str">
        <f t="shared" si="7"/>
        <v>1+0.0124689921115028i</v>
      </c>
      <c r="O21">
        <f t="shared" ca="1" si="8"/>
        <v>22.224473826228223</v>
      </c>
      <c r="P21" t="str">
        <f t="shared" ca="1" si="25"/>
        <v>2.92052703876548-7.38002749949755i</v>
      </c>
      <c r="Q21">
        <f t="shared" ca="1" si="19"/>
        <v>17.993011445929486</v>
      </c>
      <c r="R21">
        <f t="shared" ca="1" si="26"/>
        <v>-68.409615272953701</v>
      </c>
      <c r="T21" t="str">
        <f t="shared" si="9"/>
        <v>1+0.076i</v>
      </c>
      <c r="U21" t="str">
        <f t="shared" si="10"/>
        <v>1+0.01i</v>
      </c>
      <c r="V21" t="str">
        <f t="shared" si="11"/>
        <v>-2.46710526315789i</v>
      </c>
      <c r="W21" t="str">
        <f t="shared" si="21"/>
        <v>0.162812666101811-2.46873338981891i</v>
      </c>
      <c r="X21">
        <f t="shared" si="22"/>
        <v>7.8683320048791288</v>
      </c>
      <c r="Y21">
        <f t="shared" si="23"/>
        <v>-86.22681434308106</v>
      </c>
      <c r="Z21">
        <f t="shared" si="24"/>
        <v>159.15494309189535</v>
      </c>
      <c r="AA21">
        <f t="shared" ca="1" si="12"/>
        <v>25.861343450808615</v>
      </c>
      <c r="AB21">
        <f t="shared" ca="1" si="13"/>
        <v>-154.63642961603477</v>
      </c>
    </row>
    <row r="22" spans="1:28" x14ac:dyDescent="0.2">
      <c r="A22">
        <v>1100</v>
      </c>
      <c r="B22" t="str">
        <f t="shared" si="14"/>
        <v>1100i</v>
      </c>
      <c r="C22" t="str">
        <f t="shared" ca="1" si="0"/>
        <v>1+0.0287792532572491i</v>
      </c>
      <c r="D22" t="str">
        <f t="shared" ca="1" si="1"/>
        <v>1+0.0038216944703707i</v>
      </c>
      <c r="E22" t="str">
        <f t="shared" ca="1" si="2"/>
        <v>1+2.8635054789495i</v>
      </c>
      <c r="F22">
        <f t="shared" ca="1" si="3"/>
        <v>39.000923110829653</v>
      </c>
      <c r="G22" t="str">
        <f t="shared" ca="1" si="15"/>
        <v>4.63467885117491-11.9999612278457i</v>
      </c>
      <c r="H22">
        <f t="shared" ca="1" si="16"/>
        <v>22.18743721091834</v>
      </c>
      <c r="I22">
        <f t="shared" ca="1" si="17"/>
        <v>-68.882218373299622</v>
      </c>
      <c r="K22" t="str">
        <f t="shared" ca="1" si="4"/>
        <v>1+0.0287792532572491i</v>
      </c>
      <c r="L22" t="str">
        <f t="shared" ca="1" si="5"/>
        <v>1-0.00214568097160954i</v>
      </c>
      <c r="M22" t="str">
        <f t="shared" ca="1" si="6"/>
        <v>1+2.87792532572491i</v>
      </c>
      <c r="N22" t="str">
        <f t="shared" si="7"/>
        <v>1+0.0137158913226531i</v>
      </c>
      <c r="O22">
        <f t="shared" ca="1" si="8"/>
        <v>22.224473826228223</v>
      </c>
      <c r="P22" t="str">
        <f t="shared" ca="1" si="25"/>
        <v>2.48380359416392-6.86118542385473i</v>
      </c>
      <c r="Q22">
        <f t="shared" ca="1" si="19"/>
        <v>17.262800198979921</v>
      </c>
      <c r="R22">
        <f t="shared" ca="1" si="26"/>
        <v>-70.099341834617448</v>
      </c>
      <c r="T22" t="str">
        <f t="shared" si="9"/>
        <v>1+0.0836i</v>
      </c>
      <c r="U22" t="str">
        <f t="shared" si="10"/>
        <v>1+0.011i</v>
      </c>
      <c r="V22" t="str">
        <f t="shared" si="11"/>
        <v>-2.24282296650718i</v>
      </c>
      <c r="W22" t="str">
        <f t="shared" si="21"/>
        <v>0.16280924744948-2.24461386822912i</v>
      </c>
      <c r="X22">
        <f t="shared" si="22"/>
        <v>7.0456215204154056</v>
      </c>
      <c r="Y22">
        <f t="shared" si="23"/>
        <v>-85.851413297758086</v>
      </c>
      <c r="Z22">
        <f t="shared" si="24"/>
        <v>175.07043740108489</v>
      </c>
      <c r="AA22">
        <f t="shared" ca="1" si="12"/>
        <v>24.308421719395326</v>
      </c>
      <c r="AB22">
        <f t="shared" ca="1" si="13"/>
        <v>-155.95075513237555</v>
      </c>
    </row>
    <row r="23" spans="1:28" x14ac:dyDescent="0.2">
      <c r="A23">
        <v>1200</v>
      </c>
      <c r="B23" t="str">
        <f t="shared" si="14"/>
        <v>1200i</v>
      </c>
      <c r="C23" t="str">
        <f t="shared" ca="1" si="0"/>
        <v>1+0.0313955490079081i</v>
      </c>
      <c r="D23" t="str">
        <f t="shared" ca="1" si="1"/>
        <v>1+0.0041691212404044i</v>
      </c>
      <c r="E23" t="str">
        <f t="shared" ca="1" si="2"/>
        <v>1+3.123824158854i</v>
      </c>
      <c r="F23">
        <f t="shared" ca="1" si="3"/>
        <v>39.000923110829653</v>
      </c>
      <c r="G23" t="str">
        <f t="shared" ca="1" si="15"/>
        <v>4.02747879796534-11.19408059854i</v>
      </c>
      <c r="H23">
        <f t="shared" ca="1" si="16"/>
        <v>21.508424490114656</v>
      </c>
      <c r="I23">
        <f t="shared" ca="1" si="17"/>
        <v>-70.211954843400477</v>
      </c>
      <c r="K23" t="str">
        <f t="shared" ca="1" si="4"/>
        <v>1+0.0313955490079081i</v>
      </c>
      <c r="L23" t="str">
        <f t="shared" ca="1" si="5"/>
        <v>1-0.0023407428781195i</v>
      </c>
      <c r="M23" t="str">
        <f t="shared" ca="1" si="6"/>
        <v>1+3.13955490079081i</v>
      </c>
      <c r="N23" t="str">
        <f t="shared" si="7"/>
        <v>1+0.0149627905338034i</v>
      </c>
      <c r="O23">
        <f t="shared" ca="1" si="8"/>
        <v>22.224473826228223</v>
      </c>
      <c r="P23" t="str">
        <f t="shared" ca="1" si="25"/>
        <v>2.13817645660571-6.39982927621185i</v>
      </c>
      <c r="Q23">
        <f t="shared" ca="1" si="19"/>
        <v>16.582939619299463</v>
      </c>
      <c r="R23">
        <f t="shared" ca="1" si="26"/>
        <v>-71.525578572320484</v>
      </c>
      <c r="T23" t="str">
        <f t="shared" si="9"/>
        <v>1+0.0912i</v>
      </c>
      <c r="U23" t="str">
        <f t="shared" si="10"/>
        <v>1+0.012i</v>
      </c>
      <c r="V23" t="str">
        <f t="shared" si="11"/>
        <v>-2.05592105263158i</v>
      </c>
      <c r="W23" t="str">
        <f t="shared" si="21"/>
        <v>0.162805503375935-2.05787471867209i</v>
      </c>
      <c r="X23">
        <f t="shared" si="22"/>
        <v>6.2954761244001292</v>
      </c>
      <c r="Y23">
        <f t="shared" si="23"/>
        <v>-85.476556639655797</v>
      </c>
      <c r="Z23">
        <f t="shared" si="24"/>
        <v>190.9859317102744</v>
      </c>
      <c r="AA23">
        <f t="shared" ca="1" si="12"/>
        <v>22.878415743699591</v>
      </c>
      <c r="AB23">
        <f t="shared" ca="1" si="13"/>
        <v>-157.00213521197628</v>
      </c>
    </row>
    <row r="24" spans="1:28" x14ac:dyDescent="0.2">
      <c r="A24">
        <v>1300</v>
      </c>
      <c r="B24" t="str">
        <f t="shared" si="14"/>
        <v>1300i</v>
      </c>
      <c r="C24" t="str">
        <f t="shared" ca="1" si="0"/>
        <v>1+0.0340118447585671i</v>
      </c>
      <c r="D24" t="str">
        <f t="shared" ca="1" si="1"/>
        <v>1+0.0045165480104381i</v>
      </c>
      <c r="E24" t="str">
        <f t="shared" ca="1" si="2"/>
        <v>1+3.3841428387585i</v>
      </c>
      <c r="F24">
        <f t="shared" ca="1" si="3"/>
        <v>39.000923110829653</v>
      </c>
      <c r="G24" t="str">
        <f t="shared" ca="1" si="15"/>
        <v>3.53988062956735-10.4768187986425i</v>
      </c>
      <c r="H24">
        <f t="shared" ca="1" si="16"/>
        <v>20.874068796479705</v>
      </c>
      <c r="I24">
        <f t="shared" ca="1" si="17"/>
        <v>-71.331049578139286</v>
      </c>
      <c r="K24" t="str">
        <f t="shared" ca="1" si="4"/>
        <v>1+0.0340118447585671i</v>
      </c>
      <c r="L24" t="str">
        <f t="shared" ca="1" si="5"/>
        <v>1-0.00253580478462946i</v>
      </c>
      <c r="M24" t="str">
        <f t="shared" ca="1" si="6"/>
        <v>1+3.40118447585671i</v>
      </c>
      <c r="N24" t="str">
        <f t="shared" si="7"/>
        <v>1+0.0162096897449537i</v>
      </c>
      <c r="O24">
        <f t="shared" ca="1" si="8"/>
        <v>22.224473826228223</v>
      </c>
      <c r="P24" t="str">
        <f t="shared" ca="1" si="25"/>
        <v>1.86070592381361-5.98943768925199i</v>
      </c>
      <c r="Q24">
        <f t="shared" ca="1" si="19"/>
        <v>15.947856726643327</v>
      </c>
      <c r="R24">
        <f t="shared" ca="1" si="26"/>
        <v>-72.741833071048063</v>
      </c>
      <c r="T24" t="str">
        <f t="shared" si="9"/>
        <v>1+0.0988i</v>
      </c>
      <c r="U24" t="str">
        <f t="shared" si="10"/>
        <v>1+0.013i</v>
      </c>
      <c r="V24" t="str">
        <f t="shared" si="11"/>
        <v>-1.89777327935223i</v>
      </c>
      <c r="W24" t="str">
        <f t="shared" si="21"/>
        <v>0.162801433926088-1.89988969799327i</v>
      </c>
      <c r="X24">
        <f t="shared" si="22"/>
        <v>5.6063404755558413</v>
      </c>
      <c r="Y24">
        <f t="shared" si="23"/>
        <v>-85.102292291237191</v>
      </c>
      <c r="Z24">
        <f t="shared" si="24"/>
        <v>206.90142601946394</v>
      </c>
      <c r="AA24">
        <f t="shared" ca="1" si="12"/>
        <v>21.55419720219917</v>
      </c>
      <c r="AB24">
        <f t="shared" ca="1" si="13"/>
        <v>-157.84412536228524</v>
      </c>
    </row>
    <row r="25" spans="1:28" x14ac:dyDescent="0.2">
      <c r="A25">
        <v>1400</v>
      </c>
      <c r="B25" t="str">
        <f t="shared" si="14"/>
        <v>1400i</v>
      </c>
      <c r="C25" t="str">
        <f t="shared" ca="1" si="0"/>
        <v>1+0.0366281405092261i</v>
      </c>
      <c r="D25" t="str">
        <f t="shared" ca="1" si="1"/>
        <v>1+0.0048639747804718i</v>
      </c>
      <c r="E25" t="str">
        <f t="shared" ca="1" si="2"/>
        <v>1+3.64446151866301i</v>
      </c>
      <c r="F25">
        <f t="shared" ca="1" si="3"/>
        <v>39.000923110829653</v>
      </c>
      <c r="G25" t="str">
        <f t="shared" ca="1" si="15"/>
        <v>3.14320410821178-9.83705561956214i</v>
      </c>
      <c r="H25">
        <f t="shared" ca="1" si="16"/>
        <v>20.279502530495186</v>
      </c>
      <c r="I25">
        <f t="shared" ca="1" si="17"/>
        <v>-72.279919328598709</v>
      </c>
      <c r="K25" t="str">
        <f t="shared" ca="1" si="4"/>
        <v>1+0.0366281405092261i</v>
      </c>
      <c r="L25" t="str">
        <f t="shared" ca="1" si="5"/>
        <v>1-0.00273086669113942i</v>
      </c>
      <c r="M25" t="str">
        <f t="shared" ca="1" si="6"/>
        <v>1+3.66281405092261i</v>
      </c>
      <c r="N25" t="str">
        <f t="shared" si="7"/>
        <v>1+0.017456588956104i</v>
      </c>
      <c r="O25">
        <f t="shared" ca="1" si="8"/>
        <v>22.224473826228223</v>
      </c>
      <c r="P25" t="str">
        <f t="shared" ca="1" si="25"/>
        <v>1.63502525973573-5.6235580303467i</v>
      </c>
      <c r="Q25">
        <f t="shared" ca="1" si="19"/>
        <v>15.352651558215824</v>
      </c>
      <c r="R25">
        <f t="shared" ca="1" si="26"/>
        <v>-73.788438381377787</v>
      </c>
      <c r="T25" t="str">
        <f t="shared" si="9"/>
        <v>1+0.1064i</v>
      </c>
      <c r="U25" t="str">
        <f t="shared" si="10"/>
        <v>1+0.014i</v>
      </c>
      <c r="V25" t="str">
        <f t="shared" si="11"/>
        <v>-1.76221804511278i</v>
      </c>
      <c r="W25" t="str">
        <f t="shared" si="21"/>
        <v>0.162797039148748-1.76449720366086i</v>
      </c>
      <c r="X25">
        <f t="shared" si="22"/>
        <v>4.9692318307906964</v>
      </c>
      <c r="Y25">
        <f t="shared" si="23"/>
        <v>-84.728667773703492</v>
      </c>
      <c r="Z25">
        <f t="shared" si="24"/>
        <v>222.81692032865348</v>
      </c>
      <c r="AA25">
        <f t="shared" ca="1" si="12"/>
        <v>20.321883389006519</v>
      </c>
      <c r="AB25">
        <f t="shared" ca="1" si="13"/>
        <v>-158.51710615508128</v>
      </c>
    </row>
    <row r="26" spans="1:28" x14ac:dyDescent="0.2">
      <c r="A26">
        <v>1500</v>
      </c>
      <c r="B26" t="str">
        <f t="shared" si="14"/>
        <v>1500i</v>
      </c>
      <c r="C26" t="str">
        <f t="shared" ca="1" si="0"/>
        <v>1+0.0392444362598851i</v>
      </c>
      <c r="D26" t="str">
        <f t="shared" ca="1" si="1"/>
        <v>1+0.0052114015505055i</v>
      </c>
      <c r="E26" t="str">
        <f t="shared" ca="1" si="2"/>
        <v>1+3.90478019856751i</v>
      </c>
      <c r="F26">
        <f t="shared" ca="1" si="3"/>
        <v>39.000923110829653</v>
      </c>
      <c r="G26" t="str">
        <f t="shared" ca="1" si="15"/>
        <v>2.81665901522237-9.2646156364864i</v>
      </c>
      <c r="H26">
        <f t="shared" ca="1" si="16"/>
        <v>19.720484970522204</v>
      </c>
      <c r="I26">
        <f t="shared" ca="1" si="17"/>
        <v>-73.0895061646805</v>
      </c>
      <c r="K26" t="str">
        <f t="shared" ca="1" si="4"/>
        <v>1+0.0392444362598851i</v>
      </c>
      <c r="L26" t="str">
        <f t="shared" ca="1" si="5"/>
        <v>1-0.00292592859764938i</v>
      </c>
      <c r="M26" t="str">
        <f t="shared" ca="1" si="6"/>
        <v>1+3.92444362598851i</v>
      </c>
      <c r="N26" t="str">
        <f t="shared" si="7"/>
        <v>1+0.0187034881672542i</v>
      </c>
      <c r="O26">
        <f t="shared" ca="1" si="8"/>
        <v>22.224473826228223</v>
      </c>
      <c r="P26" t="str">
        <f t="shared" ca="1" si="25"/>
        <v>1.44927781022568-5.29630914012786i</v>
      </c>
      <c r="Q26">
        <f t="shared" ca="1" si="19"/>
        <v>14.793059940360862</v>
      </c>
      <c r="R26">
        <f t="shared" ca="1" si="26"/>
        <v>-74.696260116204144</v>
      </c>
      <c r="T26" t="str">
        <f t="shared" si="9"/>
        <v>1+0.114i</v>
      </c>
      <c r="U26" t="str">
        <f t="shared" si="10"/>
        <v>1+0.015i</v>
      </c>
      <c r="V26" t="str">
        <f t="shared" si="11"/>
        <v>-1.64473684210526i</v>
      </c>
      <c r="W26" t="str">
        <f t="shared" si="21"/>
        <v>0.162792319096624-1.64717872689171i</v>
      </c>
      <c r="X26">
        <f t="shared" si="22"/>
        <v>4.3770286665999549</v>
      </c>
      <c r="Y26">
        <f t="shared" si="23"/>
        <v>-84.355730176665574</v>
      </c>
      <c r="Z26">
        <f t="shared" si="24"/>
        <v>238.73241463784302</v>
      </c>
      <c r="AA26">
        <f t="shared" ca="1" si="12"/>
        <v>19.170088606960817</v>
      </c>
      <c r="AB26">
        <f t="shared" ca="1" si="13"/>
        <v>-159.05199029286973</v>
      </c>
    </row>
    <row r="27" spans="1:28" x14ac:dyDescent="0.2">
      <c r="A27">
        <v>1600</v>
      </c>
      <c r="B27" t="str">
        <f t="shared" si="14"/>
        <v>1600i</v>
      </c>
      <c r="C27" t="str">
        <f t="shared" ca="1" si="0"/>
        <v>1+0.0418607320105442i</v>
      </c>
      <c r="D27" t="str">
        <f t="shared" ca="1" si="1"/>
        <v>1+0.0055588283205392i</v>
      </c>
      <c r="E27" t="str">
        <f t="shared" ca="1" si="2"/>
        <v>1+4.16509887847201i</v>
      </c>
      <c r="F27">
        <f t="shared" ca="1" si="3"/>
        <v>39.000923110829653</v>
      </c>
      <c r="G27" t="str">
        <f t="shared" ca="1" si="15"/>
        <v>2.54494687907235-8.75054876537318i</v>
      </c>
      <c r="H27">
        <f t="shared" ca="1" si="16"/>
        <v>19.193336665044434</v>
      </c>
      <c r="I27">
        <f t="shared" ca="1" si="17"/>
        <v>-73.783834784252875</v>
      </c>
      <c r="K27" t="str">
        <f t="shared" ca="1" si="4"/>
        <v>1+0.0418607320105442i</v>
      </c>
      <c r="L27" t="str">
        <f t="shared" ca="1" si="5"/>
        <v>1-0.00312099050415934i</v>
      </c>
      <c r="M27" t="str">
        <f t="shared" ca="1" si="6"/>
        <v>1+4.18607320105441i</v>
      </c>
      <c r="N27" t="str">
        <f t="shared" si="7"/>
        <v>1+0.0199503873784045i</v>
      </c>
      <c r="O27">
        <f t="shared" ca="1" si="8"/>
        <v>22.224473826228223</v>
      </c>
      <c r="P27" t="str">
        <f t="shared" ca="1" si="25"/>
        <v>1.29474333216936-5.00253089971047i</v>
      </c>
      <c r="Q27">
        <f t="shared" ca="1" si="19"/>
        <v>14.265385169408608</v>
      </c>
      <c r="R27">
        <f t="shared" ca="1" si="26"/>
        <v>-75.489255779688705</v>
      </c>
      <c r="T27" t="str">
        <f t="shared" si="9"/>
        <v>1+0.1216i</v>
      </c>
      <c r="U27" t="str">
        <f t="shared" si="10"/>
        <v>1+0.016i</v>
      </c>
      <c r="V27" t="str">
        <f t="shared" si="11"/>
        <v>-1.54194078947368i</v>
      </c>
      <c r="W27" t="str">
        <f t="shared" si="21"/>
        <v>0.162787273826322-1.5445453858549i</v>
      </c>
      <c r="X27">
        <f t="shared" si="22"/>
        <v>3.8239893581548552</v>
      </c>
      <c r="Y27">
        <f t="shared" si="23"/>
        <v>-83.983526128531636</v>
      </c>
      <c r="Z27">
        <f t="shared" si="24"/>
        <v>254.64790894703253</v>
      </c>
      <c r="AA27">
        <f t="shared" ca="1" si="12"/>
        <v>18.089374527563464</v>
      </c>
      <c r="AB27">
        <f t="shared" ca="1" si="13"/>
        <v>-159.47278190822033</v>
      </c>
    </row>
    <row r="28" spans="1:28" x14ac:dyDescent="0.2">
      <c r="A28">
        <v>1700</v>
      </c>
      <c r="B28" t="str">
        <f t="shared" si="14"/>
        <v>1700i</v>
      </c>
      <c r="C28" t="str">
        <f t="shared" ca="1" si="0"/>
        <v>1+0.0444770277612032i</v>
      </c>
      <c r="D28" t="str">
        <f t="shared" ca="1" si="1"/>
        <v>1+0.0059062550905729i</v>
      </c>
      <c r="E28" t="str">
        <f t="shared" ca="1" si="2"/>
        <v>1+4.42541755837651i</v>
      </c>
      <c r="F28">
        <f t="shared" ca="1" si="3"/>
        <v>39.000923110829653</v>
      </c>
      <c r="G28" t="str">
        <f t="shared" ca="1" si="15"/>
        <v>2.31664674300227-8.28713463246472i</v>
      </c>
      <c r="H28">
        <f t="shared" ca="1" si="16"/>
        <v>18.69486661131457</v>
      </c>
      <c r="I28">
        <f t="shared" ca="1" si="17"/>
        <v>-74.381804431204628</v>
      </c>
      <c r="K28" t="str">
        <f t="shared" ca="1" si="4"/>
        <v>1+0.0444770277612032i</v>
      </c>
      <c r="L28" t="str">
        <f t="shared" ca="1" si="5"/>
        <v>1-0.00331605241066929i</v>
      </c>
      <c r="M28" t="str">
        <f t="shared" ca="1" si="6"/>
        <v>1+4.44770277612032i</v>
      </c>
      <c r="N28" t="str">
        <f t="shared" si="7"/>
        <v>1+0.0211972865895548i</v>
      </c>
      <c r="O28">
        <f t="shared" ca="1" si="8"/>
        <v>22.224473826228223</v>
      </c>
      <c r="P28" t="str">
        <f t="shared" ca="1" si="25"/>
        <v>1.16491452101675-4.73777978904983i</v>
      </c>
      <c r="Q28">
        <f t="shared" ca="1" si="19"/>
        <v>13.766423366438241</v>
      </c>
      <c r="R28">
        <f t="shared" ca="1" si="26"/>
        <v>-76.186266672658633</v>
      </c>
      <c r="T28" t="str">
        <f t="shared" si="9"/>
        <v>1+0.1292i</v>
      </c>
      <c r="U28" t="str">
        <f t="shared" si="10"/>
        <v>1+0.017i</v>
      </c>
      <c r="V28" t="str">
        <f t="shared" si="11"/>
        <v>-1.45123839009288i</v>
      </c>
      <c r="W28" t="str">
        <f t="shared" si="21"/>
        <v>0.162781903398339-1.45400568245065i</v>
      </c>
      <c r="X28">
        <f t="shared" si="22"/>
        <v>3.3054170347840945</v>
      </c>
      <c r="Y28">
        <f t="shared" si="23"/>
        <v>-83.612101767655702</v>
      </c>
      <c r="Z28">
        <f t="shared" si="24"/>
        <v>270.5634032562221</v>
      </c>
      <c r="AA28">
        <f t="shared" ca="1" si="12"/>
        <v>17.071840401222335</v>
      </c>
      <c r="AB28">
        <f t="shared" ca="1" si="13"/>
        <v>-159.79836844031433</v>
      </c>
    </row>
    <row r="29" spans="1:28" x14ac:dyDescent="0.2">
      <c r="A29">
        <v>1800</v>
      </c>
      <c r="B29" t="str">
        <f t="shared" si="14"/>
        <v>1800i</v>
      </c>
      <c r="C29" t="str">
        <f t="shared" ca="1" si="0"/>
        <v>1+0.0470933235118622i</v>
      </c>
      <c r="D29" t="str">
        <f t="shared" ca="1" si="1"/>
        <v>1+0.0062536818606066i</v>
      </c>
      <c r="E29" t="str">
        <f t="shared" ca="1" si="2"/>
        <v>1+4.68573623828101i</v>
      </c>
      <c r="F29">
        <f t="shared" ca="1" si="3"/>
        <v>39.000923110829653</v>
      </c>
      <c r="G29" t="str">
        <f t="shared" ca="1" si="15"/>
        <v>2.1231152734147-7.86777571996247i</v>
      </c>
      <c r="H29">
        <f t="shared" ca="1" si="16"/>
        <v>18.222302970391748</v>
      </c>
      <c r="I29">
        <f t="shared" ca="1" si="17"/>
        <v>-74.898462771660888</v>
      </c>
      <c r="K29" t="str">
        <f t="shared" ca="1" si="4"/>
        <v>1+0.0470933235118622i</v>
      </c>
      <c r="L29" t="str">
        <f t="shared" ca="1" si="5"/>
        <v>1-0.00351111431717925i</v>
      </c>
      <c r="M29" t="str">
        <f t="shared" ca="1" si="6"/>
        <v>1+4.70933235118622i</v>
      </c>
      <c r="N29" t="str">
        <f t="shared" si="7"/>
        <v>1+0.0224441858007051i</v>
      </c>
      <c r="O29">
        <f t="shared" ca="1" si="8"/>
        <v>22.224473826228223</v>
      </c>
      <c r="P29" t="str">
        <f t="shared" ca="1" si="25"/>
        <v>1.05486838230681-4.49826331739785i</v>
      </c>
      <c r="Q29">
        <f t="shared" ca="1" si="19"/>
        <v>13.293392950166265</v>
      </c>
      <c r="R29">
        <f t="shared" ca="1" si="26"/>
        <v>-76.802290943494327</v>
      </c>
      <c r="T29" t="str">
        <f t="shared" si="9"/>
        <v>1+0.1368i</v>
      </c>
      <c r="U29" t="str">
        <f t="shared" si="10"/>
        <v>1+0.018i</v>
      </c>
      <c r="V29" t="str">
        <f t="shared" si="11"/>
        <v>-1.37061403508772i</v>
      </c>
      <c r="W29" t="str">
        <f t="shared" si="21"/>
        <v>0.162776207877069-1.37354400682951i</v>
      </c>
      <c r="X29">
        <f t="shared" si="22"/>
        <v>2.8174203768231343</v>
      </c>
      <c r="Y29">
        <f t="shared" si="23"/>
        <v>-83.241502714286995</v>
      </c>
      <c r="Z29">
        <f t="shared" si="24"/>
        <v>286.47889756541161</v>
      </c>
      <c r="AA29">
        <f t="shared" ca="1" si="12"/>
        <v>16.110813326989398</v>
      </c>
      <c r="AB29">
        <f t="shared" ca="1" si="13"/>
        <v>-160.04379365778132</v>
      </c>
    </row>
    <row r="30" spans="1:28" x14ac:dyDescent="0.2">
      <c r="A30">
        <v>1900</v>
      </c>
      <c r="B30" t="str">
        <f t="shared" si="14"/>
        <v>1900i</v>
      </c>
      <c r="C30" t="str">
        <f t="shared" ca="1" si="0"/>
        <v>1+0.0497096192625212i</v>
      </c>
      <c r="D30" t="str">
        <f t="shared" ca="1" si="1"/>
        <v>1+0.0066011086306403i</v>
      </c>
      <c r="E30" t="str">
        <f t="shared" ca="1" si="2"/>
        <v>1+4.94605491818551i</v>
      </c>
      <c r="F30">
        <f t="shared" ca="1" si="3"/>
        <v>39.000923110829653</v>
      </c>
      <c r="G30" t="str">
        <f t="shared" ca="1" si="15"/>
        <v>1.95772711634-7.48685546336257i</v>
      </c>
      <c r="H30">
        <f t="shared" ca="1" si="16"/>
        <v>17.773231317481894</v>
      </c>
      <c r="I30">
        <f t="shared" ca="1" si="17"/>
        <v>-75.345924566918313</v>
      </c>
      <c r="K30" t="str">
        <f t="shared" ca="1" si="4"/>
        <v>1+0.0497096192625212i</v>
      </c>
      <c r="L30" t="str">
        <f t="shared" ca="1" si="5"/>
        <v>1-0.00370617622368921i</v>
      </c>
      <c r="M30" t="str">
        <f t="shared" ca="1" si="6"/>
        <v>1+4.97096192625212i</v>
      </c>
      <c r="N30" t="str">
        <f t="shared" si="7"/>
        <v>1+0.0236910850118554i</v>
      </c>
      <c r="O30">
        <f t="shared" ca="1" si="8"/>
        <v>22.224473826228223</v>
      </c>
      <c r="P30" t="str">
        <f t="shared" ca="1" si="25"/>
        <v>0.96083239971358-4.28075597304418i</v>
      </c>
      <c r="Q30">
        <f t="shared" ca="1" si="19"/>
        <v>12.843872029721194</v>
      </c>
      <c r="R30">
        <f t="shared" ca="1" si="26"/>
        <v>-77.349401184743414</v>
      </c>
      <c r="T30" t="str">
        <f t="shared" si="9"/>
        <v>1+0.1444i</v>
      </c>
      <c r="U30" t="str">
        <f t="shared" si="10"/>
        <v>1+0.019i</v>
      </c>
      <c r="V30" t="str">
        <f t="shared" si="11"/>
        <v>-1.29847645429363i</v>
      </c>
      <c r="W30" t="str">
        <f t="shared" si="21"/>
        <v>0.162770187330795-1.30156908785291i</v>
      </c>
      <c r="X30">
        <f t="shared" si="22"/>
        <v>2.3567391733827701</v>
      </c>
      <c r="Y30">
        <f t="shared" si="23"/>
        <v>-82.871774043361427</v>
      </c>
      <c r="Z30">
        <f t="shared" si="24"/>
        <v>302.39439187460113</v>
      </c>
      <c r="AA30">
        <f t="shared" ca="1" si="12"/>
        <v>15.200611203103964</v>
      </c>
      <c r="AB30">
        <f t="shared" ca="1" si="13"/>
        <v>-160.22117522810484</v>
      </c>
    </row>
    <row r="31" spans="1:28" x14ac:dyDescent="0.2">
      <c r="A31">
        <v>2000</v>
      </c>
      <c r="B31" t="str">
        <f t="shared" si="14"/>
        <v>2000i</v>
      </c>
      <c r="C31" t="str">
        <f t="shared" ca="1" si="0"/>
        <v>1+0.0523259150131802i</v>
      </c>
      <c r="D31" t="str">
        <f t="shared" ca="1" si="1"/>
        <v>1+0.006948535400674i</v>
      </c>
      <c r="E31" t="str">
        <f t="shared" ca="1" si="2"/>
        <v>1+5.20637359809001i</v>
      </c>
      <c r="F31">
        <f t="shared" ca="1" si="3"/>
        <v>39.000923110829653</v>
      </c>
      <c r="G31" t="str">
        <f t="shared" ca="1" si="15"/>
        <v>1.81534292446542-7.13959519038886i</v>
      </c>
      <c r="H31">
        <f t="shared" ca="1" si="16"/>
        <v>17.345541351096536</v>
      </c>
      <c r="I31">
        <f t="shared" ca="1" si="17"/>
        <v>-75.734043421832112</v>
      </c>
      <c r="K31" t="str">
        <f t="shared" ca="1" si="4"/>
        <v>1+0.0523259150131802i</v>
      </c>
      <c r="L31" t="str">
        <f t="shared" ca="1" si="5"/>
        <v>1-0.00390123813019917i</v>
      </c>
      <c r="M31" t="str">
        <f t="shared" ca="1" si="6"/>
        <v>1+5.23259150131802i</v>
      </c>
      <c r="N31" t="str">
        <f t="shared" si="7"/>
        <v>1+0.0249379842230057i</v>
      </c>
      <c r="O31">
        <f t="shared" ca="1" si="8"/>
        <v>22.224473826228223</v>
      </c>
      <c r="P31" t="str">
        <f t="shared" ca="1" si="25"/>
        <v>0.879880915772612-4.08251550320386i</v>
      </c>
      <c r="Q31">
        <f t="shared" ca="1" si="19"/>
        <v>12.415744513443421</v>
      </c>
      <c r="R31">
        <f t="shared" ca="1" si="26"/>
        <v>-77.837415103024355</v>
      </c>
      <c r="T31" t="str">
        <f t="shared" si="9"/>
        <v>1+0.152i</v>
      </c>
      <c r="U31" t="str">
        <f t="shared" si="10"/>
        <v>1+0.02i</v>
      </c>
      <c r="V31" t="str">
        <f t="shared" si="11"/>
        <v>-1.23355263157895i</v>
      </c>
      <c r="W31" t="str">
        <f t="shared" si="21"/>
        <v>0.162763841831688-1.23680790841558i</v>
      </c>
      <c r="X31">
        <f t="shared" si="22"/>
        <v>1.9206146779720998</v>
      </c>
      <c r="Y31">
        <f t="shared" si="23"/>
        <v>-82.502960258170575</v>
      </c>
      <c r="Z31">
        <f t="shared" si="24"/>
        <v>318.3098861837907</v>
      </c>
      <c r="AA31">
        <f t="shared" ca="1" si="12"/>
        <v>14.336359191415522</v>
      </c>
      <c r="AB31">
        <f t="shared" ca="1" si="13"/>
        <v>-160.34037536119493</v>
      </c>
    </row>
    <row r="32" spans="1:28" x14ac:dyDescent="0.2">
      <c r="A32">
        <v>2100</v>
      </c>
      <c r="B32" t="str">
        <f t="shared" si="14"/>
        <v>2100i</v>
      </c>
      <c r="C32" t="str">
        <f t="shared" ca="1" si="0"/>
        <v>1+0.0549422107638392i</v>
      </c>
      <c r="D32" t="str">
        <f t="shared" ca="1" si="1"/>
        <v>1+0.0072959621707077i</v>
      </c>
      <c r="E32" t="str">
        <f t="shared" ca="1" si="2"/>
        <v>1+5.46669227799451i</v>
      </c>
      <c r="F32">
        <f t="shared" ca="1" si="3"/>
        <v>39.000923110829653</v>
      </c>
      <c r="G32" t="str">
        <f t="shared" ca="1" si="15"/>
        <v>1.69193169009431-6.82192370795396i</v>
      </c>
      <c r="H32">
        <f t="shared" ca="1" si="16"/>
        <v>16.937381658939433</v>
      </c>
      <c r="I32">
        <f t="shared" ca="1" si="17"/>
        <v>-76.07090949127516</v>
      </c>
      <c r="K32" t="str">
        <f t="shared" ca="1" si="4"/>
        <v>1+0.0549422107638392i</v>
      </c>
      <c r="L32" t="str">
        <f t="shared" ca="1" si="5"/>
        <v>1-0.00409630003670913i</v>
      </c>
      <c r="M32" t="str">
        <f t="shared" ca="1" si="6"/>
        <v>1+5.49422107638392i</v>
      </c>
      <c r="N32" t="str">
        <f t="shared" si="7"/>
        <v>1+0.0261848834341559i</v>
      </c>
      <c r="O32">
        <f t="shared" ca="1" si="8"/>
        <v>22.224473826228223</v>
      </c>
      <c r="P32" t="str">
        <f t="shared" ca="1" si="25"/>
        <v>0.809719693438284-3.90120706419501i</v>
      </c>
      <c r="Q32">
        <f t="shared" ca="1" si="19"/>
        <v>12.007154448666089</v>
      </c>
      <c r="R32">
        <f t="shared" ca="1" si="26"/>
        <v>-78.274392245403078</v>
      </c>
      <c r="T32" t="str">
        <f t="shared" si="9"/>
        <v>1+0.1596i</v>
      </c>
      <c r="U32" t="str">
        <f t="shared" si="10"/>
        <v>1+0.021i</v>
      </c>
      <c r="V32" t="str">
        <f t="shared" si="11"/>
        <v>-1.17481203007519i</v>
      </c>
      <c r="W32" t="str">
        <f t="shared" si="21"/>
        <v>0.162757171455809-1.17822993067576i</v>
      </c>
      <c r="X32">
        <f t="shared" si="22"/>
        <v>1.5066916288392329</v>
      </c>
      <c r="Y32">
        <f t="shared" si="23"/>
        <v>-82.135105264942112</v>
      </c>
      <c r="Z32">
        <f t="shared" si="24"/>
        <v>334.22538049298021</v>
      </c>
      <c r="AA32">
        <f t="shared" ca="1" si="12"/>
        <v>13.513846077505322</v>
      </c>
      <c r="AB32">
        <f t="shared" ca="1" si="13"/>
        <v>-160.4094975103452</v>
      </c>
    </row>
    <row r="33" spans="1:28" x14ac:dyDescent="0.2">
      <c r="A33">
        <v>2200</v>
      </c>
      <c r="B33" t="str">
        <f t="shared" si="14"/>
        <v>2200i</v>
      </c>
      <c r="C33" t="str">
        <f t="shared" ca="1" si="0"/>
        <v>1+0.0575585065144982i</v>
      </c>
      <c r="D33" t="str">
        <f t="shared" ca="1" si="1"/>
        <v>1+0.0076433889407414i</v>
      </c>
      <c r="E33" t="str">
        <f t="shared" ca="1" si="2"/>
        <v>1+5.72701095789901i</v>
      </c>
      <c r="F33">
        <f t="shared" ca="1" si="3"/>
        <v>39.000923110829653</v>
      </c>
      <c r="G33" t="str">
        <f t="shared" ca="1" si="15"/>
        <v>1.58429905742663-6.53036395114121i</v>
      </c>
      <c r="H33">
        <f t="shared" ca="1" si="16"/>
        <v>16.547121639412417</v>
      </c>
      <c r="I33">
        <f t="shared" ca="1" si="17"/>
        <v>-76.363222848790727</v>
      </c>
      <c r="K33" t="str">
        <f t="shared" ca="1" si="4"/>
        <v>1+0.0575585065144982i</v>
      </c>
      <c r="L33" t="str">
        <f t="shared" ca="1" si="5"/>
        <v>1-0.00429136194321909i</v>
      </c>
      <c r="M33" t="str">
        <f t="shared" ca="1" si="6"/>
        <v>1+5.75585065144982i</v>
      </c>
      <c r="N33" t="str">
        <f t="shared" si="7"/>
        <v>1+0.0274317826453062i</v>
      </c>
      <c r="O33">
        <f t="shared" ca="1" si="8"/>
        <v>22.224473826228223</v>
      </c>
      <c r="P33" t="str">
        <f t="shared" ca="1" si="25"/>
        <v>0.748531000697653-3.73483754288185i</v>
      </c>
      <c r="Q33">
        <f t="shared" ca="1" si="19"/>
        <v>11.616467636753772</v>
      </c>
      <c r="R33">
        <f t="shared" ca="1" si="26"/>
        <v>-78.667006517804737</v>
      </c>
      <c r="T33" t="str">
        <f t="shared" si="9"/>
        <v>1+0.1672i</v>
      </c>
      <c r="U33" t="str">
        <f t="shared" si="10"/>
        <v>1+0.022i</v>
      </c>
      <c r="V33" t="str">
        <f t="shared" si="11"/>
        <v>-1.12141148325359i</v>
      </c>
      <c r="W33" t="str">
        <f t="shared" si="21"/>
        <v>0.1627501762831-1.12499198713182i</v>
      </c>
      <c r="X33">
        <f t="shared" si="22"/>
        <v>1.1129430842817496</v>
      </c>
      <c r="Y33">
        <f t="shared" si="23"/>
        <v>-81.768252348364541</v>
      </c>
      <c r="Z33">
        <f t="shared" si="24"/>
        <v>350.14087480216978</v>
      </c>
      <c r="AA33">
        <f t="shared" ca="1" si="12"/>
        <v>12.729410721035521</v>
      </c>
      <c r="AB33">
        <f t="shared" ca="1" si="13"/>
        <v>-160.43525886616928</v>
      </c>
    </row>
    <row r="34" spans="1:28" x14ac:dyDescent="0.2">
      <c r="A34">
        <v>2300</v>
      </c>
      <c r="B34" t="str">
        <f t="shared" si="14"/>
        <v>2300i</v>
      </c>
      <c r="C34" t="str">
        <f t="shared" ca="1" si="0"/>
        <v>1+0.0601748022651572i</v>
      </c>
      <c r="D34" t="str">
        <f t="shared" ca="1" si="1"/>
        <v>1+0.0079908157107751i</v>
      </c>
      <c r="E34" t="str">
        <f t="shared" ca="1" si="2"/>
        <v>1+5.98732963780351i</v>
      </c>
      <c r="F34">
        <f t="shared" ca="1" si="3"/>
        <v>39.000923110829653</v>
      </c>
      <c r="G34" t="str">
        <f t="shared" ca="1" si="15"/>
        <v>1.48988939116384-6.26193688328277i</v>
      </c>
      <c r="H34">
        <f t="shared" ca="1" si="16"/>
        <v>16.17331955967849</v>
      </c>
      <c r="I34">
        <f t="shared" ca="1" si="17"/>
        <v>-76.616576867902765</v>
      </c>
      <c r="K34" t="str">
        <f t="shared" ca="1" si="4"/>
        <v>1+0.0601748022651572i</v>
      </c>
      <c r="L34" t="str">
        <f t="shared" ca="1" si="5"/>
        <v>1-0.00448642384972904i</v>
      </c>
      <c r="M34" t="str">
        <f t="shared" ca="1" si="6"/>
        <v>1+6.01748022651572i</v>
      </c>
      <c r="N34" t="str">
        <f t="shared" si="7"/>
        <v>1+0.0286786818564565i</v>
      </c>
      <c r="O34">
        <f t="shared" ca="1" si="8"/>
        <v>22.224473826228223</v>
      </c>
      <c r="P34" t="str">
        <f t="shared" ca="1" si="25"/>
        <v>0.694860792599295-3.58170001580002i</v>
      </c>
      <c r="Q34">
        <f t="shared" ca="1" si="19"/>
        <v>11.242239467938051</v>
      </c>
      <c r="R34">
        <f t="shared" ca="1" si="26"/>
        <v>-79.020828846407966</v>
      </c>
      <c r="T34" t="str">
        <f t="shared" si="9"/>
        <v>1+0.1748i</v>
      </c>
      <c r="U34" t="str">
        <f t="shared" si="10"/>
        <v>1+0.023i</v>
      </c>
      <c r="V34" t="str">
        <f t="shared" si="11"/>
        <v>-1.07265446224256i</v>
      </c>
      <c r="W34" t="str">
        <f t="shared" si="21"/>
        <v>0.162742856397387-1.0763975479397i</v>
      </c>
      <c r="X34">
        <f t="shared" si="22"/>
        <v>0.73761198078459767</v>
      </c>
      <c r="Y34">
        <f t="shared" si="23"/>
        <v>-81.402444148083674</v>
      </c>
      <c r="Z34">
        <f t="shared" si="24"/>
        <v>366.05636911135929</v>
      </c>
      <c r="AA34">
        <f t="shared" ca="1" si="12"/>
        <v>11.979851448722648</v>
      </c>
      <c r="AB34">
        <f t="shared" ca="1" si="13"/>
        <v>-160.42327299449164</v>
      </c>
    </row>
    <row r="35" spans="1:28" x14ac:dyDescent="0.2">
      <c r="A35">
        <v>2400</v>
      </c>
      <c r="B35" t="str">
        <f t="shared" si="14"/>
        <v>2400i</v>
      </c>
      <c r="C35" t="str">
        <f t="shared" ca="1" si="0"/>
        <v>1+0.0627910980158162i</v>
      </c>
      <c r="D35" t="str">
        <f t="shared" ca="1" si="1"/>
        <v>1+0.0083382424808088i</v>
      </c>
      <c r="E35" t="str">
        <f t="shared" ca="1" si="2"/>
        <v>1+6.24764831770801i</v>
      </c>
      <c r="F35">
        <f t="shared" ca="1" si="3"/>
        <v>39.000923110829653</v>
      </c>
      <c r="G35" t="str">
        <f t="shared" ca="1" si="15"/>
        <v>1.40663984130169-6.01408109849669i</v>
      </c>
      <c r="H35">
        <f t="shared" ca="1" si="16"/>
        <v>15.81469577921688</v>
      </c>
      <c r="I35">
        <f t="shared" ca="1" si="17"/>
        <v>-76.835675668433609</v>
      </c>
      <c r="K35" t="str">
        <f t="shared" ca="1" si="4"/>
        <v>1+0.0627910980158162i</v>
      </c>
      <c r="L35" t="str">
        <f t="shared" ca="1" si="5"/>
        <v>1-0.004681485756239i</v>
      </c>
      <c r="M35" t="str">
        <f t="shared" ca="1" si="6"/>
        <v>1+6.27910980158162i</v>
      </c>
      <c r="N35" t="str">
        <f t="shared" si="7"/>
        <v>1+0.0299255810676068i</v>
      </c>
      <c r="O35">
        <f t="shared" ca="1" si="8"/>
        <v>22.224473826228223</v>
      </c>
      <c r="P35" t="str">
        <f t="shared" ca="1" si="25"/>
        <v>0.647535556750337-3.44032736934878i</v>
      </c>
      <c r="Q35">
        <f t="shared" ca="1" si="19"/>
        <v>10.883187980312615</v>
      </c>
      <c r="R35">
        <f t="shared" ca="1" si="26"/>
        <v>-79.340544022239513</v>
      </c>
      <c r="T35" t="str">
        <f t="shared" si="9"/>
        <v>1+0.1824i</v>
      </c>
      <c r="U35" t="str">
        <f t="shared" si="10"/>
        <v>1+0.024i</v>
      </c>
      <c r="V35" t="str">
        <f t="shared" si="11"/>
        <v>-1.02796052631579i</v>
      </c>
      <c r="W35" t="str">
        <f t="shared" si="21"/>
        <v>0.162735211886375-1.03186617140106i</v>
      </c>
      <c r="X35">
        <f t="shared" si="22"/>
        <v>0.37916513913073868</v>
      </c>
      <c r="Y35">
        <f t="shared" si="23"/>
        <v>-81.037722636197884</v>
      </c>
      <c r="Z35">
        <f t="shared" si="24"/>
        <v>381.9718634205488</v>
      </c>
      <c r="AA35">
        <f t="shared" ca="1" si="12"/>
        <v>11.262353119443354</v>
      </c>
      <c r="AB35">
        <f t="shared" ca="1" si="13"/>
        <v>-160.37826665843738</v>
      </c>
    </row>
    <row r="36" spans="1:28" x14ac:dyDescent="0.2">
      <c r="A36">
        <v>2500</v>
      </c>
      <c r="B36" t="str">
        <f t="shared" si="14"/>
        <v>2500i</v>
      </c>
      <c r="C36" t="str">
        <f t="shared" ca="1" si="0"/>
        <v>1+0.0654073937664752i</v>
      </c>
      <c r="D36" t="str">
        <f t="shared" ca="1" si="1"/>
        <v>1+0.0086856692508425i</v>
      </c>
      <c r="E36" t="str">
        <f t="shared" ca="1" si="2"/>
        <v>1+6.50796699761251i</v>
      </c>
      <c r="F36">
        <f t="shared" ca="1" si="3"/>
        <v>39.000923110829653</v>
      </c>
      <c r="G36" t="str">
        <f t="shared" ca="1" si="15"/>
        <v>1.33287152099389-5.78458601690157i</v>
      </c>
      <c r="H36">
        <f t="shared" ca="1" si="16"/>
        <v>15.470110278850749</v>
      </c>
      <c r="I36">
        <f t="shared" ca="1" si="17"/>
        <v>-77.024502684205913</v>
      </c>
      <c r="K36" t="str">
        <f t="shared" ca="1" si="4"/>
        <v>1+0.0654073937664752i</v>
      </c>
      <c r="L36" t="str">
        <f t="shared" ca="1" si="5"/>
        <v>1-0.00487654766274896i</v>
      </c>
      <c r="M36" t="str">
        <f t="shared" ca="1" si="6"/>
        <v>1+6.54073937664752i</v>
      </c>
      <c r="N36" t="str">
        <f t="shared" si="7"/>
        <v>1+0.0311724802787571i</v>
      </c>
      <c r="O36">
        <f t="shared" ca="1" si="8"/>
        <v>22.224473826228223</v>
      </c>
      <c r="P36" t="str">
        <f t="shared" ca="1" si="25"/>
        <v>0.605600323006152-3.3094538153877i</v>
      </c>
      <c r="Q36">
        <f t="shared" ca="1" si="19"/>
        <v>10.53817126616714</v>
      </c>
      <c r="R36">
        <f t="shared" ca="1" si="26"/>
        <v>-79.630118769237797</v>
      </c>
      <c r="T36" t="str">
        <f t="shared" si="9"/>
        <v>1+0.19i</v>
      </c>
      <c r="U36" t="str">
        <f t="shared" si="10"/>
        <v>1+0.025i</v>
      </c>
      <c r="V36" t="str">
        <f t="shared" si="11"/>
        <v>-0.986842105263158i</v>
      </c>
      <c r="W36" t="str">
        <f t="shared" si="21"/>
        <v>0.162727242841645-0.990910286334199i</v>
      </c>
      <c r="X36">
        <f t="shared" si="22"/>
        <v>3.6256666613914419E-2</v>
      </c>
      <c r="Y36">
        <f t="shared" si="23"/>
        <v>-80.674129095774646</v>
      </c>
      <c r="Z36">
        <f t="shared" si="24"/>
        <v>397.88735772973837</v>
      </c>
      <c r="AA36">
        <f t="shared" ca="1" si="12"/>
        <v>10.574427932781054</v>
      </c>
      <c r="AB36">
        <f t="shared" ca="1" si="13"/>
        <v>-160.30424786501243</v>
      </c>
    </row>
    <row r="37" spans="1:28" x14ac:dyDescent="0.2">
      <c r="A37">
        <v>2600</v>
      </c>
      <c r="B37" t="str">
        <f t="shared" si="14"/>
        <v>2600i</v>
      </c>
      <c r="C37" t="str">
        <f t="shared" ca="1" si="0"/>
        <v>1+0.0680236895171343i</v>
      </c>
      <c r="D37" t="str">
        <f t="shared" ca="1" si="1"/>
        <v>1+0.0090330960208762i</v>
      </c>
      <c r="E37" t="str">
        <f t="shared" ca="1" si="2"/>
        <v>1+6.76828567751701i</v>
      </c>
      <c r="F37">
        <f t="shared" ca="1" si="3"/>
        <v>39.000923110829653</v>
      </c>
      <c r="G37" t="str">
        <f t="shared" ca="1" si="15"/>
        <v>1.26720748982328-5.57153653587751i</v>
      </c>
      <c r="H37">
        <f t="shared" ca="1" si="16"/>
        <v>15.138543761385549</v>
      </c>
      <c r="I37">
        <f t="shared" ca="1" si="17"/>
        <v>-77.186452595230207</v>
      </c>
      <c r="K37" t="str">
        <f t="shared" ca="1" si="4"/>
        <v>1+0.0680236895171343i</v>
      </c>
      <c r="L37" t="str">
        <f t="shared" ca="1" si="5"/>
        <v>1-0.00507160956925892i</v>
      </c>
      <c r="M37" t="str">
        <f t="shared" ca="1" si="6"/>
        <v>1+6.80236895171342i</v>
      </c>
      <c r="N37" t="str">
        <f t="shared" si="7"/>
        <v>1+0.0324193794899073i</v>
      </c>
      <c r="O37">
        <f t="shared" ca="1" si="8"/>
        <v>22.224473826228223</v>
      </c>
      <c r="P37" t="str">
        <f t="shared" ca="1" si="25"/>
        <v>0.56827195395631-3.18798304145632i</v>
      </c>
      <c r="Q37">
        <f t="shared" ca="1" si="19"/>
        <v>10.206168480165489</v>
      </c>
      <c r="R37">
        <f t="shared" ca="1" si="26"/>
        <v>-79.892933262713214</v>
      </c>
      <c r="T37" t="str">
        <f t="shared" si="9"/>
        <v>1+0.1976i</v>
      </c>
      <c r="U37" t="str">
        <f t="shared" si="10"/>
        <v>1+0.026i</v>
      </c>
      <c r="V37" t="str">
        <f t="shared" si="11"/>
        <v>-0.948886639676113i</v>
      </c>
      <c r="W37" t="str">
        <f t="shared" si="21"/>
        <v>0.162718949358655-0.953117332359438i</v>
      </c>
      <c r="X37">
        <f t="shared" si="22"/>
        <v>-0.29230145774261596</v>
      </c>
      <c r="Y37">
        <f t="shared" si="23"/>
        <v>-80.311704100409344</v>
      </c>
      <c r="Z37">
        <f t="shared" si="24"/>
        <v>413.80285203892788</v>
      </c>
      <c r="AA37">
        <f t="shared" ca="1" si="12"/>
        <v>9.913867022422874</v>
      </c>
      <c r="AB37">
        <f t="shared" ca="1" si="13"/>
        <v>-160.20463736312257</v>
      </c>
    </row>
    <row r="38" spans="1:28" x14ac:dyDescent="0.2">
      <c r="A38">
        <v>2700</v>
      </c>
      <c r="B38" t="str">
        <f t="shared" si="14"/>
        <v>2700i</v>
      </c>
      <c r="C38" t="str">
        <f t="shared" ca="1" si="0"/>
        <v>1+0.0706399852677932i</v>
      </c>
      <c r="D38" t="str">
        <f t="shared" ca="1" si="1"/>
        <v>1+0.0093805227909099i</v>
      </c>
      <c r="E38" t="str">
        <f t="shared" ca="1" si="2"/>
        <v>1+7.02860435742151i</v>
      </c>
      <c r="F38">
        <f t="shared" ca="1" si="3"/>
        <v>39.000923110829653</v>
      </c>
      <c r="G38" t="str">
        <f t="shared" ca="1" si="15"/>
        <v>1.20851031662764-5.37326719535091i</v>
      </c>
      <c r="H38">
        <f t="shared" ca="1" si="16"/>
        <v>14.81908171020468</v>
      </c>
      <c r="I38">
        <f t="shared" ca="1" si="17"/>
        <v>-77.324435514769647</v>
      </c>
      <c r="K38" t="str">
        <f t="shared" ca="1" si="4"/>
        <v>1+0.0706399852677932i</v>
      </c>
      <c r="L38" t="str">
        <f t="shared" ca="1" si="5"/>
        <v>1-0.00526667147576888i</v>
      </c>
      <c r="M38" t="str">
        <f t="shared" ca="1" si="6"/>
        <v>1+7.06399852677932i</v>
      </c>
      <c r="N38" t="str">
        <f t="shared" si="7"/>
        <v>1+0.0336662787010576i</v>
      </c>
      <c r="O38">
        <f t="shared" ca="1" si="8"/>
        <v>22.224473826228223</v>
      </c>
      <c r="P38" t="str">
        <f t="shared" ca="1" si="25"/>
        <v>0.53490359363489-3.07496185913233i</v>
      </c>
      <c r="Q38">
        <f t="shared" ca="1" si="19"/>
        <v>9.8862638275611161</v>
      </c>
      <c r="R38">
        <f t="shared" ca="1" si="26"/>
        <v>-80.131884973954627</v>
      </c>
      <c r="T38" t="str">
        <f t="shared" si="9"/>
        <v>1+0.2052i</v>
      </c>
      <c r="U38" t="str">
        <f t="shared" si="10"/>
        <v>1+0.027i</v>
      </c>
      <c r="V38" t="str">
        <f t="shared" si="11"/>
        <v>-0.91374269005848i</v>
      </c>
      <c r="W38" t="str">
        <f t="shared" si="21"/>
        <v>0.162710331536731-0.918135869009972i</v>
      </c>
      <c r="X38">
        <f t="shared" si="22"/>
        <v>-0.60756324282399499</v>
      </c>
      <c r="Y38">
        <f t="shared" si="23"/>
        <v>-79.950487494844708</v>
      </c>
      <c r="Z38">
        <f t="shared" si="24"/>
        <v>429.71834634811745</v>
      </c>
      <c r="AA38">
        <f t="shared" ca="1" si="12"/>
        <v>9.2787005847371216</v>
      </c>
      <c r="AB38">
        <f t="shared" ca="1" si="13"/>
        <v>-160.08237246879935</v>
      </c>
    </row>
    <row r="39" spans="1:28" x14ac:dyDescent="0.2">
      <c r="A39">
        <v>2800</v>
      </c>
      <c r="B39" t="str">
        <f t="shared" si="14"/>
        <v>2800i</v>
      </c>
      <c r="C39" t="str">
        <f t="shared" ca="1" si="0"/>
        <v>1+0.0732562810184523i</v>
      </c>
      <c r="D39" t="str">
        <f t="shared" ca="1" si="1"/>
        <v>1+0.0097279495609436i</v>
      </c>
      <c r="E39" t="str">
        <f t="shared" ca="1" si="2"/>
        <v>1+7.28892303732601i</v>
      </c>
      <c r="F39">
        <f t="shared" ca="1" si="3"/>
        <v>39.000923110829653</v>
      </c>
      <c r="G39" t="str">
        <f t="shared" ca="1" si="15"/>
        <v>1.15583409713339-5.18832418168407i</v>
      </c>
      <c r="H39">
        <f t="shared" ca="1" si="16"/>
        <v>14.510900898372501</v>
      </c>
      <c r="I39">
        <f t="shared" ca="1" si="17"/>
        <v>-77.440959958344351</v>
      </c>
      <c r="K39" t="str">
        <f t="shared" ca="1" si="4"/>
        <v>1+0.0732562810184523i</v>
      </c>
      <c r="L39" t="str">
        <f t="shared" ca="1" si="5"/>
        <v>1-0.00546173338227884i</v>
      </c>
      <c r="M39" t="str">
        <f t="shared" ca="1" si="6"/>
        <v>1+7.32562810184523i</v>
      </c>
      <c r="N39" t="str">
        <f t="shared" si="7"/>
        <v>1+0.0349131779122079i</v>
      </c>
      <c r="O39">
        <f t="shared" ca="1" si="8"/>
        <v>22.224473826228223</v>
      </c>
      <c r="P39" t="str">
        <f t="shared" ca="1" si="25"/>
        <v>0.504957351727995-2.9695583749665i</v>
      </c>
      <c r="Q39">
        <f t="shared" ca="1" si="19"/>
        <v>9.5776330192182755</v>
      </c>
      <c r="R39">
        <f t="shared" ca="1" si="26"/>
        <v>-80.349471355448301</v>
      </c>
      <c r="T39" t="str">
        <f t="shared" si="9"/>
        <v>1+0.2128i</v>
      </c>
      <c r="U39" t="str">
        <f t="shared" si="10"/>
        <v>1+0.028i</v>
      </c>
      <c r="V39" t="str">
        <f t="shared" si="11"/>
        <v>-0.881109022556391i</v>
      </c>
      <c r="W39" t="str">
        <f t="shared" si="21"/>
        <v>0.162701389479069-0.885664661461805i</v>
      </c>
      <c r="X39">
        <f t="shared" si="22"/>
        <v>-0.91046820299531495</v>
      </c>
      <c r="Y39">
        <f t="shared" si="23"/>
        <v>-79.590518376664036</v>
      </c>
      <c r="Z39">
        <f t="shared" si="24"/>
        <v>445.63384065730696</v>
      </c>
      <c r="AA39">
        <f t="shared" ca="1" si="12"/>
        <v>8.6671648162229609</v>
      </c>
      <c r="AB39">
        <f t="shared" ca="1" si="13"/>
        <v>-159.93998973211234</v>
      </c>
    </row>
    <row r="40" spans="1:28" x14ac:dyDescent="0.2">
      <c r="A40">
        <v>2900</v>
      </c>
      <c r="B40" t="str">
        <f t="shared" si="14"/>
        <v>2900i</v>
      </c>
      <c r="C40" t="str">
        <f t="shared" ca="1" si="0"/>
        <v>1+0.0758725767691113i</v>
      </c>
      <c r="D40" t="str">
        <f t="shared" ca="1" si="1"/>
        <v>1+0.0100753763309773i</v>
      </c>
      <c r="E40" t="str">
        <f t="shared" ca="1" si="2"/>
        <v>1+7.54924171723051i</v>
      </c>
      <c r="F40">
        <f t="shared" ca="1" si="3"/>
        <v>39.000923110829653</v>
      </c>
      <c r="G40" t="str">
        <f t="shared" ca="1" si="15"/>
        <v>1.10838725116185-5.01543376492771i</v>
      </c>
      <c r="H40">
        <f t="shared" ca="1" si="16"/>
        <v>14.213257931047263</v>
      </c>
      <c r="I40">
        <f t="shared" ca="1" si="17"/>
        <v>-77.538199436725009</v>
      </c>
      <c r="K40" t="str">
        <f t="shared" ca="1" si="4"/>
        <v>1+0.0758725767691113i</v>
      </c>
      <c r="L40" t="str">
        <f t="shared" ca="1" si="5"/>
        <v>1-0.0056567952887888i</v>
      </c>
      <c r="M40" t="str">
        <f t="shared" ca="1" si="6"/>
        <v>1+7.58725767691113i</v>
      </c>
      <c r="N40" t="str">
        <f t="shared" si="7"/>
        <v>1+0.0361600771233582i</v>
      </c>
      <c r="O40">
        <f t="shared" ca="1" si="8"/>
        <v>22.224473826228223</v>
      </c>
      <c r="P40" t="str">
        <f t="shared" ca="1" si="25"/>
        <v>0.477983127918539-2.8710438685064i</v>
      </c>
      <c r="Q40">
        <f t="shared" ca="1" si="19"/>
        <v>9.2795317720967159</v>
      </c>
      <c r="R40">
        <f t="shared" ca="1" si="26"/>
        <v>-80.547856198206418</v>
      </c>
      <c r="T40" t="str">
        <f t="shared" si="9"/>
        <v>1+0.2204i</v>
      </c>
      <c r="U40" t="str">
        <f t="shared" si="10"/>
        <v>1+0.029i</v>
      </c>
      <c r="V40" t="str">
        <f t="shared" si="11"/>
        <v>-0.850725952813067i</v>
      </c>
      <c r="W40" t="str">
        <f t="shared" si="21"/>
        <v>0.162692123292732-0.855444024388556i</v>
      </c>
      <c r="X40">
        <f t="shared" si="22"/>
        <v>-1.201857448455401</v>
      </c>
      <c r="Y40">
        <f t="shared" si="23"/>
        <v>-79.231835079072283</v>
      </c>
      <c r="Z40">
        <f t="shared" si="24"/>
        <v>461.54933496649647</v>
      </c>
      <c r="AA40">
        <f t="shared" ca="1" si="12"/>
        <v>8.0776743236413147</v>
      </c>
      <c r="AB40">
        <f t="shared" ca="1" si="13"/>
        <v>-159.77969127727869</v>
      </c>
    </row>
    <row r="41" spans="1:28" x14ac:dyDescent="0.2">
      <c r="A41">
        <v>3000</v>
      </c>
      <c r="B41" t="str">
        <f t="shared" si="14"/>
        <v>3000i</v>
      </c>
      <c r="C41" t="str">
        <f t="shared" ca="1" si="0"/>
        <v>1+0.0784888725197703i</v>
      </c>
      <c r="D41" t="str">
        <f t="shared" ca="1" si="1"/>
        <v>1+0.010422803101011i</v>
      </c>
      <c r="E41" t="str">
        <f t="shared" ca="1" si="2"/>
        <v>1+7.80956039713501i</v>
      </c>
      <c r="F41">
        <f t="shared" ca="1" si="3"/>
        <v>39.000923110829653</v>
      </c>
      <c r="G41" t="str">
        <f t="shared" ca="1" si="15"/>
        <v>1.06550343563554-4.8534760094095i</v>
      </c>
      <c r="H41">
        <f t="shared" ca="1" si="16"/>
        <v>13.925479479067203</v>
      </c>
      <c r="I41">
        <f t="shared" ca="1" si="17"/>
        <v>-77.618046300418143</v>
      </c>
      <c r="K41" t="str">
        <f t="shared" ca="1" si="4"/>
        <v>1+0.0784888725197703i</v>
      </c>
      <c r="L41" t="str">
        <f t="shared" ca="1" si="5"/>
        <v>1-0.00585185719529875i</v>
      </c>
      <c r="M41" t="str">
        <f t="shared" ca="1" si="6"/>
        <v>1+7.84888725197703i</v>
      </c>
      <c r="N41" t="str">
        <f t="shared" si="7"/>
        <v>1+0.0374069763345085i</v>
      </c>
      <c r="O41">
        <f t="shared" ca="1" si="8"/>
        <v>22.224473826228223</v>
      </c>
      <c r="P41" t="str">
        <f t="shared" ca="1" si="25"/>
        <v>0.453602058109574-2.77877770585752i</v>
      </c>
      <c r="Q41">
        <f t="shared" ca="1" si="19"/>
        <v>8.9912860100584062</v>
      </c>
      <c r="R41">
        <f t="shared" ca="1" si="26"/>
        <v>-80.728923280014698</v>
      </c>
      <c r="T41" t="str">
        <f t="shared" si="9"/>
        <v>1+0.228i</v>
      </c>
      <c r="U41" t="str">
        <f t="shared" si="10"/>
        <v>1+0.03i</v>
      </c>
      <c r="V41" t="str">
        <f t="shared" si="11"/>
        <v>-0.822368421052632i</v>
      </c>
      <c r="W41" t="str">
        <f t="shared" si="21"/>
        <v>0.162682533088641-0.827248897045291i</v>
      </c>
      <c r="X41">
        <f t="shared" si="22"/>
        <v>-1.4824870459512094</v>
      </c>
      <c r="Y41">
        <f t="shared" si="23"/>
        <v>-78.87447515477345</v>
      </c>
      <c r="Z41">
        <f t="shared" si="24"/>
        <v>477.46482927568604</v>
      </c>
      <c r="AA41">
        <f t="shared" ca="1" si="12"/>
        <v>7.5087989641071964</v>
      </c>
      <c r="AB41">
        <f t="shared" ca="1" si="13"/>
        <v>-159.60339843478815</v>
      </c>
    </row>
    <row r="42" spans="1:28" x14ac:dyDescent="0.2">
      <c r="A42">
        <v>3100</v>
      </c>
      <c r="B42" t="str">
        <f t="shared" si="14"/>
        <v>3100i</v>
      </c>
      <c r="C42" t="str">
        <f t="shared" ca="1" si="0"/>
        <v>1+0.0811051682704293i</v>
      </c>
      <c r="D42" t="str">
        <f t="shared" ca="1" si="1"/>
        <v>1+0.0107702298710447i</v>
      </c>
      <c r="E42" t="str">
        <f t="shared" ca="1" si="2"/>
        <v>1+8.06987907703951i</v>
      </c>
      <c r="F42">
        <f t="shared" ca="1" si="3"/>
        <v>39.000923110829653</v>
      </c>
      <c r="G42" t="str">
        <f t="shared" ca="1" si="15"/>
        <v>1.0266186231755-4.70146280857058i</v>
      </c>
      <c r="H42">
        <f t="shared" ca="1" si="16"/>
        <v>13.646953923241178</v>
      </c>
      <c r="I42">
        <f t="shared" ca="1" si="17"/>
        <v>-77.682155578624176</v>
      </c>
      <c r="K42" t="str">
        <f t="shared" ca="1" si="4"/>
        <v>1+0.0811051682704293i</v>
      </c>
      <c r="L42" t="str">
        <f t="shared" ca="1" si="5"/>
        <v>1-0.00604691910180871i</v>
      </c>
      <c r="M42" t="str">
        <f t="shared" ca="1" si="6"/>
        <v>1+8.11051682704293i</v>
      </c>
      <c r="N42" t="str">
        <f t="shared" si="7"/>
        <v>1+0.0386538755456588i</v>
      </c>
      <c r="O42">
        <f t="shared" ca="1" si="8"/>
        <v>22.224473826228223</v>
      </c>
      <c r="P42" t="str">
        <f t="shared" ca="1" si="25"/>
        <v>0.431493471256773-2.69219474035369i</v>
      </c>
      <c r="Q42">
        <f t="shared" ca="1" si="19"/>
        <v>8.7122834823285515</v>
      </c>
      <c r="R42">
        <f t="shared" ca="1" si="26"/>
        <v>-80.894320040467207</v>
      </c>
      <c r="T42" t="str">
        <f t="shared" si="9"/>
        <v>1+0.2356i</v>
      </c>
      <c r="U42" t="str">
        <f t="shared" si="10"/>
        <v>1+0.031i</v>
      </c>
      <c r="V42" t="str">
        <f t="shared" si="11"/>
        <v>-0.795840407470289i</v>
      </c>
      <c r="W42" t="str">
        <f t="shared" si="21"/>
        <v>0.16267261898158-0.800883258658718i</v>
      </c>
      <c r="X42">
        <f t="shared" si="22"/>
        <v>-1.7530391872018893</v>
      </c>
      <c r="Y42">
        <f t="shared" si="23"/>
        <v>-78.518475360950575</v>
      </c>
      <c r="Z42">
        <f t="shared" si="24"/>
        <v>493.38032358487555</v>
      </c>
      <c r="AA42">
        <f t="shared" ca="1" si="12"/>
        <v>6.9592442951266626</v>
      </c>
      <c r="AB42">
        <f t="shared" ca="1" si="13"/>
        <v>-159.41279540141778</v>
      </c>
    </row>
    <row r="43" spans="1:28" x14ac:dyDescent="0.2">
      <c r="A43">
        <v>3200</v>
      </c>
      <c r="B43" t="str">
        <f t="shared" si="14"/>
        <v>3200i</v>
      </c>
      <c r="C43" t="str">
        <f t="shared" ca="1" si="0"/>
        <v>1+0.0837214640210883i</v>
      </c>
      <c r="D43" t="str">
        <f t="shared" ca="1" si="1"/>
        <v>1+0.0111176566410784i</v>
      </c>
      <c r="E43" t="str">
        <f t="shared" ca="1" si="2"/>
        <v>1+8.33019775694401i</v>
      </c>
      <c r="F43">
        <f t="shared" ca="1" si="3"/>
        <v>39.000923110829653</v>
      </c>
      <c r="G43" t="str">
        <f t="shared" ca="1" si="15"/>
        <v>0.991252904785727-4.55851947116644i</v>
      </c>
      <c r="H43">
        <f t="shared" ca="1" si="16"/>
        <v>13.377124179202095</v>
      </c>
      <c r="I43">
        <f t="shared" ca="1" si="17"/>
        <v>-77.731980905090339</v>
      </c>
      <c r="K43" t="str">
        <f t="shared" ca="1" si="4"/>
        <v>1+0.0837214640210883i</v>
      </c>
      <c r="L43" t="str">
        <f t="shared" ca="1" si="5"/>
        <v>1-0.00624198100831867i</v>
      </c>
      <c r="M43" t="str">
        <f t="shared" ca="1" si="6"/>
        <v>1+8.37214640210883i</v>
      </c>
      <c r="N43" t="str">
        <f t="shared" si="7"/>
        <v>1+0.039900774756809i</v>
      </c>
      <c r="O43">
        <f t="shared" ca="1" si="8"/>
        <v>22.224473826228223</v>
      </c>
      <c r="P43" t="str">
        <f t="shared" ca="1" si="25"/>
        <v>0.411384535596473-2.61079475437069i</v>
      </c>
      <c r="Q43">
        <f t="shared" ca="1" si="19"/>
        <v>8.4419665678444407</v>
      </c>
      <c r="R43">
        <f t="shared" ca="1" si="26"/>
        <v>-81.045493369426453</v>
      </c>
      <c r="T43" t="str">
        <f t="shared" si="9"/>
        <v>1+0.2432i</v>
      </c>
      <c r="U43" t="str">
        <f t="shared" si="10"/>
        <v>1+0.032i</v>
      </c>
      <c r="V43" t="str">
        <f t="shared" si="11"/>
        <v>-0.770970394736842i</v>
      </c>
      <c r="W43" t="str">
        <f t="shared" si="21"/>
        <v>0.162662381090185-0.776175590931728i</v>
      </c>
      <c r="X43">
        <f t="shared" si="22"/>
        <v>-2.0141315828818609</v>
      </c>
      <c r="Y43">
        <f t="shared" si="23"/>
        <v>-78.163871645353652</v>
      </c>
      <c r="Z43">
        <f t="shared" si="24"/>
        <v>509.29581789406507</v>
      </c>
      <c r="AA43">
        <f t="shared" ca="1" si="12"/>
        <v>6.4278349849625798</v>
      </c>
      <c r="AB43">
        <f t="shared" ca="1" si="13"/>
        <v>-159.2093650147801</v>
      </c>
    </row>
    <row r="44" spans="1:28" x14ac:dyDescent="0.2">
      <c r="A44">
        <v>3300</v>
      </c>
      <c r="B44" t="str">
        <f t="shared" si="14"/>
        <v>3300i</v>
      </c>
      <c r="C44" t="str">
        <f t="shared" ca="1" si="0"/>
        <v>1+0.0863377597717473i</v>
      </c>
      <c r="D44" t="str">
        <f t="shared" ca="1" si="1"/>
        <v>1+0.0114650834111121i</v>
      </c>
      <c r="E44" t="str">
        <f t="shared" ca="1" si="2"/>
        <v>1+8.59051643684851i</v>
      </c>
      <c r="F44">
        <f t="shared" ca="1" si="3"/>
        <v>39.000923110829653</v>
      </c>
      <c r="G44" t="str">
        <f t="shared" ca="1" si="15"/>
        <v>0.958995941423435-4.4238692306738i</v>
      </c>
      <c r="H44">
        <f t="shared" ca="1" si="16"/>
        <v>13.115481513617819</v>
      </c>
      <c r="I44">
        <f t="shared" ca="1" si="17"/>
        <v>-77.76880414032351</v>
      </c>
      <c r="K44" t="str">
        <f t="shared" ca="1" si="4"/>
        <v>1+0.0863377597717473i</v>
      </c>
      <c r="L44" t="str">
        <f t="shared" ca="1" si="5"/>
        <v>1-0.00643704291482863i</v>
      </c>
      <c r="M44" t="str">
        <f t="shared" ca="1" si="6"/>
        <v>1+8.63377597717473i</v>
      </c>
      <c r="N44" t="str">
        <f t="shared" si="7"/>
        <v>1+0.0411476739679593i</v>
      </c>
      <c r="O44">
        <f t="shared" ca="1" si="8"/>
        <v>22.224473826228223</v>
      </c>
      <c r="P44" t="str">
        <f t="shared" ca="1" si="25"/>
        <v>0.39304198185866-2.53413358024485i</v>
      </c>
      <c r="Q44">
        <f t="shared" ca="1" si="19"/>
        <v>8.1798260750736951</v>
      </c>
      <c r="R44">
        <f t="shared" ca="1" si="26"/>
        <v>-81.183719113675579</v>
      </c>
      <c r="T44" t="str">
        <f t="shared" si="9"/>
        <v>1+0.2508i</v>
      </c>
      <c r="U44" t="str">
        <f t="shared" si="10"/>
        <v>1+0.033i</v>
      </c>
      <c r="V44" t="str">
        <f t="shared" si="11"/>
        <v>-0.747607655502392i</v>
      </c>
      <c r="W44" t="str">
        <f t="shared" si="21"/>
        <v>0.162651819536945-0.752975165547111i</v>
      </c>
      <c r="X44">
        <f t="shared" si="22"/>
        <v>-2.2663254099513677</v>
      </c>
      <c r="Y44">
        <f t="shared" si="23"/>
        <v>-77.810699133495376</v>
      </c>
      <c r="Z44">
        <f t="shared" si="24"/>
        <v>525.21131220325458</v>
      </c>
      <c r="AA44">
        <f t="shared" ca="1" si="12"/>
        <v>5.9135006651223279</v>
      </c>
      <c r="AB44">
        <f t="shared" ca="1" si="13"/>
        <v>-158.99441824717096</v>
      </c>
    </row>
    <row r="45" spans="1:28" x14ac:dyDescent="0.2">
      <c r="A45">
        <v>3400</v>
      </c>
      <c r="B45" t="str">
        <f t="shared" si="14"/>
        <v>3400i</v>
      </c>
      <c r="C45" t="str">
        <f t="shared" ca="1" si="0"/>
        <v>1+0.0889540555224063i</v>
      </c>
      <c r="D45" t="str">
        <f t="shared" ca="1" si="1"/>
        <v>1+0.0118125101811458i</v>
      </c>
      <c r="E45" t="str">
        <f t="shared" ca="1" si="2"/>
        <v>1+8.85083511675301i</v>
      </c>
      <c r="F45">
        <f t="shared" ca="1" si="3"/>
        <v>39.000923110829653</v>
      </c>
      <c r="G45" t="str">
        <f t="shared" ca="1" si="15"/>
        <v>0.929495255542123-4.29682016746093i</v>
      </c>
      <c r="H45">
        <f t="shared" ca="1" si="16"/>
        <v>12.861560195819074</v>
      </c>
      <c r="I45">
        <f t="shared" ca="1" si="17"/>
        <v>-77.793759937907538</v>
      </c>
      <c r="K45" t="str">
        <f t="shared" ca="1" si="4"/>
        <v>1+0.0889540555224063i</v>
      </c>
      <c r="L45" t="str">
        <f t="shared" ca="1" si="5"/>
        <v>1-0.00663210482133859i</v>
      </c>
      <c r="M45" t="str">
        <f t="shared" ca="1" si="6"/>
        <v>1+8.89540555224063i</v>
      </c>
      <c r="N45" t="str">
        <f t="shared" si="7"/>
        <v>1+0.0423945731791096i</v>
      </c>
      <c r="O45">
        <f t="shared" ca="1" si="8"/>
        <v>22.224473826228223</v>
      </c>
      <c r="P45" t="str">
        <f t="shared" ca="1" si="25"/>
        <v>0.376265442809487-2.46181560638461i</v>
      </c>
      <c r="Q45">
        <f t="shared" ca="1" si="19"/>
        <v>7.925395880450381</v>
      </c>
      <c r="R45">
        <f t="shared" ca="1" si="26"/>
        <v>-81.310126545688505</v>
      </c>
      <c r="T45" t="str">
        <f t="shared" si="9"/>
        <v>1+0.2584i</v>
      </c>
      <c r="U45" t="str">
        <f t="shared" si="10"/>
        <v>1+0.034i</v>
      </c>
      <c r="V45" t="str">
        <f t="shared" si="11"/>
        <v>-0.72561919504644i</v>
      </c>
      <c r="W45" t="str">
        <f t="shared" si="21"/>
        <v>0.162640934448199-0.731148986817679i</v>
      </c>
      <c r="X45">
        <f t="shared" si="22"/>
        <v>-2.5101320715857032</v>
      </c>
      <c r="Y45">
        <f t="shared" si="23"/>
        <v>-77.458992116954519</v>
      </c>
      <c r="Z45">
        <f t="shared" si="24"/>
        <v>541.1268065124442</v>
      </c>
      <c r="AA45">
        <f t="shared" ca="1" si="12"/>
        <v>5.4152638088646778</v>
      </c>
      <c r="AB45">
        <f t="shared" ca="1" si="13"/>
        <v>-158.76911866264302</v>
      </c>
    </row>
    <row r="46" spans="1:28" x14ac:dyDescent="0.2">
      <c r="A46">
        <v>3500</v>
      </c>
      <c r="B46" t="str">
        <f t="shared" si="14"/>
        <v>3500i</v>
      </c>
      <c r="C46" t="str">
        <f t="shared" ca="1" si="0"/>
        <v>1+0.0915703512730653i</v>
      </c>
      <c r="D46" t="str">
        <f t="shared" ca="1" si="1"/>
        <v>1+0.0121599369511795i</v>
      </c>
      <c r="E46" t="str">
        <f t="shared" ca="1" si="2"/>
        <v>1+9.11115379665751i</v>
      </c>
      <c r="F46">
        <f t="shared" ca="1" si="3"/>
        <v>39.000923110829653</v>
      </c>
      <c r="G46" t="str">
        <f t="shared" ca="1" si="15"/>
        <v>0.902446749041323-4.1767541285111i</v>
      </c>
      <c r="H46">
        <f t="shared" ca="1" si="16"/>
        <v>12.614932855945671</v>
      </c>
      <c r="I46">
        <f t="shared" ca="1" si="17"/>
        <v>-77.807856229457329</v>
      </c>
      <c r="K46" t="str">
        <f t="shared" ca="1" si="4"/>
        <v>1+0.0915703512730653i</v>
      </c>
      <c r="L46" t="str">
        <f t="shared" ca="1" si="5"/>
        <v>1-0.00682716672784855i</v>
      </c>
      <c r="M46" t="str">
        <f t="shared" ca="1" si="6"/>
        <v>1+9.15703512730653i</v>
      </c>
      <c r="N46" t="str">
        <f t="shared" si="7"/>
        <v>1+0.0436414723902599i</v>
      </c>
      <c r="O46">
        <f t="shared" ca="1" si="8"/>
        <v>22.224473826228223</v>
      </c>
      <c r="P46" t="str">
        <f t="shared" ca="1" si="25"/>
        <v>0.36088205976954-2.39348742968778i</v>
      </c>
      <c r="Q46">
        <f t="shared" ca="1" si="19"/>
        <v>7.6782482758383717</v>
      </c>
      <c r="R46">
        <f t="shared" ca="1" si="26"/>
        <v>-81.425718765948758</v>
      </c>
      <c r="T46" t="str">
        <f t="shared" si="9"/>
        <v>1+0.266i</v>
      </c>
      <c r="U46" t="str">
        <f t="shared" si="10"/>
        <v>1+0.035i</v>
      </c>
      <c r="V46" t="str">
        <f t="shared" si="11"/>
        <v>-0.704887218045113i</v>
      </c>
      <c r="W46" t="str">
        <f t="shared" si="21"/>
        <v>0.162629725954127-0.710579258453507i</v>
      </c>
      <c r="X46">
        <f t="shared" si="22"/>
        <v>-2.7460189763212277</v>
      </c>
      <c r="Y46">
        <f t="shared" si="23"/>
        <v>-77.108784042783128</v>
      </c>
      <c r="Z46">
        <f t="shared" si="24"/>
        <v>557.04230082163372</v>
      </c>
      <c r="AA46">
        <f t="shared" ca="1" si="12"/>
        <v>4.932229299517144</v>
      </c>
      <c r="AB46">
        <f t="shared" ca="1" si="13"/>
        <v>-158.53450280873187</v>
      </c>
    </row>
    <row r="47" spans="1:28" x14ac:dyDescent="0.2">
      <c r="A47">
        <v>3600</v>
      </c>
      <c r="B47" t="str">
        <f t="shared" si="14"/>
        <v>3600i</v>
      </c>
      <c r="C47" t="str">
        <f t="shared" ca="1" si="0"/>
        <v>1+0.0941866470237243i</v>
      </c>
      <c r="D47" t="str">
        <f t="shared" ca="1" si="1"/>
        <v>1+0.0125073637212132i</v>
      </c>
      <c r="E47" t="str">
        <f t="shared" ca="1" si="2"/>
        <v>1+9.37147247656201i</v>
      </c>
      <c r="F47">
        <f t="shared" ca="1" si="3"/>
        <v>39.000923110829653</v>
      </c>
      <c r="G47" t="str">
        <f t="shared" ca="1" si="15"/>
        <v>0.87758697860467-4.06311730633354i</v>
      </c>
      <c r="H47">
        <f t="shared" ca="1" si="16"/>
        <v>12.375206442727492</v>
      </c>
      <c r="I47">
        <f t="shared" ca="1" si="17"/>
        <v>-77.81199139473685</v>
      </c>
      <c r="K47" t="str">
        <f t="shared" ca="1" si="4"/>
        <v>1+0.0941866470237243i</v>
      </c>
      <c r="L47" t="str">
        <f t="shared" ca="1" si="5"/>
        <v>1-0.00702222863435851i</v>
      </c>
      <c r="M47" t="str">
        <f t="shared" ca="1" si="6"/>
        <v>1+9.41866470237243i</v>
      </c>
      <c r="N47" t="str">
        <f t="shared" si="7"/>
        <v>1+0.0448883716014102i</v>
      </c>
      <c r="O47">
        <f t="shared" ca="1" si="8"/>
        <v>22.224473826228223</v>
      </c>
      <c r="P47" t="str">
        <f t="shared" ca="1" si="25"/>
        <v>0.346742089096378-2.32883245972086i</v>
      </c>
      <c r="Q47">
        <f t="shared" ca="1" si="19"/>
        <v>7.4379899176094835</v>
      </c>
      <c r="R47">
        <f t="shared" ca="1" si="26"/>
        <v>-81.531389802814658</v>
      </c>
      <c r="T47" t="str">
        <f t="shared" si="9"/>
        <v>1+0.2736i</v>
      </c>
      <c r="U47" t="str">
        <f t="shared" si="10"/>
        <v>1+0.036i</v>
      </c>
      <c r="V47" t="str">
        <f t="shared" si="11"/>
        <v>-0.68530701754386i</v>
      </c>
      <c r="W47" t="str">
        <f t="shared" si="21"/>
        <v>0.162618194188752-0.691161272534655i</v>
      </c>
      <c r="X47">
        <f t="shared" si="22"/>
        <v>-2.9744145022715092</v>
      </c>
      <c r="Y47">
        <f t="shared" si="23"/>
        <v>-76.760107504011103</v>
      </c>
      <c r="Z47">
        <f t="shared" si="24"/>
        <v>572.95779513082323</v>
      </c>
      <c r="AA47">
        <f t="shared" ca="1" si="12"/>
        <v>4.4635754153379743</v>
      </c>
      <c r="AB47">
        <f t="shared" ca="1" si="13"/>
        <v>-158.29149730682576</v>
      </c>
    </row>
    <row r="48" spans="1:28" x14ac:dyDescent="0.2">
      <c r="A48">
        <v>3700</v>
      </c>
      <c r="B48" t="str">
        <f t="shared" si="14"/>
        <v>3700i</v>
      </c>
      <c r="C48" t="str">
        <f t="shared" ca="1" si="0"/>
        <v>1+0.0968029427743834i</v>
      </c>
      <c r="D48" t="str">
        <f t="shared" ca="1" si="1"/>
        <v>1+0.0128547904912469i</v>
      </c>
      <c r="E48" t="str">
        <f t="shared" ca="1" si="2"/>
        <v>1+9.63179115646651i</v>
      </c>
      <c r="F48">
        <f t="shared" ca="1" si="3"/>
        <v>39.000923110829653</v>
      </c>
      <c r="G48" t="str">
        <f t="shared" ca="1" si="15"/>
        <v>0.854686827250558-3.95541220065964i</v>
      </c>
      <c r="H48">
        <f t="shared" ca="1" si="16"/>
        <v>12.142018691976663</v>
      </c>
      <c r="I48">
        <f t="shared" ca="1" si="17"/>
        <v>-77.806968723898038</v>
      </c>
      <c r="K48" t="str">
        <f t="shared" ca="1" si="4"/>
        <v>1+0.0968029427743834i</v>
      </c>
      <c r="L48" t="str">
        <f t="shared" ca="1" si="5"/>
        <v>1-0.00721729054086846i</v>
      </c>
      <c r="M48" t="str">
        <f t="shared" ca="1" si="6"/>
        <v>1+9.68029427743833i</v>
      </c>
      <c r="N48" t="str">
        <f t="shared" si="7"/>
        <v>1+0.0461352708125605i</v>
      </c>
      <c r="O48">
        <f t="shared" ca="1" si="8"/>
        <v>22.224473826228223</v>
      </c>
      <c r="P48" t="str">
        <f t="shared" ca="1" si="25"/>
        <v>0.333715303041837-2.26756631583526i</v>
      </c>
      <c r="Q48">
        <f t="shared" ca="1" si="19"/>
        <v>7.2042582880061783</v>
      </c>
      <c r="R48">
        <f t="shared" ca="1" si="26"/>
        <v>-81.627939014823539</v>
      </c>
      <c r="T48" t="str">
        <f t="shared" si="9"/>
        <v>1+0.2812i</v>
      </c>
      <c r="U48" t="str">
        <f t="shared" si="10"/>
        <v>1+0.037i</v>
      </c>
      <c r="V48" t="str">
        <f t="shared" si="11"/>
        <v>-0.66678520625889i</v>
      </c>
      <c r="W48" t="str">
        <f t="shared" si="21"/>
        <v>0.162606339289933-0.672801640812618i</v>
      </c>
      <c r="X48">
        <f t="shared" si="22"/>
        <v>-3.1957122804439404</v>
      </c>
      <c r="Y48">
        <f t="shared" si="23"/>
        <v>-76.412994231240106</v>
      </c>
      <c r="Z48">
        <f t="shared" si="24"/>
        <v>588.87328944001274</v>
      </c>
      <c r="AA48">
        <f t="shared" ca="1" si="12"/>
        <v>4.0085460075622379</v>
      </c>
      <c r="AB48">
        <f t="shared" ca="1" si="13"/>
        <v>-158.04093324606364</v>
      </c>
    </row>
    <row r="49" spans="1:28" x14ac:dyDescent="0.2">
      <c r="A49">
        <v>3800</v>
      </c>
      <c r="B49" t="str">
        <f t="shared" si="14"/>
        <v>3800i</v>
      </c>
      <c r="C49" t="str">
        <f t="shared" ca="1" si="0"/>
        <v>1+0.0994192385250424i</v>
      </c>
      <c r="D49" t="str">
        <f t="shared" ca="1" si="1"/>
        <v>1+0.0132022172612806i</v>
      </c>
      <c r="E49" t="str">
        <f t="shared" ca="1" si="2"/>
        <v>1+9.89210983637101i</v>
      </c>
      <c r="F49">
        <f t="shared" ca="1" si="3"/>
        <v>39.000923110829653</v>
      </c>
      <c r="G49" t="str">
        <f t="shared" ca="1" si="15"/>
        <v>0.833546292010453-3.8531907365151i</v>
      </c>
      <c r="H49">
        <f t="shared" ca="1" si="16"/>
        <v>11.915035031559283</v>
      </c>
      <c r="I49">
        <f t="shared" ca="1" si="17"/>
        <v>-77.793508655503175</v>
      </c>
      <c r="K49" t="str">
        <f t="shared" ca="1" si="4"/>
        <v>1+0.0994192385250424i</v>
      </c>
      <c r="L49" t="str">
        <f t="shared" ca="1" si="5"/>
        <v>1-0.00741235244737842i</v>
      </c>
      <c r="M49" t="str">
        <f t="shared" ca="1" si="6"/>
        <v>1+9.94192385250424i</v>
      </c>
      <c r="N49" t="str">
        <f t="shared" si="7"/>
        <v>1+0.0473821700237107i</v>
      </c>
      <c r="O49">
        <f t="shared" ca="1" si="8"/>
        <v>22.224473826228223</v>
      </c>
      <c r="P49" t="str">
        <f t="shared" ca="1" si="25"/>
        <v>0.321688025572651-2.20943288718754i</v>
      </c>
      <c r="Q49">
        <f t="shared" ca="1" si="19"/>
        <v>6.9767185942415813</v>
      </c>
      <c r="R49">
        <f t="shared" ca="1" si="26"/>
        <v>-81.716083277407535</v>
      </c>
      <c r="T49" t="str">
        <f t="shared" si="9"/>
        <v>1+0.2888i</v>
      </c>
      <c r="U49" t="str">
        <f t="shared" si="10"/>
        <v>1+0.038i</v>
      </c>
      <c r="V49" t="str">
        <f t="shared" si="11"/>
        <v>-0.649238227146814i</v>
      </c>
      <c r="W49" t="str">
        <f t="shared" si="21"/>
        <v>0.16259416139936-0.65541680527999i</v>
      </c>
      <c r="X49">
        <f t="shared" si="22"/>
        <v>-3.4102749061551592</v>
      </c>
      <c r="Y49">
        <f t="shared" si="23"/>
        <v>-76.067475085316275</v>
      </c>
      <c r="Z49">
        <f t="shared" si="24"/>
        <v>604.78878374920225</v>
      </c>
      <c r="AA49">
        <f t="shared" ca="1" si="12"/>
        <v>3.5664436880864221</v>
      </c>
      <c r="AB49">
        <f t="shared" ca="1" si="13"/>
        <v>-157.7835583627238</v>
      </c>
    </row>
    <row r="50" spans="1:28" x14ac:dyDescent="0.2">
      <c r="A50">
        <v>3900</v>
      </c>
      <c r="B50" t="str">
        <f t="shared" si="14"/>
        <v>3900i</v>
      </c>
      <c r="C50" t="str">
        <f t="shared" ca="1" si="0"/>
        <v>1+0.102035534275701i</v>
      </c>
      <c r="D50" t="str">
        <f t="shared" ca="1" si="1"/>
        <v>1+0.0135496440313143i</v>
      </c>
      <c r="E50" t="str">
        <f t="shared" ca="1" si="2"/>
        <v>1+10.1524285162755i</v>
      </c>
      <c r="F50">
        <f t="shared" ca="1" si="3"/>
        <v>39.000923110829653</v>
      </c>
      <c r="G50" t="str">
        <f t="shared" ca="1" si="15"/>
        <v>0.813990169081754-3.75604835265008i</v>
      </c>
      <c r="H50">
        <f t="shared" ca="1" si="16"/>
        <v>11.693945860664821</v>
      </c>
      <c r="I50">
        <f t="shared" ca="1" si="17"/>
        <v>-77.772259178071081</v>
      </c>
      <c r="K50" t="str">
        <f t="shared" ca="1" si="4"/>
        <v>1+0.102035534275701i</v>
      </c>
      <c r="L50" t="str">
        <f t="shared" ca="1" si="5"/>
        <v>1-0.00760741435388838i</v>
      </c>
      <c r="M50" t="str">
        <f t="shared" ca="1" si="6"/>
        <v>1+10.2035534275701i</v>
      </c>
      <c r="N50" t="str">
        <f t="shared" si="7"/>
        <v>1+0.048629069234861i</v>
      </c>
      <c r="O50">
        <f t="shared" ca="1" si="8"/>
        <v>22.224473826228223</v>
      </c>
      <c r="P50" t="str">
        <f t="shared" ca="1" si="25"/>
        <v>0.310560678720875-2.15420094887571i</v>
      </c>
      <c r="Q50">
        <f t="shared" ca="1" si="19"/>
        <v>6.7550610429079327</v>
      </c>
      <c r="R50">
        <f t="shared" ca="1" si="26"/>
        <v>-81.796467340370938</v>
      </c>
      <c r="T50" t="str">
        <f t="shared" si="9"/>
        <v>1+0.2964i</v>
      </c>
      <c r="U50" t="str">
        <f t="shared" si="10"/>
        <v>1+0.039i</v>
      </c>
      <c r="V50" t="str">
        <f t="shared" si="11"/>
        <v>-0.632591093117409i</v>
      </c>
      <c r="W50" t="str">
        <f t="shared" si="21"/>
        <v>0.162581660662553-0.638931777883249i</v>
      </c>
      <c r="X50">
        <f t="shared" si="22"/>
        <v>-3.618437167717838</v>
      </c>
      <c r="Y50">
        <f t="shared" si="23"/>
        <v>-75.723580051068424</v>
      </c>
      <c r="Z50">
        <f t="shared" si="24"/>
        <v>620.70427805839188</v>
      </c>
      <c r="AA50">
        <f t="shared" ca="1" si="12"/>
        <v>3.1366238751900948</v>
      </c>
      <c r="AB50">
        <f t="shared" ca="1" si="13"/>
        <v>-157.52004739143936</v>
      </c>
    </row>
    <row r="51" spans="1:28" x14ac:dyDescent="0.2">
      <c r="A51">
        <v>4000</v>
      </c>
      <c r="B51" t="str">
        <f t="shared" si="14"/>
        <v>4000i</v>
      </c>
      <c r="C51" t="str">
        <f t="shared" ca="1" si="0"/>
        <v>1+0.10465183002636i</v>
      </c>
      <c r="D51" t="str">
        <f t="shared" ca="1" si="1"/>
        <v>1+0.013897070801348i</v>
      </c>
      <c r="E51" t="str">
        <f t="shared" ca="1" si="2"/>
        <v>1+10.41274719618i</v>
      </c>
      <c r="F51">
        <f t="shared" ca="1" si="3"/>
        <v>39.000923110829653</v>
      </c>
      <c r="G51" t="str">
        <f t="shared" ca="1" si="15"/>
        <v>0.795864464673376-3.66361890701218i</v>
      </c>
      <c r="H51">
        <f t="shared" ca="1" si="16"/>
        <v>11.47846415110836</v>
      </c>
      <c r="I51">
        <f t="shared" ca="1" si="17"/>
        <v>-77.743804707774146</v>
      </c>
      <c r="K51" t="str">
        <f t="shared" ca="1" si="4"/>
        <v>1+0.10465183002636i</v>
      </c>
      <c r="L51" t="str">
        <f t="shared" ca="1" si="5"/>
        <v>1-0.00780247626039834i</v>
      </c>
      <c r="M51" t="str">
        <f t="shared" ca="1" si="6"/>
        <v>1+10.465183002636i</v>
      </c>
      <c r="N51" t="str">
        <f t="shared" si="7"/>
        <v>1+0.0498759684460113i</v>
      </c>
      <c r="O51">
        <f t="shared" ca="1" si="8"/>
        <v>22.224473826228223</v>
      </c>
      <c r="P51" t="str">
        <f t="shared" ca="1" si="25"/>
        <v>0.300245741714496-2.10166124621202i</v>
      </c>
      <c r="Q51">
        <f t="shared" ca="1" si="19"/>
        <v>6.5389984372358043</v>
      </c>
      <c r="R51">
        <f t="shared" ca="1" si="26"/>
        <v>-81.869672667613386</v>
      </c>
      <c r="T51" t="str">
        <f t="shared" si="9"/>
        <v>1+0.304i</v>
      </c>
      <c r="U51" t="str">
        <f t="shared" si="10"/>
        <v>1+0.04i</v>
      </c>
      <c r="V51" t="str">
        <f t="shared" si="11"/>
        <v>-0.616776315789474i</v>
      </c>
      <c r="W51" t="str">
        <f t="shared" si="21"/>
        <v>0.162568837228855-0.623279069278628i</v>
      </c>
      <c r="X51">
        <f t="shared" si="22"/>
        <v>-3.8205088657618305</v>
      </c>
      <c r="Y51">
        <f t="shared" si="23"/>
        <v>-75.381338232097747</v>
      </c>
      <c r="Z51">
        <f t="shared" si="24"/>
        <v>636.61977236758139</v>
      </c>
      <c r="AA51">
        <f t="shared" ca="1" si="12"/>
        <v>2.7184895714739739</v>
      </c>
      <c r="AB51">
        <f t="shared" ca="1" si="13"/>
        <v>-157.25101089971113</v>
      </c>
    </row>
    <row r="52" spans="1:28" x14ac:dyDescent="0.2">
      <c r="A52">
        <v>4100</v>
      </c>
      <c r="B52" t="str">
        <f t="shared" si="14"/>
        <v>4100i</v>
      </c>
      <c r="C52" t="str">
        <f t="shared" ca="1" si="0"/>
        <v>1+0.107268125777019i</v>
      </c>
      <c r="D52" t="str">
        <f t="shared" ca="1" si="1"/>
        <v>1+0.0142444975713817i</v>
      </c>
      <c r="E52" t="str">
        <f t="shared" ca="1" si="2"/>
        <v>1+10.6730658760845i</v>
      </c>
      <c r="F52">
        <f t="shared" ca="1" si="3"/>
        <v>39.000923110829653</v>
      </c>
      <c r="G52" t="str">
        <f t="shared" ca="1" si="15"/>
        <v>0.779033395767347-3.57557027248852i</v>
      </c>
      <c r="H52">
        <f t="shared" ca="1" si="16"/>
        <v>11.268323326586122</v>
      </c>
      <c r="I52">
        <f t="shared" ca="1" si="17"/>
        <v>-77.708673695730312</v>
      </c>
      <c r="K52" t="str">
        <f t="shared" ca="1" si="4"/>
        <v>1+0.107268125777019i</v>
      </c>
      <c r="L52" t="str">
        <f t="shared" ca="1" si="5"/>
        <v>1-0.0079975381669083i</v>
      </c>
      <c r="M52" t="str">
        <f t="shared" ca="1" si="6"/>
        <v>1+10.7268125777019i</v>
      </c>
      <c r="N52" t="str">
        <f t="shared" si="7"/>
        <v>1+0.0511228676571616i</v>
      </c>
      <c r="O52">
        <f t="shared" ca="1" si="8"/>
        <v>22.224473826228223</v>
      </c>
      <c r="P52" t="str">
        <f t="shared" ca="1" si="25"/>
        <v>0.290666045633916-2.05162397440828i</v>
      </c>
      <c r="Q52">
        <f t="shared" ca="1" si="19"/>
        <v>6.3282640529707344</v>
      </c>
      <c r="R52">
        <f t="shared" ca="1" si="26"/>
        <v>-81.936225011595639</v>
      </c>
      <c r="T52" t="str">
        <f t="shared" si="9"/>
        <v>1+0.3116i</v>
      </c>
      <c r="U52" t="str">
        <f t="shared" si="10"/>
        <v>1+0.041i</v>
      </c>
      <c r="V52" t="str">
        <f t="shared" si="11"/>
        <v>-0.601732991014121i</v>
      </c>
      <c r="W52" t="str">
        <f t="shared" si="21"/>
        <v>0.162555691251427-0.60839777435543i</v>
      </c>
      <c r="X52">
        <f t="shared" si="22"/>
        <v>-4.0167772838679214</v>
      </c>
      <c r="Y52">
        <f t="shared" si="23"/>
        <v>-75.04077784660187</v>
      </c>
      <c r="Z52">
        <f t="shared" si="24"/>
        <v>652.5352666767709</v>
      </c>
      <c r="AA52">
        <f t="shared" ca="1" si="12"/>
        <v>2.3114867691028129</v>
      </c>
      <c r="AB52">
        <f t="shared" ca="1" si="13"/>
        <v>-156.97700285819752</v>
      </c>
    </row>
    <row r="53" spans="1:28" x14ac:dyDescent="0.2">
      <c r="A53">
        <v>4200</v>
      </c>
      <c r="B53" t="str">
        <f t="shared" si="14"/>
        <v>4200i</v>
      </c>
      <c r="C53" t="str">
        <f t="shared" ca="1" si="0"/>
        <v>1+0.109884421527678i</v>
      </c>
      <c r="D53" t="str">
        <f t="shared" ca="1" si="1"/>
        <v>1+0.0145919243414154i</v>
      </c>
      <c r="E53" t="str">
        <f t="shared" ca="1" si="2"/>
        <v>1+10.933384555989i</v>
      </c>
      <c r="F53">
        <f t="shared" ca="1" si="3"/>
        <v>39.000923110829653</v>
      </c>
      <c r="G53" t="str">
        <f t="shared" ca="1" si="15"/>
        <v>0.763376872857727-3.4916005177443i</v>
      </c>
      <c r="H53">
        <f t="shared" ca="1" si="16"/>
        <v>11.063275382583704</v>
      </c>
      <c r="I53">
        <f t="shared" ca="1" si="17"/>
        <v>-77.667345171420891</v>
      </c>
      <c r="K53" t="str">
        <f t="shared" ca="1" si="4"/>
        <v>1+0.109884421527678i</v>
      </c>
      <c r="L53" t="str">
        <f t="shared" ca="1" si="5"/>
        <v>1-0.00819260007341826i</v>
      </c>
      <c r="M53" t="str">
        <f t="shared" ca="1" si="6"/>
        <v>1+10.9884421527678i</v>
      </c>
      <c r="N53" t="str">
        <f t="shared" si="7"/>
        <v>1+0.0523697668683119i</v>
      </c>
      <c r="O53">
        <f t="shared" ca="1" si="8"/>
        <v>22.224473826228223</v>
      </c>
      <c r="P53" t="str">
        <f t="shared" ca="1" si="25"/>
        <v>0.281753342184565-2.00391659336045i</v>
      </c>
      <c r="Q53">
        <f t="shared" ca="1" si="19"/>
        <v>6.1226097554466365</v>
      </c>
      <c r="R53">
        <f t="shared" ca="1" si="26"/>
        <v>-81.996600928294612</v>
      </c>
      <c r="T53" t="str">
        <f t="shared" si="9"/>
        <v>1+0.3192i</v>
      </c>
      <c r="U53" t="str">
        <f t="shared" si="10"/>
        <v>1+0.042i</v>
      </c>
      <c r="V53" t="str">
        <f t="shared" si="11"/>
        <v>-0.587406015037594i</v>
      </c>
      <c r="W53" t="str">
        <f t="shared" si="21"/>
        <v>0.162542222887248-0.594232788398858i</v>
      </c>
      <c r="X53">
        <f t="shared" si="22"/>
        <v>-4.2075093609544192</v>
      </c>
      <c r="Y53">
        <f t="shared" si="23"/>
        <v>-74.701926224214205</v>
      </c>
      <c r="Z53">
        <f t="shared" si="24"/>
        <v>668.45076098596041</v>
      </c>
      <c r="AA53">
        <f t="shared" ca="1" si="12"/>
        <v>1.9151003944922174</v>
      </c>
      <c r="AB53">
        <f t="shared" ca="1" si="13"/>
        <v>-156.6985271525088</v>
      </c>
    </row>
    <row r="54" spans="1:28" x14ac:dyDescent="0.2">
      <c r="A54">
        <v>4300</v>
      </c>
      <c r="B54" t="str">
        <f t="shared" si="14"/>
        <v>4300i</v>
      </c>
      <c r="C54" t="str">
        <f t="shared" ca="1" si="0"/>
        <v>1+0.112500717278337i</v>
      </c>
      <c r="D54" t="str">
        <f t="shared" ca="1" si="1"/>
        <v>1+0.0149393511114491i</v>
      </c>
      <c r="E54" t="str">
        <f t="shared" ca="1" si="2"/>
        <v>1+11.1937032358935i</v>
      </c>
      <c r="F54">
        <f t="shared" ca="1" si="3"/>
        <v>39.000923110829653</v>
      </c>
      <c r="G54" t="str">
        <f t="shared" ca="1" si="15"/>
        <v>0.748788378384936-3.41143458561798i</v>
      </c>
      <c r="H54">
        <f t="shared" ca="1" si="16"/>
        <v>10.863089215270886</v>
      </c>
      <c r="I54">
        <f t="shared" ca="1" si="17"/>
        <v>-77.620254391376022</v>
      </c>
      <c r="K54" t="str">
        <f t="shared" ca="1" si="4"/>
        <v>1+0.112500717278337i</v>
      </c>
      <c r="L54" t="str">
        <f t="shared" ca="1" si="5"/>
        <v>1-0.00838766197992821i</v>
      </c>
      <c r="M54" t="str">
        <f t="shared" ca="1" si="6"/>
        <v>1+11.2500717278337i</v>
      </c>
      <c r="N54" t="str">
        <f t="shared" si="7"/>
        <v>1+0.0536166660794622i</v>
      </c>
      <c r="O54">
        <f t="shared" ca="1" si="8"/>
        <v>22.224473826228223</v>
      </c>
      <c r="P54" t="str">
        <f t="shared" ca="1" si="25"/>
        <v>0.273447097500885-1.95838192734409i</v>
      </c>
      <c r="Q54">
        <f t="shared" ca="1" si="19"/>
        <v>5.9218043260898838</v>
      </c>
      <c r="R54">
        <f t="shared" ca="1" si="26"/>
        <v>-82.051233401136059</v>
      </c>
      <c r="T54" t="str">
        <f t="shared" si="9"/>
        <v>1+0.3268i</v>
      </c>
      <c r="U54" t="str">
        <f t="shared" si="10"/>
        <v>1+0.043i</v>
      </c>
      <c r="V54" t="str">
        <f t="shared" si="11"/>
        <v>-0.57374541003672i</v>
      </c>
      <c r="W54" t="str">
        <f t="shared" si="21"/>
        <v>0.162528432297104-0.580734132625495i</v>
      </c>
      <c r="X54">
        <f t="shared" si="22"/>
        <v>-4.3929536075458877</v>
      </c>
      <c r="Y54">
        <f t="shared" si="23"/>
        <v>-74.364809803840075</v>
      </c>
      <c r="Z54">
        <f t="shared" si="24"/>
        <v>684.36625529514993</v>
      </c>
      <c r="AA54">
        <f t="shared" ca="1" si="12"/>
        <v>1.5288507185439961</v>
      </c>
      <c r="AB54">
        <f t="shared" ca="1" si="13"/>
        <v>-156.41604320497612</v>
      </c>
    </row>
    <row r="55" spans="1:28" x14ac:dyDescent="0.2">
      <c r="A55">
        <v>4400</v>
      </c>
      <c r="B55" t="str">
        <f t="shared" si="14"/>
        <v>4400i</v>
      </c>
      <c r="C55" t="str">
        <f t="shared" ca="1" si="0"/>
        <v>1+0.115117013028996i</v>
      </c>
      <c r="D55" t="str">
        <f t="shared" ca="1" si="1"/>
        <v>1+0.0152867778814828i</v>
      </c>
      <c r="E55" t="str">
        <f t="shared" ca="1" si="2"/>
        <v>1+11.454021915798i</v>
      </c>
      <c r="F55">
        <f t="shared" ca="1" si="3"/>
        <v>39.000923110829653</v>
      </c>
      <c r="G55" t="str">
        <f t="shared" ca="1" si="15"/>
        <v>0.735173171531585-3.33482139596921i</v>
      </c>
      <c r="H55">
        <f t="shared" ca="1" si="16"/>
        <v>10.667549132411418</v>
      </c>
      <c r="I55">
        <f t="shared" ca="1" si="17"/>
        <v>-77.567797732300562</v>
      </c>
      <c r="K55" t="str">
        <f t="shared" ca="1" si="4"/>
        <v>1+0.115117013028996i</v>
      </c>
      <c r="L55" t="str">
        <f t="shared" ca="1" si="5"/>
        <v>1-0.00858272388643817i</v>
      </c>
      <c r="M55" t="str">
        <f t="shared" ca="1" si="6"/>
        <v>1+11.5117013028996i</v>
      </c>
      <c r="N55" t="str">
        <f t="shared" si="7"/>
        <v>1+0.0548635652906124i</v>
      </c>
      <c r="O55">
        <f t="shared" ca="1" si="8"/>
        <v>22.224473826228223</v>
      </c>
      <c r="P55" t="str">
        <f t="shared" ca="1" si="25"/>
        <v>0.265693471541507-1.91487650772053i</v>
      </c>
      <c r="Q55">
        <f t="shared" ca="1" si="19"/>
        <v>5.7256319713075339</v>
      </c>
      <c r="R55">
        <f t="shared" ca="1" si="26"/>
        <v>-82.100516712532098</v>
      </c>
      <c r="T55" t="str">
        <f t="shared" si="9"/>
        <v>1+0.3344i</v>
      </c>
      <c r="U55" t="str">
        <f t="shared" si="10"/>
        <v>1+0.044i</v>
      </c>
      <c r="V55" t="str">
        <f t="shared" si="11"/>
        <v>-0.560705741626794i</v>
      </c>
      <c r="W55" t="str">
        <f t="shared" si="21"/>
        <v>0.162514319645587-0.5678563716912i</v>
      </c>
      <c r="X55">
        <f t="shared" si="22"/>
        <v>-4.5733418012727878</v>
      </c>
      <c r="Y55">
        <f t="shared" si="23"/>
        <v>-74.029454132465574</v>
      </c>
      <c r="Z55">
        <f t="shared" si="24"/>
        <v>700.28174960433955</v>
      </c>
      <c r="AA55">
        <f t="shared" ca="1" si="12"/>
        <v>1.1522901700347461</v>
      </c>
      <c r="AB55">
        <f t="shared" ca="1" si="13"/>
        <v>-156.12997084499767</v>
      </c>
    </row>
    <row r="56" spans="1:28" x14ac:dyDescent="0.2">
      <c r="A56">
        <v>4500</v>
      </c>
      <c r="B56" t="str">
        <f t="shared" si="14"/>
        <v>4500i</v>
      </c>
      <c r="C56" t="str">
        <f t="shared" ca="1" si="0"/>
        <v>1+0.117733308779655i</v>
      </c>
      <c r="D56" t="str">
        <f t="shared" ca="1" si="1"/>
        <v>1+0.0156342046515165i</v>
      </c>
      <c r="E56" t="str">
        <f t="shared" ca="1" si="2"/>
        <v>1+11.7143405957025i</v>
      </c>
      <c r="F56">
        <f t="shared" ca="1" si="3"/>
        <v>39.000923110829653</v>
      </c>
      <c r="G56" t="str">
        <f t="shared" ca="1" si="15"/>
        <v>0.722446763384213-3.26153131173391i</v>
      </c>
      <c r="H56">
        <f t="shared" ca="1" si="16"/>
        <v>10.476453523245848</v>
      </c>
      <c r="I56">
        <f t="shared" ca="1" si="17"/>
        <v>-77.510336943676421</v>
      </c>
      <c r="K56" t="str">
        <f t="shared" ca="1" si="4"/>
        <v>1+0.117733308779655i</v>
      </c>
      <c r="L56" t="str">
        <f t="shared" ca="1" si="5"/>
        <v>1-0.00877778579294813i</v>
      </c>
      <c r="M56" t="str">
        <f t="shared" ca="1" si="6"/>
        <v>1+11.7733308779655i</v>
      </c>
      <c r="N56" t="str">
        <f t="shared" si="7"/>
        <v>1+0.0561104645017627i</v>
      </c>
      <c r="O56">
        <f t="shared" ca="1" si="8"/>
        <v>22.224473826228223</v>
      </c>
      <c r="P56" t="str">
        <f t="shared" ca="1" si="25"/>
        <v>0.258444451224767-1.87326912355706i</v>
      </c>
      <c r="Q56">
        <f t="shared" ca="1" si="19"/>
        <v>5.5338909906522096</v>
      </c>
      <c r="R56">
        <f t="shared" ca="1" si="26"/>
        <v>-82.144810677603942</v>
      </c>
      <c r="T56" t="str">
        <f t="shared" si="9"/>
        <v>1+0.342i</v>
      </c>
      <c r="U56" t="str">
        <f t="shared" si="10"/>
        <v>1+0.045i</v>
      </c>
      <c r="V56" t="str">
        <f t="shared" si="11"/>
        <v>-0.548245614035088i</v>
      </c>
      <c r="W56" t="str">
        <f t="shared" si="21"/>
        <v>0.162499885101091-0.555558108864637i</v>
      </c>
      <c r="X56">
        <f t="shared" si="22"/>
        <v>-4.7488904913880496</v>
      </c>
      <c r="Y56">
        <f t="shared" si="23"/>
        <v>-73.695883864917448</v>
      </c>
      <c r="Z56">
        <f t="shared" si="24"/>
        <v>716.19724391352906</v>
      </c>
      <c r="AA56">
        <f t="shared" ca="1" si="12"/>
        <v>0.78500049926415993</v>
      </c>
      <c r="AB56">
        <f t="shared" ca="1" si="13"/>
        <v>-155.84069454252139</v>
      </c>
    </row>
    <row r="57" spans="1:28" x14ac:dyDescent="0.2">
      <c r="A57">
        <v>4600</v>
      </c>
      <c r="B57" t="str">
        <f t="shared" si="14"/>
        <v>4600i</v>
      </c>
      <c r="C57" t="str">
        <f t="shared" ca="1" si="0"/>
        <v>1+0.120349604530314i</v>
      </c>
      <c r="D57" t="str">
        <f t="shared" ca="1" si="1"/>
        <v>1+0.0159816314215502i</v>
      </c>
      <c r="E57" t="str">
        <f t="shared" ca="1" si="2"/>
        <v>1+11.974659275607i</v>
      </c>
      <c r="F57">
        <f t="shared" ca="1" si="3"/>
        <v>39.000923110829653</v>
      </c>
      <c r="G57" t="str">
        <f t="shared" ca="1" si="15"/>
        <v>0.710533617019534-3.19135391671053i</v>
      </c>
      <c r="H57">
        <f t="shared" ca="1" si="16"/>
        <v>10.289613667600431</v>
      </c>
      <c r="I57">
        <f t="shared" ca="1" si="17"/>
        <v>-77.448202855335197</v>
      </c>
      <c r="K57" t="str">
        <f t="shared" ca="1" si="4"/>
        <v>1+0.120349604530314i</v>
      </c>
      <c r="L57" t="str">
        <f t="shared" ca="1" si="5"/>
        <v>1-0.00897284769945809i</v>
      </c>
      <c r="M57" t="str">
        <f t="shared" ca="1" si="6"/>
        <v>1+12.0349604530314i</v>
      </c>
      <c r="N57" t="str">
        <f t="shared" si="7"/>
        <v>1+0.057357363712913i</v>
      </c>
      <c r="O57">
        <f t="shared" ca="1" si="8"/>
        <v>22.224473826228223</v>
      </c>
      <c r="P57" t="str">
        <f t="shared" ca="1" si="25"/>
        <v>0.251657111458921-1.83343955066985i</v>
      </c>
      <c r="Q57">
        <f t="shared" ca="1" si="19"/>
        <v>5.3463925844669467</v>
      </c>
      <c r="R57">
        <f t="shared" ca="1" si="26"/>
        <v>-82.184444335197568</v>
      </c>
      <c r="T57" t="str">
        <f t="shared" si="9"/>
        <v>1+0.3496i</v>
      </c>
      <c r="U57" t="str">
        <f t="shared" si="10"/>
        <v>1+0.046i</v>
      </c>
      <c r="V57" t="str">
        <f t="shared" si="11"/>
        <v>-0.536327231121281i</v>
      </c>
      <c r="W57" t="str">
        <f t="shared" si="21"/>
        <v>0.162485128835805-0.543801547047728i</v>
      </c>
      <c r="X57">
        <f t="shared" si="22"/>
        <v>-4.9198023375039384</v>
      </c>
      <c r="Y57">
        <f t="shared" si="23"/>
        <v>-73.364122764548995</v>
      </c>
      <c r="Z57">
        <f t="shared" si="24"/>
        <v>732.11273822271858</v>
      </c>
      <c r="AA57">
        <f t="shared" ca="1" si="12"/>
        <v>0.42659024696300829</v>
      </c>
      <c r="AB57">
        <f t="shared" ca="1" si="13"/>
        <v>-155.54856709974655</v>
      </c>
    </row>
    <row r="58" spans="1:28" x14ac:dyDescent="0.2">
      <c r="A58">
        <v>4700</v>
      </c>
      <c r="B58" t="str">
        <f t="shared" si="14"/>
        <v>4700i</v>
      </c>
      <c r="C58" t="str">
        <f t="shared" ca="1" si="0"/>
        <v>1+0.122965900280973i</v>
      </c>
      <c r="D58" t="str">
        <f t="shared" ca="1" si="1"/>
        <v>1+0.0163290581915839i</v>
      </c>
      <c r="E58" t="str">
        <f t="shared" ca="1" si="2"/>
        <v>1+12.2349779555115i</v>
      </c>
      <c r="F58">
        <f t="shared" ca="1" si="3"/>
        <v>39.000923110829653</v>
      </c>
      <c r="G58" t="str">
        <f t="shared" ca="1" si="15"/>
        <v>0.699366035468587-3.12409606167724i</v>
      </c>
      <c r="H58">
        <f t="shared" ca="1" si="16"/>
        <v>10.106852667249427</v>
      </c>
      <c r="I58">
        <f t="shared" ca="1" si="17"/>
        <v>-77.381698619602318</v>
      </c>
      <c r="K58" t="str">
        <f t="shared" ca="1" si="4"/>
        <v>1+0.122965900280973i</v>
      </c>
      <c r="L58" t="str">
        <f t="shared" ca="1" si="5"/>
        <v>1-0.00916790960596805i</v>
      </c>
      <c r="M58" t="str">
        <f t="shared" ca="1" si="6"/>
        <v>1+12.2965900280973i</v>
      </c>
      <c r="N58" t="str">
        <f t="shared" si="7"/>
        <v>1+0.0586042629240633i</v>
      </c>
      <c r="O58">
        <f t="shared" ca="1" si="8"/>
        <v>22.224473826228223</v>
      </c>
      <c r="P58" t="str">
        <f t="shared" ca="1" si="25"/>
        <v>0.245292982997084-1.7952774342292i</v>
      </c>
      <c r="Q58">
        <f t="shared" ca="1" si="19"/>
        <v>5.162959783994598</v>
      </c>
      <c r="R58">
        <f t="shared" ca="1" si="26"/>
        <v>-82.219719175472449</v>
      </c>
      <c r="T58" t="str">
        <f t="shared" si="9"/>
        <v>1+0.3572i</v>
      </c>
      <c r="U58" t="str">
        <f t="shared" si="10"/>
        <v>1+0.047i</v>
      </c>
      <c r="V58" t="str">
        <f t="shared" si="11"/>
        <v>-0.52491601343785i</v>
      </c>
      <c r="W58" t="str">
        <f t="shared" si="21"/>
        <v>0.162470051025705-0.532552105836058i</v>
      </c>
      <c r="X58">
        <f t="shared" si="22"/>
        <v>-5.0862673039571602</v>
      </c>
      <c r="Y58">
        <f t="shared" si="23"/>
        <v>-73.034193704826336</v>
      </c>
      <c r="Z58">
        <f t="shared" si="24"/>
        <v>748.02823253190809</v>
      </c>
      <c r="AA58">
        <f t="shared" ca="1" si="12"/>
        <v>7.6692480037437782E-2</v>
      </c>
      <c r="AB58">
        <f t="shared" ca="1" si="13"/>
        <v>-155.2539128802988</v>
      </c>
    </row>
    <row r="59" spans="1:28" x14ac:dyDescent="0.2">
      <c r="A59">
        <v>4800</v>
      </c>
      <c r="B59" t="str">
        <f t="shared" si="14"/>
        <v>4800i</v>
      </c>
      <c r="C59" t="str">
        <f t="shared" ca="1" si="0"/>
        <v>1+0.125582196031632i</v>
      </c>
      <c r="D59" t="str">
        <f t="shared" ca="1" si="1"/>
        <v>1+0.0166764849616176i</v>
      </c>
      <c r="E59" t="str">
        <f t="shared" ca="1" si="2"/>
        <v>1+12.495296635416i</v>
      </c>
      <c r="F59">
        <f t="shared" ca="1" si="3"/>
        <v>39.000923110829653</v>
      </c>
      <c r="G59" t="str">
        <f t="shared" ca="1" si="15"/>
        <v>0.688883207222538-3.05958014213659i</v>
      </c>
      <c r="H59">
        <f t="shared" ca="1" si="16"/>
        <v>9.9280044849021074</v>
      </c>
      <c r="I59">
        <f t="shared" ca="1" si="17"/>
        <v>-77.311102554629244</v>
      </c>
      <c r="K59" t="str">
        <f t="shared" ca="1" si="4"/>
        <v>1+0.125582196031632i</v>
      </c>
      <c r="L59" t="str">
        <f t="shared" ca="1" si="5"/>
        <v>1-0.00936297151247801i</v>
      </c>
      <c r="M59" t="str">
        <f t="shared" ca="1" si="6"/>
        <v>1+12.5582196031632i</v>
      </c>
      <c r="N59" t="str">
        <f t="shared" si="7"/>
        <v>1+0.0598511621352136i</v>
      </c>
      <c r="O59">
        <f t="shared" ca="1" si="8"/>
        <v>22.224473826228223</v>
      </c>
      <c r="P59" t="str">
        <f t="shared" ca="1" si="25"/>
        <v>0.239317509864542-1.75868130390679i</v>
      </c>
      <c r="Q59">
        <f t="shared" ca="1" si="19"/>
        <v>4.9834264892899585</v>
      </c>
      <c r="R59">
        <f t="shared" ca="1" si="26"/>
        <v>-82.25091197040372</v>
      </c>
      <c r="T59" t="str">
        <f t="shared" si="9"/>
        <v>1+0.3648i</v>
      </c>
      <c r="U59" t="str">
        <f t="shared" si="10"/>
        <v>1+0.048i</v>
      </c>
      <c r="V59" t="str">
        <f t="shared" si="11"/>
        <v>-0.513980263157895i</v>
      </c>
      <c r="W59" t="str">
        <f t="shared" si="21"/>
        <v>0.162454651850557-0.521778086446722i</v>
      </c>
      <c r="X59">
        <f t="shared" si="22"/>
        <v>-5.2484637280552624</v>
      </c>
      <c r="Y59">
        <f t="shared" si="23"/>
        <v>-72.706118671786413</v>
      </c>
      <c r="Z59">
        <f t="shared" si="24"/>
        <v>763.9437268410976</v>
      </c>
      <c r="AA59">
        <f t="shared" ca="1" si="12"/>
        <v>-0.26503723876530394</v>
      </c>
      <c r="AB59">
        <f t="shared" ca="1" si="13"/>
        <v>-154.95703064219015</v>
      </c>
    </row>
    <row r="60" spans="1:28" x14ac:dyDescent="0.2">
      <c r="A60">
        <v>4900</v>
      </c>
      <c r="B60" t="str">
        <f t="shared" si="14"/>
        <v>4900i</v>
      </c>
      <c r="C60" t="str">
        <f t="shared" ca="1" si="0"/>
        <v>1+0.128198491782291i</v>
      </c>
      <c r="D60" t="str">
        <f t="shared" ca="1" si="1"/>
        <v>1+0.0170239117316513i</v>
      </c>
      <c r="E60" t="str">
        <f t="shared" ca="1" si="2"/>
        <v>1+12.7556153153205i</v>
      </c>
      <c r="F60">
        <f t="shared" ca="1" si="3"/>
        <v>39.000923110829653</v>
      </c>
      <c r="G60" t="str">
        <f t="shared" ca="1" si="15"/>
        <v>0.679030384333358-2.99764257655341i</v>
      </c>
      <c r="H60">
        <f t="shared" ca="1" si="16"/>
        <v>9.7529130781680315</v>
      </c>
      <c r="I60">
        <f t="shared" ca="1" si="17"/>
        <v>-77.236670644874422</v>
      </c>
      <c r="K60" t="str">
        <f t="shared" ca="1" si="4"/>
        <v>1+0.128198491782291i</v>
      </c>
      <c r="L60" t="str">
        <f t="shared" ca="1" si="5"/>
        <v>1-0.00955803341898796i</v>
      </c>
      <c r="M60" t="str">
        <f t="shared" ca="1" si="6"/>
        <v>1+12.8198491782291i</v>
      </c>
      <c r="N60" t="str">
        <f t="shared" si="7"/>
        <v>1+0.0610980613463638i</v>
      </c>
      <c r="O60">
        <f t="shared" ca="1" si="8"/>
        <v>22.224473826228223</v>
      </c>
      <c r="P60" t="str">
        <f t="shared" ca="1" si="25"/>
        <v>0.233699582171623-1.72355770373657i</v>
      </c>
      <c r="Q60">
        <f t="shared" ca="1" si="19"/>
        <v>4.8076366022588433</v>
      </c>
      <c r="R60">
        <f t="shared" ca="1" si="26"/>
        <v>-82.278277262928597</v>
      </c>
      <c r="T60" t="str">
        <f t="shared" si="9"/>
        <v>1+0.3724i</v>
      </c>
      <c r="U60" t="str">
        <f t="shared" si="10"/>
        <v>1+0.049i</v>
      </c>
      <c r="V60" t="str">
        <f t="shared" si="11"/>
        <v>-0.503490870032223i</v>
      </c>
      <c r="W60" t="str">
        <f t="shared" si="21"/>
        <v>0.162438931493904-0.511450377675424i</v>
      </c>
      <c r="X60">
        <f t="shared" si="22"/>
        <v>-5.4065592778220974</v>
      </c>
      <c r="Y60">
        <f t="shared" si="23"/>
        <v>-72.379918767341707</v>
      </c>
      <c r="Z60">
        <f t="shared" si="24"/>
        <v>779.85922115028723</v>
      </c>
      <c r="AA60">
        <f t="shared" ca="1" si="12"/>
        <v>-0.59892267556325418</v>
      </c>
      <c r="AB60">
        <f t="shared" ca="1" si="13"/>
        <v>-154.65819603027029</v>
      </c>
    </row>
    <row r="61" spans="1:28" x14ac:dyDescent="0.2">
      <c r="A61">
        <v>5000</v>
      </c>
      <c r="B61" t="str">
        <f t="shared" si="14"/>
        <v>5000i</v>
      </c>
      <c r="C61" t="str">
        <f t="shared" ca="1" si="0"/>
        <v>1+0.13081478753295i</v>
      </c>
      <c r="D61" t="str">
        <f t="shared" ca="1" si="1"/>
        <v>1+0.017371338501685i</v>
      </c>
      <c r="E61" t="str">
        <f t="shared" ca="1" si="2"/>
        <v>1+13.015933995225i</v>
      </c>
      <c r="F61">
        <f t="shared" ca="1" si="3"/>
        <v>39.000923110829653</v>
      </c>
      <c r="G61" t="str">
        <f t="shared" ca="1" si="15"/>
        <v>0.669758172511185-2.93813245859959i</v>
      </c>
      <c r="H61">
        <f t="shared" ca="1" si="16"/>
        <v>9.5814316175408898</v>
      </c>
      <c r="I61">
        <f t="shared" ca="1" si="17"/>
        <v>-77.15863874591507</v>
      </c>
      <c r="K61" t="str">
        <f t="shared" ca="1" si="4"/>
        <v>1+0.13081478753295i</v>
      </c>
      <c r="L61" t="str">
        <f t="shared" ca="1" si="5"/>
        <v>1-0.00975309532549792i</v>
      </c>
      <c r="M61" t="str">
        <f t="shared" ca="1" si="6"/>
        <v>1+13.081478753295i</v>
      </c>
      <c r="N61" t="str">
        <f t="shared" si="7"/>
        <v>1+0.0623449605575141i</v>
      </c>
      <c r="O61">
        <f t="shared" ca="1" si="8"/>
        <v>22.224473826228223</v>
      </c>
      <c r="P61" t="str">
        <f t="shared" ca="1" si="25"/>
        <v>0.228411132599012-1.68982042152512i</v>
      </c>
      <c r="Q61">
        <f t="shared" ca="1" si="19"/>
        <v>4.6354432438426949</v>
      </c>
      <c r="R61">
        <f t="shared" ca="1" si="26"/>
        <v>-82.30204956171967</v>
      </c>
      <c r="T61" t="str">
        <f t="shared" si="9"/>
        <v>1+0.38i</v>
      </c>
      <c r="U61" t="str">
        <f t="shared" si="10"/>
        <v>1+0.05i</v>
      </c>
      <c r="V61" t="str">
        <f t="shared" si="11"/>
        <v>-0.493421052631579i</v>
      </c>
      <c r="W61" t="str">
        <f t="shared" si="21"/>
        <v>0.162422890143063-0.501542197138732i</v>
      </c>
      <c r="X61">
        <f t="shared" si="22"/>
        <v>-5.5607118126514017</v>
      </c>
      <c r="Y61">
        <f t="shared" si="23"/>
        <v>-72.05561421340056</v>
      </c>
      <c r="Z61">
        <f t="shared" si="24"/>
        <v>795.77471545947674</v>
      </c>
      <c r="AA61">
        <f t="shared" ca="1" si="12"/>
        <v>-0.92526856880870678</v>
      </c>
      <c r="AB61">
        <f t="shared" ca="1" si="13"/>
        <v>-154.35766377512022</v>
      </c>
    </row>
    <row r="62" spans="1:28" x14ac:dyDescent="0.2">
      <c r="A62">
        <v>5100</v>
      </c>
      <c r="B62" t="str">
        <f t="shared" si="14"/>
        <v>5100i</v>
      </c>
      <c r="C62" t="str">
        <f t="shared" ca="1" si="0"/>
        <v>1+0.133431083283609i</v>
      </c>
      <c r="D62" t="str">
        <f t="shared" ca="1" si="1"/>
        <v>1+0.0177187652717187i</v>
      </c>
      <c r="E62" t="str">
        <f t="shared" ca="1" si="2"/>
        <v>1+13.2762526751295i</v>
      </c>
      <c r="F62">
        <f t="shared" ca="1" si="3"/>
        <v>39.000923110829653</v>
      </c>
      <c r="G62" t="str">
        <f t="shared" ca="1" si="15"/>
        <v>0.661021916144189-2.88091036080863i</v>
      </c>
      <c r="H62">
        <f t="shared" ca="1" si="16"/>
        <v>9.4134217788771544</v>
      </c>
      <c r="I62">
        <f t="shared" ca="1" si="17"/>
        <v>-77.077224533509522</v>
      </c>
      <c r="K62" t="str">
        <f t="shared" ca="1" si="4"/>
        <v>1+0.133431083283609i</v>
      </c>
      <c r="L62" t="str">
        <f t="shared" ca="1" si="5"/>
        <v>1-0.00994815723200788i</v>
      </c>
      <c r="M62" t="str">
        <f t="shared" ca="1" si="6"/>
        <v>1+13.3431083283609i</v>
      </c>
      <c r="N62" t="str">
        <f t="shared" si="7"/>
        <v>1+0.0635918597686644i</v>
      </c>
      <c r="O62">
        <f t="shared" ca="1" si="8"/>
        <v>22.224473826228223</v>
      </c>
      <c r="P62" t="str">
        <f t="shared" ca="1" si="25"/>
        <v>0.223426786846584-1.65738980487519i</v>
      </c>
      <c r="Q62">
        <f t="shared" ca="1" si="19"/>
        <v>4.46670804580374</v>
      </c>
      <c r="R62">
        <f t="shared" ca="1" si="26"/>
        <v>-82.322445281337423</v>
      </c>
      <c r="T62" t="str">
        <f t="shared" si="9"/>
        <v>1+0.3876i</v>
      </c>
      <c r="U62" t="str">
        <f t="shared" si="10"/>
        <v>1+0.051i</v>
      </c>
      <c r="V62" t="str">
        <f t="shared" si="11"/>
        <v>-0.48374613003096i</v>
      </c>
      <c r="W62" t="str">
        <f t="shared" si="21"/>
        <v>0.162406527989121-0.492028862958405i</v>
      </c>
      <c r="X62">
        <f t="shared" si="22"/>
        <v>-5.7110701584190524</v>
      </c>
      <c r="Y62">
        <f t="shared" si="23"/>
        <v>-71.733224356773263</v>
      </c>
      <c r="Z62">
        <f t="shared" si="24"/>
        <v>811.69020976866625</v>
      </c>
      <c r="AA62">
        <f t="shared" ca="1" si="12"/>
        <v>-1.2443621126153124</v>
      </c>
      <c r="AB62">
        <f t="shared" ca="1" si="13"/>
        <v>-154.05566963811069</v>
      </c>
    </row>
    <row r="63" spans="1:28" x14ac:dyDescent="0.2">
      <c r="A63">
        <v>5200</v>
      </c>
      <c r="B63" t="str">
        <f t="shared" si="14"/>
        <v>5200i</v>
      </c>
      <c r="C63" t="str">
        <f t="shared" ca="1" si="0"/>
        <v>1+0.136047379034269i</v>
      </c>
      <c r="D63" t="str">
        <f t="shared" ca="1" si="1"/>
        <v>1+0.0180661920417524i</v>
      </c>
      <c r="E63" t="str">
        <f t="shared" ca="1" si="2"/>
        <v>1+13.536571355034i</v>
      </c>
      <c r="F63">
        <f t="shared" ca="1" si="3"/>
        <v>39.000923110829653</v>
      </c>
      <c r="G63" t="str">
        <f t="shared" ca="1" si="15"/>
        <v>0.652781164034735-2.82584727030705i</v>
      </c>
      <c r="H63">
        <f t="shared" ca="1" si="16"/>
        <v>9.2487531020709604</v>
      </c>
      <c r="I63">
        <f t="shared" ca="1" si="17"/>
        <v>-76.992629230796865</v>
      </c>
      <c r="K63" t="str">
        <f t="shared" ca="1" si="4"/>
        <v>1+0.136047379034269i</v>
      </c>
      <c r="L63" t="str">
        <f t="shared" ca="1" si="5"/>
        <v>1-0.0101432191385178i</v>
      </c>
      <c r="M63" t="str">
        <f t="shared" ca="1" si="6"/>
        <v>1+13.6047379034268i</v>
      </c>
      <c r="N63" t="str">
        <f t="shared" si="7"/>
        <v>1+0.0648387589798147i</v>
      </c>
      <c r="O63">
        <f t="shared" ca="1" si="8"/>
        <v>22.224473826228223</v>
      </c>
      <c r="P63" t="str">
        <f t="shared" ca="1" si="25"/>
        <v>0.218723559968127-1.62619215275701i</v>
      </c>
      <c r="Q63">
        <f t="shared" ca="1" si="19"/>
        <v>4.301300508798894</v>
      </c>
      <c r="R63">
        <f t="shared" ca="1" si="26"/>
        <v>-82.339664461504583</v>
      </c>
      <c r="T63" t="str">
        <f t="shared" si="9"/>
        <v>1+0.3952i</v>
      </c>
      <c r="U63" t="str">
        <f t="shared" si="10"/>
        <v>1+0.052i</v>
      </c>
      <c r="V63" t="str">
        <f t="shared" si="11"/>
        <v>-0.474443319838057i</v>
      </c>
      <c r="W63" t="str">
        <f t="shared" si="21"/>
        <v>0.162389845226927-0.482887591789857i</v>
      </c>
      <c r="X63">
        <f t="shared" si="22"/>
        <v>-5.8577748070335041</v>
      </c>
      <c r="Y63">
        <f t="shared" si="23"/>
        <v>-71.412767674835777</v>
      </c>
      <c r="Z63">
        <f t="shared" si="24"/>
        <v>827.60570407785576</v>
      </c>
      <c r="AA63">
        <f t="shared" ca="1" si="12"/>
        <v>-1.55647429823461</v>
      </c>
      <c r="AB63">
        <f t="shared" ca="1" si="13"/>
        <v>-153.75243213634036</v>
      </c>
    </row>
    <row r="64" spans="1:28" x14ac:dyDescent="0.2">
      <c r="A64">
        <v>5300</v>
      </c>
      <c r="B64" t="str">
        <f t="shared" si="14"/>
        <v>5300i</v>
      </c>
      <c r="C64" t="str">
        <f t="shared" ca="1" si="0"/>
        <v>1+0.138663674784927i</v>
      </c>
      <c r="D64" t="str">
        <f t="shared" ca="1" si="1"/>
        <v>1+0.0184136188117861i</v>
      </c>
      <c r="E64" t="str">
        <f t="shared" ca="1" si="2"/>
        <v>1+13.7968900349385i</v>
      </c>
      <c r="F64">
        <f t="shared" ca="1" si="3"/>
        <v>39.000923110829653</v>
      </c>
      <c r="G64" t="str">
        <f t="shared" ca="1" si="15"/>
        <v>0.644999203989156-2.77282364003863i</v>
      </c>
      <c r="H64">
        <f t="shared" ca="1" si="16"/>
        <v>9.0873024086794221</v>
      </c>
      <c r="I64">
        <f t="shared" ca="1" si="17"/>
        <v>-76.905039142496094</v>
      </c>
      <c r="K64" t="str">
        <f t="shared" ca="1" si="4"/>
        <v>1+0.138663674784927i</v>
      </c>
      <c r="L64" t="str">
        <f t="shared" ca="1" si="5"/>
        <v>1-0.0103382810450278i</v>
      </c>
      <c r="M64" t="str">
        <f t="shared" ca="1" si="6"/>
        <v>1+13.8663674784927i</v>
      </c>
      <c r="N64" t="str">
        <f t="shared" si="7"/>
        <v>1+0.066085658190965i</v>
      </c>
      <c r="O64">
        <f t="shared" ca="1" si="8"/>
        <v>22.224473826228223</v>
      </c>
      <c r="P64" t="str">
        <f t="shared" ca="1" si="25"/>
        <v>0.214280591846974-1.59615917313532i</v>
      </c>
      <c r="Q64">
        <f t="shared" ca="1" si="19"/>
        <v>4.1390974194797217</v>
      </c>
      <c r="R64">
        <f t="shared" ca="1" si="26"/>
        <v>-82.353892294240438</v>
      </c>
      <c r="T64" t="str">
        <f t="shared" si="9"/>
        <v>1+0.4028i</v>
      </c>
      <c r="U64" t="str">
        <f t="shared" si="10"/>
        <v>1+0.053i</v>
      </c>
      <c r="V64" t="str">
        <f t="shared" si="11"/>
        <v>-0.465491559086395i</v>
      </c>
      <c r="W64" t="str">
        <f t="shared" si="21"/>
        <v>0.162372842055088-0.474097319715315i</v>
      </c>
      <c r="X64">
        <f t="shared" si="22"/>
        <v>-6.0009585490741397</v>
      </c>
      <c r="Y64">
        <f t="shared" si="23"/>
        <v>-71.094261781917837</v>
      </c>
      <c r="Z64">
        <f t="shared" si="24"/>
        <v>843.52119838704527</v>
      </c>
      <c r="AA64">
        <f t="shared" ca="1" si="12"/>
        <v>-1.8618611295944181</v>
      </c>
      <c r="AB64">
        <f t="shared" ca="1" si="13"/>
        <v>-153.44815407615829</v>
      </c>
    </row>
    <row r="65" spans="1:28" x14ac:dyDescent="0.2">
      <c r="A65">
        <v>5400</v>
      </c>
      <c r="B65" t="str">
        <f t="shared" si="14"/>
        <v>5400i</v>
      </c>
      <c r="C65" t="str">
        <f t="shared" ca="1" si="0"/>
        <v>1+0.141279970535586i</v>
      </c>
      <c r="D65" t="str">
        <f t="shared" ca="1" si="1"/>
        <v>1+0.0187610455818198i</v>
      </c>
      <c r="E65" t="str">
        <f t="shared" ca="1" si="2"/>
        <v>1+14.057208714843i</v>
      </c>
      <c r="F65">
        <f t="shared" ca="1" si="3"/>
        <v>39.000923110829653</v>
      </c>
      <c r="G65" t="str">
        <f t="shared" ca="1" si="15"/>
        <v>0.637642656320994-2.72172854121713i</v>
      </c>
      <c r="H65">
        <f t="shared" ca="1" si="16"/>
        <v>8.9289532721536684</v>
      </c>
      <c r="I65">
        <f t="shared" ca="1" si="17"/>
        <v>-76.81462702075882</v>
      </c>
      <c r="K65" t="str">
        <f t="shared" ca="1" si="4"/>
        <v>1+0.141279970535586i</v>
      </c>
      <c r="L65" t="str">
        <f t="shared" ca="1" si="5"/>
        <v>1-0.0105333429515378i</v>
      </c>
      <c r="M65" t="str">
        <f t="shared" ca="1" si="6"/>
        <v>1+14.1279970535586i</v>
      </c>
      <c r="N65" t="str">
        <f t="shared" si="7"/>
        <v>1+0.0673325574021153i</v>
      </c>
      <c r="O65">
        <f t="shared" ca="1" si="8"/>
        <v>22.224473826228223</v>
      </c>
      <c r="P65" t="str">
        <f t="shared" ca="1" si="25"/>
        <v>0.210078916161068-1.56722749848997i</v>
      </c>
      <c r="Q65">
        <f t="shared" ca="1" si="19"/>
        <v>3.9799823202665428</v>
      </c>
      <c r="R65">
        <f t="shared" ca="1" si="26"/>
        <v>-82.365300483403217</v>
      </c>
      <c r="T65" t="str">
        <f t="shared" si="9"/>
        <v>1+0.4104i</v>
      </c>
      <c r="U65" t="str">
        <f t="shared" si="10"/>
        <v>1+0.054i</v>
      </c>
      <c r="V65" t="str">
        <f t="shared" si="11"/>
        <v>-0.45687134502924i</v>
      </c>
      <c r="W65" t="str">
        <f t="shared" si="21"/>
        <v>0.162355518675962-0.465638543037742i</v>
      </c>
      <c r="X65">
        <f t="shared" si="22"/>
        <v>-6.140747047034778</v>
      </c>
      <c r="Y65">
        <f t="shared" si="23"/>
        <v>-70.777723436385727</v>
      </c>
      <c r="Z65">
        <f t="shared" si="24"/>
        <v>859.4366926962349</v>
      </c>
      <c r="AA65">
        <f t="shared" ca="1" si="12"/>
        <v>-2.1607647267682353</v>
      </c>
      <c r="AB65">
        <f t="shared" ca="1" si="13"/>
        <v>-153.14302391978896</v>
      </c>
    </row>
    <row r="66" spans="1:28" x14ac:dyDescent="0.2">
      <c r="A66">
        <v>5500</v>
      </c>
      <c r="B66" t="str">
        <f t="shared" si="14"/>
        <v>5500i</v>
      </c>
      <c r="C66" t="str">
        <f t="shared" ref="C66:C129" ca="1" si="27">IMSUM(1,IMDIV(B66,CcmWz1))</f>
        <v>1+0.143896266286246i</v>
      </c>
      <c r="D66" t="str">
        <f t="shared" ref="D66:D129" ca="1" si="28">IMSUM(1,IMDIV(B66,CcmWz2))</f>
        <v>1+0.0191084723518535i</v>
      </c>
      <c r="E66" t="str">
        <f t="shared" ref="E66:E129" ca="1" si="29">IMSUM(1,IMDIV(B66,CcmWp1))</f>
        <v>1+14.3175273947475i</v>
      </c>
      <c r="F66">
        <f t="shared" ref="F66:F129" ca="1" si="30">CcmGo</f>
        <v>39.000923110829653</v>
      </c>
      <c r="G66" t="str">
        <f t="shared" ca="1" si="15"/>
        <v>0.63068111791047-2.67245890470774i</v>
      </c>
      <c r="H66">
        <f t="shared" ca="1" si="16"/>
        <v>8.7735955351092993</v>
      </c>
      <c r="I66">
        <f t="shared" ca="1" si="17"/>
        <v>-76.721553283805292</v>
      </c>
      <c r="K66" t="str">
        <f t="shared" ref="K66:K129" ca="1" si="31">IMSUM(1,IMDIV(B66,DcmWz1))</f>
        <v>1+0.143896266286246i</v>
      </c>
      <c r="L66" t="str">
        <f t="shared" ref="L66:L129" ca="1" si="32">IMSUB(1,IMDIV($B66,DcmWz2))</f>
        <v>1-0.0107284048580477i</v>
      </c>
      <c r="M66" t="str">
        <f t="shared" ref="M66:M129" ca="1" si="33">IMSUM(1,IMDIV($B66,DcmWp1))</f>
        <v>1+14.3896266286246i</v>
      </c>
      <c r="N66" t="str">
        <f t="shared" ref="N66:N129" si="34">IMSUM(1,IMDIV($B66,DcmWp2))</f>
        <v>1+0.0685794566132655i</v>
      </c>
      <c r="O66">
        <f t="shared" ref="O66:O129" ca="1" si="35">DcmGo</f>
        <v>22.224473826228223</v>
      </c>
      <c r="P66" t="str">
        <f t="shared" ca="1" si="25"/>
        <v>0.206101258085911-1.53933825219138i</v>
      </c>
      <c r="Q66">
        <f t="shared" ca="1" si="19"/>
        <v>3.8238450262168162</v>
      </c>
      <c r="R66">
        <f t="shared" ca="1" si="26"/>
        <v>-82.374048457678086</v>
      </c>
      <c r="T66" t="str">
        <f t="shared" ref="T66:T129" si="36">IMSUM(1,IMPRODUCT($B66,1/CompWz1))</f>
        <v>1+0.418i</v>
      </c>
      <c r="U66" t="str">
        <f t="shared" ref="U66:U129" si="37">IMSUM(1,IMPRODUCT($B66,1/CompWp1))</f>
        <v>1+0.055i</v>
      </c>
      <c r="V66" t="str">
        <f t="shared" ref="V66:V129" si="38">IMDIV(CompA,$B66)</f>
        <v>-0.448564593301435i</v>
      </c>
      <c r="W66" t="str">
        <f t="shared" si="21"/>
        <v>0.162337875295652-0.457493176442696i</v>
      </c>
      <c r="X66">
        <f t="shared" si="22"/>
        <v>-6.2772593557242429</v>
      </c>
      <c r="Y66">
        <f t="shared" si="23"/>
        <v>-70.463168548387415</v>
      </c>
      <c r="Z66">
        <f t="shared" si="24"/>
        <v>875.35218700542441</v>
      </c>
      <c r="AA66">
        <f t="shared" ref="AA66:AA129" ca="1" si="39">IF(IsDcmBode, X66+Q66,X66+H66)</f>
        <v>-2.4534143295074267</v>
      </c>
      <c r="AB66">
        <f t="shared" ref="AB66:AB129" ca="1" si="40">IF(IsDcmBode, Y66+R66,Y66+I66)</f>
        <v>-152.83721700606549</v>
      </c>
    </row>
    <row r="67" spans="1:28" x14ac:dyDescent="0.2">
      <c r="A67">
        <v>5600</v>
      </c>
      <c r="B67" t="str">
        <f t="shared" ref="B67:B130" si="41">COMPLEX(0,A67)</f>
        <v>5600i</v>
      </c>
      <c r="C67" t="str">
        <f t="shared" ca="1" si="27"/>
        <v>1+0.146512562036905i</v>
      </c>
      <c r="D67" t="str">
        <f t="shared" ca="1" si="28"/>
        <v>1+0.0194558991218872i</v>
      </c>
      <c r="E67" t="str">
        <f t="shared" ca="1" si="29"/>
        <v>1+14.577846074652i</v>
      </c>
      <c r="F67">
        <f t="shared" ca="1" si="30"/>
        <v>39.000923110829653</v>
      </c>
      <c r="G67" t="str">
        <f t="shared" ref="G67:G130" ca="1" si="42">IMDIV(IMPRODUCT(F67,C67,D67),E67)</f>
        <v>0.624086849771352-2.62491884070447i</v>
      </c>
      <c r="H67">
        <f t="shared" ref="H67:H130" ca="1" si="43">20*LOG(IMABS(G67),10)</f>
        <v>8.6211248687398445</v>
      </c>
      <c r="I67">
        <f t="shared" ref="I67:I130" ca="1" si="44">IMARGUMENT(G67)*180/PI()</f>
        <v>-76.62596710549569</v>
      </c>
      <c r="K67" t="str">
        <f t="shared" ca="1" si="31"/>
        <v>1+0.146512562036905i</v>
      </c>
      <c r="L67" t="str">
        <f t="shared" ca="1" si="32"/>
        <v>1-0.0109234667645577i</v>
      </c>
      <c r="M67" t="str">
        <f t="shared" ca="1" si="33"/>
        <v>1+14.6512562036905i</v>
      </c>
      <c r="N67" t="str">
        <f t="shared" si="34"/>
        <v>1+0.0698263558244158i</v>
      </c>
      <c r="O67">
        <f t="shared" ca="1" si="35"/>
        <v>22.224473826228223</v>
      </c>
      <c r="P67" t="str">
        <f t="shared" ca="1" si="25"/>
        <v>0.202331856728094-1.51243665964811i</v>
      </c>
      <c r="Q67">
        <f t="shared" ref="Q67:Q130" ca="1" si="45">20*LOG(IMABS(P67),10)</f>
        <v>3.6705811840875029</v>
      </c>
      <c r="R67">
        <f t="shared" ca="1" si="26"/>
        <v>-82.380284455084265</v>
      </c>
      <c r="T67" t="str">
        <f t="shared" si="36"/>
        <v>1+0.4256i</v>
      </c>
      <c r="U67" t="str">
        <f t="shared" si="37"/>
        <v>1+0.056i</v>
      </c>
      <c r="V67" t="str">
        <f t="shared" si="38"/>
        <v>-0.440554511278195i</v>
      </c>
      <c r="W67" t="str">
        <f t="shared" ref="W67:W130" si="46">IMDIV(IMPRODUCT(V67,T67),U67)</f>
        <v>0.162319912124-0.449644426357139i</v>
      </c>
      <c r="X67">
        <f t="shared" ref="X67:X130" si="47">20*LOG(IMABS(W67),10)</f>
        <v>-6.410608395549227</v>
      </c>
      <c r="Y67">
        <f t="shared" ref="Y67:Y130" si="48">IMARGUMENT(W67)*180/PI()</f>
        <v>-70.150612188228337</v>
      </c>
      <c r="Z67">
        <f t="shared" ref="Z67:Z130" si="49">A67/(2*PI())</f>
        <v>891.26768131461392</v>
      </c>
      <c r="AA67">
        <f t="shared" ca="1" si="39"/>
        <v>-2.7400272114617241</v>
      </c>
      <c r="AB67">
        <f t="shared" ca="1" si="40"/>
        <v>-152.53089664331259</v>
      </c>
    </row>
    <row r="68" spans="1:28" x14ac:dyDescent="0.2">
      <c r="A68">
        <v>5700</v>
      </c>
      <c r="B68" t="str">
        <f t="shared" si="41"/>
        <v>5700i</v>
      </c>
      <c r="C68" t="str">
        <f t="shared" ca="1" si="27"/>
        <v>1+0.149128857787564i</v>
      </c>
      <c r="D68" t="str">
        <f t="shared" ca="1" si="28"/>
        <v>1+0.0198033258919209i</v>
      </c>
      <c r="E68" t="str">
        <f t="shared" ca="1" si="29"/>
        <v>1+14.8381647545565i</v>
      </c>
      <c r="F68">
        <f t="shared" ca="1" si="30"/>
        <v>39.000923110829653</v>
      </c>
      <c r="G68" t="str">
        <f t="shared" ca="1" si="42"/>
        <v>0.617834502161283-2.57901902749036i</v>
      </c>
      <c r="H68">
        <f t="shared" ca="1" si="43"/>
        <v>8.471442370059032</v>
      </c>
      <c r="I68">
        <f t="shared" ca="1" si="44"/>
        <v>-76.528007391483214</v>
      </c>
      <c r="K68" t="str">
        <f t="shared" ca="1" si="31"/>
        <v>1+0.149128857787564i</v>
      </c>
      <c r="L68" t="str">
        <f t="shared" ca="1" si="32"/>
        <v>1-0.0111185286710676i</v>
      </c>
      <c r="M68" t="str">
        <f t="shared" ca="1" si="33"/>
        <v>1+14.9128857787564i</v>
      </c>
      <c r="N68" t="str">
        <f t="shared" si="34"/>
        <v>1+0.0710732550355661i</v>
      </c>
      <c r="O68">
        <f t="shared" ca="1" si="35"/>
        <v>22.224473826228223</v>
      </c>
      <c r="P68" t="str">
        <f t="shared" ca="1" si="25"/>
        <v>0.198756308898764-1.48647169895503i</v>
      </c>
      <c r="Q68">
        <f t="shared" ca="1" si="45"/>
        <v>3.5200918692666843</v>
      </c>
      <c r="R68">
        <f t="shared" ca="1" si="26"/>
        <v>-82.384146494578474</v>
      </c>
      <c r="T68" t="str">
        <f t="shared" si="36"/>
        <v>1+0.4332i</v>
      </c>
      <c r="U68" t="str">
        <f t="shared" si="37"/>
        <v>1+0.057i</v>
      </c>
      <c r="V68" t="str">
        <f t="shared" si="38"/>
        <v>-0.432825484764543i</v>
      </c>
      <c r="W68" t="str">
        <f t="shared" si="46"/>
        <v>0.162301629374583-0.442076677638894i</v>
      </c>
      <c r="X68">
        <f t="shared" si="47"/>
        <v>-6.5409013836955241</v>
      </c>
      <c r="Y68">
        <f t="shared" si="48"/>
        <v>-69.840068595345713</v>
      </c>
      <c r="Z68">
        <f t="shared" si="49"/>
        <v>907.18317562380344</v>
      </c>
      <c r="AA68">
        <f t="shared" ca="1" si="39"/>
        <v>-3.0208095144288398</v>
      </c>
      <c r="AB68">
        <f t="shared" ca="1" si="40"/>
        <v>-152.2242150899242</v>
      </c>
    </row>
    <row r="69" spans="1:28" x14ac:dyDescent="0.2">
      <c r="A69">
        <v>5800</v>
      </c>
      <c r="B69" t="str">
        <f t="shared" si="41"/>
        <v>5800i</v>
      </c>
      <c r="C69" t="str">
        <f t="shared" ca="1" si="27"/>
        <v>1+0.151745153538223i</v>
      </c>
      <c r="D69" t="str">
        <f t="shared" ca="1" si="28"/>
        <v>1+0.0201507526619546i</v>
      </c>
      <c r="E69" t="str">
        <f t="shared" ca="1" si="29"/>
        <v>1+15.098483434461i</v>
      </c>
      <c r="F69">
        <f t="shared" ca="1" si="30"/>
        <v>39.000923110829653</v>
      </c>
      <c r="G69" t="str">
        <f t="shared" ca="1" si="42"/>
        <v>0.611900872174405-2.53467616127799i</v>
      </c>
      <c r="H69">
        <f t="shared" ca="1" si="43"/>
        <v>8.3244541931603102</v>
      </c>
      <c r="I69">
        <f t="shared" ca="1" si="44"/>
        <v>-76.427803655466164</v>
      </c>
      <c r="K69" t="str">
        <f t="shared" ca="1" si="31"/>
        <v>1+0.151745153538223i</v>
      </c>
      <c r="L69" t="str">
        <f t="shared" ca="1" si="32"/>
        <v>1-0.0113135905775776i</v>
      </c>
      <c r="M69" t="str">
        <f t="shared" ca="1" si="33"/>
        <v>1+15.1745153538223i</v>
      </c>
      <c r="N69" t="str">
        <f t="shared" si="34"/>
        <v>1+0.0723201542467164i</v>
      </c>
      <c r="O69">
        <f t="shared" ca="1" si="35"/>
        <v>22.224473826228223</v>
      </c>
      <c r="P69" t="str">
        <f t="shared" ca="1" si="25"/>
        <v>0.19536143134992-1.4613957864649i</v>
      </c>
      <c r="Q69">
        <f t="shared" ca="1" si="45"/>
        <v>3.3722832167606374</v>
      </c>
      <c r="R69">
        <f t="shared" ca="1" si="26"/>
        <v>-82.385763248212328</v>
      </c>
      <c r="T69" t="str">
        <f t="shared" si="36"/>
        <v>1+0.4408i</v>
      </c>
      <c r="U69" t="str">
        <f t="shared" si="37"/>
        <v>1+0.058i</v>
      </c>
      <c r="V69" t="str">
        <f t="shared" si="38"/>
        <v>-0.425362976406534i</v>
      </c>
      <c r="W69" t="str">
        <f t="shared" si="46"/>
        <v>0.162283027264703-0.434775391987887i</v>
      </c>
      <c r="X69">
        <f t="shared" si="47"/>
        <v>-6.6682402276126931</v>
      </c>
      <c r="Y69">
        <f t="shared" si="48"/>
        <v>-69.531551187849786</v>
      </c>
      <c r="Z69">
        <f t="shared" si="49"/>
        <v>923.09866993299295</v>
      </c>
      <c r="AA69">
        <f t="shared" ca="1" si="39"/>
        <v>-3.2959570108520557</v>
      </c>
      <c r="AB69">
        <f t="shared" ca="1" si="40"/>
        <v>-151.9173144360621</v>
      </c>
    </row>
    <row r="70" spans="1:28" x14ac:dyDescent="0.2">
      <c r="A70">
        <v>5900</v>
      </c>
      <c r="B70" t="str">
        <f t="shared" si="41"/>
        <v>5900i</v>
      </c>
      <c r="C70" t="str">
        <f t="shared" ca="1" si="27"/>
        <v>1+0.154361449288882i</v>
      </c>
      <c r="D70" t="str">
        <f t="shared" ca="1" si="28"/>
        <v>1+0.0204981794319883i</v>
      </c>
      <c r="E70" t="str">
        <f t="shared" ca="1" si="29"/>
        <v>1+15.3588021143655i</v>
      </c>
      <c r="F70">
        <f t="shared" ca="1" si="30"/>
        <v>39.000923110829653</v>
      </c>
      <c r="G70" t="str">
        <f t="shared" ca="1" si="42"/>
        <v>0.606264689508924-2.49181246016392i</v>
      </c>
      <c r="H70">
        <f t="shared" ca="1" si="43"/>
        <v>8.180071211120671</v>
      </c>
      <c r="I70">
        <f t="shared" ca="1" si="44"/>
        <v>-76.325476807247966</v>
      </c>
      <c r="K70" t="str">
        <f t="shared" ca="1" si="31"/>
        <v>1+0.154361449288882i</v>
      </c>
      <c r="L70" t="str">
        <f t="shared" ca="1" si="32"/>
        <v>1-0.0115086524840875i</v>
      </c>
      <c r="M70" t="str">
        <f t="shared" ca="1" si="33"/>
        <v>1+15.4361449288882i</v>
      </c>
      <c r="N70" t="str">
        <f t="shared" si="34"/>
        <v>1+0.0735670534578667i</v>
      </c>
      <c r="O70">
        <f t="shared" ca="1" si="35"/>
        <v>22.224473826228223</v>
      </c>
      <c r="P70" t="str">
        <f t="shared" ca="1" si="25"/>
        <v>0.192135139024824-1.43716449329802i</v>
      </c>
      <c r="Q70">
        <f t="shared" ca="1" si="45"/>
        <v>3.2270660828555133</v>
      </c>
      <c r="R70">
        <f t="shared" ca="1" si="26"/>
        <v>-82.385254825501335</v>
      </c>
      <c r="T70" t="str">
        <f t="shared" si="36"/>
        <v>1+0.4484i</v>
      </c>
      <c r="U70" t="str">
        <f t="shared" si="37"/>
        <v>1+0.059i</v>
      </c>
      <c r="V70" t="str">
        <f t="shared" si="38"/>
        <v>-0.418153434433541i</v>
      </c>
      <c r="W70" t="str">
        <f t="shared" si="46"/>
        <v>0.162264106015382-0.427727016688448i</v>
      </c>
      <c r="X70">
        <f t="shared" si="47"/>
        <v>-6.792721884680085</v>
      </c>
      <c r="Y70">
        <f t="shared" si="48"/>
        <v>-69.225072572599501</v>
      </c>
      <c r="Z70">
        <f t="shared" si="49"/>
        <v>939.01416424218257</v>
      </c>
      <c r="AA70">
        <f t="shared" ca="1" si="39"/>
        <v>-3.5656558018245716</v>
      </c>
      <c r="AB70">
        <f t="shared" ca="1" si="40"/>
        <v>-151.61032739810082</v>
      </c>
    </row>
    <row r="71" spans="1:28" x14ac:dyDescent="0.2">
      <c r="A71">
        <v>6000</v>
      </c>
      <c r="B71" t="str">
        <f t="shared" si="41"/>
        <v>6000i</v>
      </c>
      <c r="C71" t="str">
        <f t="shared" ca="1" si="27"/>
        <v>1+0.156977745039541i</v>
      </c>
      <c r="D71" t="str">
        <f t="shared" ca="1" si="28"/>
        <v>1+0.020845606202022i</v>
      </c>
      <c r="E71" t="str">
        <f t="shared" ca="1" si="29"/>
        <v>1+15.61912079427i</v>
      </c>
      <c r="F71">
        <f t="shared" ca="1" si="30"/>
        <v>39.000923110829653</v>
      </c>
      <c r="G71" t="str">
        <f t="shared" ca="1" si="42"/>
        <v>0.600906426733362-2.45035521611929i</v>
      </c>
      <c r="H71">
        <f t="shared" ca="1" si="43"/>
        <v>8.0382087055580893</v>
      </c>
      <c r="I71">
        <f t="shared" ca="1" si="44"/>
        <v>-76.221139862776326</v>
      </c>
      <c r="K71" t="str">
        <f t="shared" ca="1" si="31"/>
        <v>1+0.156977745039541i</v>
      </c>
      <c r="L71" t="str">
        <f t="shared" ca="1" si="32"/>
        <v>1-0.0117037143905975i</v>
      </c>
      <c r="M71" t="str">
        <f t="shared" ca="1" si="33"/>
        <v>1+15.6977745039541i</v>
      </c>
      <c r="N71" t="str">
        <f t="shared" si="34"/>
        <v>1+0.074813952669017i</v>
      </c>
      <c r="O71">
        <f t="shared" ca="1" si="35"/>
        <v>22.224473826228223</v>
      </c>
      <c r="P71" t="str">
        <f t="shared" ca="1" si="25"/>
        <v>0.189066337232816-1.41373628931414i</v>
      </c>
      <c r="Q71">
        <f t="shared" ca="1" si="45"/>
        <v>3.0843557344614219</v>
      </c>
      <c r="R71">
        <f t="shared" ca="1" si="26"/>
        <v>-82.382733480130042</v>
      </c>
      <c r="T71" t="str">
        <f t="shared" si="36"/>
        <v>1+0.456i</v>
      </c>
      <c r="U71" t="str">
        <f t="shared" si="37"/>
        <v>1+0.06i</v>
      </c>
      <c r="V71" t="str">
        <f t="shared" si="38"/>
        <v>-0.411184210526316i</v>
      </c>
      <c r="W71" t="str">
        <f t="shared" si="46"/>
        <v>0.162244865851356-0.420918902477397i</v>
      </c>
      <c r="X71">
        <f t="shared" si="47"/>
        <v>-6.9144386914755955</v>
      </c>
      <c r="Y71">
        <f t="shared" si="48"/>
        <v>-68.920644555781251</v>
      </c>
      <c r="Z71">
        <f t="shared" si="49"/>
        <v>954.92965855137209</v>
      </c>
      <c r="AA71">
        <f t="shared" ca="1" si="39"/>
        <v>-3.8300829570141737</v>
      </c>
      <c r="AB71">
        <f t="shared" ca="1" si="40"/>
        <v>-151.30337803591129</v>
      </c>
    </row>
    <row r="72" spans="1:28" x14ac:dyDescent="0.2">
      <c r="A72">
        <v>6100</v>
      </c>
      <c r="B72" t="str">
        <f t="shared" si="41"/>
        <v>6100i</v>
      </c>
      <c r="C72" t="str">
        <f t="shared" ca="1" si="27"/>
        <v>1+0.1595940407902i</v>
      </c>
      <c r="D72" t="str">
        <f t="shared" ca="1" si="28"/>
        <v>1+0.0211930329720557i</v>
      </c>
      <c r="E72" t="str">
        <f t="shared" ca="1" si="29"/>
        <v>1+15.8794394741745i</v>
      </c>
      <c r="F72">
        <f t="shared" ca="1" si="30"/>
        <v>39.000923110829653</v>
      </c>
      <c r="G72" t="str">
        <f t="shared" ca="1" si="42"/>
        <v>0.59580813090555-2.4102363897021i</v>
      </c>
      <c r="H72">
        <f t="shared" ca="1" si="43"/>
        <v>7.8987860811841495</v>
      </c>
      <c r="I72">
        <f t="shared" ca="1" si="44"/>
        <v>-76.114898585011588</v>
      </c>
      <c r="K72" t="str">
        <f t="shared" ca="1" si="31"/>
        <v>1+0.1595940407902i</v>
      </c>
      <c r="L72" t="str">
        <f t="shared" ca="1" si="32"/>
        <v>1-0.0118987762971075i</v>
      </c>
      <c r="M72" t="str">
        <f t="shared" ca="1" si="33"/>
        <v>1+15.95940407902i</v>
      </c>
      <c r="N72" t="str">
        <f t="shared" si="34"/>
        <v>1+0.0760608518801672i</v>
      </c>
      <c r="O72">
        <f t="shared" ca="1" si="35"/>
        <v>22.224473826228223</v>
      </c>
      <c r="P72" t="str">
        <f t="shared" ca="1" si="25"/>
        <v>0.186144825960162-1.39107231150685i</v>
      </c>
      <c r="Q72">
        <f t="shared" ca="1" si="45"/>
        <v>2.9440715634750223</v>
      </c>
      <c r="R72">
        <f t="shared" ca="1" si="26"/>
        <v>-82.378304247805943</v>
      </c>
      <c r="T72" t="str">
        <f t="shared" si="36"/>
        <v>1+0.4636i</v>
      </c>
      <c r="U72" t="str">
        <f t="shared" si="37"/>
        <v>1+0.061i</v>
      </c>
      <c r="V72" t="str">
        <f t="shared" si="38"/>
        <v>-0.404443485763589i</v>
      </c>
      <c r="W72" t="str">
        <f t="shared" si="46"/>
        <v>0.16222530700107-0.414339229490654i</v>
      </c>
      <c r="X72">
        <f t="shared" si="47"/>
        <v>-7.0334786656733357</v>
      </c>
      <c r="Y72">
        <f t="shared" si="48"/>
        <v>-68.618278153957505</v>
      </c>
      <c r="Z72">
        <f t="shared" si="49"/>
        <v>970.8451528605616</v>
      </c>
      <c r="AA72">
        <f t="shared" ca="1" si="39"/>
        <v>-4.0894071021983134</v>
      </c>
      <c r="AB72">
        <f t="shared" ca="1" si="40"/>
        <v>-150.99658240176345</v>
      </c>
    </row>
    <row r="73" spans="1:28" x14ac:dyDescent="0.2">
      <c r="A73">
        <v>6200</v>
      </c>
      <c r="B73" t="str">
        <f t="shared" si="41"/>
        <v>6200i</v>
      </c>
      <c r="C73" t="str">
        <f t="shared" ca="1" si="27"/>
        <v>1+0.162210336540859i</v>
      </c>
      <c r="D73" t="str">
        <f t="shared" ca="1" si="28"/>
        <v>1+0.0215404597420894i</v>
      </c>
      <c r="E73" t="str">
        <f t="shared" ca="1" si="29"/>
        <v>1+16.139758154079i</v>
      </c>
      <c r="F73">
        <f t="shared" ca="1" si="30"/>
        <v>39.000923110829653</v>
      </c>
      <c r="G73" t="str">
        <f t="shared" ca="1" si="42"/>
        <v>0.590953273845046-2.37139224283528i</v>
      </c>
      <c r="H73">
        <f t="shared" ca="1" si="43"/>
        <v>7.7617266029869185</v>
      </c>
      <c r="I73">
        <f t="shared" ca="1" si="44"/>
        <v>-76.006852063351673</v>
      </c>
      <c r="K73" t="str">
        <f t="shared" ca="1" si="31"/>
        <v>1+0.162210336540859i</v>
      </c>
      <c r="L73" t="str">
        <f t="shared" ca="1" si="32"/>
        <v>1-0.0120938382036174i</v>
      </c>
      <c r="M73" t="str">
        <f t="shared" ca="1" si="33"/>
        <v>1+16.2210336540859i</v>
      </c>
      <c r="N73" t="str">
        <f t="shared" si="34"/>
        <v>1+0.0773077510913175i</v>
      </c>
      <c r="O73">
        <f t="shared" ca="1" si="35"/>
        <v>22.224473826228223</v>
      </c>
      <c r="P73" t="str">
        <f t="shared" ca="1" si="25"/>
        <v>0.183361214782612-1.36913615415793i</v>
      </c>
      <c r="Q73">
        <f t="shared" ca="1" si="45"/>
        <v>2.8061368237934774</v>
      </c>
      <c r="R73">
        <f t="shared" ca="1" si="26"/>
        <v>-82.372065522952056</v>
      </c>
      <c r="T73" t="str">
        <f t="shared" si="36"/>
        <v>1+0.4712i</v>
      </c>
      <c r="U73" t="str">
        <f t="shared" si="37"/>
        <v>1+0.062i</v>
      </c>
      <c r="V73" t="str">
        <f t="shared" si="38"/>
        <v>-0.397920203735144i</v>
      </c>
      <c r="W73" t="str">
        <f t="shared" si="46"/>
        <v>0.162205429696667-0.407976940376337i</v>
      </c>
      <c r="X73">
        <f t="shared" si="47"/>
        <v>-7.1499257832502821</v>
      </c>
      <c r="Y73">
        <f t="shared" si="48"/>
        <v>-68.317983605557188</v>
      </c>
      <c r="Z73">
        <f t="shared" si="49"/>
        <v>986.76064716975111</v>
      </c>
      <c r="AA73">
        <f t="shared" ca="1" si="39"/>
        <v>-4.3437889594568047</v>
      </c>
      <c r="AB73">
        <f t="shared" ca="1" si="40"/>
        <v>-150.69004912850926</v>
      </c>
    </row>
    <row r="74" spans="1:28" x14ac:dyDescent="0.2">
      <c r="A74">
        <v>6300</v>
      </c>
      <c r="B74" t="str">
        <f t="shared" si="41"/>
        <v>6300i</v>
      </c>
      <c r="C74" t="str">
        <f t="shared" ca="1" si="27"/>
        <v>1+0.164826632291518i</v>
      </c>
      <c r="D74" t="str">
        <f t="shared" ca="1" si="28"/>
        <v>1+0.0218878865121231i</v>
      </c>
      <c r="E74" t="str">
        <f t="shared" ca="1" si="29"/>
        <v>1+16.4000768339835i</v>
      </c>
      <c r="F74">
        <f t="shared" ca="1" si="30"/>
        <v>39.000923110829653</v>
      </c>
      <c r="G74" t="str">
        <f t="shared" ca="1" si="42"/>
        <v>0.58632661873713-2.33376300556232i</v>
      </c>
      <c r="H74">
        <f t="shared" ca="1" si="43"/>
        <v>7.6269571539333523</v>
      </c>
      <c r="I74">
        <f t="shared" ca="1" si="44"/>
        <v>-75.897093238366608</v>
      </c>
      <c r="K74" t="str">
        <f t="shared" ca="1" si="31"/>
        <v>1+0.164826632291518i</v>
      </c>
      <c r="L74" t="str">
        <f t="shared" ca="1" si="32"/>
        <v>1-0.0122889001101274i</v>
      </c>
      <c r="M74" t="str">
        <f t="shared" ca="1" si="33"/>
        <v>1+16.4826632291518i</v>
      </c>
      <c r="N74" t="str">
        <f t="shared" si="34"/>
        <v>1+0.0785546503024678i</v>
      </c>
      <c r="O74">
        <f t="shared" ca="1" si="35"/>
        <v>22.224473826228223</v>
      </c>
      <c r="P74" t="str">
        <f t="shared" ca="1" si="25"/>
        <v>0.180706847059852-1.34789367841385i</v>
      </c>
      <c r="Q74">
        <f t="shared" ca="1" si="45"/>
        <v>2.6704783888666181</v>
      </c>
      <c r="R74">
        <f t="shared" ca="1" si="26"/>
        <v>-82.364109580963813</v>
      </c>
      <c r="T74" t="str">
        <f t="shared" si="36"/>
        <v>1+0.4788i</v>
      </c>
      <c r="U74" t="str">
        <f t="shared" si="37"/>
        <v>1+0.063i</v>
      </c>
      <c r="V74" t="str">
        <f t="shared" si="38"/>
        <v>-0.391604010025063i</v>
      </c>
      <c r="W74" t="str">
        <f t="shared" si="46"/>
        <v>0.162185234173984-0.401821679778024i</v>
      </c>
      <c r="X74">
        <f t="shared" si="47"/>
        <v>-7.2638602333832676</v>
      </c>
      <c r="Y74">
        <f t="shared" si="48"/>
        <v>-68.019770382772933</v>
      </c>
      <c r="Z74">
        <f t="shared" si="49"/>
        <v>1002.6761414789406</v>
      </c>
      <c r="AA74">
        <f t="shared" ca="1" si="39"/>
        <v>-4.5933818445166494</v>
      </c>
      <c r="AB74">
        <f t="shared" ca="1" si="40"/>
        <v>-150.38387996373675</v>
      </c>
    </row>
    <row r="75" spans="1:28" x14ac:dyDescent="0.2">
      <c r="A75">
        <v>6400</v>
      </c>
      <c r="B75" t="str">
        <f t="shared" si="41"/>
        <v>6400i</v>
      </c>
      <c r="C75" t="str">
        <f t="shared" ca="1" si="27"/>
        <v>1+0.167442928042177i</v>
      </c>
      <c r="D75" t="str">
        <f t="shared" ca="1" si="28"/>
        <v>1+0.0222353132821568i</v>
      </c>
      <c r="E75" t="str">
        <f t="shared" ca="1" si="29"/>
        <v>1+16.660395513888i</v>
      </c>
      <c r="F75">
        <f t="shared" ca="1" si="30"/>
        <v>39.000923110829653</v>
      </c>
      <c r="G75" t="str">
        <f t="shared" ca="1" si="42"/>
        <v>0.581914101066251-2.2972925731846i</v>
      </c>
      <c r="H75">
        <f t="shared" ca="1" si="43"/>
        <v>7.4944080113072804</v>
      </c>
      <c r="I75">
        <f t="shared" ca="1" si="44"/>
        <v>-75.785709377765585</v>
      </c>
      <c r="K75" t="str">
        <f t="shared" ca="1" si="31"/>
        <v>1+0.167442928042177i</v>
      </c>
      <c r="L75" t="str">
        <f t="shared" ca="1" si="32"/>
        <v>1-0.0124839620166373i</v>
      </c>
      <c r="M75" t="str">
        <f t="shared" ca="1" si="33"/>
        <v>1+16.7442928042177i</v>
      </c>
      <c r="N75" t="str">
        <f t="shared" si="34"/>
        <v>1+0.0798015495136181i</v>
      </c>
      <c r="O75">
        <f t="shared" ca="1" si="35"/>
        <v>22.224473826228223</v>
      </c>
      <c r="P75" t="str">
        <f t="shared" ca="1" si="25"/>
        <v>0.178173732273859-1.32731283922811i</v>
      </c>
      <c r="Q75">
        <f t="shared" ca="1" si="45"/>
        <v>2.5370265279004061</v>
      </c>
      <c r="R75">
        <f t="shared" ca="1" si="26"/>
        <v>-82.354523051922996</v>
      </c>
      <c r="T75" t="str">
        <f t="shared" si="36"/>
        <v>1+0.4864i</v>
      </c>
      <c r="U75" t="str">
        <f t="shared" si="37"/>
        <v>1+0.064i</v>
      </c>
      <c r="V75" t="str">
        <f t="shared" si="38"/>
        <v>-0.385485197368421i</v>
      </c>
      <c r="W75" t="str">
        <f t="shared" si="46"/>
        <v>0.162164720672546-0.395863739491464i</v>
      </c>
      <c r="X75">
        <f t="shared" si="47"/>
        <v>-7.3753586531539366</v>
      </c>
      <c r="Y75">
        <f t="shared" si="48"/>
        <v>-67.723647203836776</v>
      </c>
      <c r="Z75">
        <f t="shared" si="49"/>
        <v>1018.5916357881301</v>
      </c>
      <c r="AA75">
        <f t="shared" ca="1" si="39"/>
        <v>-4.8383321252535305</v>
      </c>
      <c r="AB75">
        <f t="shared" ca="1" si="40"/>
        <v>-150.07817025575977</v>
      </c>
    </row>
    <row r="76" spans="1:28" x14ac:dyDescent="0.2">
      <c r="A76">
        <v>6500</v>
      </c>
      <c r="B76" t="str">
        <f t="shared" si="41"/>
        <v>6500i</v>
      </c>
      <c r="C76" t="str">
        <f t="shared" ca="1" si="27"/>
        <v>1+0.170059223792836i</v>
      </c>
      <c r="D76" t="str">
        <f t="shared" ca="1" si="28"/>
        <v>1+0.0225827400521905i</v>
      </c>
      <c r="E76" t="str">
        <f t="shared" ca="1" si="29"/>
        <v>1+16.9207141937925i</v>
      </c>
      <c r="F76">
        <f t="shared" ca="1" si="30"/>
        <v>39.000923110829653</v>
      </c>
      <c r="G76" t="str">
        <f t="shared" ca="1" si="42"/>
        <v>0.57770272214844-2.26192823061057i</v>
      </c>
      <c r="H76">
        <f t="shared" ca="1" si="43"/>
        <v>7.364012639995333</v>
      </c>
      <c r="I76">
        <f t="shared" ca="1" si="44"/>
        <v>-75.672782508794967</v>
      </c>
      <c r="K76" t="str">
        <f t="shared" ca="1" si="31"/>
        <v>1+0.170059223792836i</v>
      </c>
      <c r="L76" t="str">
        <f t="shared" ca="1" si="32"/>
        <v>1-0.0126790239231473i</v>
      </c>
      <c r="M76" t="str">
        <f t="shared" ca="1" si="33"/>
        <v>1+17.0059223792836i</v>
      </c>
      <c r="N76" t="str">
        <f t="shared" si="34"/>
        <v>1+0.0810484487247684i</v>
      </c>
      <c r="O76">
        <f t="shared" ca="1" si="35"/>
        <v>22.224473826228223</v>
      </c>
      <c r="P76" t="str">
        <f t="shared" ca="1" si="25"/>
        <v>0.175754485527514-1.30736352785706i</v>
      </c>
      <c r="Q76">
        <f t="shared" ca="1" si="45"/>
        <v>2.4057146990226776</v>
      </c>
      <c r="R76">
        <f t="shared" ca="1" si="26"/>
        <v>-82.343387350947168</v>
      </c>
      <c r="T76" t="str">
        <f t="shared" si="36"/>
        <v>1+0.494i</v>
      </c>
      <c r="U76" t="str">
        <f t="shared" si="37"/>
        <v>1+0.065i</v>
      </c>
      <c r="V76" t="str">
        <f t="shared" si="38"/>
        <v>-0.379554655870445i</v>
      </c>
      <c r="W76" t="str">
        <f t="shared" si="46"/>
        <v>0.162143889435556-0.390094008683756i</v>
      </c>
      <c r="X76">
        <f t="shared" si="47"/>
        <v>-7.4844943439494926</v>
      </c>
      <c r="Y76">
        <f t="shared" si="48"/>
        <v>-67.429622045644692</v>
      </c>
      <c r="Z76">
        <f t="shared" si="49"/>
        <v>1034.5071300973198</v>
      </c>
      <c r="AA76">
        <f t="shared" ca="1" si="39"/>
        <v>-5.078779644926815</v>
      </c>
      <c r="AB76">
        <f t="shared" ca="1" si="40"/>
        <v>-149.77300939659187</v>
      </c>
    </row>
    <row r="77" spans="1:28" x14ac:dyDescent="0.2">
      <c r="A77">
        <v>6600</v>
      </c>
      <c r="B77" t="str">
        <f t="shared" si="41"/>
        <v>6600i</v>
      </c>
      <c r="C77" t="str">
        <f t="shared" ca="1" si="27"/>
        <v>1+0.172675519543495i</v>
      </c>
      <c r="D77" t="str">
        <f t="shared" ca="1" si="28"/>
        <v>1+0.0229301668222242i</v>
      </c>
      <c r="E77" t="str">
        <f t="shared" ca="1" si="29"/>
        <v>1+17.181032873697i</v>
      </c>
      <c r="F77">
        <f t="shared" ca="1" si="30"/>
        <v>39.000923110829653</v>
      </c>
      <c r="G77" t="str">
        <f t="shared" ca="1" si="42"/>
        <v>0.573680453763527-2.22762040111809i</v>
      </c>
      <c r="H77">
        <f t="shared" ca="1" si="43"/>
        <v>7.2357075012093253</v>
      </c>
      <c r="I77">
        <f t="shared" ca="1" si="44"/>
        <v>-75.558389811645498</v>
      </c>
      <c r="K77" t="str">
        <f t="shared" ca="1" si="31"/>
        <v>1+0.172675519543495i</v>
      </c>
      <c r="L77" t="str">
        <f t="shared" ca="1" si="32"/>
        <v>1-0.0128740858296573i</v>
      </c>
      <c r="M77" t="str">
        <f t="shared" ca="1" si="33"/>
        <v>1+17.2675519543495i</v>
      </c>
      <c r="N77" t="str">
        <f t="shared" si="34"/>
        <v>1+0.0822953479359187i</v>
      </c>
      <c r="O77">
        <f t="shared" ca="1" si="35"/>
        <v>22.224473826228223</v>
      </c>
      <c r="P77" t="str">
        <f t="shared" ca="1" si="25"/>
        <v>0.173442273351429-1.28801742830907i</v>
      </c>
      <c r="Q77">
        <f t="shared" ca="1" si="45"/>
        <v>2.2764793578984452</v>
      </c>
      <c r="R77">
        <f t="shared" ca="1" si="26"/>
        <v>-82.330779069729019</v>
      </c>
      <c r="T77" t="str">
        <f t="shared" si="36"/>
        <v>1+0.5016i</v>
      </c>
      <c r="U77" t="str">
        <f t="shared" si="37"/>
        <v>1+0.066i</v>
      </c>
      <c r="V77" t="str">
        <f t="shared" si="38"/>
        <v>-0.373803827751196i</v>
      </c>
      <c r="W77" t="str">
        <f t="shared" si="46"/>
        <v>0.162122740709889-0.384503928638049i</v>
      </c>
      <c r="X77">
        <f t="shared" si="47"/>
        <v>-7.5913374712454953</v>
      </c>
      <c r="Y77">
        <f t="shared" si="48"/>
        <v>-67.137702156698367</v>
      </c>
      <c r="Z77">
        <f t="shared" si="49"/>
        <v>1050.4226244065092</v>
      </c>
      <c r="AA77">
        <f t="shared" ca="1" si="39"/>
        <v>-5.3148581133470501</v>
      </c>
      <c r="AB77">
        <f t="shared" ca="1" si="40"/>
        <v>-149.4684812264274</v>
      </c>
    </row>
    <row r="78" spans="1:28" x14ac:dyDescent="0.2">
      <c r="A78">
        <v>6700</v>
      </c>
      <c r="B78" t="str">
        <f t="shared" si="41"/>
        <v>6700i</v>
      </c>
      <c r="C78" t="str">
        <f t="shared" ca="1" si="27"/>
        <v>1+0.175291815294154i</v>
      </c>
      <c r="D78" t="str">
        <f t="shared" ca="1" si="28"/>
        <v>1+0.0232775935922579i</v>
      </c>
      <c r="E78" t="str">
        <f t="shared" ca="1" si="29"/>
        <v>1+17.4413515536015i</v>
      </c>
      <c r="F78">
        <f t="shared" ca="1" si="30"/>
        <v>39.000923110829653</v>
      </c>
      <c r="G78" t="str">
        <f t="shared" ca="1" si="42"/>
        <v>0.569836152585522-2.19432241705396i</v>
      </c>
      <c r="H78">
        <f t="shared" ca="1" si="43"/>
        <v>7.1094318752876866</v>
      </c>
      <c r="I78">
        <f t="shared" ca="1" si="44"/>
        <v>-75.44260397790444</v>
      </c>
      <c r="K78" t="str">
        <f t="shared" ca="1" si="31"/>
        <v>1+0.175291815294154i</v>
      </c>
      <c r="L78" t="str">
        <f t="shared" ca="1" si="32"/>
        <v>1-0.0130691477361672i</v>
      </c>
      <c r="M78" t="str">
        <f t="shared" ca="1" si="33"/>
        <v>1+17.5291815294154i</v>
      </c>
      <c r="N78" t="str">
        <f t="shared" si="34"/>
        <v>1+0.0835422471470689i</v>
      </c>
      <c r="O78">
        <f t="shared" ca="1" si="35"/>
        <v>22.224473826228223</v>
      </c>
      <c r="P78" t="str">
        <f t="shared" ca="1" si="25"/>
        <v>0.171230765079108-1.26924788633119i</v>
      </c>
      <c r="Q78">
        <f t="shared" ca="1" si="45"/>
        <v>2.1492597804339288</v>
      </c>
      <c r="R78">
        <f t="shared" ca="1" si="26"/>
        <v>-82.316770333284097</v>
      </c>
      <c r="T78" t="str">
        <f t="shared" si="36"/>
        <v>1+0.5092i</v>
      </c>
      <c r="U78" t="str">
        <f t="shared" si="37"/>
        <v>1+0.067i</v>
      </c>
      <c r="V78" t="str">
        <f t="shared" si="38"/>
        <v>-0.368224666142969i</v>
      </c>
      <c r="W78" t="str">
        <f t="shared" si="46"/>
        <v>0.162101274746086-0.379085451550957i</v>
      </c>
      <c r="X78">
        <f t="shared" si="47"/>
        <v>-7.6959552492788577</v>
      </c>
      <c r="Y78">
        <f t="shared" si="48"/>
        <v>-66.847894070336338</v>
      </c>
      <c r="Z78">
        <f t="shared" si="49"/>
        <v>1066.3381187156988</v>
      </c>
      <c r="AA78">
        <f t="shared" ca="1" si="39"/>
        <v>-5.5466954688449288</v>
      </c>
      <c r="AB78">
        <f t="shared" ca="1" si="40"/>
        <v>-149.16466440362043</v>
      </c>
    </row>
    <row r="79" spans="1:28" x14ac:dyDescent="0.2">
      <c r="A79">
        <v>6800</v>
      </c>
      <c r="B79" t="str">
        <f t="shared" si="41"/>
        <v>6800i</v>
      </c>
      <c r="C79" t="str">
        <f t="shared" ca="1" si="27"/>
        <v>1+0.177908111044813i</v>
      </c>
      <c r="D79" t="str">
        <f t="shared" ca="1" si="28"/>
        <v>1+0.0236250203622916i</v>
      </c>
      <c r="E79" t="str">
        <f t="shared" ca="1" si="29"/>
        <v>1+17.701670233506i</v>
      </c>
      <c r="F79">
        <f t="shared" ca="1" si="30"/>
        <v>39.000923110829653</v>
      </c>
      <c r="G79" t="str">
        <f t="shared" ca="1" si="42"/>
        <v>0.566159483278569-2.16199031027616i</v>
      </c>
      <c r="H79">
        <f t="shared" ca="1" si="43"/>
        <v>6.9851276973542156</v>
      </c>
      <c r="I79">
        <f t="shared" ca="1" si="44"/>
        <v>-75.325493537617945</v>
      </c>
      <c r="K79" t="str">
        <f t="shared" ca="1" si="31"/>
        <v>1+0.177908111044813i</v>
      </c>
      <c r="L79" t="str">
        <f t="shared" ca="1" si="32"/>
        <v>1-0.0132642096426772i</v>
      </c>
      <c r="M79" t="str">
        <f t="shared" ca="1" si="33"/>
        <v>1+17.7908111044813i</v>
      </c>
      <c r="N79" t="str">
        <f t="shared" si="34"/>
        <v>1+0.0847891463582192i</v>
      </c>
      <c r="O79">
        <f t="shared" ca="1" si="35"/>
        <v>22.224473826228223</v>
      </c>
      <c r="P79" t="str">
        <f t="shared" ca="1" si="25"/>
        <v>0.169114089146768-1.25102978967912i</v>
      </c>
      <c r="Q79">
        <f t="shared" ca="1" si="45"/>
        <v>2.0239978983490712</v>
      </c>
      <c r="R79">
        <f t="shared" ca="1" si="26"/>
        <v>-82.301429125456565</v>
      </c>
      <c r="T79" t="str">
        <f t="shared" si="36"/>
        <v>1+0.5168i</v>
      </c>
      <c r="U79" t="str">
        <f t="shared" si="37"/>
        <v>1+0.068i</v>
      </c>
      <c r="V79" t="str">
        <f t="shared" si="38"/>
        <v>-0.36280959752322i</v>
      </c>
      <c r="W79" t="str">
        <f t="shared" si="46"/>
        <v>0.162079491798345-0.373831002965507i</v>
      </c>
      <c r="X79">
        <f t="shared" si="47"/>
        <v>-7.7984121119625271</v>
      </c>
      <c r="Y79">
        <f t="shared" si="48"/>
        <v>-66.560203618226708</v>
      </c>
      <c r="Z79">
        <f t="shared" si="49"/>
        <v>1082.2536130248884</v>
      </c>
      <c r="AA79">
        <f t="shared" ca="1" si="39"/>
        <v>-5.774414213613456</v>
      </c>
      <c r="AB79">
        <f t="shared" ca="1" si="40"/>
        <v>-148.86163274368329</v>
      </c>
    </row>
    <row r="80" spans="1:28" x14ac:dyDescent="0.2">
      <c r="A80">
        <v>6900</v>
      </c>
      <c r="B80" t="str">
        <f t="shared" si="41"/>
        <v>6900i</v>
      </c>
      <c r="C80" t="str">
        <f t="shared" ca="1" si="27"/>
        <v>1+0.180524406795472i</v>
      </c>
      <c r="D80" t="str">
        <f t="shared" ca="1" si="28"/>
        <v>1+0.0239724471323253i</v>
      </c>
      <c r="E80" t="str">
        <f t="shared" ca="1" si="29"/>
        <v>1+17.9619889134105i</v>
      </c>
      <c r="F80">
        <f t="shared" ca="1" si="30"/>
        <v>39.000923110829653</v>
      </c>
      <c r="G80" t="str">
        <f t="shared" ca="1" si="42"/>
        <v>0.562640849270899-2.13058262039118i</v>
      </c>
      <c r="H80">
        <f t="shared" ca="1" si="43"/>
        <v>6.8627394047357502</v>
      </c>
      <c r="I80">
        <f t="shared" ca="1" si="44"/>
        <v>-75.207123158121973</v>
      </c>
      <c r="K80" t="str">
        <f t="shared" ca="1" si="31"/>
        <v>1+0.180524406795472i</v>
      </c>
      <c r="L80" t="str">
        <f t="shared" ca="1" si="32"/>
        <v>1-0.0134592715491871i</v>
      </c>
      <c r="M80" t="str">
        <f t="shared" ca="1" si="33"/>
        <v>1+18.0524406795472i</v>
      </c>
      <c r="N80" t="str">
        <f t="shared" si="34"/>
        <v>1+0.0860360455693695i</v>
      </c>
      <c r="O80">
        <f t="shared" ca="1" si="35"/>
        <v>22.224473826228223</v>
      </c>
      <c r="P80" t="str">
        <f t="shared" ca="1" si="25"/>
        <v>0.167086793756499-1.23333945855673i</v>
      </c>
      <c r="Q80">
        <f t="shared" ca="1" si="45"/>
        <v>1.9006381465166655</v>
      </c>
      <c r="R80">
        <f t="shared" ca="1" si="26"/>
        <v>-82.284819586324971</v>
      </c>
      <c r="T80" t="str">
        <f t="shared" si="36"/>
        <v>1+0.5244i</v>
      </c>
      <c r="U80" t="str">
        <f t="shared" si="37"/>
        <v>1+0.069i</v>
      </c>
      <c r="V80" t="str">
        <f t="shared" si="38"/>
        <v>-0.357551487414188i</v>
      </c>
      <c r="W80" t="str">
        <f t="shared" si="46"/>
        <v>0.162057392124516-0.36873344747078i</v>
      </c>
      <c r="X80">
        <f t="shared" si="47"/>
        <v>-7.8987698712554639</v>
      </c>
      <c r="Y80">
        <f t="shared" si="48"/>
        <v>-66.274635944092253</v>
      </c>
      <c r="Z80">
        <f t="shared" si="49"/>
        <v>1098.1691073340778</v>
      </c>
      <c r="AA80">
        <f t="shared" ca="1" si="39"/>
        <v>-5.9981317247387986</v>
      </c>
      <c r="AB80">
        <f t="shared" ca="1" si="40"/>
        <v>-148.55945553041721</v>
      </c>
    </row>
    <row r="81" spans="1:28" x14ac:dyDescent="0.2">
      <c r="A81">
        <v>7000</v>
      </c>
      <c r="B81" t="str">
        <f t="shared" si="41"/>
        <v>7000i</v>
      </c>
      <c r="C81" t="str">
        <f t="shared" ca="1" si="27"/>
        <v>1+0.183140702546131i</v>
      </c>
      <c r="D81" t="str">
        <f t="shared" ca="1" si="28"/>
        <v>1+0.024319873902359i</v>
      </c>
      <c r="E81" t="str">
        <f t="shared" ca="1" si="29"/>
        <v>1+18.222307593315i</v>
      </c>
      <c r="F81">
        <f t="shared" ca="1" si="30"/>
        <v>39.000923110829653</v>
      </c>
      <c r="G81" t="str">
        <f t="shared" ca="1" si="42"/>
        <v>0.559271330343955-2.10006021905408i</v>
      </c>
      <c r="H81">
        <f t="shared" ca="1" si="43"/>
        <v>6.7422137951461938</v>
      </c>
      <c r="I81">
        <f t="shared" ca="1" si="44"/>
        <v>-75.087553917439649</v>
      </c>
      <c r="K81" t="str">
        <f t="shared" ca="1" si="31"/>
        <v>1+0.183140702546131i</v>
      </c>
      <c r="L81" t="str">
        <f t="shared" ca="1" si="32"/>
        <v>1-0.0136543334556971i</v>
      </c>
      <c r="M81" t="str">
        <f t="shared" ca="1" si="33"/>
        <v>1+18.3140702546131i</v>
      </c>
      <c r="N81" t="str">
        <f t="shared" si="34"/>
        <v>1+0.0872829447805198i</v>
      </c>
      <c r="O81">
        <f t="shared" ca="1" si="35"/>
        <v>22.224473826228223</v>
      </c>
      <c r="P81" t="str">
        <f t="shared" ca="1" si="25"/>
        <v>0.165143811412379-1.21615454523506i</v>
      </c>
      <c r="Q81">
        <f t="shared" ca="1" si="45"/>
        <v>1.7791273210761585</v>
      </c>
      <c r="R81">
        <f t="shared" ca="1" si="26"/>
        <v>-82.267002284295415</v>
      </c>
      <c r="T81" t="str">
        <f t="shared" si="36"/>
        <v>1+0.532i</v>
      </c>
      <c r="U81" t="str">
        <f t="shared" si="37"/>
        <v>1+0.07i</v>
      </c>
      <c r="V81" t="str">
        <f t="shared" si="38"/>
        <v>-0.352443609022556i</v>
      </c>
      <c r="W81" t="str">
        <f t="shared" si="46"/>
        <v>0.162034975986089-0.363786057341582i</v>
      </c>
      <c r="X81">
        <f t="shared" si="47"/>
        <v>-7.9970878640788365</v>
      </c>
      <c r="Y81">
        <f t="shared" si="48"/>
        <v>-65.991195517642197</v>
      </c>
      <c r="Z81">
        <f t="shared" si="49"/>
        <v>1114.0846016432674</v>
      </c>
      <c r="AA81">
        <f t="shared" ca="1" si="39"/>
        <v>-6.2179605430026781</v>
      </c>
      <c r="AB81">
        <f t="shared" ca="1" si="40"/>
        <v>-148.25819780193763</v>
      </c>
    </row>
    <row r="82" spans="1:28" x14ac:dyDescent="0.2">
      <c r="A82">
        <v>7100</v>
      </c>
      <c r="B82" t="str">
        <f t="shared" si="41"/>
        <v>7100i</v>
      </c>
      <c r="C82" t="str">
        <f t="shared" ca="1" si="27"/>
        <v>1+0.18575699829679i</v>
      </c>
      <c r="D82" t="str">
        <f t="shared" ca="1" si="28"/>
        <v>1+0.0246673006723927i</v>
      </c>
      <c r="E82" t="str">
        <f t="shared" ca="1" si="29"/>
        <v>1+18.4826262732195i</v>
      </c>
      <c r="F82">
        <f t="shared" ca="1" si="30"/>
        <v>39.000923110829653</v>
      </c>
      <c r="G82" t="str">
        <f t="shared" ca="1" si="42"/>
        <v>0.556042626281257-2.0703861487886i</v>
      </c>
      <c r="H82">
        <f t="shared" ca="1" si="43"/>
        <v>6.6234998947413848</v>
      </c>
      <c r="I82">
        <f t="shared" ca="1" si="44"/>
        <v>-74.966843554733444</v>
      </c>
      <c r="K82" t="str">
        <f t="shared" ca="1" si="31"/>
        <v>1+0.18575699829679i</v>
      </c>
      <c r="L82" t="str">
        <f t="shared" ca="1" si="32"/>
        <v>1-0.0138493953622071i</v>
      </c>
      <c r="M82" t="str">
        <f t="shared" ca="1" si="33"/>
        <v>1+18.575699829679i</v>
      </c>
      <c r="N82" t="str">
        <f t="shared" si="34"/>
        <v>1+0.0885298439916701i</v>
      </c>
      <c r="O82">
        <f t="shared" ca="1" si="35"/>
        <v>22.224473826228223</v>
      </c>
      <c r="P82" t="str">
        <f t="shared" ref="P82:P145" ca="1" si="50">IMDIV(IMPRODUCT(O82,K82,L82,),IMPRODUCT(M82,N82,))</f>
        <v>0.163280426900219-1.19945394196876i</v>
      </c>
      <c r="Q82">
        <f t="shared" ca="1" si="45"/>
        <v>1.6594144474244554</v>
      </c>
      <c r="R82">
        <f t="shared" ref="R82:R145" ca="1" si="51">IMARGUMENT(P82)*180/PI()</f>
        <v>-82.248034465356184</v>
      </c>
      <c r="T82" t="str">
        <f t="shared" si="36"/>
        <v>1+0.5396i</v>
      </c>
      <c r="U82" t="str">
        <f t="shared" si="37"/>
        <v>1+0.071i</v>
      </c>
      <c r="V82" t="str">
        <f t="shared" si="38"/>
        <v>-0.347479614529281i</v>
      </c>
      <c r="W82" t="str">
        <f t="shared" si="46"/>
        <v>0.162012243648191-0.358982483828303i</v>
      </c>
      <c r="X82">
        <f t="shared" si="47"/>
        <v>-8.0934230887601331</v>
      </c>
      <c r="Y82">
        <f t="shared" si="48"/>
        <v>-65.709886148684205</v>
      </c>
      <c r="Z82">
        <f t="shared" si="49"/>
        <v>1130.0000959524568</v>
      </c>
      <c r="AA82">
        <f t="shared" ca="1" si="39"/>
        <v>-6.4340086413356774</v>
      </c>
      <c r="AB82">
        <f t="shared" ca="1" si="40"/>
        <v>-147.9579206140404</v>
      </c>
    </row>
    <row r="83" spans="1:28" x14ac:dyDescent="0.2">
      <c r="A83">
        <v>7200</v>
      </c>
      <c r="B83" t="str">
        <f t="shared" si="41"/>
        <v>7200i</v>
      </c>
      <c r="C83" t="str">
        <f t="shared" ca="1" si="27"/>
        <v>1+0.188373294047449i</v>
      </c>
      <c r="D83" t="str">
        <f t="shared" ca="1" si="28"/>
        <v>1+0.0250147274424264i</v>
      </c>
      <c r="E83" t="str">
        <f t="shared" ca="1" si="29"/>
        <v>1+18.742944953124i</v>
      </c>
      <c r="F83">
        <f t="shared" ca="1" si="30"/>
        <v>39.000923110829653</v>
      </c>
      <c r="G83" t="str">
        <f t="shared" ca="1" si="42"/>
        <v>0.552947005914469-2.04152547495092i</v>
      </c>
      <c r="H83">
        <f t="shared" ca="1" si="43"/>
        <v>6.5065488352341792</v>
      </c>
      <c r="I83">
        <f t="shared" ca="1" si="44"/>
        <v>-74.845046700024042</v>
      </c>
      <c r="K83" t="str">
        <f t="shared" ca="1" si="31"/>
        <v>1+0.188373294047449i</v>
      </c>
      <c r="L83" t="str">
        <f t="shared" ca="1" si="32"/>
        <v>1-0.014044457268717i</v>
      </c>
      <c r="M83" t="str">
        <f t="shared" ca="1" si="33"/>
        <v>1+18.8373294047449i</v>
      </c>
      <c r="N83" t="str">
        <f t="shared" si="34"/>
        <v>1+0.0897767432028203i</v>
      </c>
      <c r="O83">
        <f t="shared" ca="1" si="35"/>
        <v>22.224473826228223</v>
      </c>
      <c r="P83" t="str">
        <f t="shared" ca="1" si="50"/>
        <v>0.161492248334382-1.18321769642342i</v>
      </c>
      <c r="Q83">
        <f t="shared" ca="1" si="45"/>
        <v>1.5414506572736921</v>
      </c>
      <c r="R83">
        <f t="shared" ca="1" si="51"/>
        <v>-82.227970281698347</v>
      </c>
      <c r="T83" t="str">
        <f t="shared" si="36"/>
        <v>1+0.5472i</v>
      </c>
      <c r="U83" t="str">
        <f t="shared" si="37"/>
        <v>1+0.072i</v>
      </c>
      <c r="V83" t="str">
        <f t="shared" si="38"/>
        <v>-0.34265350877193i</v>
      </c>
      <c r="W83" t="str">
        <f t="shared" si="46"/>
        <v>0.161989195379573-0.354316730839259i</v>
      </c>
      <c r="X83">
        <f t="shared" si="47"/>
        <v>-8.1878303318923873</v>
      </c>
      <c r="Y83">
        <f t="shared" si="48"/>
        <v>-65.43071100138981</v>
      </c>
      <c r="Z83">
        <f t="shared" si="49"/>
        <v>1145.9155902616465</v>
      </c>
      <c r="AA83">
        <f t="shared" ca="1" si="39"/>
        <v>-6.6463796746186947</v>
      </c>
      <c r="AB83">
        <f t="shared" ca="1" si="40"/>
        <v>-147.65868128308816</v>
      </c>
    </row>
    <row r="84" spans="1:28" x14ac:dyDescent="0.2">
      <c r="A84">
        <v>7300</v>
      </c>
      <c r="B84" t="str">
        <f t="shared" si="41"/>
        <v>7300i</v>
      </c>
      <c r="C84" t="str">
        <f t="shared" ca="1" si="27"/>
        <v>1+0.190989589798108i</v>
      </c>
      <c r="D84" t="str">
        <f t="shared" ca="1" si="28"/>
        <v>1+0.0253621542124601i</v>
      </c>
      <c r="E84" t="str">
        <f t="shared" ca="1" si="29"/>
        <v>1+19.0032636330285i</v>
      </c>
      <c r="F84">
        <f t="shared" ca="1" si="30"/>
        <v>39.000923110829653</v>
      </c>
      <c r="G84" t="str">
        <f t="shared" ca="1" si="42"/>
        <v>0.549977260984405-2.0134451496075i</v>
      </c>
      <c r="H84">
        <f t="shared" ca="1" si="43"/>
        <v>6.3913137393362343</v>
      </c>
      <c r="I84">
        <f t="shared" ca="1" si="44"/>
        <v>-74.722215085150054</v>
      </c>
      <c r="K84" t="str">
        <f t="shared" ca="1" si="31"/>
        <v>1+0.190989589798108i</v>
      </c>
      <c r="L84" t="str">
        <f t="shared" ca="1" si="32"/>
        <v>1-0.014239519175227i</v>
      </c>
      <c r="M84" t="str">
        <f t="shared" ca="1" si="33"/>
        <v>1+19.0989589798108i</v>
      </c>
      <c r="N84" t="str">
        <f t="shared" si="34"/>
        <v>1+0.0910236424139706i</v>
      </c>
      <c r="O84">
        <f t="shared" ca="1" si="35"/>
        <v>22.224473826228223</v>
      </c>
      <c r="P84" t="str">
        <f t="shared" ca="1" si="50"/>
        <v>0.159775180940763-1.16742693391078i</v>
      </c>
      <c r="Q84">
        <f t="shared" ca="1" si="45"/>
        <v>1.4251890740405091</v>
      </c>
      <c r="R84">
        <f t="shared" ca="1" si="51"/>
        <v>-82.206861001665061</v>
      </c>
      <c r="T84" t="str">
        <f t="shared" si="36"/>
        <v>1+0.5548i</v>
      </c>
      <c r="U84" t="str">
        <f t="shared" si="37"/>
        <v>1+0.073i</v>
      </c>
      <c r="V84" t="str">
        <f t="shared" si="38"/>
        <v>-0.337959625090123i</v>
      </c>
      <c r="W84" t="str">
        <f t="shared" si="46"/>
        <v>0.16196583145261-0.349783130786164i</v>
      </c>
      <c r="X84">
        <f t="shared" si="47"/>
        <v>-8.2803622864071169</v>
      </c>
      <c r="Y84">
        <f t="shared" si="48"/>
        <v>-65.153672608690343</v>
      </c>
      <c r="Z84">
        <f t="shared" si="49"/>
        <v>1161.8310845708361</v>
      </c>
      <c r="AA84">
        <f t="shared" ca="1" si="39"/>
        <v>-6.8551732123666076</v>
      </c>
      <c r="AB84">
        <f t="shared" ca="1" si="40"/>
        <v>-147.36053361035539</v>
      </c>
    </row>
    <row r="85" spans="1:28" x14ac:dyDescent="0.2">
      <c r="A85">
        <v>7400</v>
      </c>
      <c r="B85" t="str">
        <f t="shared" si="41"/>
        <v>7400i</v>
      </c>
      <c r="C85" t="str">
        <f t="shared" ca="1" si="27"/>
        <v>1+0.193605885548767i</v>
      </c>
      <c r="D85" t="str">
        <f t="shared" ca="1" si="28"/>
        <v>1+0.0257095809824938i</v>
      </c>
      <c r="E85" t="str">
        <f t="shared" ca="1" si="29"/>
        <v>1+19.263582312933i</v>
      </c>
      <c r="F85">
        <f t="shared" ca="1" si="30"/>
        <v>39.000923110829653</v>
      </c>
      <c r="G85" t="str">
        <f t="shared" ca="1" si="42"/>
        <v>0.547126664304379-1.98611388622643i</v>
      </c>
      <c r="H85">
        <f t="shared" ca="1" si="43"/>
        <v>6.2777496138599407</v>
      </c>
      <c r="I85">
        <f t="shared" ca="1" si="44"/>
        <v>-74.598397737728661</v>
      </c>
      <c r="K85" t="str">
        <f t="shared" ca="1" si="31"/>
        <v>1+0.193605885548767i</v>
      </c>
      <c r="L85" t="str">
        <f t="shared" ca="1" si="32"/>
        <v>1-0.0144345810817369i</v>
      </c>
      <c r="M85" t="str">
        <f t="shared" ca="1" si="33"/>
        <v>1+19.3605885548767i</v>
      </c>
      <c r="N85" t="str">
        <f t="shared" si="34"/>
        <v>1+0.0922705416251209i</v>
      </c>
      <c r="O85">
        <f t="shared" ca="1" si="35"/>
        <v>22.224473826228223</v>
      </c>
      <c r="P85" t="str">
        <f t="shared" ca="1" si="50"/>
        <v>0.158125403284634-1.15206378580295i</v>
      </c>
      <c r="Q85">
        <f t="shared" ca="1" si="45"/>
        <v>1.3105847059009097</v>
      </c>
      <c r="R85">
        <f t="shared" ca="1" si="51"/>
        <v>-82.18475520278264</v>
      </c>
      <c r="T85" t="str">
        <f t="shared" si="36"/>
        <v>1+0.5624i</v>
      </c>
      <c r="U85" t="str">
        <f t="shared" si="37"/>
        <v>1+0.074i</v>
      </c>
      <c r="V85" t="str">
        <f t="shared" si="38"/>
        <v>-0.333392603129445i</v>
      </c>
      <c r="W85" t="str">
        <f t="shared" si="46"/>
        <v>0.161942152143284-0.345376322388048i</v>
      </c>
      <c r="X85">
        <f t="shared" si="47"/>
        <v>-8.3710696615863061</v>
      </c>
      <c r="Y85">
        <f t="shared" si="48"/>
        <v>-64.878772886779075</v>
      </c>
      <c r="Z85">
        <f t="shared" si="49"/>
        <v>1177.7465788800255</v>
      </c>
      <c r="AA85">
        <f t="shared" ca="1" si="39"/>
        <v>-7.0604849556853964</v>
      </c>
      <c r="AB85">
        <f t="shared" ca="1" si="40"/>
        <v>-147.06352808956171</v>
      </c>
    </row>
    <row r="86" spans="1:28" x14ac:dyDescent="0.2">
      <c r="A86">
        <v>7500</v>
      </c>
      <c r="B86" t="str">
        <f t="shared" si="41"/>
        <v>7500i</v>
      </c>
      <c r="C86" t="str">
        <f t="shared" ca="1" si="27"/>
        <v>1+0.196222181299426i</v>
      </c>
      <c r="D86" t="str">
        <f t="shared" ca="1" si="28"/>
        <v>1+0.0260570077525275i</v>
      </c>
      <c r="E86" t="str">
        <f t="shared" ca="1" si="29"/>
        <v>1+19.5239009928375i</v>
      </c>
      <c r="F86">
        <f t="shared" ca="1" si="30"/>
        <v>39.000923110829653</v>
      </c>
      <c r="G86" t="str">
        <f t="shared" ca="1" si="42"/>
        <v>0.544388931773842-1.95950204419625i</v>
      </c>
      <c r="H86">
        <f t="shared" ca="1" si="43"/>
        <v>6.1658132498761571</v>
      </c>
      <c r="I86">
        <f t="shared" ca="1" si="44"/>
        <v>-74.473641159692775</v>
      </c>
      <c r="K86" t="str">
        <f t="shared" ca="1" si="31"/>
        <v>1+0.196222181299426i</v>
      </c>
      <c r="L86" t="str">
        <f t="shared" ca="1" si="32"/>
        <v>1-0.0146296429882469i</v>
      </c>
      <c r="M86" t="str">
        <f t="shared" ca="1" si="33"/>
        <v>1+19.6222181299426i</v>
      </c>
      <c r="N86" t="str">
        <f t="shared" si="34"/>
        <v>1+0.0935174408362712i</v>
      </c>
      <c r="O86">
        <f t="shared" ca="1" si="35"/>
        <v>22.224473826228223</v>
      </c>
      <c r="P86" t="str">
        <f t="shared" ca="1" si="50"/>
        <v>0.15653934568642-1.13711132356191i</v>
      </c>
      <c r="Q86">
        <f t="shared" ca="1" si="45"/>
        <v>1.1975943459046368</v>
      </c>
      <c r="R86">
        <f t="shared" ca="1" si="51"/>
        <v>-82.161698949441401</v>
      </c>
      <c r="T86" t="str">
        <f t="shared" si="36"/>
        <v>1+0.57i</v>
      </c>
      <c r="U86" t="str">
        <f t="shared" si="37"/>
        <v>1+0.075i</v>
      </c>
      <c r="V86" t="str">
        <f t="shared" si="38"/>
        <v>-0.328947368421053i</v>
      </c>
      <c r="W86" t="str">
        <f t="shared" si="46"/>
        <v>0.161918157731183-0.341091230250892i</v>
      </c>
      <c r="X86">
        <f t="shared" si="47"/>
        <v>-8.4600012856674276</v>
      </c>
      <c r="Y86">
        <f t="shared" si="48"/>
        <v>-64.606013149695784</v>
      </c>
      <c r="Z86">
        <f t="shared" si="49"/>
        <v>1193.6620731892151</v>
      </c>
      <c r="AA86">
        <f t="shared" ca="1" si="39"/>
        <v>-7.2624069397627906</v>
      </c>
      <c r="AB86">
        <f t="shared" ca="1" si="40"/>
        <v>-146.76771209913719</v>
      </c>
    </row>
    <row r="87" spans="1:28" x14ac:dyDescent="0.2">
      <c r="A87">
        <v>7600</v>
      </c>
      <c r="B87" t="str">
        <f t="shared" si="41"/>
        <v>7600i</v>
      </c>
      <c r="C87" t="str">
        <f t="shared" ca="1" si="27"/>
        <v>1+0.198838477050085i</v>
      </c>
      <c r="D87" t="str">
        <f t="shared" ca="1" si="28"/>
        <v>1+0.0264044345225612i</v>
      </c>
      <c r="E87" t="str">
        <f t="shared" ca="1" si="29"/>
        <v>1+19.784219672742i</v>
      </c>
      <c r="F87">
        <f t="shared" ca="1" si="30"/>
        <v>39.000923110829653</v>
      </c>
      <c r="G87" t="str">
        <f t="shared" ca="1" si="42"/>
        <v>0.541758187842951-1.93358152228738i</v>
      </c>
      <c r="H87">
        <f t="shared" ca="1" si="43"/>
        <v>6.0554631293782695</v>
      </c>
      <c r="I87">
        <f t="shared" ca="1" si="44"/>
        <v>-74.347989491815824</v>
      </c>
      <c r="K87" t="str">
        <f t="shared" ca="1" si="31"/>
        <v>1+0.198838477050085i</v>
      </c>
      <c r="L87" t="str">
        <f t="shared" ca="1" si="32"/>
        <v>1-0.0148247048947568i</v>
      </c>
      <c r="M87" t="str">
        <f t="shared" ca="1" si="33"/>
        <v>1+19.8838477050085i</v>
      </c>
      <c r="N87" t="str">
        <f t="shared" si="34"/>
        <v>1+0.0947643400474215i</v>
      </c>
      <c r="O87">
        <f t="shared" ca="1" si="35"/>
        <v>22.224473826228223</v>
      </c>
      <c r="P87" t="str">
        <f t="shared" ca="1" si="50"/>
        <v>0.155013670598473-1.12255349787872i</v>
      </c>
      <c r="Q87">
        <f t="shared" ca="1" si="45"/>
        <v>1.0861764786003909</v>
      </c>
      <c r="R87">
        <f t="shared" ca="1" si="51"/>
        <v>-82.137735956630422</v>
      </c>
      <c r="T87" t="str">
        <f t="shared" si="36"/>
        <v>1+0.5776i</v>
      </c>
      <c r="U87" t="str">
        <f t="shared" si="37"/>
        <v>1+0.076i</v>
      </c>
      <c r="V87" t="str">
        <f t="shared" si="38"/>
        <v>-0.324619113573407i</v>
      </c>
      <c r="W87" t="str">
        <f t="shared" si="46"/>
        <v>0.161893848499488-0.336923046059368i</v>
      </c>
      <c r="X87">
        <f t="shared" si="47"/>
        <v>-8.5472042016374665</v>
      </c>
      <c r="Y87">
        <f t="shared" si="48"/>
        <v>-64.335394123972051</v>
      </c>
      <c r="Z87">
        <f t="shared" si="49"/>
        <v>1209.5775674984045</v>
      </c>
      <c r="AA87">
        <f t="shared" ca="1" si="39"/>
        <v>-7.4610277230370752</v>
      </c>
      <c r="AB87">
        <f t="shared" ca="1" si="40"/>
        <v>-146.47313008060246</v>
      </c>
    </row>
    <row r="88" spans="1:28" x14ac:dyDescent="0.2">
      <c r="A88">
        <v>7700</v>
      </c>
      <c r="B88" t="str">
        <f t="shared" si="41"/>
        <v>7700i</v>
      </c>
      <c r="C88" t="str">
        <f t="shared" ca="1" si="27"/>
        <v>1+0.201454772800744i</v>
      </c>
      <c r="D88" t="str">
        <f t="shared" ca="1" si="28"/>
        <v>1+0.0267518612925949i</v>
      </c>
      <c r="E88" t="str">
        <f t="shared" ca="1" si="29"/>
        <v>1+20.0445383526465i</v>
      </c>
      <c r="F88">
        <f t="shared" ca="1" si="30"/>
        <v>39.000923110829653</v>
      </c>
      <c r="G88" t="str">
        <f t="shared" ca="1" si="42"/>
        <v>0.539228934074659-1.90832566026063i</v>
      </c>
      <c r="H88">
        <f t="shared" ca="1" si="43"/>
        <v>5.9466593379510879</v>
      </c>
      <c r="I88">
        <f t="shared" ca="1" si="44"/>
        <v>-74.221484665488319</v>
      </c>
      <c r="K88" t="str">
        <f t="shared" ca="1" si="31"/>
        <v>1+0.201454772800744i</v>
      </c>
      <c r="L88" t="str">
        <f t="shared" ca="1" si="32"/>
        <v>1-0.0150197668012668i</v>
      </c>
      <c r="M88" t="str">
        <f t="shared" ca="1" si="33"/>
        <v>1+20.1454772800744i</v>
      </c>
      <c r="N88" t="str">
        <f t="shared" si="34"/>
        <v>1+0.0960112392585718i</v>
      </c>
      <c r="O88">
        <f t="shared" ca="1" si="35"/>
        <v>22.224473826228223</v>
      </c>
      <c r="P88" t="str">
        <f t="shared" ca="1" si="50"/>
        <v>0.153545254741987-1.10837508246763i</v>
      </c>
      <c r="Q88">
        <f t="shared" ca="1" si="45"/>
        <v>0.97629119266871833</v>
      </c>
      <c r="R88">
        <f t="shared" ca="1" si="51"/>
        <v>-82.112907740985165</v>
      </c>
      <c r="T88" t="str">
        <f t="shared" si="36"/>
        <v>1+0.5852i</v>
      </c>
      <c r="U88" t="str">
        <f t="shared" si="37"/>
        <v>1+0.077i</v>
      </c>
      <c r="V88" t="str">
        <f t="shared" si="38"/>
        <v>-0.320403280929597i</v>
      </c>
      <c r="W88" t="str">
        <f t="shared" si="46"/>
        <v>0.161869224734967-0.332867211234189i</v>
      </c>
      <c r="X88">
        <f t="shared" si="47"/>
        <v>-8.6327237567543396</v>
      </c>
      <c r="Y88">
        <f t="shared" si="48"/>
        <v>-64.06691596331693</v>
      </c>
      <c r="Z88">
        <f t="shared" si="49"/>
        <v>1225.4930618075941</v>
      </c>
      <c r="AA88">
        <f t="shared" ca="1" si="39"/>
        <v>-7.6564325640856215</v>
      </c>
      <c r="AB88">
        <f t="shared" ca="1" si="40"/>
        <v>-146.17982370430209</v>
      </c>
    </row>
    <row r="89" spans="1:28" x14ac:dyDescent="0.2">
      <c r="A89">
        <v>7800</v>
      </c>
      <c r="B89" t="str">
        <f t="shared" si="41"/>
        <v>7800i</v>
      </c>
      <c r="C89" t="str">
        <f t="shared" ca="1" si="27"/>
        <v>1+0.204071068551403i</v>
      </c>
      <c r="D89" t="str">
        <f t="shared" ca="1" si="28"/>
        <v>1+0.0270992880626286i</v>
      </c>
      <c r="E89" t="str">
        <f t="shared" ca="1" si="29"/>
        <v>1+20.304857032551i</v>
      </c>
      <c r="F89">
        <f t="shared" ca="1" si="30"/>
        <v>39.000923110829653</v>
      </c>
      <c r="G89" t="str">
        <f t="shared" ca="1" si="42"/>
        <v>0.5367960204911-1.88370914790719i</v>
      </c>
      <c r="H89">
        <f t="shared" ca="1" si="43"/>
        <v>5.8393634829886771</v>
      </c>
      <c r="I89">
        <f t="shared" ca="1" si="44"/>
        <v>-74.094166542883158</v>
      </c>
      <c r="K89" t="str">
        <f t="shared" ca="1" si="31"/>
        <v>1+0.204071068551403i</v>
      </c>
      <c r="L89" t="str">
        <f t="shared" ca="1" si="32"/>
        <v>1-0.0152148287077768i</v>
      </c>
      <c r="M89" t="str">
        <f t="shared" ca="1" si="33"/>
        <v>1+20.4071068551403i</v>
      </c>
      <c r="N89" t="str">
        <f t="shared" si="34"/>
        <v>1+0.097258138469722i</v>
      </c>
      <c r="O89">
        <f t="shared" ca="1" si="35"/>
        <v>22.224473826228223</v>
      </c>
      <c r="P89" t="str">
        <f t="shared" ca="1" si="50"/>
        <v>0.152131172826072-1.0945616221063i</v>
      </c>
      <c r="Q89">
        <f t="shared" ca="1" si="45"/>
        <v>0.86790009910770927</v>
      </c>
      <c r="R89">
        <f t="shared" ca="1" si="51"/>
        <v>-82.087253760278813</v>
      </c>
      <c r="T89" t="str">
        <f t="shared" si="36"/>
        <v>1+0.5928i</v>
      </c>
      <c r="U89" t="str">
        <f t="shared" si="37"/>
        <v>1+0.078i</v>
      </c>
      <c r="V89" t="str">
        <f t="shared" si="38"/>
        <v>-0.316295546558704i</v>
      </c>
      <c r="W89" t="str">
        <f t="shared" si="46"/>
        <v>0.161844286727968-0.328919400923486i</v>
      </c>
      <c r="X89">
        <f t="shared" si="47"/>
        <v>-8.7166036862878524</v>
      </c>
      <c r="Y89">
        <f t="shared" si="48"/>
        <v>-63.800578263320205</v>
      </c>
      <c r="Z89">
        <f t="shared" si="49"/>
        <v>1241.4085561167838</v>
      </c>
      <c r="AA89">
        <f t="shared" ca="1" si="39"/>
        <v>-7.8487035871801432</v>
      </c>
      <c r="AB89">
        <f t="shared" ca="1" si="40"/>
        <v>-145.887832023599</v>
      </c>
    </row>
    <row r="90" spans="1:28" x14ac:dyDescent="0.2">
      <c r="A90">
        <v>7900</v>
      </c>
      <c r="B90" t="str">
        <f t="shared" si="41"/>
        <v>7900i</v>
      </c>
      <c r="C90" t="str">
        <f t="shared" ca="1" si="27"/>
        <v>1+0.206687364302062i</v>
      </c>
      <c r="D90" t="str">
        <f t="shared" ca="1" si="28"/>
        <v>1+0.0274467148326623i</v>
      </c>
      <c r="E90" t="str">
        <f t="shared" ca="1" si="29"/>
        <v>1+20.5651757124555i</v>
      </c>
      <c r="F90">
        <f t="shared" ca="1" si="30"/>
        <v>39.000923110829653</v>
      </c>
      <c r="G90" t="str">
        <f t="shared" ca="1" si="42"/>
        <v>0.534454619426202-1.85970794087509i</v>
      </c>
      <c r="H90">
        <f t="shared" ca="1" si="43"/>
        <v>5.7335386170443714</v>
      </c>
      <c r="I90">
        <f t="shared" ca="1" si="44"/>
        <v>-73.966073046531875</v>
      </c>
      <c r="K90" t="str">
        <f t="shared" ca="1" si="31"/>
        <v>1+0.206687364302062i</v>
      </c>
      <c r="L90" t="str">
        <f t="shared" ca="1" si="32"/>
        <v>1-0.0154098906142867i</v>
      </c>
      <c r="M90" t="str">
        <f t="shared" ca="1" si="33"/>
        <v>1+20.6687364302062i</v>
      </c>
      <c r="N90" t="str">
        <f t="shared" si="34"/>
        <v>1+0.0985050376808723i</v>
      </c>
      <c r="O90">
        <f t="shared" ca="1" si="35"/>
        <v>22.224473826228223</v>
      </c>
      <c r="P90" t="str">
        <f t="shared" ca="1" si="50"/>
        <v>0.150768682690934-1.08109938455331i</v>
      </c>
      <c r="Q90">
        <f t="shared" ca="1" si="45"/>
        <v>0.76096625455276057</v>
      </c>
      <c r="R90">
        <f t="shared" ca="1" si="51"/>
        <v>-82.06081154237539</v>
      </c>
      <c r="T90" t="str">
        <f t="shared" si="36"/>
        <v>1+0.6004i</v>
      </c>
      <c r="U90" t="str">
        <f t="shared" si="37"/>
        <v>1+0.079i</v>
      </c>
      <c r="V90" t="str">
        <f t="shared" si="38"/>
        <v>-0.312291805463025i</v>
      </c>
      <c r="W90" t="str">
        <f t="shared" si="46"/>
        <v>0.161819034772406-0.325075509210045i</v>
      </c>
      <c r="X90">
        <f t="shared" si="47"/>
        <v>-8.7988861919262433</v>
      </c>
      <c r="Y90">
        <f t="shared" si="48"/>
        <v>-63.536380076157165</v>
      </c>
      <c r="Z90">
        <f t="shared" si="49"/>
        <v>1257.3240504259732</v>
      </c>
      <c r="AA90">
        <f t="shared" ca="1" si="39"/>
        <v>-8.0379199373734824</v>
      </c>
      <c r="AB90">
        <f t="shared" ca="1" si="40"/>
        <v>-145.59719161853255</v>
      </c>
    </row>
    <row r="91" spans="1:28" x14ac:dyDescent="0.2">
      <c r="A91">
        <v>8000</v>
      </c>
      <c r="B91" t="str">
        <f t="shared" si="41"/>
        <v>8000i</v>
      </c>
      <c r="C91" t="str">
        <f t="shared" ca="1" si="27"/>
        <v>1+0.209303660052721i</v>
      </c>
      <c r="D91" t="str">
        <f t="shared" ca="1" si="28"/>
        <v>1+0.027794141602696i</v>
      </c>
      <c r="E91" t="str">
        <f t="shared" ca="1" si="29"/>
        <v>1+20.82549439236i</v>
      </c>
      <c r="F91">
        <f t="shared" ca="1" si="30"/>
        <v>39.000923110829653</v>
      </c>
      <c r="G91" t="str">
        <f t="shared" ca="1" si="42"/>
        <v>0.532200201637275-1.83629918270027i</v>
      </c>
      <c r="H91">
        <f t="shared" ca="1" si="43"/>
        <v>5.6291491659326631</v>
      </c>
      <c r="I91">
        <f t="shared" ca="1" si="44"/>
        <v>-73.837240279233029</v>
      </c>
      <c r="K91" t="str">
        <f t="shared" ca="1" si="31"/>
        <v>1+0.209303660052721i</v>
      </c>
      <c r="L91" t="str">
        <f t="shared" ca="1" si="32"/>
        <v>1-0.0156049525207967i</v>
      </c>
      <c r="M91" t="str">
        <f t="shared" ca="1" si="33"/>
        <v>1+20.9303660052721i</v>
      </c>
      <c r="N91" t="str">
        <f t="shared" si="34"/>
        <v>1+0.0997519368920226i</v>
      </c>
      <c r="O91">
        <f t="shared" ca="1" si="35"/>
        <v>22.224473826228223</v>
      </c>
      <c r="P91" t="str">
        <f t="shared" ca="1" si="50"/>
        <v>0.149455211734692-1.0679753160107i</v>
      </c>
      <c r="Q91">
        <f t="shared" ca="1" si="45"/>
        <v>0.65545408935188021</v>
      </c>
      <c r="R91">
        <f t="shared" ca="1" si="51"/>
        <v>-82.033616804561092</v>
      </c>
      <c r="T91" t="str">
        <f t="shared" si="36"/>
        <v>1+0.608i</v>
      </c>
      <c r="U91" t="str">
        <f t="shared" si="37"/>
        <v>1+0.08i</v>
      </c>
      <c r="V91" t="str">
        <f t="shared" si="38"/>
        <v>-0.308388157894737i</v>
      </c>
      <c r="W91" t="str">
        <f t="shared" si="46"/>
        <v>0.16179346916576-0.321331635427998i</v>
      </c>
      <c r="X91">
        <f t="shared" si="47"/>
        <v>-8.8796120152558871</v>
      </c>
      <c r="Y91">
        <f t="shared" si="48"/>
        <v>-63.274319925272373</v>
      </c>
      <c r="Z91">
        <f t="shared" si="49"/>
        <v>1273.2395447351628</v>
      </c>
      <c r="AA91">
        <f t="shared" ca="1" si="39"/>
        <v>-8.2241579259040076</v>
      </c>
      <c r="AB91">
        <f t="shared" ca="1" si="40"/>
        <v>-145.30793672983347</v>
      </c>
    </row>
    <row r="92" spans="1:28" x14ac:dyDescent="0.2">
      <c r="A92">
        <v>8100</v>
      </c>
      <c r="B92" t="str">
        <f t="shared" si="41"/>
        <v>8100i</v>
      </c>
      <c r="C92" t="str">
        <f t="shared" ca="1" si="27"/>
        <v>1+0.21191995580338i</v>
      </c>
      <c r="D92" t="str">
        <f t="shared" ca="1" si="28"/>
        <v>1+0.0281415683727297i</v>
      </c>
      <c r="E92" t="str">
        <f t="shared" ca="1" si="29"/>
        <v>1+21.0858130722645i</v>
      </c>
      <c r="F92">
        <f t="shared" ca="1" si="30"/>
        <v>39.000923110829653</v>
      </c>
      <c r="G92" t="str">
        <f t="shared" ca="1" si="42"/>
        <v>0.530028514455437-1.81346113251637i</v>
      </c>
      <c r="H92">
        <f t="shared" ca="1" si="43"/>
        <v>5.5261608612343052</v>
      </c>
      <c r="I92">
        <f t="shared" ca="1" si="44"/>
        <v>-73.707702635122203</v>
      </c>
      <c r="K92" t="str">
        <f t="shared" ca="1" si="31"/>
        <v>1+0.21191995580338i</v>
      </c>
      <c r="L92" t="str">
        <f t="shared" ca="1" si="32"/>
        <v>1-0.0158000144273066i</v>
      </c>
      <c r="M92" t="str">
        <f t="shared" ca="1" si="33"/>
        <v>1+21.191995580338i</v>
      </c>
      <c r="N92" t="str">
        <f t="shared" si="34"/>
        <v>1+0.100998836103173i</v>
      </c>
      <c r="O92">
        <f t="shared" ca="1" si="35"/>
        <v>22.224473826228223</v>
      </c>
      <c r="P92" t="str">
        <f t="shared" ca="1" si="50"/>
        <v>0.148188344498704-1.05517699983073i</v>
      </c>
      <c r="Q92">
        <f t="shared" ca="1" si="45"/>
        <v>0.55132934004518896</v>
      </c>
      <c r="R92">
        <f t="shared" ca="1" si="51"/>
        <v>-82.005703564078857</v>
      </c>
      <c r="T92" t="str">
        <f t="shared" si="36"/>
        <v>1+0.6156i</v>
      </c>
      <c r="U92" t="str">
        <f t="shared" si="37"/>
        <v>1+0.081i</v>
      </c>
      <c r="V92" t="str">
        <f t="shared" si="38"/>
        <v>-0.30458089668616i</v>
      </c>
      <c r="W92" t="str">
        <f t="shared" si="46"/>
        <v>0.161767590209059-0.317684071493094i</v>
      </c>
      <c r="X92">
        <f t="shared" si="47"/>
        <v>-8.9588205066858801</v>
      </c>
      <c r="Y92">
        <f t="shared" si="48"/>
        <v>-63.014395820028419</v>
      </c>
      <c r="Z92">
        <f t="shared" si="49"/>
        <v>1289.1550390443522</v>
      </c>
      <c r="AA92">
        <f t="shared" ca="1" si="39"/>
        <v>-8.4074911666406908</v>
      </c>
      <c r="AB92">
        <f t="shared" ca="1" si="40"/>
        <v>-145.02009938410728</v>
      </c>
    </row>
    <row r="93" spans="1:28" x14ac:dyDescent="0.2">
      <c r="A93">
        <v>8200</v>
      </c>
      <c r="B93" t="str">
        <f t="shared" si="41"/>
        <v>8200i</v>
      </c>
      <c r="C93" t="str">
        <f t="shared" ca="1" si="27"/>
        <v>1+0.214536251554039i</v>
      </c>
      <c r="D93" t="str">
        <f t="shared" ca="1" si="28"/>
        <v>1+0.0284889951427634i</v>
      </c>
      <c r="E93" t="str">
        <f t="shared" ca="1" si="29"/>
        <v>1+21.346131752169i</v>
      </c>
      <c r="F93">
        <f t="shared" ca="1" si="30"/>
        <v>39.000923110829653</v>
      </c>
      <c r="G93" t="str">
        <f t="shared" ca="1" si="42"/>
        <v>0.527935561778541-1.7911730979677i</v>
      </c>
      <c r="H93">
        <f t="shared" ca="1" si="43"/>
        <v>5.4245406768857993</v>
      </c>
      <c r="I93">
        <f t="shared" ca="1" si="44"/>
        <v>-73.577492902653717</v>
      </c>
      <c r="K93" t="str">
        <f t="shared" ca="1" si="31"/>
        <v>1+0.214536251554039i</v>
      </c>
      <c r="L93" t="str">
        <f t="shared" ca="1" si="32"/>
        <v>1-0.0159950763338166i</v>
      </c>
      <c r="M93" t="str">
        <f t="shared" ca="1" si="33"/>
        <v>1+21.4536251554039i</v>
      </c>
      <c r="N93" t="str">
        <f t="shared" si="34"/>
        <v>1+0.102245735314323i</v>
      </c>
      <c r="O93">
        <f t="shared" ca="1" si="35"/>
        <v>22.224473826228223</v>
      </c>
      <c r="P93" t="str">
        <f t="shared" ca="1" si="50"/>
        <v>0.14696581129984-1.04269261819548i</v>
      </c>
      <c r="Q93">
        <f t="shared" ca="1" si="45"/>
        <v>0.44855898593258509</v>
      </c>
      <c r="R93">
        <f t="shared" ca="1" si="51"/>
        <v>-81.977104240615589</v>
      </c>
      <c r="T93" t="str">
        <f t="shared" si="36"/>
        <v>1+0.6232i</v>
      </c>
      <c r="U93" t="str">
        <f t="shared" si="37"/>
        <v>1+0.082i</v>
      </c>
      <c r="V93" t="str">
        <f t="shared" si="38"/>
        <v>-0.30086649550706i</v>
      </c>
      <c r="W93" t="str">
        <f t="shared" si="46"/>
        <v>0.161741398206878-0.314129290160024i</v>
      </c>
      <c r="X93">
        <f t="shared" si="47"/>
        <v>-9.036549690156896</v>
      </c>
      <c r="Y93">
        <f t="shared" si="48"/>
        <v>-62.756605270299211</v>
      </c>
      <c r="Z93">
        <f t="shared" si="49"/>
        <v>1305.0705333535418</v>
      </c>
      <c r="AA93">
        <f t="shared" ca="1" si="39"/>
        <v>-8.5879907042243104</v>
      </c>
      <c r="AB93">
        <f t="shared" ca="1" si="40"/>
        <v>-144.73370951091479</v>
      </c>
    </row>
    <row r="94" spans="1:28" x14ac:dyDescent="0.2">
      <c r="A94">
        <v>8300</v>
      </c>
      <c r="B94" t="str">
        <f t="shared" si="41"/>
        <v>8300i</v>
      </c>
      <c r="C94" t="str">
        <f t="shared" ca="1" si="27"/>
        <v>1+0.217152547304698i</v>
      </c>
      <c r="D94" t="str">
        <f t="shared" ca="1" si="28"/>
        <v>1+0.0288364219127971i</v>
      </c>
      <c r="E94" t="str">
        <f t="shared" ca="1" si="29"/>
        <v>1+21.6064504320735i</v>
      </c>
      <c r="F94">
        <f t="shared" ca="1" si="30"/>
        <v>39.000923110829653</v>
      </c>
      <c r="G94" t="str">
        <f t="shared" ca="1" si="42"/>
        <v>0.525917585731277-1.76941537289484i</v>
      </c>
      <c r="H94">
        <f t="shared" ca="1" si="43"/>
        <v>5.3242567695618224</v>
      </c>
      <c r="I94">
        <f t="shared" ca="1" si="44"/>
        <v>-73.446642360173868</v>
      </c>
      <c r="K94" t="str">
        <f t="shared" ca="1" si="31"/>
        <v>1+0.217152547304698i</v>
      </c>
      <c r="L94" t="str">
        <f t="shared" ca="1" si="32"/>
        <v>1-0.0161901382403266i</v>
      </c>
      <c r="M94" t="str">
        <f t="shared" ca="1" si="33"/>
        <v>1+21.7152547304698i</v>
      </c>
      <c r="N94" t="str">
        <f t="shared" si="34"/>
        <v>1+0.103492634525473i</v>
      </c>
      <c r="O94">
        <f t="shared" ca="1" si="35"/>
        <v>22.224473826228223</v>
      </c>
      <c r="P94" t="str">
        <f t="shared" ca="1" si="50"/>
        <v>0.145785477810087-1.03051091652279i</v>
      </c>
      <c r="Q94">
        <f t="shared" ca="1" si="45"/>
        <v>0.34711118943406033</v>
      </c>
      <c r="R94">
        <f t="shared" ca="1" si="51"/>
        <v>-81.947849751412832</v>
      </c>
      <c r="T94" t="str">
        <f t="shared" si="36"/>
        <v>1+0.6308i</v>
      </c>
      <c r="U94" t="str">
        <f t="shared" si="37"/>
        <v>1+0.083i</v>
      </c>
      <c r="V94" t="str">
        <f t="shared" si="38"/>
        <v>-0.297241597970831i</v>
      </c>
      <c r="W94" t="str">
        <f t="shared" si="46"/>
        <v>0.161714893467325-0.310663934128619i</v>
      </c>
      <c r="X94">
        <f t="shared" si="47"/>
        <v>-9.1128363239448333</v>
      </c>
      <c r="Y94">
        <f t="shared" si="48"/>
        <v>-62.500945300995355</v>
      </c>
      <c r="Z94">
        <f t="shared" si="49"/>
        <v>1320.9860276627314</v>
      </c>
      <c r="AA94">
        <f t="shared" ca="1" si="39"/>
        <v>-8.7657251345107738</v>
      </c>
      <c r="AB94">
        <f t="shared" ca="1" si="40"/>
        <v>-144.44879505240817</v>
      </c>
    </row>
    <row r="95" spans="1:28" x14ac:dyDescent="0.2">
      <c r="A95">
        <v>8400</v>
      </c>
      <c r="B95" t="str">
        <f t="shared" si="41"/>
        <v>8400i</v>
      </c>
      <c r="C95" t="str">
        <f t="shared" ca="1" si="27"/>
        <v>1+0.219768843055357i</v>
      </c>
      <c r="D95" t="str">
        <f t="shared" ca="1" si="28"/>
        <v>1+0.0291838486828308i</v>
      </c>
      <c r="E95" t="str">
        <f t="shared" ca="1" si="29"/>
        <v>1+21.866769111978i</v>
      </c>
      <c r="F95">
        <f t="shared" ca="1" si="30"/>
        <v>39.000923110829653</v>
      </c>
      <c r="G95" t="str">
        <f t="shared" ca="1" si="42"/>
        <v>0.523971049835665-1.74816917940208i</v>
      </c>
      <c r="H95">
        <f t="shared" ca="1" si="43"/>
        <v>5.2252784225811251</v>
      </c>
      <c r="I95">
        <f t="shared" ca="1" si="44"/>
        <v>-73.315180864697425</v>
      </c>
      <c r="K95" t="str">
        <f t="shared" ca="1" si="31"/>
        <v>1+0.219768843055357i</v>
      </c>
      <c r="L95" t="str">
        <f t="shared" ca="1" si="32"/>
        <v>1-0.0163852001468365i</v>
      </c>
      <c r="M95" t="str">
        <f t="shared" ca="1" si="33"/>
        <v>1+21.9768843055357i</v>
      </c>
      <c r="N95" t="str">
        <f t="shared" si="34"/>
        <v>1+0.104739533736624i</v>
      </c>
      <c r="O95">
        <f t="shared" ca="1" si="35"/>
        <v>22.224473826228223</v>
      </c>
      <c r="P95" t="str">
        <f t="shared" ca="1" si="50"/>
        <v>0.144645335494357-1.01862117037576i</v>
      </c>
      <c r="Q95">
        <f t="shared" ca="1" si="45"/>
        <v>0.24695523997718216</v>
      </c>
      <c r="R95">
        <f t="shared" ca="1" si="51"/>
        <v>-81.917969599616896</v>
      </c>
      <c r="T95" t="str">
        <f t="shared" si="36"/>
        <v>1+0.6384i</v>
      </c>
      <c r="U95" t="str">
        <f t="shared" si="37"/>
        <v>1+0.084i</v>
      </c>
      <c r="V95" t="str">
        <f t="shared" si="38"/>
        <v>-0.293703007518797i</v>
      </c>
      <c r="W95" t="str">
        <f t="shared" si="46"/>
        <v>0.161688076302034-0.307284805928168i</v>
      </c>
      <c r="X95">
        <f t="shared" si="47"/>
        <v>-9.1877159578437055</v>
      </c>
      <c r="Y95">
        <f t="shared" si="48"/>
        <v>-62.247412466502773</v>
      </c>
      <c r="Z95">
        <f t="shared" si="49"/>
        <v>1336.9015219719208</v>
      </c>
      <c r="AA95">
        <f t="shared" ca="1" si="39"/>
        <v>-8.9407607178665227</v>
      </c>
      <c r="AB95">
        <f t="shared" ca="1" si="40"/>
        <v>-144.16538206611966</v>
      </c>
    </row>
    <row r="96" spans="1:28" x14ac:dyDescent="0.2">
      <c r="A96">
        <v>8500</v>
      </c>
      <c r="B96" t="str">
        <f t="shared" si="41"/>
        <v>8500i</v>
      </c>
      <c r="C96" t="str">
        <f t="shared" ca="1" si="27"/>
        <v>1+0.222385138806016i</v>
      </c>
      <c r="D96" t="str">
        <f t="shared" ca="1" si="28"/>
        <v>1+0.0295312754528645i</v>
      </c>
      <c r="E96" t="str">
        <f t="shared" ca="1" si="29"/>
        <v>1+22.1270877918825i</v>
      </c>
      <c r="F96">
        <f t="shared" ca="1" si="30"/>
        <v>39.000923110829653</v>
      </c>
      <c r="G96" t="str">
        <f t="shared" ca="1" si="42"/>
        <v>0.522092623551524-1.72741661395232i</v>
      </c>
      <c r="H96">
        <f t="shared" ca="1" si="43"/>
        <v>5.1275759930901943</v>
      </c>
      <c r="I96">
        <f t="shared" ca="1" si="44"/>
        <v>-73.18313693444513</v>
      </c>
      <c r="K96" t="str">
        <f t="shared" ca="1" si="31"/>
        <v>1+0.222385138806016i</v>
      </c>
      <c r="L96" t="str">
        <f t="shared" ca="1" si="32"/>
        <v>1-0.0165802620533465i</v>
      </c>
      <c r="M96" t="str">
        <f t="shared" ca="1" si="33"/>
        <v>1+22.2385138806016i</v>
      </c>
      <c r="N96" t="str">
        <f t="shared" si="34"/>
        <v>1+0.105986432947774i</v>
      </c>
      <c r="O96">
        <f t="shared" ca="1" si="35"/>
        <v>22.224473826228223</v>
      </c>
      <c r="P96" t="str">
        <f t="shared" ca="1" si="50"/>
        <v>0.143543492826754-1.00701315467294i</v>
      </c>
      <c r="Q96">
        <f t="shared" ca="1" si="45"/>
        <v>0.14806150116290692</v>
      </c>
      <c r="R96">
        <f t="shared" ca="1" si="51"/>
        <v>-81.887491956417875</v>
      </c>
      <c r="T96" t="str">
        <f t="shared" si="36"/>
        <v>1+0.646i</v>
      </c>
      <c r="U96" t="str">
        <f t="shared" si="37"/>
        <v>1+0.085i</v>
      </c>
      <c r="V96" t="str">
        <f t="shared" si="38"/>
        <v>-0.290247678018576i</v>
      </c>
      <c r="W96" t="str">
        <f t="shared" si="46"/>
        <v>0.161660947026157-0.303988858515799i</v>
      </c>
      <c r="X96">
        <f t="shared" si="47"/>
        <v>-9.2612229869878284</v>
      </c>
      <c r="Y96">
        <f t="shared" si="48"/>
        <v>-61.996002865023378</v>
      </c>
      <c r="Z96">
        <f t="shared" si="49"/>
        <v>1352.8170162811105</v>
      </c>
      <c r="AA96">
        <f t="shared" ca="1" si="39"/>
        <v>-9.1131614858249215</v>
      </c>
      <c r="AB96">
        <f t="shared" ca="1" si="40"/>
        <v>-143.88349482144125</v>
      </c>
    </row>
    <row r="97" spans="1:28" x14ac:dyDescent="0.2">
      <c r="A97">
        <v>8600</v>
      </c>
      <c r="B97" t="str">
        <f t="shared" si="41"/>
        <v>8600i</v>
      </c>
      <c r="C97" t="str">
        <f t="shared" ca="1" si="27"/>
        <v>1+0.225001434556675i</v>
      </c>
      <c r="D97" t="str">
        <f t="shared" ca="1" si="28"/>
        <v>1+0.0298787022228982i</v>
      </c>
      <c r="E97" t="str">
        <f t="shared" ca="1" si="29"/>
        <v>1+22.387406471787i</v>
      </c>
      <c r="F97">
        <f t="shared" ca="1" si="30"/>
        <v>39.000923110829653</v>
      </c>
      <c r="G97" t="str">
        <f t="shared" ca="1" si="42"/>
        <v>0.520279168061018-1.7071405971673i</v>
      </c>
      <c r="H97">
        <f t="shared" ca="1" si="43"/>
        <v>5.0311208622983239</v>
      </c>
      <c r="I97">
        <f t="shared" ca="1" si="44"/>
        <v>-73.050537825648249</v>
      </c>
      <c r="K97" t="str">
        <f t="shared" ca="1" si="31"/>
        <v>1+0.225001434556675i</v>
      </c>
      <c r="L97" t="str">
        <f t="shared" ca="1" si="32"/>
        <v>1-0.0167753239598564i</v>
      </c>
      <c r="M97" t="str">
        <f t="shared" ca="1" si="33"/>
        <v>1+22.5001434556675i</v>
      </c>
      <c r="N97" t="str">
        <f t="shared" si="34"/>
        <v>1+0.107233332158924i</v>
      </c>
      <c r="O97">
        <f t="shared" ca="1" si="35"/>
        <v>22.224473826228223</v>
      </c>
      <c r="P97" t="str">
        <f t="shared" ca="1" si="50"/>
        <v>0.142478167213706-0.99567711501524i</v>
      </c>
      <c r="Q97">
        <f t="shared" ca="1" si="45"/>
        <v>5.0401360983876639E-2</v>
      </c>
      <c r="R97">
        <f t="shared" ca="1" si="51"/>
        <v>-81.856443737483701</v>
      </c>
      <c r="T97" t="str">
        <f t="shared" si="36"/>
        <v>1+0.6536i</v>
      </c>
      <c r="U97" t="str">
        <f t="shared" si="37"/>
        <v>1+0.086i</v>
      </c>
      <c r="V97" t="str">
        <f t="shared" si="38"/>
        <v>-0.28687270501836i</v>
      </c>
      <c r="W97" t="str">
        <f t="shared" si="46"/>
        <v>0.161633505958353-0.300773186530778i</v>
      </c>
      <c r="X97">
        <f t="shared" si="47"/>
        <v>-9.333390702552844</v>
      </c>
      <c r="Y97">
        <f t="shared" si="48"/>
        <v>-61.746712152802658</v>
      </c>
      <c r="Z97">
        <f t="shared" si="49"/>
        <v>1368.7325105902999</v>
      </c>
      <c r="AA97">
        <f t="shared" ca="1" si="39"/>
        <v>-9.2829893415689675</v>
      </c>
      <c r="AB97">
        <f t="shared" ca="1" si="40"/>
        <v>-143.60315589028636</v>
      </c>
    </row>
    <row r="98" spans="1:28" x14ac:dyDescent="0.2">
      <c r="A98">
        <v>8700</v>
      </c>
      <c r="B98" t="str">
        <f t="shared" si="41"/>
        <v>8700i</v>
      </c>
      <c r="C98" t="str">
        <f t="shared" ca="1" si="27"/>
        <v>1+0.227617730307334i</v>
      </c>
      <c r="D98" t="str">
        <f t="shared" ca="1" si="28"/>
        <v>1+0.0302261289929319i</v>
      </c>
      <c r="E98" t="str">
        <f t="shared" ca="1" si="29"/>
        <v>1+22.6477251516915i</v>
      </c>
      <c r="F98">
        <f t="shared" ca="1" si="30"/>
        <v>39.000923110829653</v>
      </c>
      <c r="G98" t="str">
        <f t="shared" ca="1" si="42"/>
        <v>0.51852772318424-1.68732482703984i</v>
      </c>
      <c r="H98">
        <f t="shared" ca="1" si="43"/>
        <v>4.935885388554718</v>
      </c>
      <c r="I98">
        <f t="shared" ca="1" si="44"/>
        <v>-72.917409604077079</v>
      </c>
      <c r="K98" t="str">
        <f t="shared" ca="1" si="31"/>
        <v>1+0.227617730307334i</v>
      </c>
      <c r="L98" t="str">
        <f t="shared" ca="1" si="32"/>
        <v>1-0.0169703858663664i</v>
      </c>
      <c r="M98" t="str">
        <f t="shared" ca="1" si="33"/>
        <v>1+22.7617730307334i</v>
      </c>
      <c r="N98" t="str">
        <f t="shared" si="34"/>
        <v>1+0.108480231370075i</v>
      </c>
      <c r="O98">
        <f t="shared" ca="1" si="35"/>
        <v>22.224473826228223</v>
      </c>
      <c r="P98" t="str">
        <f t="shared" ca="1" si="50"/>
        <v>0.141447677559781-0.984603740962129i</v>
      </c>
      <c r="Q98">
        <f t="shared" ca="1" si="45"/>
        <v>-4.6052815112891214E-2</v>
      </c>
      <c r="R98">
        <f t="shared" ca="1" si="51"/>
        <v>-81.82485067414396</v>
      </c>
      <c r="T98" t="str">
        <f t="shared" si="36"/>
        <v>1+0.6612i</v>
      </c>
      <c r="U98" t="str">
        <f t="shared" si="37"/>
        <v>1+0.087i</v>
      </c>
      <c r="V98" t="str">
        <f t="shared" si="38"/>
        <v>-0.283575317604356i</v>
      </c>
      <c r="W98" t="str">
        <f t="shared" si="46"/>
        <v>0.161605753420779-0.297635018151964i</v>
      </c>
      <c r="X98">
        <f t="shared" si="47"/>
        <v>-9.4042513395546337</v>
      </c>
      <c r="Y98">
        <f t="shared" si="48"/>
        <v>-61.499535558231869</v>
      </c>
      <c r="Z98">
        <f t="shared" si="49"/>
        <v>1384.6480048994895</v>
      </c>
      <c r="AA98">
        <f t="shared" ca="1" si="39"/>
        <v>-9.4503041546675242</v>
      </c>
      <c r="AB98">
        <f t="shared" ca="1" si="40"/>
        <v>-143.32438623237584</v>
      </c>
    </row>
    <row r="99" spans="1:28" x14ac:dyDescent="0.2">
      <c r="A99">
        <v>8800</v>
      </c>
      <c r="B99" t="str">
        <f t="shared" si="41"/>
        <v>8800i</v>
      </c>
      <c r="C99" t="str">
        <f t="shared" ca="1" si="27"/>
        <v>1+0.230234026057993i</v>
      </c>
      <c r="D99" t="str">
        <f t="shared" ca="1" si="28"/>
        <v>1+0.0305735557629656i</v>
      </c>
      <c r="E99" t="str">
        <f t="shared" ca="1" si="29"/>
        <v>1+22.908043831596i</v>
      </c>
      <c r="F99">
        <f t="shared" ca="1" si="30"/>
        <v>39.000923110829653</v>
      </c>
      <c r="G99" t="str">
        <f t="shared" ca="1" si="42"/>
        <v>0.51683549532422-1.66795373529127i</v>
      </c>
      <c r="H99">
        <f t="shared" ca="1" si="43"/>
        <v>4.8418428630762085</v>
      </c>
      <c r="I99">
        <f t="shared" ca="1" si="44"/>
        <v>-72.783777211712177</v>
      </c>
      <c r="K99" t="str">
        <f t="shared" ca="1" si="31"/>
        <v>1+0.230234026057993i</v>
      </c>
      <c r="L99" t="str">
        <f t="shared" ca="1" si="32"/>
        <v>1-0.0171654477728763i</v>
      </c>
      <c r="M99" t="str">
        <f t="shared" ca="1" si="33"/>
        <v>1+23.0234026057993i</v>
      </c>
      <c r="N99" t="str">
        <f t="shared" si="34"/>
        <v>1+0.109727130581225i</v>
      </c>
      <c r="O99">
        <f t="shared" ca="1" si="35"/>
        <v>22.224473826228223</v>
      </c>
      <c r="P99" t="str">
        <f t="shared" ca="1" si="50"/>
        <v>0.1404504374184-0.973784141104438i</v>
      </c>
      <c r="Q99">
        <f t="shared" ca="1" si="45"/>
        <v>-0.14132772851246253</v>
      </c>
      <c r="R99">
        <f t="shared" ca="1" si="51"/>
        <v>-81.792737379739975</v>
      </c>
      <c r="T99" t="str">
        <f t="shared" si="36"/>
        <v>1+0.6688i</v>
      </c>
      <c r="U99" t="str">
        <f t="shared" si="37"/>
        <v>1+0.088i</v>
      </c>
      <c r="V99" t="str">
        <f t="shared" si="38"/>
        <v>-0.280352870813397i</v>
      </c>
      <c r="W99" t="str">
        <f t="shared" si="46"/>
        <v>0.161577689739082-0.294571707510436i</v>
      </c>
      <c r="X99">
        <f t="shared" si="47"/>
        <v>-9.473836121948084</v>
      </c>
      <c r="Y99">
        <f t="shared" si="48"/>
        <v>-61.254467895812574</v>
      </c>
      <c r="Z99">
        <f t="shared" si="49"/>
        <v>1400.5634992086791</v>
      </c>
      <c r="AA99">
        <f t="shared" ca="1" si="39"/>
        <v>-9.6151638504605472</v>
      </c>
      <c r="AB99">
        <f t="shared" ca="1" si="40"/>
        <v>-143.04720527555256</v>
      </c>
    </row>
    <row r="100" spans="1:28" x14ac:dyDescent="0.2">
      <c r="A100">
        <v>8900</v>
      </c>
      <c r="B100" t="str">
        <f t="shared" si="41"/>
        <v>8900i</v>
      </c>
      <c r="C100" t="str">
        <f t="shared" ca="1" si="27"/>
        <v>1+0.232850321808652i</v>
      </c>
      <c r="D100" t="str">
        <f t="shared" ca="1" si="28"/>
        <v>1+0.0309209825329993i</v>
      </c>
      <c r="E100" t="str">
        <f t="shared" ca="1" si="29"/>
        <v>1+23.1683625115005i</v>
      </c>
      <c r="F100">
        <f t="shared" ca="1" si="30"/>
        <v>39.000923110829653</v>
      </c>
      <c r="G100" t="str">
        <f t="shared" ca="1" si="42"/>
        <v>0.515199846349845-1.64901244663058i</v>
      </c>
      <c r="H100">
        <f t="shared" ca="1" si="43"/>
        <v>4.7489674681481278</v>
      </c>
      <c r="I100">
        <f t="shared" ca="1" si="44"/>
        <v>-72.649664528939681</v>
      </c>
      <c r="K100" t="str">
        <f t="shared" ca="1" si="31"/>
        <v>1+0.232850321808652i</v>
      </c>
      <c r="L100" t="str">
        <f t="shared" ca="1" si="32"/>
        <v>1-0.0173605096793863i</v>
      </c>
      <c r="M100" t="str">
        <f t="shared" ca="1" si="33"/>
        <v>1+23.2850321808652i</v>
      </c>
      <c r="N100" t="str">
        <f t="shared" si="34"/>
        <v>1+0.110974029792375i</v>
      </c>
      <c r="O100">
        <f t="shared" ca="1" si="35"/>
        <v>22.224473826228223</v>
      </c>
      <c r="P100" t="str">
        <f t="shared" ca="1" si="50"/>
        <v>0.139484948675486-0.963209819794783i</v>
      </c>
      <c r="Q100">
        <f t="shared" ca="1" si="45"/>
        <v>-0.23544918924404326</v>
      </c>
      <c r="R100">
        <f t="shared" ca="1" si="51"/>
        <v>-81.760127411519264</v>
      </c>
      <c r="T100" t="str">
        <f t="shared" si="36"/>
        <v>1+0.6764i</v>
      </c>
      <c r="U100" t="str">
        <f t="shared" si="37"/>
        <v>1+0.089i</v>
      </c>
      <c r="V100" t="str">
        <f t="shared" si="38"/>
        <v>-0.277202838557067i</v>
      </c>
      <c r="W100" t="str">
        <f t="shared" si="46"/>
        <v>0.161549315242386-0.291580727613639i</v>
      </c>
      <c r="X100">
        <f t="shared" si="47"/>
        <v>-9.5421753052109075</v>
      </c>
      <c r="Y100">
        <f t="shared" si="48"/>
        <v>-61.011503579974423</v>
      </c>
      <c r="Z100">
        <f t="shared" si="49"/>
        <v>1416.4789935178685</v>
      </c>
      <c r="AA100">
        <f t="shared" ca="1" si="39"/>
        <v>-9.7776244944549511</v>
      </c>
      <c r="AB100">
        <f t="shared" ca="1" si="40"/>
        <v>-142.77163099149368</v>
      </c>
    </row>
    <row r="101" spans="1:28" x14ac:dyDescent="0.2">
      <c r="A101">
        <v>9000</v>
      </c>
      <c r="B101" t="str">
        <f t="shared" si="41"/>
        <v>9000i</v>
      </c>
      <c r="C101" t="str">
        <f t="shared" ca="1" si="27"/>
        <v>1+0.235466617559311i</v>
      </c>
      <c r="D101" t="str">
        <f t="shared" ca="1" si="28"/>
        <v>1+0.031268409303033i</v>
      </c>
      <c r="E101" t="str">
        <f t="shared" ca="1" si="29"/>
        <v>1+23.428681191405i</v>
      </c>
      <c r="F101">
        <f t="shared" ca="1" si="30"/>
        <v>39.000923110829653</v>
      </c>
      <c r="G101" t="str">
        <f t="shared" ca="1" si="42"/>
        <v>0.513618283334319-1.63048674069308i</v>
      </c>
      <c r="H101">
        <f t="shared" ca="1" si="43"/>
        <v>4.6572342376346674</v>
      </c>
      <c r="I101">
        <f t="shared" ca="1" si="44"/>
        <v>-72.515094432614291</v>
      </c>
      <c r="K101" t="str">
        <f t="shared" ca="1" si="31"/>
        <v>1+0.235466617559311i</v>
      </c>
      <c r="L101" t="str">
        <f t="shared" ca="1" si="32"/>
        <v>1-0.0175555715858963i</v>
      </c>
      <c r="M101" t="str">
        <f t="shared" ca="1" si="33"/>
        <v>1+23.5466617559311i</v>
      </c>
      <c r="N101" t="str">
        <f t="shared" si="34"/>
        <v>1+0.112220929003525i</v>
      </c>
      <c r="O101">
        <f t="shared" ca="1" si="35"/>
        <v>22.224473826228223</v>
      </c>
      <c r="P101" t="str">
        <f t="shared" ca="1" si="50"/>
        <v>0.138549795719216-0.952872655408672i</v>
      </c>
      <c r="Q101">
        <f t="shared" ca="1" si="45"/>
        <v>-0.32844215548227507</v>
      </c>
      <c r="R101">
        <f t="shared" ca="1" si="51"/>
        <v>-81.727043328419143</v>
      </c>
      <c r="T101" t="str">
        <f t="shared" si="36"/>
        <v>1+0.684i</v>
      </c>
      <c r="U101" t="str">
        <f t="shared" si="37"/>
        <v>1+0.09i</v>
      </c>
      <c r="V101" t="str">
        <f t="shared" si="38"/>
        <v>-0.274122807017544i</v>
      </c>
      <c r="W101" t="str">
        <f t="shared" si="46"/>
        <v>0.161520630263288-0.28865966374124i</v>
      </c>
      <c r="X101">
        <f t="shared" si="47"/>
        <v>-9.6092982165839835</v>
      </c>
      <c r="Y101">
        <f t="shared" si="48"/>
        <v>-60.770636638731887</v>
      </c>
      <c r="Z101">
        <f t="shared" si="49"/>
        <v>1432.3944878270581</v>
      </c>
      <c r="AA101">
        <f t="shared" ca="1" si="39"/>
        <v>-9.9377403720662585</v>
      </c>
      <c r="AB101">
        <f t="shared" ca="1" si="40"/>
        <v>-142.49767996715104</v>
      </c>
    </row>
    <row r="102" spans="1:28" x14ac:dyDescent="0.2">
      <c r="A102">
        <v>9100</v>
      </c>
      <c r="B102" t="str">
        <f t="shared" si="41"/>
        <v>9100i</v>
      </c>
      <c r="C102" t="str">
        <f t="shared" ca="1" si="27"/>
        <v>1+0.23808291330997i</v>
      </c>
      <c r="D102" t="str">
        <f t="shared" ca="1" si="28"/>
        <v>1+0.0316158360730667i</v>
      </c>
      <c r="E102" t="str">
        <f t="shared" ca="1" si="29"/>
        <v>1+23.6889998713095i</v>
      </c>
      <c r="F102">
        <f t="shared" ca="1" si="30"/>
        <v>39.000923110829653</v>
      </c>
      <c r="G102" t="str">
        <f t="shared" ca="1" si="42"/>
        <v>0.512088449074731-1.61236301645568i</v>
      </c>
      <c r="H102">
        <f t="shared" ca="1" si="43"/>
        <v>4.566619019647991</v>
      </c>
      <c r="I102">
        <f t="shared" ca="1" si="44"/>
        <v>-72.380088850309789</v>
      </c>
      <c r="K102" t="str">
        <f t="shared" ca="1" si="31"/>
        <v>1+0.23808291330997i</v>
      </c>
      <c r="L102" t="str">
        <f t="shared" ca="1" si="32"/>
        <v>1-0.0177506334924062i</v>
      </c>
      <c r="M102" t="str">
        <f t="shared" ca="1" si="33"/>
        <v>1+23.808291330997i</v>
      </c>
      <c r="N102" t="str">
        <f t="shared" si="34"/>
        <v>1+0.113467828214676i</v>
      </c>
      <c r="O102">
        <f t="shared" ca="1" si="35"/>
        <v>22.224473826228223</v>
      </c>
      <c r="P102" t="str">
        <f t="shared" ca="1" si="50"/>
        <v>0.137643640053581-0.942764880020285i</v>
      </c>
      <c r="Q102">
        <f t="shared" ca="1" si="45"/>
        <v>-0.4203307708893847</v>
      </c>
      <c r="R102">
        <f t="shared" ca="1" si="51"/>
        <v>-81.693506745055458</v>
      </c>
      <c r="T102" t="str">
        <f t="shared" si="36"/>
        <v>1+0.6916i</v>
      </c>
      <c r="U102" t="str">
        <f t="shared" si="37"/>
        <v>1+0.091i</v>
      </c>
      <c r="V102" t="str">
        <f t="shared" si="38"/>
        <v>-0.27111046847889i</v>
      </c>
      <c r="W102" t="str">
        <f t="shared" si="46"/>
        <v>0.161491635137845-0.285806207276434i</v>
      </c>
      <c r="X102">
        <f t="shared" si="47"/>
        <v>-9.6752332931251779</v>
      </c>
      <c r="Y102">
        <f t="shared" si="48"/>
        <v>-60.531860727174987</v>
      </c>
      <c r="Z102">
        <f t="shared" si="49"/>
        <v>1448.3099821362475</v>
      </c>
      <c r="AA102">
        <f t="shared" ca="1" si="39"/>
        <v>-10.095564064014562</v>
      </c>
      <c r="AB102">
        <f t="shared" ca="1" si="40"/>
        <v>-142.22536747223046</v>
      </c>
    </row>
    <row r="103" spans="1:28" x14ac:dyDescent="0.2">
      <c r="A103">
        <v>9200</v>
      </c>
      <c r="B103" t="str">
        <f t="shared" si="41"/>
        <v>9200i</v>
      </c>
      <c r="C103" t="str">
        <f t="shared" ca="1" si="27"/>
        <v>1+0.240699209060629i</v>
      </c>
      <c r="D103" t="str">
        <f t="shared" ca="1" si="28"/>
        <v>1+0.0319632628431004i</v>
      </c>
      <c r="E103" t="str">
        <f t="shared" ca="1" si="29"/>
        <v>1+23.949318551214i</v>
      </c>
      <c r="F103">
        <f t="shared" ca="1" si="30"/>
        <v>39.000923110829653</v>
      </c>
      <c r="G103" t="str">
        <f t="shared" ca="1" si="42"/>
        <v>0.510608113325596-1.59462825894298i</v>
      </c>
      <c r="H103">
        <f t="shared" ca="1" si="43"/>
        <v>4.4770984412355848</v>
      </c>
      <c r="I103">
        <f t="shared" ca="1" si="44"/>
        <v>-72.244668811041592</v>
      </c>
      <c r="K103" t="str">
        <f t="shared" ca="1" si="31"/>
        <v>1+0.240699209060629i</v>
      </c>
      <c r="L103" t="str">
        <f t="shared" ca="1" si="32"/>
        <v>1-0.0179456953989162i</v>
      </c>
      <c r="M103" t="str">
        <f t="shared" ca="1" si="33"/>
        <v>1+24.0699209060629i</v>
      </c>
      <c r="N103" t="str">
        <f t="shared" si="34"/>
        <v>1+0.114714727425826i</v>
      </c>
      <c r="O103">
        <f t="shared" ca="1" si="35"/>
        <v>22.224473826228223</v>
      </c>
      <c r="P103" t="str">
        <f t="shared" ca="1" si="50"/>
        <v>0.136765215317637-0.932879060386909i</v>
      </c>
      <c r="Q103">
        <f t="shared" ca="1" si="45"/>
        <v>-0.51113839993755694</v>
      </c>
      <c r="R103">
        <f t="shared" ca="1" si="51"/>
        <v>-81.65953838220122</v>
      </c>
      <c r="T103" t="str">
        <f t="shared" si="36"/>
        <v>1+0.6992i</v>
      </c>
      <c r="U103" t="str">
        <f t="shared" si="37"/>
        <v>1+0.092i</v>
      </c>
      <c r="V103" t="str">
        <f t="shared" si="38"/>
        <v>-0.268163615560641i</v>
      </c>
      <c r="W103" t="str">
        <f t="shared" si="46"/>
        <v>0.161462330205561-0.283018149939553i</v>
      </c>
      <c r="X103">
        <f t="shared" si="47"/>
        <v>-9.740008117722315</v>
      </c>
      <c r="Y103">
        <f t="shared" si="48"/>
        <v>-60.295169140782924</v>
      </c>
      <c r="Z103">
        <f t="shared" si="49"/>
        <v>1464.2254764454372</v>
      </c>
      <c r="AA103">
        <f t="shared" ca="1" si="39"/>
        <v>-10.251146517659873</v>
      </c>
      <c r="AB103">
        <f t="shared" ca="1" si="40"/>
        <v>-141.95470752298414</v>
      </c>
    </row>
    <row r="104" spans="1:28" x14ac:dyDescent="0.2">
      <c r="A104">
        <v>9300</v>
      </c>
      <c r="B104" t="str">
        <f t="shared" si="41"/>
        <v>9300i</v>
      </c>
      <c r="C104" t="str">
        <f t="shared" ca="1" si="27"/>
        <v>1+0.243315504811288i</v>
      </c>
      <c r="D104" t="str">
        <f t="shared" ca="1" si="28"/>
        <v>1+0.0323106896131341i</v>
      </c>
      <c r="E104" t="str">
        <f t="shared" ca="1" si="29"/>
        <v>1+24.2096372311185i</v>
      </c>
      <c r="F104">
        <f t="shared" ca="1" si="30"/>
        <v>39.000923110829653</v>
      </c>
      <c r="G104" t="str">
        <f t="shared" ca="1" si="42"/>
        <v>0.509175164685545-1.57727000805457i</v>
      </c>
      <c r="H104">
        <f t="shared" ca="1" si="43"/>
        <v>4.3886498749579923</v>
      </c>
      <c r="I104">
        <f t="shared" ca="1" si="44"/>
        <v>-72.10885449273195</v>
      </c>
      <c r="K104" t="str">
        <f t="shared" ca="1" si="31"/>
        <v>1+0.243315504811288i</v>
      </c>
      <c r="L104" t="str">
        <f t="shared" ca="1" si="32"/>
        <v>1-0.0181407573054261i</v>
      </c>
      <c r="M104" t="str">
        <f t="shared" ca="1" si="33"/>
        <v>1+24.3315504811288i</v>
      </c>
      <c r="N104" t="str">
        <f t="shared" si="34"/>
        <v>1+0.115961626636976i</v>
      </c>
      <c r="O104">
        <f t="shared" ca="1" si="35"/>
        <v>22.224473826228223</v>
      </c>
      <c r="P104" t="str">
        <f t="shared" ca="1" si="50"/>
        <v>0.135913322675846-0.923208080144907i</v>
      </c>
      <c r="Q104">
        <f t="shared" ca="1" si="45"/>
        <v>-0.60088766134137361</v>
      </c>
      <c r="R104">
        <f t="shared" ca="1" si="51"/>
        <v>-81.625158114021914</v>
      </c>
      <c r="T104" t="str">
        <f t="shared" si="36"/>
        <v>1+0.7068i</v>
      </c>
      <c r="U104" t="str">
        <f t="shared" si="37"/>
        <v>1+0.093i</v>
      </c>
      <c r="V104" t="str">
        <f t="shared" si="38"/>
        <v>-0.26528013582343i</v>
      </c>
      <c r="W104" t="str">
        <f t="shared" si="46"/>
        <v>0.161432715809386-0.280293378393703i</v>
      </c>
      <c r="X104">
        <f t="shared" si="47"/>
        <v>-9.8036494531990552</v>
      </c>
      <c r="Y104">
        <f t="shared" si="48"/>
        <v>-60.060554828550863</v>
      </c>
      <c r="Z104">
        <f t="shared" si="49"/>
        <v>1480.1409707546268</v>
      </c>
      <c r="AA104">
        <f t="shared" ca="1" si="39"/>
        <v>-10.404537114540428</v>
      </c>
      <c r="AB104">
        <f t="shared" ca="1" si="40"/>
        <v>-141.68571294257276</v>
      </c>
    </row>
    <row r="105" spans="1:28" x14ac:dyDescent="0.2">
      <c r="A105">
        <v>9400</v>
      </c>
      <c r="B105" t="str">
        <f t="shared" si="41"/>
        <v>9400i</v>
      </c>
      <c r="C105" t="str">
        <f t="shared" ca="1" si="27"/>
        <v>1+0.245931800561947i</v>
      </c>
      <c r="D105" t="str">
        <f t="shared" ca="1" si="28"/>
        <v>1+0.0326581163831678i</v>
      </c>
      <c r="E105" t="str">
        <f t="shared" ca="1" si="29"/>
        <v>1+24.469955911023i</v>
      </c>
      <c r="F105">
        <f t="shared" ca="1" si="30"/>
        <v>39.000923110829653</v>
      </c>
      <c r="G105" t="str">
        <f t="shared" ca="1" si="42"/>
        <v>0.50778760308223-1.56027632935741i</v>
      </c>
      <c r="H105">
        <f t="shared" ca="1" si="43"/>
        <v>4.3012514072352479</v>
      </c>
      <c r="I105">
        <f t="shared" ca="1" si="44"/>
        <v>-71.972665266652427</v>
      </c>
      <c r="K105" t="str">
        <f t="shared" ca="1" si="31"/>
        <v>1+0.245931800561947i</v>
      </c>
      <c r="L105" t="str">
        <f t="shared" ca="1" si="32"/>
        <v>1-0.0183358192119361i</v>
      </c>
      <c r="M105" t="str">
        <f t="shared" ca="1" si="33"/>
        <v>1+24.5931800561947i</v>
      </c>
      <c r="N105" t="str">
        <f t="shared" si="34"/>
        <v>1+0.117208525848127i</v>
      </c>
      <c r="O105">
        <f t="shared" ca="1" si="35"/>
        <v>22.224473826228223</v>
      </c>
      <c r="P105" t="str">
        <f t="shared" ca="1" si="50"/>
        <v>0.135086826548327-0.913745123128343i</v>
      </c>
      <c r="Q105">
        <f t="shared" ca="1" si="45"/>
        <v>-0.68960045971937556</v>
      </c>
      <c r="R105">
        <f t="shared" ca="1" si="51"/>
        <v>-81.590385012304992</v>
      </c>
      <c r="T105" t="str">
        <f t="shared" si="36"/>
        <v>1+0.7144i</v>
      </c>
      <c r="U105" t="str">
        <f t="shared" si="37"/>
        <v>1+0.094i</v>
      </c>
      <c r="V105" t="str">
        <f t="shared" si="38"/>
        <v>-0.262458006718925i</v>
      </c>
      <c r="W105" t="str">
        <f t="shared" si="46"/>
        <v>0.161402792295696-0.27762986919472i</v>
      </c>
      <c r="X105">
        <f t="shared" si="47"/>
        <v>-9.8661832746382032</v>
      </c>
      <c r="Y105">
        <f t="shared" si="48"/>
        <v>-59.828010405926975</v>
      </c>
      <c r="Z105">
        <f t="shared" si="49"/>
        <v>1496.0564650638162</v>
      </c>
      <c r="AA105">
        <f t="shared" ca="1" si="39"/>
        <v>-10.555783734357579</v>
      </c>
      <c r="AB105">
        <f t="shared" ca="1" si="40"/>
        <v>-141.41839541823197</v>
      </c>
    </row>
    <row r="106" spans="1:28" x14ac:dyDescent="0.2">
      <c r="A106">
        <v>9500</v>
      </c>
      <c r="B106" t="str">
        <f t="shared" si="41"/>
        <v>9500i</v>
      </c>
      <c r="C106" t="str">
        <f t="shared" ca="1" si="27"/>
        <v>1+0.248548096312606i</v>
      </c>
      <c r="D106" t="str">
        <f t="shared" ca="1" si="28"/>
        <v>1+0.0330055431532015i</v>
      </c>
      <c r="E106" t="str">
        <f t="shared" ca="1" si="29"/>
        <v>1+24.7302745909275i</v>
      </c>
      <c r="F106">
        <f t="shared" ca="1" si="30"/>
        <v>39.000923110829653</v>
      </c>
      <c r="G106" t="str">
        <f t="shared" ca="1" si="42"/>
        <v>0.506443532805568-1.5436357867009i</v>
      </c>
      <c r="H106">
        <f t="shared" ca="1" si="43"/>
        <v>4.2148818083529296</v>
      </c>
      <c r="I106">
        <f t="shared" ca="1" si="44"/>
        <v>-71.836119739070384</v>
      </c>
      <c r="K106" t="str">
        <f t="shared" ca="1" si="31"/>
        <v>1+0.248548096312606i</v>
      </c>
      <c r="L106" t="str">
        <f t="shared" ca="1" si="32"/>
        <v>1-0.0185308811184461i</v>
      </c>
      <c r="M106" t="str">
        <f t="shared" ca="1" si="33"/>
        <v>1+24.8548096312606i</v>
      </c>
      <c r="N106" t="str">
        <f t="shared" si="34"/>
        <v>1+0.118455425059277i</v>
      </c>
      <c r="O106">
        <f t="shared" ca="1" si="35"/>
        <v>22.224473826228223</v>
      </c>
      <c r="P106" t="str">
        <f t="shared" ca="1" si="50"/>
        <v>0.134284650652647-0.90448365772858i</v>
      </c>
      <c r="Q106">
        <f t="shared" ca="1" si="45"/>
        <v>-0.77729801559678469</v>
      </c>
      <c r="R106">
        <f t="shared" ca="1" si="51"/>
        <v>-81.555237387905095</v>
      </c>
      <c r="T106" t="str">
        <f t="shared" si="36"/>
        <v>1+0.722i</v>
      </c>
      <c r="U106" t="str">
        <f t="shared" si="37"/>
        <v>1+0.095i</v>
      </c>
      <c r="V106" t="str">
        <f t="shared" si="38"/>
        <v>-0.259695290858726i</v>
      </c>
      <c r="W106" t="str">
        <f t="shared" si="46"/>
        <v>0.161372560014292-0.275025684060084i</v>
      </c>
      <c r="X106">
        <f t="shared" si="47"/>
        <v>-9.9276348000363299</v>
      </c>
      <c r="Y106">
        <f t="shared" si="48"/>
        <v>-59.597528167548163</v>
      </c>
      <c r="Z106">
        <f t="shared" si="49"/>
        <v>1511.9719593730058</v>
      </c>
      <c r="AA106">
        <f t="shared" ca="1" si="39"/>
        <v>-10.704932815633114</v>
      </c>
      <c r="AB106">
        <f t="shared" ca="1" si="40"/>
        <v>-141.15276555545324</v>
      </c>
    </row>
    <row r="107" spans="1:28" x14ac:dyDescent="0.2">
      <c r="A107">
        <v>9600</v>
      </c>
      <c r="B107" t="str">
        <f t="shared" si="41"/>
        <v>9600i</v>
      </c>
      <c r="C107" t="str">
        <f t="shared" ca="1" si="27"/>
        <v>1+0.251164392063265i</v>
      </c>
      <c r="D107" t="str">
        <f t="shared" ca="1" si="28"/>
        <v>1+0.0333529699232352i</v>
      </c>
      <c r="E107" t="str">
        <f t="shared" ca="1" si="29"/>
        <v>1+24.990593270832i</v>
      </c>
      <c r="F107">
        <f t="shared" ca="1" si="30"/>
        <v>39.000923110829653</v>
      </c>
      <c r="G107" t="str">
        <f t="shared" ca="1" si="42"/>
        <v>0.505141156044057-1.5273374165233i</v>
      </c>
      <c r="H107">
        <f t="shared" ca="1" si="43"/>
        <v>4.1295205040234926</v>
      </c>
      <c r="I107">
        <f t="shared" ca="1" si="44"/>
        <v>-71.699235790301344</v>
      </c>
      <c r="K107" t="str">
        <f t="shared" ca="1" si="31"/>
        <v>1+0.251164392063265i</v>
      </c>
      <c r="L107" t="str">
        <f t="shared" ca="1" si="32"/>
        <v>1-0.018725943024956i</v>
      </c>
      <c r="M107" t="str">
        <f t="shared" ca="1" si="33"/>
        <v>1+25.1164392063265i</v>
      </c>
      <c r="N107" t="str">
        <f t="shared" si="34"/>
        <v>1+0.119702324270427i</v>
      </c>
      <c r="O107">
        <f t="shared" ca="1" si="35"/>
        <v>22.224473826228223</v>
      </c>
      <c r="P107" t="str">
        <f t="shared" ca="1" si="50"/>
        <v>0.133505774331455-0.895417422220079i</v>
      </c>
      <c r="Q107">
        <f t="shared" ca="1" si="45"/>
        <v>-0.86400089385142198</v>
      </c>
      <c r="R107">
        <f t="shared" ca="1" si="51"/>
        <v>-81.519732829608884</v>
      </c>
      <c r="T107" t="str">
        <f t="shared" si="36"/>
        <v>1+0.7296i</v>
      </c>
      <c r="U107" t="str">
        <f t="shared" si="37"/>
        <v>1+0.096i</v>
      </c>
      <c r="V107" t="str">
        <f t="shared" si="38"/>
        <v>-0.256990131578947i</v>
      </c>
      <c r="W107" t="str">
        <f t="shared" si="46"/>
        <v>0.161342019318383-0.272478965433512i</v>
      </c>
      <c r="X107">
        <f t="shared" si="47"/>
        <v>-9.9880285193967406</v>
      </c>
      <c r="Y107">
        <f t="shared" si="48"/>
        <v>-59.369100099771423</v>
      </c>
      <c r="Z107">
        <f t="shared" si="49"/>
        <v>1527.8874536821952</v>
      </c>
      <c r="AA107">
        <f t="shared" ca="1" si="39"/>
        <v>-10.852029413248163</v>
      </c>
      <c r="AB107">
        <f t="shared" ca="1" si="40"/>
        <v>-140.8888329293803</v>
      </c>
    </row>
    <row r="108" spans="1:28" x14ac:dyDescent="0.2">
      <c r="A108">
        <v>9700</v>
      </c>
      <c r="B108" t="str">
        <f t="shared" si="41"/>
        <v>9700i</v>
      </c>
      <c r="C108" t="str">
        <f t="shared" ca="1" si="27"/>
        <v>1+0.253780687813924i</v>
      </c>
      <c r="D108" t="str">
        <f t="shared" ca="1" si="28"/>
        <v>1+0.0337003966932689i</v>
      </c>
      <c r="E108" t="str">
        <f t="shared" ca="1" si="29"/>
        <v>1+25.2509119507365i</v>
      </c>
      <c r="F108">
        <f t="shared" ca="1" si="30"/>
        <v>39.000923110829653</v>
      </c>
      <c r="G108" t="str">
        <f t="shared" ca="1" si="42"/>
        <v>0.503878766883152-1.51137070372916i</v>
      </c>
      <c r="H108">
        <f t="shared" ca="1" si="43"/>
        <v>4.0451475484078872</v>
      </c>
      <c r="I108">
        <f t="shared" ca="1" si="44"/>
        <v>-71.562030611352725</v>
      </c>
      <c r="K108" t="str">
        <f t="shared" ca="1" si="31"/>
        <v>1+0.253780687813924i</v>
      </c>
      <c r="L108" t="str">
        <f t="shared" ca="1" si="32"/>
        <v>1-0.018921004931466i</v>
      </c>
      <c r="M108" t="str">
        <f t="shared" ca="1" si="33"/>
        <v>1+25.3780687813924i</v>
      </c>
      <c r="N108" t="str">
        <f t="shared" si="34"/>
        <v>1+0.120949223481577i</v>
      </c>
      <c r="O108">
        <f t="shared" ca="1" si="35"/>
        <v>22.224473826228223</v>
      </c>
      <c r="P108" t="str">
        <f t="shared" ca="1" si="50"/>
        <v>0.132749229142644-0.886540410983476i</v>
      </c>
      <c r="Q108">
        <f t="shared" ca="1" si="45"/>
        <v>-0.94972903069953085</v>
      </c>
      <c r="R108">
        <f t="shared" ca="1" si="51"/>
        <v>-81.483888240601914</v>
      </c>
      <c r="T108" t="str">
        <f t="shared" si="36"/>
        <v>1+0.7372i</v>
      </c>
      <c r="U108" t="str">
        <f t="shared" si="37"/>
        <v>1+0.097i</v>
      </c>
      <c r="V108" t="str">
        <f t="shared" si="38"/>
        <v>-0.254340748779164i</v>
      </c>
      <c r="W108" t="str">
        <f t="shared" si="46"/>
        <v>0.161311170564579-0.269987932323928i</v>
      </c>
      <c r="X108">
        <f t="shared" si="47"/>
        <v>-10.047388222357954</v>
      </c>
      <c r="Y108">
        <f t="shared" si="48"/>
        <v>-59.142717892995016</v>
      </c>
      <c r="Z108">
        <f t="shared" si="49"/>
        <v>1543.8029479913848</v>
      </c>
      <c r="AA108">
        <f t="shared" ca="1" si="39"/>
        <v>-10.997117253057485</v>
      </c>
      <c r="AB108">
        <f t="shared" ca="1" si="40"/>
        <v>-140.62660613359694</v>
      </c>
    </row>
    <row r="109" spans="1:28" x14ac:dyDescent="0.2">
      <c r="A109">
        <v>9800</v>
      </c>
      <c r="B109" t="str">
        <f t="shared" si="41"/>
        <v>9800i</v>
      </c>
      <c r="C109" t="str">
        <f t="shared" ca="1" si="27"/>
        <v>1+0.256396983564583i</v>
      </c>
      <c r="D109" t="str">
        <f t="shared" ca="1" si="28"/>
        <v>1+0.0340478234633026i</v>
      </c>
      <c r="E109" t="str">
        <f t="shared" ca="1" si="29"/>
        <v>1+25.511230630641i</v>
      </c>
      <c r="F109">
        <f t="shared" ca="1" si="30"/>
        <v>39.000923110829653</v>
      </c>
      <c r="G109" t="str">
        <f t="shared" ca="1" si="42"/>
        <v>0.502654745728316-1.49572555902698i</v>
      </c>
      <c r="H109">
        <f t="shared" ca="1" si="43"/>
        <v>3.9617435985083578</v>
      </c>
      <c r="I109">
        <f t="shared" ca="1" si="44"/>
        <v>-71.424520738331054</v>
      </c>
      <c r="K109" t="str">
        <f t="shared" ca="1" si="31"/>
        <v>1+0.256396983564583i</v>
      </c>
      <c r="L109" t="str">
        <f t="shared" ca="1" si="32"/>
        <v>1-0.0191160668379759i</v>
      </c>
      <c r="M109" t="str">
        <f t="shared" ca="1" si="33"/>
        <v>1+25.6396983564583i</v>
      </c>
      <c r="N109" t="str">
        <f t="shared" si="34"/>
        <v>1+0.122196122692728i</v>
      </c>
      <c r="O109">
        <f t="shared" ca="1" si="35"/>
        <v>22.224473826228223</v>
      </c>
      <c r="P109" t="str">
        <f t="shared" ca="1" si="50"/>
        <v>0.132014095690801-0.877846861562802i</v>
      </c>
      <c r="Q109">
        <f t="shared" ca="1" si="45"/>
        <v>-1.0345017593091999</v>
      </c>
      <c r="R109">
        <f t="shared" ca="1" si="51"/>
        <v>-81.447719872711005</v>
      </c>
      <c r="T109" t="str">
        <f t="shared" si="36"/>
        <v>1+0.7448i</v>
      </c>
      <c r="U109" t="str">
        <f t="shared" si="37"/>
        <v>1+0.098i</v>
      </c>
      <c r="V109" t="str">
        <f t="shared" si="38"/>
        <v>-0.251745435016112i</v>
      </c>
      <c r="W109" t="str">
        <f t="shared" si="46"/>
        <v>0.161280014112881-0.267550876399174i</v>
      </c>
      <c r="X109">
        <f t="shared" si="47"/>
        <v>-10.105737024449724</v>
      </c>
      <c r="Y109">
        <f t="shared" si="48"/>
        <v>-58.918372953763011</v>
      </c>
      <c r="Z109">
        <f t="shared" si="49"/>
        <v>1559.7184423005745</v>
      </c>
      <c r="AA109">
        <f t="shared" ca="1" si="39"/>
        <v>-11.140238783758923</v>
      </c>
      <c r="AB109">
        <f t="shared" ca="1" si="40"/>
        <v>-140.36609282647402</v>
      </c>
    </row>
    <row r="110" spans="1:28" x14ac:dyDescent="0.2">
      <c r="A110">
        <v>9900</v>
      </c>
      <c r="B110" t="str">
        <f t="shared" si="41"/>
        <v>9900i</v>
      </c>
      <c r="C110" t="str">
        <f t="shared" ca="1" si="27"/>
        <v>1+0.259013279315242i</v>
      </c>
      <c r="D110" t="str">
        <f t="shared" ca="1" si="28"/>
        <v>1+0.0343952502333363i</v>
      </c>
      <c r="E110" t="str">
        <f t="shared" ca="1" si="29"/>
        <v>1+25.7715493105455i</v>
      </c>
      <c r="F110">
        <f t="shared" ca="1" si="30"/>
        <v>39.000923110829653</v>
      </c>
      <c r="G110" t="str">
        <f t="shared" ca="1" si="42"/>
        <v>0.501467554118786-1.48039229762522i</v>
      </c>
      <c r="H110">
        <f t="shared" ca="1" si="43"/>
        <v>3.879289889850158</v>
      </c>
      <c r="I110">
        <f t="shared" ca="1" si="44"/>
        <v>-71.28672208477056</v>
      </c>
      <c r="K110" t="str">
        <f t="shared" ca="1" si="31"/>
        <v>1+0.259013279315242i</v>
      </c>
      <c r="L110" t="str">
        <f t="shared" ca="1" si="32"/>
        <v>1-0.0193111287444859i</v>
      </c>
      <c r="M110" t="str">
        <f t="shared" ca="1" si="33"/>
        <v>1+25.9013279315242i</v>
      </c>
      <c r="N110" t="str">
        <f t="shared" si="34"/>
        <v>1+0.123443021903878i</v>
      </c>
      <c r="O110">
        <f t="shared" ca="1" si="35"/>
        <v>22.224473826228223</v>
      </c>
      <c r="P110" t="str">
        <f t="shared" ca="1" si="50"/>
        <v>0.131299500680643-0.869331242498497i</v>
      </c>
      <c r="Q110">
        <f t="shared" ca="1" si="45"/>
        <v>-1.1183378341251027</v>
      </c>
      <c r="R110">
        <f t="shared" ca="1" si="51"/>
        <v>-81.41124335857738</v>
      </c>
      <c r="T110" t="str">
        <f t="shared" si="36"/>
        <v>1+0.7524i</v>
      </c>
      <c r="U110" t="str">
        <f t="shared" si="37"/>
        <v>1+0.099i</v>
      </c>
      <c r="V110" t="str">
        <f t="shared" si="38"/>
        <v>-0.249202551834131i</v>
      </c>
      <c r="W110" t="str">
        <f t="shared" si="46"/>
        <v>0.161248550326669-0.265166158316471i</v>
      </c>
      <c r="X110">
        <f t="shared" si="47"/>
        <v>-10.163097392060735</v>
      </c>
      <c r="Y110">
        <f t="shared" si="48"/>
        <v>-58.69605641665045</v>
      </c>
      <c r="Z110">
        <f t="shared" si="49"/>
        <v>1575.6339366097639</v>
      </c>
      <c r="AA110">
        <f t="shared" ca="1" si="39"/>
        <v>-11.281435226185838</v>
      </c>
      <c r="AB110">
        <f t="shared" ca="1" si="40"/>
        <v>-140.10729977522783</v>
      </c>
    </row>
    <row r="111" spans="1:28" x14ac:dyDescent="0.2">
      <c r="A111">
        <v>10000</v>
      </c>
      <c r="B111" t="str">
        <f t="shared" si="41"/>
        <v>10000i</v>
      </c>
      <c r="C111" t="str">
        <f t="shared" ca="1" si="27"/>
        <v>1+0.261629575065901i</v>
      </c>
      <c r="D111" t="str">
        <f t="shared" ca="1" si="28"/>
        <v>1+0.03474267700337i</v>
      </c>
      <c r="E111" t="str">
        <f t="shared" ca="1" si="29"/>
        <v>1+26.03186799045i</v>
      </c>
      <c r="F111">
        <f t="shared" ca="1" si="30"/>
        <v>39.000923110829653</v>
      </c>
      <c r="G111" t="str">
        <f t="shared" ca="1" si="42"/>
        <v>0.500315729901051-1.4653616191927i</v>
      </c>
      <c r="H111">
        <f t="shared" ca="1" si="43"/>
        <v>3.7977682133748853</v>
      </c>
      <c r="I111">
        <f t="shared" ca="1" si="44"/>
        <v>-71.148649972028551</v>
      </c>
      <c r="K111" t="str">
        <f t="shared" ca="1" si="31"/>
        <v>1+0.261629575065901i</v>
      </c>
      <c r="L111" t="str">
        <f t="shared" ca="1" si="32"/>
        <v>1-0.0195061906509958i</v>
      </c>
      <c r="M111" t="str">
        <f t="shared" ca="1" si="33"/>
        <v>1+26.1629575065901i</v>
      </c>
      <c r="N111" t="str">
        <f t="shared" si="34"/>
        <v>1+0.124689921115028i</v>
      </c>
      <c r="O111">
        <f t="shared" ca="1" si="35"/>
        <v>22.224473826228223</v>
      </c>
      <c r="P111" t="str">
        <f t="shared" ca="1" si="50"/>
        <v>0.130604614174844-0.860988241882656i</v>
      </c>
      <c r="Q111">
        <f t="shared" ca="1" si="45"/>
        <v>-1.2012554539808191</v>
      </c>
      <c r="R111">
        <f t="shared" ca="1" si="51"/>
        <v>-81.374473741905732</v>
      </c>
      <c r="T111" t="str">
        <f t="shared" si="36"/>
        <v>1+0.76i</v>
      </c>
      <c r="U111" t="str">
        <f t="shared" si="37"/>
        <v>1+0.1i</v>
      </c>
      <c r="V111" t="str">
        <f t="shared" si="38"/>
        <v>-0.246710526315789i</v>
      </c>
      <c r="W111" t="str">
        <f t="shared" si="46"/>
        <v>0.161216779572694-0.262832204273058i</v>
      </c>
      <c r="X111">
        <f t="shared" si="47"/>
        <v>-10.219491166196162</v>
      </c>
      <c r="Y111">
        <f t="shared" si="48"/>
        <v>-58.475759155924912</v>
      </c>
      <c r="Z111">
        <f t="shared" si="49"/>
        <v>1591.5494309189535</v>
      </c>
      <c r="AA111">
        <f t="shared" ca="1" si="39"/>
        <v>-11.420746620176981</v>
      </c>
      <c r="AB111">
        <f t="shared" ca="1" si="40"/>
        <v>-139.85023289783064</v>
      </c>
    </row>
    <row r="112" spans="1:28" x14ac:dyDescent="0.2">
      <c r="A112">
        <v>11000</v>
      </c>
      <c r="B112" t="str">
        <f t="shared" si="41"/>
        <v>11000i</v>
      </c>
      <c r="C112" t="str">
        <f t="shared" ca="1" si="27"/>
        <v>1+0.287792532572491i</v>
      </c>
      <c r="D112" t="str">
        <f t="shared" ca="1" si="28"/>
        <v>1+0.038216944703707i</v>
      </c>
      <c r="E112" t="str">
        <f t="shared" ca="1" si="29"/>
        <v>1+28.635054789495i</v>
      </c>
      <c r="F112">
        <f t="shared" ca="1" si="30"/>
        <v>39.000923110829653</v>
      </c>
      <c r="G112" t="str">
        <f t="shared" ca="1" si="42"/>
        <v>0.490467424396248-1.32989101339827i</v>
      </c>
      <c r="H112">
        <f t="shared" ca="1" si="43"/>
        <v>3.0301633941412871</v>
      </c>
      <c r="I112">
        <f t="shared" ca="1" si="44"/>
        <v>-69.755888456741999</v>
      </c>
      <c r="K112" t="str">
        <f t="shared" ca="1" si="31"/>
        <v>1+0.287792532572491i</v>
      </c>
      <c r="L112" t="str">
        <f t="shared" ca="1" si="32"/>
        <v>1-0.0214568097160954i</v>
      </c>
      <c r="M112" t="str">
        <f t="shared" ca="1" si="33"/>
        <v>1+28.7792532572491i</v>
      </c>
      <c r="N112" t="str">
        <f t="shared" si="34"/>
        <v>1+0.137158913226531i</v>
      </c>
      <c r="O112">
        <f t="shared" ca="1" si="35"/>
        <v>22.224473826228223</v>
      </c>
      <c r="P112" t="str">
        <f t="shared" ca="1" si="50"/>
        <v>0.12458349789938-0.786020792346152i</v>
      </c>
      <c r="Q112">
        <f t="shared" ca="1" si="45"/>
        <v>-1.9835640754872883</v>
      </c>
      <c r="R112">
        <f t="shared" ca="1" si="51"/>
        <v>-80.993597784316108</v>
      </c>
      <c r="T112" t="str">
        <f t="shared" si="36"/>
        <v>1+0.836i</v>
      </c>
      <c r="U112" t="str">
        <f t="shared" si="37"/>
        <v>1+0.11i</v>
      </c>
      <c r="V112" t="str">
        <f t="shared" si="38"/>
        <v>-0.224282296650718i</v>
      </c>
      <c r="W112" t="str">
        <f t="shared" si="46"/>
        <v>0.160882271878689-0.241979346557374i</v>
      </c>
      <c r="X112">
        <f t="shared" si="47"/>
        <v>-10.734666417947111</v>
      </c>
      <c r="Y112">
        <f t="shared" si="48"/>
        <v>-56.381675165765458</v>
      </c>
      <c r="Z112">
        <f t="shared" si="49"/>
        <v>1750.7043740108488</v>
      </c>
      <c r="AA112">
        <f t="shared" ca="1" si="39"/>
        <v>-12.718230493434399</v>
      </c>
      <c r="AB112">
        <f t="shared" ca="1" si="40"/>
        <v>-137.37527295008158</v>
      </c>
    </row>
    <row r="113" spans="1:28" x14ac:dyDescent="0.2">
      <c r="A113">
        <v>12000</v>
      </c>
      <c r="B113" t="str">
        <f t="shared" si="41"/>
        <v>12000i</v>
      </c>
      <c r="C113" t="str">
        <f t="shared" ca="1" si="27"/>
        <v>1+0.313955490079081i</v>
      </c>
      <c r="D113" t="str">
        <f t="shared" ca="1" si="28"/>
        <v>1+0.041691212404044i</v>
      </c>
      <c r="E113" t="str">
        <f t="shared" ca="1" si="29"/>
        <v>1+31.23824158854i</v>
      </c>
      <c r="F113">
        <f t="shared" ca="1" si="30"/>
        <v>39.000923110829653</v>
      </c>
      <c r="G113" t="str">
        <f t="shared" ca="1" si="42"/>
        <v>0.482973606416514-1.21669649996299i</v>
      </c>
      <c r="H113">
        <f t="shared" ca="1" si="43"/>
        <v>2.3391297058904219</v>
      </c>
      <c r="I113">
        <f t="shared" ca="1" si="44"/>
        <v>-68.349155888874307</v>
      </c>
      <c r="K113" t="str">
        <f t="shared" ca="1" si="31"/>
        <v>1+0.313955490079081i</v>
      </c>
      <c r="L113" t="str">
        <f t="shared" ca="1" si="32"/>
        <v>1-0.023407428781195i</v>
      </c>
      <c r="M113" t="str">
        <f t="shared" ca="1" si="33"/>
        <v>1+31.3955490079081i</v>
      </c>
      <c r="N113" t="str">
        <f t="shared" si="34"/>
        <v>1+0.149627905338034i</v>
      </c>
      <c r="O113">
        <f t="shared" ca="1" si="35"/>
        <v>22.224473826228223</v>
      </c>
      <c r="P113" t="str">
        <f t="shared" ca="1" si="50"/>
        <v>0.119862429768919-0.723755915564778i</v>
      </c>
      <c r="Q113">
        <f t="shared" ca="1" si="45"/>
        <v>-2.6906467671870793</v>
      </c>
      <c r="R113">
        <f t="shared" ca="1" si="51"/>
        <v>-80.596500690364763</v>
      </c>
      <c r="T113" t="str">
        <f t="shared" si="36"/>
        <v>1+0.912i</v>
      </c>
      <c r="U113" t="str">
        <f t="shared" si="37"/>
        <v>1+0.12i</v>
      </c>
      <c r="V113" t="str">
        <f t="shared" si="38"/>
        <v>-0.205592105263158i</v>
      </c>
      <c r="W113" t="str">
        <f t="shared" si="46"/>
        <v>0.160517495434169-0.224854204715258i</v>
      </c>
      <c r="X113">
        <f t="shared" si="47"/>
        <v>-11.17331595414268</v>
      </c>
      <c r="Y113">
        <f t="shared" si="48"/>
        <v>-54.477957995082356</v>
      </c>
      <c r="Z113">
        <f t="shared" si="49"/>
        <v>1909.8593171027442</v>
      </c>
      <c r="AA113">
        <f t="shared" ca="1" si="39"/>
        <v>-13.863962721329759</v>
      </c>
      <c r="AB113">
        <f t="shared" ca="1" si="40"/>
        <v>-135.07445868544713</v>
      </c>
    </row>
    <row r="114" spans="1:28" x14ac:dyDescent="0.2">
      <c r="A114">
        <v>13000</v>
      </c>
      <c r="B114" t="str">
        <f t="shared" si="41"/>
        <v>13000i</v>
      </c>
      <c r="C114" t="str">
        <f t="shared" ca="1" si="27"/>
        <v>1+0.340118447585671i</v>
      </c>
      <c r="D114" t="str">
        <f t="shared" ca="1" si="28"/>
        <v>1+0.045165480104381i</v>
      </c>
      <c r="E114" t="str">
        <f t="shared" ca="1" si="29"/>
        <v>1+33.841428387585i</v>
      </c>
      <c r="F114">
        <f t="shared" ca="1" si="30"/>
        <v>39.000923110829653</v>
      </c>
      <c r="G114" t="str">
        <f t="shared" ca="1" si="42"/>
        <v>0.47713963557526-1.12065796852036i</v>
      </c>
      <c r="H114">
        <f t="shared" ca="1" si="43"/>
        <v>1.7129824006303145</v>
      </c>
      <c r="I114">
        <f t="shared" ca="1" si="44"/>
        <v>-66.937276067562209</v>
      </c>
      <c r="K114" t="str">
        <f t="shared" ca="1" si="31"/>
        <v>1+0.340118447585671i</v>
      </c>
      <c r="L114" t="str">
        <f t="shared" ca="1" si="32"/>
        <v>1-0.0253580478462946i</v>
      </c>
      <c r="M114" t="str">
        <f t="shared" ca="1" si="33"/>
        <v>1+34.0118447585671i</v>
      </c>
      <c r="N114" t="str">
        <f t="shared" si="34"/>
        <v>1+0.162096897449537i</v>
      </c>
      <c r="O114">
        <f t="shared" ca="1" si="35"/>
        <v>22.224473826228223</v>
      </c>
      <c r="P114" t="str">
        <f t="shared" ca="1" si="50"/>
        <v>0.116047603660514-0.671268830838531i</v>
      </c>
      <c r="Q114">
        <f t="shared" ca="1" si="45"/>
        <v>-3.3341754500621388</v>
      </c>
      <c r="R114">
        <f t="shared" ca="1" si="51"/>
        <v>-80.191766464797865</v>
      </c>
      <c r="T114" t="str">
        <f t="shared" si="36"/>
        <v>1+0.988i</v>
      </c>
      <c r="U114" t="str">
        <f t="shared" si="37"/>
        <v>1+0.13i</v>
      </c>
      <c r="V114" t="str">
        <f t="shared" si="38"/>
        <v>-0.189777327935223i</v>
      </c>
      <c r="W114" t="str">
        <f t="shared" si="46"/>
        <v>0.160122870851038-0.210593301145858i</v>
      </c>
      <c r="X114">
        <f t="shared" si="47"/>
        <v>-11.54971004292978</v>
      </c>
      <c r="Y114">
        <f t="shared" si="48"/>
        <v>-52.752757703868568</v>
      </c>
      <c r="Z114">
        <f t="shared" si="49"/>
        <v>2069.0142601946395</v>
      </c>
      <c r="AA114">
        <f t="shared" ca="1" si="39"/>
        <v>-14.883885492991919</v>
      </c>
      <c r="AB114">
        <f t="shared" ca="1" si="40"/>
        <v>-132.94452416866642</v>
      </c>
    </row>
    <row r="115" spans="1:28" x14ac:dyDescent="0.2">
      <c r="A115">
        <v>14000</v>
      </c>
      <c r="B115" t="str">
        <f t="shared" si="41"/>
        <v>14000i</v>
      </c>
      <c r="C115" t="str">
        <f t="shared" ca="1" si="27"/>
        <v>1+0.366281405092261i</v>
      </c>
      <c r="D115" t="str">
        <f t="shared" ca="1" si="28"/>
        <v>1+0.048639747804718i</v>
      </c>
      <c r="E115" t="str">
        <f t="shared" ca="1" si="29"/>
        <v>1+36.4446151866301i</v>
      </c>
      <c r="F115">
        <f t="shared" ca="1" si="30"/>
        <v>39.000923110829653</v>
      </c>
      <c r="G115" t="str">
        <f t="shared" ca="1" si="42"/>
        <v>0.472509300706097-1.03811165514548i</v>
      </c>
      <c r="H115">
        <f t="shared" ca="1" si="43"/>
        <v>1.1425755016886823</v>
      </c>
      <c r="I115">
        <f t="shared" ca="1" si="44"/>
        <v>-65.526760655006541</v>
      </c>
      <c r="K115" t="str">
        <f t="shared" ca="1" si="31"/>
        <v>1+0.366281405092261i</v>
      </c>
      <c r="L115" t="str">
        <f t="shared" ca="1" si="32"/>
        <v>1-0.0273086669113942i</v>
      </c>
      <c r="M115" t="str">
        <f t="shared" ca="1" si="33"/>
        <v>1+36.6281405092261i</v>
      </c>
      <c r="N115" t="str">
        <f t="shared" si="34"/>
        <v>1+0.17456588956104i</v>
      </c>
      <c r="O115">
        <f t="shared" ca="1" si="35"/>
        <v>22.224473826228223</v>
      </c>
      <c r="P115" t="str">
        <f t="shared" ca="1" si="50"/>
        <v>0.112880720214061-0.626466398116736i</v>
      </c>
      <c r="Q115">
        <f t="shared" ca="1" si="45"/>
        <v>-3.923282000301644</v>
      </c>
      <c r="R115">
        <f t="shared" ca="1" si="51"/>
        <v>-79.785682275324305</v>
      </c>
      <c r="T115" t="str">
        <f t="shared" si="36"/>
        <v>1+1.064i</v>
      </c>
      <c r="U115" t="str">
        <f t="shared" si="37"/>
        <v>1+0.14i</v>
      </c>
      <c r="V115" t="str">
        <f t="shared" si="38"/>
        <v>-0.176221804511278i</v>
      </c>
      <c r="W115" t="str">
        <f t="shared" si="46"/>
        <v>0.159698849910182-0.198579643498703i</v>
      </c>
      <c r="X115">
        <f t="shared" si="47"/>
        <v>-11.875037831996826</v>
      </c>
      <c r="Y115">
        <f t="shared" si="48"/>
        <v>-51.19356614096246</v>
      </c>
      <c r="Z115">
        <f t="shared" si="49"/>
        <v>2228.1692032865349</v>
      </c>
      <c r="AA115">
        <f t="shared" ca="1" si="39"/>
        <v>-15.798319832298469</v>
      </c>
      <c r="AB115">
        <f t="shared" ca="1" si="40"/>
        <v>-130.97924841628677</v>
      </c>
    </row>
    <row r="116" spans="1:28" x14ac:dyDescent="0.2">
      <c r="A116">
        <v>15000</v>
      </c>
      <c r="B116" t="str">
        <f t="shared" si="41"/>
        <v>15000i</v>
      </c>
      <c r="C116" t="str">
        <f t="shared" ca="1" si="27"/>
        <v>1+0.392444362598851i</v>
      </c>
      <c r="D116" t="str">
        <f t="shared" ca="1" si="28"/>
        <v>1+0.052114015505055i</v>
      </c>
      <c r="E116" t="str">
        <f t="shared" ca="1" si="29"/>
        <v>1+39.0478019856751i</v>
      </c>
      <c r="F116">
        <f t="shared" ca="1" si="30"/>
        <v>39.000923110829653</v>
      </c>
      <c r="G116" t="str">
        <f t="shared" ca="1" si="42"/>
        <v>0.468772971527677-0.966367045743646i</v>
      </c>
      <c r="H116">
        <f t="shared" ca="1" si="43"/>
        <v>0.62060279204269275</v>
      </c>
      <c r="I116">
        <f t="shared" ca="1" si="44"/>
        <v>-64.12253716980166</v>
      </c>
      <c r="K116" t="str">
        <f t="shared" ca="1" si="31"/>
        <v>1+0.392444362598851i</v>
      </c>
      <c r="L116" t="str">
        <f t="shared" ca="1" si="32"/>
        <v>1-0.0292592859764938i</v>
      </c>
      <c r="M116" t="str">
        <f t="shared" ca="1" si="33"/>
        <v>1+39.2444362598851i</v>
      </c>
      <c r="N116" t="str">
        <f t="shared" si="34"/>
        <v>1+0.187034881672542i</v>
      </c>
      <c r="O116">
        <f t="shared" ca="1" si="35"/>
        <v>22.224473826228223</v>
      </c>
      <c r="P116" t="str">
        <f t="shared" ca="1" si="50"/>
        <v>0.110186803025665-0.587811253501664i</v>
      </c>
      <c r="Q116">
        <f t="shared" ca="1" si="45"/>
        <v>-4.4652574056847847</v>
      </c>
      <c r="R116">
        <f t="shared" ca="1" si="51"/>
        <v>-79.382963128578965</v>
      </c>
      <c r="T116" t="str">
        <f t="shared" si="36"/>
        <v>1+1.14i</v>
      </c>
      <c r="U116" t="str">
        <f t="shared" si="37"/>
        <v>1+0.15i</v>
      </c>
      <c r="V116" t="str">
        <f t="shared" si="38"/>
        <v>-0.164473684210526i</v>
      </c>
      <c r="W116" t="str">
        <f t="shared" si="46"/>
        <v>0.159245914296744-0.188360571355038i</v>
      </c>
      <c r="X116">
        <f t="shared" si="47"/>
        <v>-12.158181752509126</v>
      </c>
      <c r="Y116">
        <f t="shared" si="48"/>
        <v>-49.787777314261056</v>
      </c>
      <c r="Z116">
        <f t="shared" si="49"/>
        <v>2387.3241463784302</v>
      </c>
      <c r="AA116">
        <f t="shared" ca="1" si="39"/>
        <v>-16.623439158193911</v>
      </c>
      <c r="AB116">
        <f t="shared" ca="1" si="40"/>
        <v>-129.17074044284001</v>
      </c>
    </row>
    <row r="117" spans="1:28" x14ac:dyDescent="0.2">
      <c r="A117">
        <v>16000</v>
      </c>
      <c r="B117" t="str">
        <f t="shared" si="41"/>
        <v>16000i</v>
      </c>
      <c r="C117" t="str">
        <f t="shared" ca="1" si="27"/>
        <v>1+0.418607320105441i</v>
      </c>
      <c r="D117" t="str">
        <f t="shared" ca="1" si="28"/>
        <v>1+0.055588283205392i</v>
      </c>
      <c r="E117" t="str">
        <f t="shared" ca="1" si="29"/>
        <v>1+41.6509887847201i</v>
      </c>
      <c r="F117">
        <f t="shared" ca="1" si="30"/>
        <v>39.000923110829653</v>
      </c>
      <c r="G117" t="str">
        <f t="shared" ca="1" si="42"/>
        <v>0.465714520591802-0.903404009831131i</v>
      </c>
      <c r="H117">
        <f t="shared" ca="1" si="43"/>
        <v>0.1411243773320531</v>
      </c>
      <c r="I117">
        <f t="shared" ca="1" si="44"/>
        <v>-62.728405940987415</v>
      </c>
      <c r="K117" t="str">
        <f t="shared" ca="1" si="31"/>
        <v>1+0.418607320105441i</v>
      </c>
      <c r="L117" t="str">
        <f t="shared" ca="1" si="32"/>
        <v>1-0.0312099050415934i</v>
      </c>
      <c r="M117" t="str">
        <f t="shared" ca="1" si="33"/>
        <v>1+41.8607320105441i</v>
      </c>
      <c r="N117" t="str">
        <f t="shared" si="34"/>
        <v>1+0.199503873784045i</v>
      </c>
      <c r="O117">
        <f t="shared" ca="1" si="35"/>
        <v>22.224473826228223</v>
      </c>
      <c r="P117" t="str">
        <f t="shared" ca="1" si="50"/>
        <v>0.10784404098648-0.554148868479702i</v>
      </c>
      <c r="Q117">
        <f t="shared" ca="1" si="45"/>
        <v>-4.9660253056917085</v>
      </c>
      <c r="R117">
        <f t="shared" ca="1" si="51"/>
        <v>-78.987206829287999</v>
      </c>
      <c r="T117" t="str">
        <f t="shared" si="36"/>
        <v>1+1.216i</v>
      </c>
      <c r="U117" t="str">
        <f t="shared" si="37"/>
        <v>1+0.16i</v>
      </c>
      <c r="V117" t="str">
        <f t="shared" si="38"/>
        <v>-0.154194078947368i</v>
      </c>
      <c r="W117" t="str">
        <f t="shared" si="46"/>
        <v>0.15876457426718-0.179596410830117i</v>
      </c>
      <c r="X117">
        <f t="shared" si="47"/>
        <v>-12.406263604825869</v>
      </c>
      <c r="Y117">
        <f t="shared" si="48"/>
        <v>-48.523076568177281</v>
      </c>
      <c r="Z117">
        <f t="shared" si="49"/>
        <v>2546.4790894703256</v>
      </c>
      <c r="AA117">
        <f t="shared" ca="1" si="39"/>
        <v>-17.372288910517575</v>
      </c>
      <c r="AB117">
        <f t="shared" ca="1" si="40"/>
        <v>-127.51028339746529</v>
      </c>
    </row>
    <row r="118" spans="1:28" x14ac:dyDescent="0.2">
      <c r="A118">
        <v>17000</v>
      </c>
      <c r="B118" t="str">
        <f t="shared" si="41"/>
        <v>17000i</v>
      </c>
      <c r="C118" t="str">
        <f t="shared" ca="1" si="27"/>
        <v>1+0.444770277612032i</v>
      </c>
      <c r="D118" t="str">
        <f t="shared" ca="1" si="28"/>
        <v>1+0.059062550905729i</v>
      </c>
      <c r="E118" t="str">
        <f t="shared" ca="1" si="29"/>
        <v>1+44.2541755837651i</v>
      </c>
      <c r="F118">
        <f t="shared" ca="1" si="30"/>
        <v>39.000923110829653</v>
      </c>
      <c r="G118" t="str">
        <f t="shared" ca="1" si="42"/>
        <v>0.463179383323017-0.847676350623821i</v>
      </c>
      <c r="H118">
        <f t="shared" ca="1" si="43"/>
        <v>-0.30076308276352248</v>
      </c>
      <c r="I118">
        <f t="shared" ca="1" si="44"/>
        <v>-61.347337866675907</v>
      </c>
      <c r="K118" t="str">
        <f t="shared" ca="1" si="31"/>
        <v>1+0.444770277612032i</v>
      </c>
      <c r="L118" t="str">
        <f t="shared" ca="1" si="32"/>
        <v>1-0.0331605241066929i</v>
      </c>
      <c r="M118" t="str">
        <f t="shared" ca="1" si="33"/>
        <v>1+44.4770277612032i</v>
      </c>
      <c r="N118" t="str">
        <f t="shared" si="34"/>
        <v>1+0.211972865895548i</v>
      </c>
      <c r="O118">
        <f t="shared" ca="1" si="35"/>
        <v>22.224473826228223</v>
      </c>
      <c r="P118" t="str">
        <f t="shared" ca="1" si="50"/>
        <v>0.105765639347717-0.524595377618559i</v>
      </c>
      <c r="Q118">
        <f t="shared" ca="1" si="45"/>
        <v>-5.430471841272726</v>
      </c>
      <c r="R118">
        <f t="shared" ca="1" si="51"/>
        <v>-78.601190516126081</v>
      </c>
      <c r="T118" t="str">
        <f t="shared" si="36"/>
        <v>1+1.292i</v>
      </c>
      <c r="U118" t="str">
        <f t="shared" si="37"/>
        <v>1+0.17i</v>
      </c>
      <c r="V118" t="str">
        <f t="shared" si="38"/>
        <v>-0.145123839009288i</v>
      </c>
      <c r="W118" t="str">
        <f t="shared" si="46"/>
        <v>0.158255367254759-0.172027251442597i</v>
      </c>
      <c r="X118">
        <f t="shared" si="47"/>
        <v>-12.625041211841978</v>
      </c>
      <c r="Y118">
        <f t="shared" si="48"/>
        <v>-47.387694545349262</v>
      </c>
      <c r="Z118">
        <f t="shared" si="49"/>
        <v>2705.6340325622209</v>
      </c>
      <c r="AA118">
        <f t="shared" ca="1" si="39"/>
        <v>-18.055513053114705</v>
      </c>
      <c r="AB118">
        <f t="shared" ca="1" si="40"/>
        <v>-125.98888506147534</v>
      </c>
    </row>
    <row r="119" spans="1:28" x14ac:dyDescent="0.2">
      <c r="A119">
        <v>18000</v>
      </c>
      <c r="B119" t="str">
        <f t="shared" si="41"/>
        <v>18000i</v>
      </c>
      <c r="C119" t="str">
        <f t="shared" ca="1" si="27"/>
        <v>1+0.470933235118622i</v>
      </c>
      <c r="D119" t="str">
        <f t="shared" ca="1" si="28"/>
        <v>1+0.062536818606066i</v>
      </c>
      <c r="E119" t="str">
        <f t="shared" ca="1" si="29"/>
        <v>1+46.8573623828101i</v>
      </c>
      <c r="F119">
        <f t="shared" ca="1" si="30"/>
        <v>39.000923110829653</v>
      </c>
      <c r="G119" t="str">
        <f t="shared" ca="1" si="42"/>
        <v>0.461054656731598-0.797980581507917i</v>
      </c>
      <c r="H119">
        <f t="shared" ca="1" si="43"/>
        <v>-0.70916169776144999</v>
      </c>
      <c r="I119">
        <f t="shared" ca="1" si="44"/>
        <v>-59.981675118212685</v>
      </c>
      <c r="K119" t="str">
        <f t="shared" ca="1" si="31"/>
        <v>1+0.470933235118622i</v>
      </c>
      <c r="L119" t="str">
        <f t="shared" ca="1" si="32"/>
        <v>1-0.0351111431717925i</v>
      </c>
      <c r="M119" t="str">
        <f t="shared" ca="1" si="33"/>
        <v>1+47.0933235118622i</v>
      </c>
      <c r="N119" t="str">
        <f t="shared" si="34"/>
        <v>1+0.224441858007051i</v>
      </c>
      <c r="O119">
        <f t="shared" ca="1" si="35"/>
        <v>22.224473826228223</v>
      </c>
      <c r="P119" t="str">
        <f t="shared" ca="1" si="50"/>
        <v>0.103888509946595-0.498462652199228i</v>
      </c>
      <c r="Q119">
        <f t="shared" ca="1" si="45"/>
        <v>-5.8626810472509563</v>
      </c>
      <c r="R119">
        <f t="shared" ca="1" si="51"/>
        <v>-78.22707060796472</v>
      </c>
      <c r="T119" t="str">
        <f t="shared" si="36"/>
        <v>1+1.368i</v>
      </c>
      <c r="U119" t="str">
        <f t="shared" si="37"/>
        <v>1+0.18i</v>
      </c>
      <c r="V119" t="str">
        <f t="shared" si="38"/>
        <v>-0.137061403508772i</v>
      </c>
      <c r="W119" t="str">
        <f t="shared" si="46"/>
        <v>0.1577188564204-0.165450797664444i</v>
      </c>
      <c r="X119">
        <f t="shared" si="47"/>
        <v>-12.819203205209696</v>
      </c>
      <c r="Y119">
        <f t="shared" si="48"/>
        <v>-46.370559070512712</v>
      </c>
      <c r="Z119">
        <f t="shared" si="49"/>
        <v>2864.7889756541163</v>
      </c>
      <c r="AA119">
        <f t="shared" ca="1" si="39"/>
        <v>-18.681884252460652</v>
      </c>
      <c r="AB119">
        <f t="shared" ca="1" si="40"/>
        <v>-124.59762967847743</v>
      </c>
    </row>
    <row r="120" spans="1:28" x14ac:dyDescent="0.2">
      <c r="A120">
        <v>19000</v>
      </c>
      <c r="B120" t="str">
        <f t="shared" si="41"/>
        <v>19000i</v>
      </c>
      <c r="C120" t="str">
        <f t="shared" ca="1" si="27"/>
        <v>1+0.497096192625212i</v>
      </c>
      <c r="D120" t="str">
        <f t="shared" ca="1" si="28"/>
        <v>1+0.066011086306403i</v>
      </c>
      <c r="E120" t="str">
        <f t="shared" ca="1" si="29"/>
        <v>1+49.4605491818551i</v>
      </c>
      <c r="F120">
        <f t="shared" ca="1" si="30"/>
        <v>39.000923110829653</v>
      </c>
      <c r="G120" t="str">
        <f t="shared" ca="1" si="42"/>
        <v>0.459256317652654-0.753365997576363i</v>
      </c>
      <c r="H120">
        <f t="shared" ca="1" si="43"/>
        <v>-1.0875438612415007</v>
      </c>
      <c r="I120">
        <f t="shared" ca="1" si="44"/>
        <v>-58.633270728605808</v>
      </c>
      <c r="K120" t="str">
        <f t="shared" ca="1" si="31"/>
        <v>1+0.497096192625212i</v>
      </c>
      <c r="L120" t="str">
        <f t="shared" ca="1" si="32"/>
        <v>1-0.0370617622368921i</v>
      </c>
      <c r="M120" t="str">
        <f t="shared" ca="1" si="33"/>
        <v>1+49.7096192625212i</v>
      </c>
      <c r="N120" t="str">
        <f t="shared" si="34"/>
        <v>1+0.236910850118554i</v>
      </c>
      <c r="O120">
        <f t="shared" ca="1" si="35"/>
        <v>22.224473826228223</v>
      </c>
      <c r="P120" t="str">
        <f t="shared" ca="1" si="50"/>
        <v>0.102166005978935-0.475206953699601i</v>
      </c>
      <c r="Q120">
        <f t="shared" ca="1" si="45"/>
        <v>-6.2661064296614422</v>
      </c>
      <c r="R120">
        <f t="shared" ca="1" si="51"/>
        <v>-77.866521920643635</v>
      </c>
      <c r="T120" t="str">
        <f t="shared" si="36"/>
        <v>1+1.444i</v>
      </c>
      <c r="U120" t="str">
        <f t="shared" si="37"/>
        <v>1+0.19i</v>
      </c>
      <c r="V120" t="str">
        <f t="shared" si="38"/>
        <v>-0.129847645429363i</v>
      </c>
      <c r="W120" t="str">
        <f t="shared" si="46"/>
        <v>0.157155629155893-0.159707214968983i</v>
      </c>
      <c r="X120">
        <f t="shared" si="47"/>
        <v>-12.992592025364427</v>
      </c>
      <c r="Y120">
        <f t="shared" si="48"/>
        <v>-45.461372928297138</v>
      </c>
      <c r="Z120">
        <f t="shared" si="49"/>
        <v>3023.9439187460116</v>
      </c>
      <c r="AA120">
        <f t="shared" ca="1" si="39"/>
        <v>-19.258698455025868</v>
      </c>
      <c r="AB120">
        <f t="shared" ca="1" si="40"/>
        <v>-123.32789484894077</v>
      </c>
    </row>
    <row r="121" spans="1:28" x14ac:dyDescent="0.2">
      <c r="A121">
        <v>20000</v>
      </c>
      <c r="B121" t="str">
        <f t="shared" si="41"/>
        <v>20000i</v>
      </c>
      <c r="C121" t="str">
        <f t="shared" ca="1" si="27"/>
        <v>1+0.523259150131802i</v>
      </c>
      <c r="D121" t="str">
        <f t="shared" ca="1" si="28"/>
        <v>1+0.06948535400674i</v>
      </c>
      <c r="E121" t="str">
        <f t="shared" ca="1" si="29"/>
        <v>1+52.0637359809001i</v>
      </c>
      <c r="F121">
        <f t="shared" ca="1" si="30"/>
        <v>39.000923110829653</v>
      </c>
      <c r="G121" t="str">
        <f t="shared" ca="1" si="42"/>
        <v>0.45772079209122-0.713071642131667i</v>
      </c>
      <c r="H121">
        <f t="shared" ca="1" si="43"/>
        <v>-1.4388796155980688</v>
      </c>
      <c r="I121">
        <f t="shared" ca="1" si="44"/>
        <v>-57.303588577054271</v>
      </c>
      <c r="K121" t="str">
        <f t="shared" ca="1" si="31"/>
        <v>1+0.523259150131802i</v>
      </c>
      <c r="L121" t="str">
        <f t="shared" ca="1" si="32"/>
        <v>1-0.0390123813019917i</v>
      </c>
      <c r="M121" t="str">
        <f t="shared" ca="1" si="33"/>
        <v>1+52.3259150131802i</v>
      </c>
      <c r="N121" t="str">
        <f t="shared" si="34"/>
        <v>1+0.249379842230057i</v>
      </c>
      <c r="O121">
        <f t="shared" ca="1" si="35"/>
        <v>22.224473826228223</v>
      </c>
      <c r="P121" t="str">
        <f t="shared" ca="1" si="50"/>
        <v>0.100563128582932-0.454392944130732i</v>
      </c>
      <c r="Q121">
        <f t="shared" ca="1" si="45"/>
        <v>-6.6436983891520951</v>
      </c>
      <c r="R121">
        <f t="shared" ca="1" si="51"/>
        <v>-77.520837358619417</v>
      </c>
      <c r="T121" t="str">
        <f t="shared" si="36"/>
        <v>1+1.52i</v>
      </c>
      <c r="U121" t="str">
        <f t="shared" si="37"/>
        <v>1+0.2i</v>
      </c>
      <c r="V121" t="str">
        <f t="shared" si="38"/>
        <v>-0.123355263157895i</v>
      </c>
      <c r="W121" t="str">
        <f t="shared" si="46"/>
        <v>0.156566295546559-0.154668522267207i</v>
      </c>
      <c r="X121">
        <f t="shared" si="47"/>
        <v>-13.148374977391885</v>
      </c>
      <c r="Y121">
        <f t="shared" si="48"/>
        <v>-44.650639820497261</v>
      </c>
      <c r="Z121">
        <f t="shared" si="49"/>
        <v>3183.098861837907</v>
      </c>
      <c r="AA121">
        <f t="shared" ca="1" si="39"/>
        <v>-19.792073366543981</v>
      </c>
      <c r="AB121">
        <f t="shared" ca="1" si="40"/>
        <v>-122.17147717911668</v>
      </c>
    </row>
    <row r="122" spans="1:28" x14ac:dyDescent="0.2">
      <c r="A122">
        <v>21000</v>
      </c>
      <c r="B122" t="str">
        <f t="shared" si="41"/>
        <v>21000i</v>
      </c>
      <c r="C122" t="str">
        <f t="shared" ca="1" si="27"/>
        <v>1+0.549422107638392i</v>
      </c>
      <c r="D122" t="str">
        <f t="shared" ca="1" si="28"/>
        <v>1+0.072959621707077i</v>
      </c>
      <c r="E122" t="str">
        <f t="shared" ca="1" si="29"/>
        <v>1+54.6669227799451i</v>
      </c>
      <c r="F122">
        <f t="shared" ca="1" si="30"/>
        <v>39.000923110829653</v>
      </c>
      <c r="G122" t="str">
        <f t="shared" ca="1" si="42"/>
        <v>0.456399261851778-0.676481232687291i</v>
      </c>
      <c r="H122">
        <f t="shared" ca="1" si="43"/>
        <v>-1.7657328211669183</v>
      </c>
      <c r="I122">
        <f t="shared" ca="1" si="44"/>
        <v>-55.993777033963688</v>
      </c>
      <c r="K122" t="str">
        <f t="shared" ca="1" si="31"/>
        <v>1+0.549422107638392i</v>
      </c>
      <c r="L122" t="str">
        <f t="shared" ca="1" si="32"/>
        <v>1-0.0409630003670913i</v>
      </c>
      <c r="M122" t="str">
        <f t="shared" ca="1" si="33"/>
        <v>1+54.9422107638392i</v>
      </c>
      <c r="N122" t="str">
        <f t="shared" si="34"/>
        <v>1+0.261848834341559i</v>
      </c>
      <c r="O122">
        <f t="shared" ca="1" si="35"/>
        <v>22.224473826228223</v>
      </c>
      <c r="P122" t="str">
        <f t="shared" ca="1" si="50"/>
        <v>0.0990532884439014-0.435667950861914i</v>
      </c>
      <c r="Q122">
        <f t="shared" ca="1" si="45"/>
        <v>-6.998000446503438</v>
      </c>
      <c r="R122">
        <f t="shared" ca="1" si="51"/>
        <v>-77.191001379231679</v>
      </c>
      <c r="T122" t="str">
        <f t="shared" si="36"/>
        <v>1+1.596i</v>
      </c>
      <c r="U122" t="str">
        <f t="shared" si="37"/>
        <v>1+0.21i</v>
      </c>
      <c r="V122" t="str">
        <f t="shared" si="38"/>
        <v>-0.117481203007519i</v>
      </c>
      <c r="W122" t="str">
        <f t="shared" si="46"/>
        <v>0.155951486800518-0.150231015235628i</v>
      </c>
      <c r="X122">
        <f t="shared" si="47"/>
        <v>-13.289176909696813</v>
      </c>
      <c r="Y122">
        <f t="shared" si="48"/>
        <v>-43.929655525018568</v>
      </c>
      <c r="Z122">
        <f t="shared" si="49"/>
        <v>3342.2538049298023</v>
      </c>
      <c r="AA122">
        <f t="shared" ca="1" si="39"/>
        <v>-20.287177356200253</v>
      </c>
      <c r="AB122">
        <f t="shared" ca="1" si="40"/>
        <v>-121.12065690425024</v>
      </c>
    </row>
    <row r="123" spans="1:28" x14ac:dyDescent="0.2">
      <c r="A123">
        <v>22000</v>
      </c>
      <c r="B123" t="str">
        <f t="shared" si="41"/>
        <v>22000i</v>
      </c>
      <c r="C123" t="str">
        <f t="shared" ca="1" si="27"/>
        <v>1+0.575585065144982i</v>
      </c>
      <c r="D123" t="str">
        <f t="shared" ca="1" si="28"/>
        <v>1+0.076433889407414i</v>
      </c>
      <c r="E123" t="str">
        <f t="shared" ca="1" si="29"/>
        <v>1+57.2701095789901i</v>
      </c>
      <c r="F123">
        <f t="shared" ca="1" si="30"/>
        <v>39.000923110829653</v>
      </c>
      <c r="G123" t="str">
        <f t="shared" ca="1" si="42"/>
        <v>0.455253738014376-0.64309034902666i</v>
      </c>
      <c r="H123">
        <f t="shared" ca="1" si="43"/>
        <v>-2.0703348696258335</v>
      </c>
      <c r="I123">
        <f t="shared" ca="1" si="44"/>
        <v>-54.704724659570466</v>
      </c>
      <c r="K123" t="str">
        <f t="shared" ca="1" si="31"/>
        <v>1+0.575585065144982i</v>
      </c>
      <c r="L123" t="str">
        <f t="shared" ca="1" si="32"/>
        <v>1-0.0429136194321909i</v>
      </c>
      <c r="M123" t="str">
        <f t="shared" ca="1" si="33"/>
        <v>1+57.5585065144982i</v>
      </c>
      <c r="N123" t="str">
        <f t="shared" si="34"/>
        <v>1+0.274317826453062i</v>
      </c>
      <c r="O123">
        <f t="shared" ca="1" si="35"/>
        <v>22.224473826228223</v>
      </c>
      <c r="P123" t="str">
        <f t="shared" ca="1" si="50"/>
        <v>0.0976160711413222-0.418743232629269i</v>
      </c>
      <c r="Q123">
        <f t="shared" ca="1" si="45"/>
        <v>-7.3312230110150045</v>
      </c>
      <c r="R123">
        <f t="shared" ca="1" si="51"/>
        <v>-76.877745580308883</v>
      </c>
      <c r="T123" t="str">
        <f t="shared" si="36"/>
        <v>1+1.672i</v>
      </c>
      <c r="U123" t="str">
        <f t="shared" si="37"/>
        <v>1+0.22i</v>
      </c>
      <c r="V123" t="str">
        <f t="shared" si="38"/>
        <v>-0.112141148325359i</v>
      </c>
      <c r="W123" t="str">
        <f t="shared" si="46"/>
        <v>0.15531185365168-0.146309756128729i</v>
      </c>
      <c r="X123">
        <f t="shared" si="47"/>
        <v>-13.417184071217266</v>
      </c>
      <c r="Y123">
        <f t="shared" si="48"/>
        <v>-43.290476831831228</v>
      </c>
      <c r="Z123">
        <f t="shared" si="49"/>
        <v>3501.4087480216976</v>
      </c>
      <c r="AA123">
        <f t="shared" ca="1" si="39"/>
        <v>-20.748407082232269</v>
      </c>
      <c r="AB123">
        <f t="shared" ca="1" si="40"/>
        <v>-120.16822241214011</v>
      </c>
    </row>
    <row r="124" spans="1:28" x14ac:dyDescent="0.2">
      <c r="A124">
        <v>23000</v>
      </c>
      <c r="B124" t="str">
        <f t="shared" si="41"/>
        <v>23000i</v>
      </c>
      <c r="C124" t="str">
        <f t="shared" ca="1" si="27"/>
        <v>1+0.601748022651572i</v>
      </c>
      <c r="D124" t="str">
        <f t="shared" ca="1" si="28"/>
        <v>1+0.079908157107751i</v>
      </c>
      <c r="E124" t="str">
        <f t="shared" ca="1" si="29"/>
        <v>1+59.8732963780351i</v>
      </c>
      <c r="F124">
        <f t="shared" ca="1" si="30"/>
        <v>39.000923110829653</v>
      </c>
      <c r="G124" t="str">
        <f t="shared" ca="1" si="42"/>
        <v>0.454254301358318-0.612482161408646i</v>
      </c>
      <c r="H124">
        <f t="shared" ca="1" si="43"/>
        <v>-2.3546419624766779</v>
      </c>
      <c r="I124">
        <f t="shared" ca="1" si="44"/>
        <v>-53.437103389043656</v>
      </c>
      <c r="K124" t="str">
        <f t="shared" ca="1" si="31"/>
        <v>1+0.601748022651572i</v>
      </c>
      <c r="L124" t="str">
        <f t="shared" ca="1" si="32"/>
        <v>1-0.0448642384972904i</v>
      </c>
      <c r="M124" t="str">
        <f t="shared" ca="1" si="33"/>
        <v>1+60.1748022651572i</v>
      </c>
      <c r="N124" t="str">
        <f t="shared" si="34"/>
        <v>1+0.286786818564565i</v>
      </c>
      <c r="O124">
        <f t="shared" ca="1" si="35"/>
        <v>22.224473826228223</v>
      </c>
      <c r="P124" t="str">
        <f t="shared" ca="1" si="50"/>
        <v>0.0962356654630067-0.403380121513027i</v>
      </c>
      <c r="Q124">
        <f t="shared" ca="1" si="45"/>
        <v>-7.6453007130035751</v>
      </c>
      <c r="R124">
        <f t="shared" ca="1" si="51"/>
        <v>-76.581591816421508</v>
      </c>
      <c r="T124" t="str">
        <f t="shared" si="36"/>
        <v>1+1.748i</v>
      </c>
      <c r="U124" t="str">
        <f t="shared" si="37"/>
        <v>1+0.23i</v>
      </c>
      <c r="V124" t="str">
        <f t="shared" si="38"/>
        <v>-0.107265446224256i</v>
      </c>
      <c r="W124" t="str">
        <f t="shared" si="46"/>
        <v>0.15464806474349-0.142834501115259i</v>
      </c>
      <c r="X124">
        <f t="shared" si="47"/>
        <v>-13.534226040679105</v>
      </c>
      <c r="Y124">
        <f t="shared" si="48"/>
        <v>-42.725877283526096</v>
      </c>
      <c r="Z124">
        <f t="shared" si="49"/>
        <v>3660.563691113593</v>
      </c>
      <c r="AA124">
        <f t="shared" ca="1" si="39"/>
        <v>-21.17952675368268</v>
      </c>
      <c r="AB124">
        <f t="shared" ca="1" si="40"/>
        <v>-119.30746909994761</v>
      </c>
    </row>
    <row r="125" spans="1:28" x14ac:dyDescent="0.2">
      <c r="A125">
        <v>24000</v>
      </c>
      <c r="B125" t="str">
        <f t="shared" si="41"/>
        <v>24000i</v>
      </c>
      <c r="C125" t="str">
        <f t="shared" ca="1" si="27"/>
        <v>1+0.627910980158162i</v>
      </c>
      <c r="D125" t="str">
        <f t="shared" ca="1" si="28"/>
        <v>1+0.083382424808088i</v>
      </c>
      <c r="E125" t="str">
        <f t="shared" ca="1" si="29"/>
        <v>1+62.4764831770801i</v>
      </c>
      <c r="F125">
        <f t="shared" ca="1" si="30"/>
        <v>39.000923110829653</v>
      </c>
      <c r="G125" t="str">
        <f t="shared" ca="1" si="42"/>
        <v>0.453377129602073-0.584309214127898i</v>
      </c>
      <c r="H125">
        <f t="shared" ca="1" si="43"/>
        <v>-2.6203801802103821</v>
      </c>
      <c r="I125">
        <f t="shared" ca="1" si="44"/>
        <v>-52.191402792731381</v>
      </c>
      <c r="K125" t="str">
        <f t="shared" ca="1" si="31"/>
        <v>1+0.627910980158162i</v>
      </c>
      <c r="L125" t="str">
        <f t="shared" ca="1" si="32"/>
        <v>1-0.04681485756239i</v>
      </c>
      <c r="M125" t="str">
        <f t="shared" ca="1" si="33"/>
        <v>1+62.7910980158162i</v>
      </c>
      <c r="N125" t="str">
        <f t="shared" si="34"/>
        <v>1+0.299255810676068i</v>
      </c>
      <c r="O125">
        <f t="shared" ca="1" si="35"/>
        <v>22.224473826228223</v>
      </c>
      <c r="P125" t="str">
        <f t="shared" ca="1" si="50"/>
        <v>0.0948997387597506-0.389379622090059i</v>
      </c>
      <c r="Q125">
        <f t="shared" ca="1" si="45"/>
        <v>-7.9419375262122252</v>
      </c>
      <c r="R125">
        <f t="shared" ca="1" si="51"/>
        <v>-76.302886414226592</v>
      </c>
      <c r="T125" t="str">
        <f t="shared" si="36"/>
        <v>1+1.824i</v>
      </c>
      <c r="U125" t="str">
        <f t="shared" si="37"/>
        <v>1+0.24i</v>
      </c>
      <c r="V125" t="str">
        <f t="shared" si="38"/>
        <v>-0.102796052631579i</v>
      </c>
      <c r="W125" t="str">
        <f t="shared" si="46"/>
        <v>0.153960805000398-0.139746645831675i</v>
      </c>
      <c r="X125">
        <f t="shared" si="47"/>
        <v>-13.641840796507418</v>
      </c>
      <c r="Y125">
        <f t="shared" si="48"/>
        <v>-42.22929602823433</v>
      </c>
      <c r="Z125">
        <f t="shared" si="49"/>
        <v>3819.7186342054883</v>
      </c>
      <c r="AA125">
        <f t="shared" ca="1" si="39"/>
        <v>-21.583778322719645</v>
      </c>
      <c r="AB125">
        <f t="shared" ca="1" si="40"/>
        <v>-118.53218244246092</v>
      </c>
    </row>
    <row r="126" spans="1:28" x14ac:dyDescent="0.2">
      <c r="A126">
        <v>25000</v>
      </c>
      <c r="B126" t="str">
        <f t="shared" si="41"/>
        <v>25000i</v>
      </c>
      <c r="C126" t="str">
        <f t="shared" ca="1" si="27"/>
        <v>1+0.654073937664752i</v>
      </c>
      <c r="D126" t="str">
        <f t="shared" ca="1" si="28"/>
        <v>1+0.086856692508425i</v>
      </c>
      <c r="E126" t="str">
        <f t="shared" ca="1" si="29"/>
        <v>1+65.0796699761251i</v>
      </c>
      <c r="F126">
        <f t="shared" ca="1" si="30"/>
        <v>39.000923110829653</v>
      </c>
      <c r="G126" t="str">
        <f t="shared" ca="1" si="42"/>
        <v>0.45260306515635-0.55827957271528i</v>
      </c>
      <c r="H126">
        <f t="shared" ca="1" si="43"/>
        <v>-2.8690813577418997</v>
      </c>
      <c r="I126">
        <f t="shared" ca="1" si="44"/>
        <v>-50.967957826070013</v>
      </c>
      <c r="K126" t="str">
        <f t="shared" ca="1" si="31"/>
        <v>1+0.654073937664752i</v>
      </c>
      <c r="L126" t="str">
        <f t="shared" ca="1" si="32"/>
        <v>1-0.0487654766274896i</v>
      </c>
      <c r="M126" t="str">
        <f t="shared" ca="1" si="33"/>
        <v>1+65.4073937664752i</v>
      </c>
      <c r="N126" t="str">
        <f t="shared" si="34"/>
        <v>1+0.311724802787571i</v>
      </c>
      <c r="O126">
        <f t="shared" ca="1" si="35"/>
        <v>22.224473826228223</v>
      </c>
      <c r="P126" t="str">
        <f t="shared" ca="1" si="50"/>
        <v>0.0935986194396256-0.37657450182481i</v>
      </c>
      <c r="Q126">
        <f t="shared" ca="1" si="45"/>
        <v>-8.2226426957722349</v>
      </c>
      <c r="R126">
        <f t="shared" ca="1" si="51"/>
        <v>-76.04182788921311</v>
      </c>
      <c r="T126" t="str">
        <f t="shared" si="36"/>
        <v>1+1.9i</v>
      </c>
      <c r="U126" t="str">
        <f t="shared" si="37"/>
        <v>1+0.25i</v>
      </c>
      <c r="V126" t="str">
        <f t="shared" si="38"/>
        <v>-0.0986842105263158i</v>
      </c>
      <c r="W126" t="str">
        <f t="shared" si="46"/>
        <v>0.153250773993808-0.136996904024768i</v>
      </c>
      <c r="X126">
        <f t="shared" si="47"/>
        <v>-13.741326711108833</v>
      </c>
      <c r="Y126">
        <f t="shared" si="48"/>
        <v>-41.794784068986559</v>
      </c>
      <c r="Z126">
        <f t="shared" si="49"/>
        <v>3978.8735772973837</v>
      </c>
      <c r="AA126">
        <f t="shared" ca="1" si="39"/>
        <v>-21.96396940688107</v>
      </c>
      <c r="AB126">
        <f t="shared" ca="1" si="40"/>
        <v>-117.83661195819967</v>
      </c>
    </row>
    <row r="127" spans="1:28" x14ac:dyDescent="0.2">
      <c r="A127">
        <v>26000</v>
      </c>
      <c r="B127" t="str">
        <f t="shared" si="41"/>
        <v>26000i</v>
      </c>
      <c r="C127" t="str">
        <f t="shared" ca="1" si="27"/>
        <v>1+0.680236895171342i</v>
      </c>
      <c r="D127" t="str">
        <f t="shared" ca="1" si="28"/>
        <v>1+0.090330960208762i</v>
      </c>
      <c r="E127" t="str">
        <f t="shared" ca="1" si="29"/>
        <v>1+67.6828567751701i</v>
      </c>
      <c r="F127">
        <f t="shared" ca="1" si="30"/>
        <v>39.000923110829653</v>
      </c>
      <c r="G127" t="str">
        <f t="shared" ca="1" si="42"/>
        <v>0.451916560545293-0.534146162358236i</v>
      </c>
      <c r="H127">
        <f t="shared" ca="1" si="43"/>
        <v>-3.1021119507815538</v>
      </c>
      <c r="I127">
        <f t="shared" ca="1" si="44"/>
        <v>-49.766971721821413</v>
      </c>
      <c r="K127" t="str">
        <f t="shared" ca="1" si="31"/>
        <v>1+0.680236895171342i</v>
      </c>
      <c r="L127" t="str">
        <f t="shared" ca="1" si="32"/>
        <v>1-0.0507160956925892i</v>
      </c>
      <c r="M127" t="str">
        <f t="shared" ca="1" si="33"/>
        <v>1+68.0236895171342i</v>
      </c>
      <c r="N127" t="str">
        <f t="shared" si="34"/>
        <v>1+0.324193794899074i</v>
      </c>
      <c r="O127">
        <f t="shared" ca="1" si="35"/>
        <v>22.224473826228223</v>
      </c>
      <c r="P127" t="str">
        <f t="shared" ca="1" si="50"/>
        <v>0.0923246941111956-0.364823203281306i</v>
      </c>
      <c r="Q127">
        <f t="shared" ca="1" si="45"/>
        <v>-8.4887596563575265</v>
      </c>
      <c r="R127">
        <f t="shared" ca="1" si="51"/>
        <v>-75.798489808284131</v>
      </c>
      <c r="T127" t="str">
        <f t="shared" si="36"/>
        <v>1+1.976i</v>
      </c>
      <c r="U127" t="str">
        <f t="shared" si="37"/>
        <v>1+0.26i</v>
      </c>
      <c r="V127" t="str">
        <f t="shared" si="38"/>
        <v>-0.0948886639676113i</v>
      </c>
      <c r="W127" t="str">
        <f t="shared" si="46"/>
        <v>0.152518684309124-0.134543521887984i</v>
      </c>
      <c r="X127">
        <f t="shared" si="47"/>
        <v>-13.833784328577279</v>
      </c>
      <c r="Y127">
        <f t="shared" si="48"/>
        <v>-41.416950723659554</v>
      </c>
      <c r="Z127">
        <f t="shared" si="49"/>
        <v>4138.028520389279</v>
      </c>
      <c r="AA127">
        <f t="shared" ca="1" si="39"/>
        <v>-22.322543984934804</v>
      </c>
      <c r="AB127">
        <f t="shared" ca="1" si="40"/>
        <v>-117.21544053194368</v>
      </c>
    </row>
    <row r="128" spans="1:28" x14ac:dyDescent="0.2">
      <c r="A128">
        <v>27000</v>
      </c>
      <c r="B128" t="str">
        <f t="shared" si="41"/>
        <v>27000i</v>
      </c>
      <c r="C128" t="str">
        <f t="shared" ca="1" si="27"/>
        <v>1+0.706399852677933i</v>
      </c>
      <c r="D128" t="str">
        <f t="shared" ca="1" si="28"/>
        <v>1+0.093805227909099i</v>
      </c>
      <c r="E128" t="str">
        <f t="shared" ca="1" si="29"/>
        <v>1+70.2860435742151i</v>
      </c>
      <c r="F128">
        <f t="shared" ca="1" si="30"/>
        <v>39.000923110829653</v>
      </c>
      <c r="G128" t="str">
        <f t="shared" ca="1" si="42"/>
        <v>0.451304891832821-0.511698471748021i</v>
      </c>
      <c r="H128">
        <f t="shared" ca="1" si="43"/>
        <v>-3.3206964975257107</v>
      </c>
      <c r="I128">
        <f t="shared" ca="1" si="44"/>
        <v>-48.588535174692943</v>
      </c>
      <c r="K128" t="str">
        <f t="shared" ca="1" si="31"/>
        <v>1+0.706399852677933i</v>
      </c>
      <c r="L128" t="str">
        <f t="shared" ca="1" si="32"/>
        <v>1-0.0526667147576888i</v>
      </c>
      <c r="M128" t="str">
        <f t="shared" ca="1" si="33"/>
        <v>1+70.6399852677933i</v>
      </c>
      <c r="N128" t="str">
        <f t="shared" si="34"/>
        <v>1+0.336662787010576i</v>
      </c>
      <c r="O128">
        <f t="shared" ca="1" si="35"/>
        <v>22.224473826228223</v>
      </c>
      <c r="P128" t="str">
        <f t="shared" ca="1" si="50"/>
        <v>0.091071957095393-0.35400510666252i</v>
      </c>
      <c r="Q128">
        <f t="shared" ca="1" si="45"/>
        <v>-8.7414895448369805</v>
      </c>
      <c r="R128">
        <f t="shared" ca="1" si="51"/>
        <v>-75.572839942672218</v>
      </c>
      <c r="T128" t="str">
        <f t="shared" si="36"/>
        <v>1+2.052i</v>
      </c>
      <c r="U128" t="str">
        <f t="shared" si="37"/>
        <v>1+0.27i</v>
      </c>
      <c r="V128" t="str">
        <f t="shared" si="38"/>
        <v>-0.0913742690058479i</v>
      </c>
      <c r="W128" t="str">
        <f t="shared" si="46"/>
        <v>0.151765259920236-0.132350889184312i</v>
      </c>
      <c r="X128">
        <f t="shared" si="47"/>
        <v>-13.920150107705112</v>
      </c>
      <c r="Y128">
        <f t="shared" si="48"/>
        <v>-41.090912064038221</v>
      </c>
      <c r="Z128">
        <f t="shared" si="49"/>
        <v>4297.1834634811739</v>
      </c>
      <c r="AA128">
        <f t="shared" ca="1" si="39"/>
        <v>-22.661639652542092</v>
      </c>
      <c r="AB128">
        <f t="shared" ca="1" si="40"/>
        <v>-116.66375200671044</v>
      </c>
    </row>
    <row r="129" spans="1:28" x14ac:dyDescent="0.2">
      <c r="A129">
        <v>28000</v>
      </c>
      <c r="B129" t="str">
        <f t="shared" si="41"/>
        <v>28000i</v>
      </c>
      <c r="C129" t="str">
        <f t="shared" ca="1" si="27"/>
        <v>1+0.732562810184523i</v>
      </c>
      <c r="D129" t="str">
        <f t="shared" ca="1" si="28"/>
        <v>1+0.097279495609436i</v>
      </c>
      <c r="E129" t="str">
        <f t="shared" ca="1" si="29"/>
        <v>1+72.8892303732601i</v>
      </c>
      <c r="F129">
        <f t="shared" ca="1" si="30"/>
        <v>39.000923110829653</v>
      </c>
      <c r="G129" t="str">
        <f t="shared" ca="1" si="42"/>
        <v>0.450757564953854-0.490756032027397i</v>
      </c>
      <c r="H129">
        <f t="shared" ca="1" si="43"/>
        <v>-3.5259368685723129</v>
      </c>
      <c r="I129">
        <f t="shared" ca="1" si="44"/>
        <v>-47.432642631936503</v>
      </c>
      <c r="K129" t="str">
        <f t="shared" ca="1" si="31"/>
        <v>1+0.732562810184523i</v>
      </c>
      <c r="L129" t="str">
        <f t="shared" ca="1" si="32"/>
        <v>1-0.0546173338227884i</v>
      </c>
      <c r="M129" t="str">
        <f t="shared" ca="1" si="33"/>
        <v>1+73.2562810184523i</v>
      </c>
      <c r="N129" t="str">
        <f t="shared" si="34"/>
        <v>1+0.349131779122079i</v>
      </c>
      <c r="O129">
        <f t="shared" ca="1" si="35"/>
        <v>22.224473826228223</v>
      </c>
      <c r="P129" t="str">
        <f t="shared" ca="1" si="50"/>
        <v>0.0898356696585303-0.344016805633104i</v>
      </c>
      <c r="Q129">
        <f t="shared" ca="1" si="45"/>
        <v>-8.9819105002278015</v>
      </c>
      <c r="R129">
        <f t="shared" ca="1" si="51"/>
        <v>-75.36475652107184</v>
      </c>
      <c r="T129" t="str">
        <f t="shared" si="36"/>
        <v>1+2.128i</v>
      </c>
      <c r="U129" t="str">
        <f t="shared" si="37"/>
        <v>1+0.28i</v>
      </c>
      <c r="V129" t="str">
        <f t="shared" si="38"/>
        <v>-0.0881109022556391i</v>
      </c>
      <c r="W129" t="str">
        <f t="shared" si="46"/>
        <v>0.150991234577542-0.130388447937351i</v>
      </c>
      <c r="X129">
        <f t="shared" si="47"/>
        <v>-14.001223809231966</v>
      </c>
      <c r="Y129">
        <f t="shared" si="48"/>
        <v>-40.812242373305288</v>
      </c>
      <c r="Z129">
        <f t="shared" si="49"/>
        <v>4456.3384065730697</v>
      </c>
      <c r="AA129">
        <f t="shared" ca="1" si="39"/>
        <v>-22.983134309459768</v>
      </c>
      <c r="AB129">
        <f t="shared" ca="1" si="40"/>
        <v>-116.17699889437714</v>
      </c>
    </row>
    <row r="130" spans="1:28" x14ac:dyDescent="0.2">
      <c r="A130">
        <v>29000</v>
      </c>
      <c r="B130" t="str">
        <f t="shared" si="41"/>
        <v>29000i</v>
      </c>
      <c r="C130" t="str">
        <f t="shared" ref="C130:C193" ca="1" si="52">IMSUM(1,IMDIV(B130,CcmWz1))</f>
        <v>1+0.758725767691113i</v>
      </c>
      <c r="D130" t="str">
        <f t="shared" ref="D130:D193" ca="1" si="53">IMSUM(1,IMDIV(B130,CcmWz2))</f>
        <v>1+0.100753763309773i</v>
      </c>
      <c r="E130" t="str">
        <f t="shared" ref="E130:E193" ca="1" si="54">IMSUM(1,IMDIV(B130,CcmWp1))</f>
        <v>1+75.4924171723051i</v>
      </c>
      <c r="F130">
        <f t="shared" ref="F130:F193" ca="1" si="55">CcmGo</f>
        <v>39.000923110829653</v>
      </c>
      <c r="G130" t="str">
        <f t="shared" ca="1" si="42"/>
        <v>0.450265862720656-0.471163243058134i</v>
      </c>
      <c r="H130">
        <f t="shared" ca="1" si="43"/>
        <v>-3.7188282021154984</v>
      </c>
      <c r="I130">
        <f t="shared" ca="1" si="44"/>
        <v>-46.299206275339877</v>
      </c>
      <c r="K130" t="str">
        <f t="shared" ref="K130:K193" ca="1" si="56">IMSUM(1,IMDIV(B130,DcmWz1))</f>
        <v>1+0.758725767691113i</v>
      </c>
      <c r="L130" t="str">
        <f t="shared" ref="L130:L193" ca="1" si="57">IMSUB(1,IMDIV($B130,DcmWz2))</f>
        <v>1-0.056567952887888i</v>
      </c>
      <c r="M130" t="str">
        <f t="shared" ref="M130:M193" ca="1" si="58">IMSUM(1,IMDIV($B130,DcmWp1))</f>
        <v>1+75.8725767691113i</v>
      </c>
      <c r="N130" t="str">
        <f t="shared" ref="N130:N193" si="59">IMSUM(1,IMDIV($B130,DcmWp2))</f>
        <v>1+0.361600771233582i</v>
      </c>
      <c r="O130">
        <f t="shared" ref="O130:O193" ca="1" si="60">DcmGo</f>
        <v>22.224473826228223</v>
      </c>
      <c r="P130" t="str">
        <f t="shared" ca="1" si="50"/>
        <v>0.0886120993094121-0.334769152193224i</v>
      </c>
      <c r="Q130">
        <f t="shared" ca="1" si="45"/>
        <v>-9.2109936478884631</v>
      </c>
      <c r="R130">
        <f t="shared" ca="1" si="51"/>
        <v>-75.174042165973901</v>
      </c>
      <c r="T130" t="str">
        <f t="shared" ref="T130:T193" si="61">IMSUM(1,IMPRODUCT($B130,1/CompWz1))</f>
        <v>1+2.204i</v>
      </c>
      <c r="U130" t="str">
        <f t="shared" ref="U130:U193" si="62">IMSUM(1,IMPRODUCT($B130,1/CompWp1))</f>
        <v>1+0.29i</v>
      </c>
      <c r="V130" t="str">
        <f t="shared" ref="V130:V193" si="63">IMDIV(CompA,$B130)</f>
        <v>-0.0850725952813067i</v>
      </c>
      <c r="W130" t="str">
        <f t="shared" si="46"/>
        <v>0.150197350215313-0.128629826843748i</v>
      </c>
      <c r="X130">
        <f t="shared" si="47"/>
        <v>-14.077690828444609</v>
      </c>
      <c r="Y130">
        <f t="shared" si="48"/>
        <v>-40.576929163057194</v>
      </c>
      <c r="Z130">
        <f t="shared" si="49"/>
        <v>4615.4933496649646</v>
      </c>
      <c r="AA130">
        <f t="shared" ref="AA130:AA193" ca="1" si="64">IF(IsDcmBode, X130+Q130,X130+H130)</f>
        <v>-23.288684476333074</v>
      </c>
      <c r="AB130">
        <f t="shared" ref="AB130:AB193" ca="1" si="65">IF(IsDcmBode, Y130+R130,Y130+I130)</f>
        <v>-115.7509713290311</v>
      </c>
    </row>
    <row r="131" spans="1:28" x14ac:dyDescent="0.2">
      <c r="A131">
        <v>30000</v>
      </c>
      <c r="B131" t="str">
        <f t="shared" ref="B131:B194" si="66">COMPLEX(0,A131)</f>
        <v>30000i</v>
      </c>
      <c r="C131" t="str">
        <f t="shared" ca="1" si="52"/>
        <v>1+0.784888725197703i</v>
      </c>
      <c r="D131" t="str">
        <f t="shared" ca="1" si="53"/>
        <v>1+0.10422803101011i</v>
      </c>
      <c r="E131" t="str">
        <f t="shared" ca="1" si="54"/>
        <v>1+78.0956039713501i</v>
      </c>
      <c r="F131">
        <f t="shared" ca="1" si="55"/>
        <v>39.000923110829653</v>
      </c>
      <c r="G131" t="str">
        <f t="shared" ref="G131:G194" ca="1" si="67">IMDIV(IMPRODUCT(F131,C131,D131),E131)</f>
        <v>0.449822495660627-0.452785233105467i</v>
      </c>
      <c r="H131">
        <f t="shared" ref="H131:H194" ca="1" si="68">20*LOG(IMABS(G131),10)</f>
        <v>-3.9002722060561013</v>
      </c>
      <c r="I131">
        <f t="shared" ref="I131:I194" ca="1" si="69">IMARGUMENT(G131)*180/PI()</f>
        <v>-45.188068123433432</v>
      </c>
      <c r="K131" t="str">
        <f t="shared" ca="1" si="56"/>
        <v>1+0.784888725197703i</v>
      </c>
      <c r="L131" t="str">
        <f t="shared" ca="1" si="57"/>
        <v>1-0.0585185719529875i</v>
      </c>
      <c r="M131" t="str">
        <f t="shared" ca="1" si="58"/>
        <v>1+78.4888725197703i</v>
      </c>
      <c r="N131" t="str">
        <f t="shared" si="59"/>
        <v>1+0.374069763345085i</v>
      </c>
      <c r="O131">
        <f t="shared" ca="1" si="60"/>
        <v>22.224473826228223</v>
      </c>
      <c r="P131" t="str">
        <f t="shared" ca="1" si="50"/>
        <v>0.0873983182421816-0.326184891393585i</v>
      </c>
      <c r="Q131">
        <f t="shared" ref="Q131:Q194" ca="1" si="70">20*LOG(IMABS(P131),10)</f>
        <v>-9.4296164494690231</v>
      </c>
      <c r="R131">
        <f t="shared" ca="1" si="51"/>
        <v>-75.000435940512958</v>
      </c>
      <c r="T131" t="str">
        <f t="shared" si="61"/>
        <v>1+2.28i</v>
      </c>
      <c r="U131" t="str">
        <f t="shared" si="62"/>
        <v>1+0.3i</v>
      </c>
      <c r="V131" t="str">
        <f t="shared" si="63"/>
        <v>-0.0822368421052631i</v>
      </c>
      <c r="W131" t="str">
        <f t="shared" ref="W131:W194" si="71">IMDIV(IMPRODUCT(V131,T131),U131)</f>
        <v>0.149384355383873-0.127052148720425i</v>
      </c>
      <c r="X131">
        <f t="shared" ref="X131:X194" si="72">20*LOG(IMABS(W131),10)</f>
        <v>-14.15014048775037</v>
      </c>
      <c r="Y131">
        <f t="shared" ref="Y131:Y194" si="73">IMARGUMENT(W131)*180/PI()</f>
        <v>-40.381331958532002</v>
      </c>
      <c r="Z131">
        <f t="shared" ref="Z131:Z194" si="74">A131/(2*PI())</f>
        <v>4774.6482927568604</v>
      </c>
      <c r="AA131">
        <f t="shared" ca="1" si="64"/>
        <v>-23.579756937219393</v>
      </c>
      <c r="AB131">
        <f t="shared" ca="1" si="65"/>
        <v>-115.38176789904496</v>
      </c>
    </row>
    <row r="132" spans="1:28" x14ac:dyDescent="0.2">
      <c r="A132">
        <v>31000</v>
      </c>
      <c r="B132" t="str">
        <f t="shared" si="66"/>
        <v>31000i</v>
      </c>
      <c r="C132" t="str">
        <f t="shared" ca="1" si="52"/>
        <v>1+0.811051682704293i</v>
      </c>
      <c r="D132" t="str">
        <f t="shared" ca="1" si="53"/>
        <v>1+0.107702298710447i</v>
      </c>
      <c r="E132" t="str">
        <f t="shared" ca="1" si="54"/>
        <v>1+80.6987907703951i</v>
      </c>
      <c r="F132">
        <f t="shared" ca="1" si="55"/>
        <v>39.000923110829653</v>
      </c>
      <c r="G132" t="str">
        <f t="shared" ca="1" si="67"/>
        <v>0.449421330352122-0.435504518913609i</v>
      </c>
      <c r="H132">
        <f t="shared" ca="1" si="68"/>
        <v>-4.071088349994251</v>
      </c>
      <c r="I132">
        <f t="shared" ca="1" si="69"/>
        <v>-44.09901057407172</v>
      </c>
      <c r="K132" t="str">
        <f t="shared" ca="1" si="56"/>
        <v>1+0.811051682704293i</v>
      </c>
      <c r="L132" t="str">
        <f t="shared" ca="1" si="57"/>
        <v>1-0.0604691910180871i</v>
      </c>
      <c r="M132" t="str">
        <f t="shared" ca="1" si="58"/>
        <v>1+81.1051682704293i</v>
      </c>
      <c r="N132" t="str">
        <f t="shared" si="59"/>
        <v>1+0.386538755456588i</v>
      </c>
      <c r="O132">
        <f t="shared" ca="1" si="60"/>
        <v>22.224473826228223</v>
      </c>
      <c r="P132" t="str">
        <f t="shared" ca="1" si="50"/>
        <v>0.086192045975293-0.318196752860804i</v>
      </c>
      <c r="Q132">
        <f t="shared" ca="1" si="70"/>
        <v>-9.6385739414678344</v>
      </c>
      <c r="R132">
        <f t="shared" ca="1" si="51"/>
        <v>-74.843623825135069</v>
      </c>
      <c r="T132" t="str">
        <f t="shared" si="61"/>
        <v>1+2.356i</v>
      </c>
      <c r="U132" t="str">
        <f t="shared" si="62"/>
        <v>1+0.31i</v>
      </c>
      <c r="V132" t="str">
        <f t="shared" si="63"/>
        <v>-0.0795840407470289i</v>
      </c>
      <c r="W132" t="str">
        <f t="shared" si="71"/>
        <v>0.148553003711724-0.125635471897663i</v>
      </c>
      <c r="X132">
        <f t="shared" si="72"/>
        <v>-14.219081084893022</v>
      </c>
      <c r="Y132">
        <f t="shared" si="73"/>
        <v>-40.222144845491322</v>
      </c>
      <c r="Z132">
        <f t="shared" si="74"/>
        <v>4933.8032358487553</v>
      </c>
      <c r="AA132">
        <f t="shared" ca="1" si="64"/>
        <v>-23.857655026360856</v>
      </c>
      <c r="AB132">
        <f t="shared" ca="1" si="65"/>
        <v>-115.0657686706264</v>
      </c>
    </row>
    <row r="133" spans="1:28" x14ac:dyDescent="0.2">
      <c r="A133">
        <v>32000</v>
      </c>
      <c r="B133" t="str">
        <f t="shared" si="66"/>
        <v>32000i</v>
      </c>
      <c r="C133" t="str">
        <f t="shared" ca="1" si="52"/>
        <v>1+0.837214640210883i</v>
      </c>
      <c r="D133" t="str">
        <f t="shared" ca="1" si="53"/>
        <v>1+0.111176566410784i</v>
      </c>
      <c r="E133" t="str">
        <f t="shared" ca="1" si="54"/>
        <v>1+83.3019775694401i</v>
      </c>
      <c r="F133">
        <f t="shared" ca="1" si="55"/>
        <v>39.000923110829653</v>
      </c>
      <c r="G133" t="str">
        <f t="shared" ca="1" si="67"/>
        <v>0.449057176206549-0.419218291315494i</v>
      </c>
      <c r="H133">
        <f t="shared" ca="1" si="68"/>
        <v>-4.2320233519569586</v>
      </c>
      <c r="I133">
        <f t="shared" ca="1" si="69"/>
        <v>-43.031765631310478</v>
      </c>
      <c r="K133" t="str">
        <f t="shared" ca="1" si="56"/>
        <v>1+0.837214640210883i</v>
      </c>
      <c r="L133" t="str">
        <f t="shared" ca="1" si="57"/>
        <v>1-0.0624198100831867i</v>
      </c>
      <c r="M133" t="str">
        <f t="shared" ca="1" si="58"/>
        <v>1+83.7214640210883i</v>
      </c>
      <c r="N133" t="str">
        <f t="shared" si="59"/>
        <v>1+0.39900774756809i</v>
      </c>
      <c r="O133">
        <f t="shared" ca="1" si="60"/>
        <v>22.224473826228223</v>
      </c>
      <c r="P133" t="str">
        <f t="shared" ca="1" si="50"/>
        <v>0.0849915253717142-0.310745899315258i</v>
      </c>
      <c r="Q133">
        <f t="shared" ca="1" si="70"/>
        <v>-9.8385882671377356</v>
      </c>
      <c r="R133">
        <f t="shared" ca="1" si="51"/>
        <v>-74.703247867628718</v>
      </c>
      <c r="T133" t="str">
        <f t="shared" si="61"/>
        <v>1+2.432i</v>
      </c>
      <c r="U133" t="str">
        <f t="shared" si="62"/>
        <v>1+0.32i</v>
      </c>
      <c r="V133" t="str">
        <f t="shared" si="63"/>
        <v>-0.0770970394736842i</v>
      </c>
      <c r="W133" t="str">
        <f t="shared" si="71"/>
        <v>0.147704052402414-0.124362336242457i</v>
      </c>
      <c r="X133">
        <f t="shared" si="72"/>
        <v>-14.284952324003669</v>
      </c>
      <c r="Y133">
        <f t="shared" si="73"/>
        <v>-40.096362638555796</v>
      </c>
      <c r="Z133">
        <f t="shared" si="74"/>
        <v>5092.9581789406511</v>
      </c>
      <c r="AA133">
        <f t="shared" ca="1" si="64"/>
        <v>-24.123540591141406</v>
      </c>
      <c r="AB133">
        <f t="shared" ca="1" si="65"/>
        <v>-114.79961050618451</v>
      </c>
    </row>
    <row r="134" spans="1:28" x14ac:dyDescent="0.2">
      <c r="A134">
        <v>33000</v>
      </c>
      <c r="B134" t="str">
        <f t="shared" si="66"/>
        <v>33000i</v>
      </c>
      <c r="C134" t="str">
        <f t="shared" ca="1" si="52"/>
        <v>1+0.863377597717473i</v>
      </c>
      <c r="D134" t="str">
        <f t="shared" ca="1" si="53"/>
        <v>1+0.114650834111121i</v>
      </c>
      <c r="E134" t="str">
        <f t="shared" ca="1" si="54"/>
        <v>1+85.9051643684851i</v>
      </c>
      <c r="F134">
        <f t="shared" ca="1" si="55"/>
        <v>39.000923110829653</v>
      </c>
      <c r="G134" t="str">
        <f t="shared" ca="1" si="67"/>
        <v>0.448725616756328-0.403836193849929i</v>
      </c>
      <c r="H134">
        <f t="shared" ca="1" si="68"/>
        <v>-4.3837592759343433</v>
      </c>
      <c r="I134">
        <f t="shared" ca="1" si="69"/>
        <v>-41.986023006403379</v>
      </c>
      <c r="K134" t="str">
        <f t="shared" ca="1" si="56"/>
        <v>1+0.863377597717473i</v>
      </c>
      <c r="L134" t="str">
        <f t="shared" ca="1" si="57"/>
        <v>1-0.0643704291482863i</v>
      </c>
      <c r="M134" t="str">
        <f t="shared" ca="1" si="58"/>
        <v>1+86.3377597717473i</v>
      </c>
      <c r="N134" t="str">
        <f t="shared" si="59"/>
        <v>1+0.411476739679593i</v>
      </c>
      <c r="O134">
        <f t="shared" ca="1" si="60"/>
        <v>22.224473826228223</v>
      </c>
      <c r="P134" t="str">
        <f t="shared" ca="1" si="50"/>
        <v>0.0837954241272313-0.303780656432651i</v>
      </c>
      <c r="Q134">
        <f t="shared" ca="1" si="70"/>
        <v>-10.030316817713121</v>
      </c>
      <c r="R134">
        <f t="shared" ca="1" si="51"/>
        <v>-74.578914196329862</v>
      </c>
      <c r="T134" t="str">
        <f t="shared" si="61"/>
        <v>1+2.508i</v>
      </c>
      <c r="U134" t="str">
        <f t="shared" si="62"/>
        <v>1+0.33i</v>
      </c>
      <c r="V134" t="str">
        <f t="shared" si="63"/>
        <v>-0.0747607655502392i</v>
      </c>
      <c r="W134" t="str">
        <f t="shared" si="71"/>
        <v>0.146838260770512-0.123217391604508i</v>
      </c>
      <c r="X134">
        <f t="shared" si="72"/>
        <v>-14.34813562626813</v>
      </c>
      <c r="Y134">
        <f t="shared" si="73"/>
        <v>-40.001250453155045</v>
      </c>
      <c r="Z134">
        <f t="shared" si="74"/>
        <v>5252.113122032546</v>
      </c>
      <c r="AA134">
        <f t="shared" ca="1" si="64"/>
        <v>-24.378452443981253</v>
      </c>
      <c r="AB134">
        <f t="shared" ca="1" si="65"/>
        <v>-114.58016464948491</v>
      </c>
    </row>
    <row r="135" spans="1:28" x14ac:dyDescent="0.2">
      <c r="A135">
        <v>34000</v>
      </c>
      <c r="B135" t="str">
        <f t="shared" si="66"/>
        <v>34000i</v>
      </c>
      <c r="C135" t="str">
        <f t="shared" ca="1" si="52"/>
        <v>1+0.889540555224063i</v>
      </c>
      <c r="D135" t="str">
        <f t="shared" ca="1" si="53"/>
        <v>1+0.118125101811458i</v>
      </c>
      <c r="E135" t="str">
        <f t="shared" ca="1" si="54"/>
        <v>1+88.5083511675301i</v>
      </c>
      <c r="F135">
        <f t="shared" ca="1" si="55"/>
        <v>39.000923110829653</v>
      </c>
      <c r="G135" t="str">
        <f t="shared" ca="1" si="67"/>
        <v>0.448422875140254-0.389278493001121i</v>
      </c>
      <c r="H135">
        <f t="shared" ca="1" si="68"/>
        <v>-4.5269204889654961</v>
      </c>
      <c r="I135">
        <f t="shared" ca="1" si="69"/>
        <v>-40.961437243880397</v>
      </c>
      <c r="K135" t="str">
        <f t="shared" ca="1" si="56"/>
        <v>1+0.889540555224063i</v>
      </c>
      <c r="L135" t="str">
        <f t="shared" ca="1" si="57"/>
        <v>1-0.0663210482133859i</v>
      </c>
      <c r="M135" t="str">
        <f t="shared" ca="1" si="58"/>
        <v>1+88.9540555224063i</v>
      </c>
      <c r="N135" t="str">
        <f t="shared" si="59"/>
        <v>1+0.423945731791096i</v>
      </c>
      <c r="O135">
        <f t="shared" ca="1" si="60"/>
        <v>22.224473826228223</v>
      </c>
      <c r="P135" t="str">
        <f t="shared" ca="1" si="50"/>
        <v>0.0826027558752786-0.29725546618117i</v>
      </c>
      <c r="Q135">
        <f t="shared" ca="1" si="70"/>
        <v>-10.214359231607975</v>
      </c>
      <c r="R135">
        <f t="shared" ca="1" si="51"/>
        <v>-74.470200047691463</v>
      </c>
      <c r="T135" t="str">
        <f t="shared" si="61"/>
        <v>1+2.584i</v>
      </c>
      <c r="U135" t="str">
        <f t="shared" si="62"/>
        <v>1+0.34i</v>
      </c>
      <c r="V135" t="str">
        <f t="shared" si="63"/>
        <v>-0.072561919504644i</v>
      </c>
      <c r="W135" t="str">
        <f t="shared" si="71"/>
        <v>0.145956388820743-0.122187091703697i</v>
      </c>
      <c r="X135">
        <f t="shared" si="72"/>
        <v>-14.408962715492509</v>
      </c>
      <c r="Y135">
        <f t="shared" si="73"/>
        <v>-39.934316423329427</v>
      </c>
      <c r="Z135">
        <f t="shared" si="74"/>
        <v>5411.2680651244418</v>
      </c>
      <c r="AA135">
        <f t="shared" ca="1" si="64"/>
        <v>-24.623321947100486</v>
      </c>
      <c r="AB135">
        <f t="shared" ca="1" si="65"/>
        <v>-114.40451647102088</v>
      </c>
    </row>
    <row r="136" spans="1:28" x14ac:dyDescent="0.2">
      <c r="A136">
        <v>35000</v>
      </c>
      <c r="B136" t="str">
        <f t="shared" si="66"/>
        <v>35000i</v>
      </c>
      <c r="C136" t="str">
        <f t="shared" ca="1" si="52"/>
        <v>1+0.915703512730653i</v>
      </c>
      <c r="D136" t="str">
        <f t="shared" ca="1" si="53"/>
        <v>1+0.121599369511795i</v>
      </c>
      <c r="E136" t="str">
        <f t="shared" ca="1" si="54"/>
        <v>1+91.1115379665751i</v>
      </c>
      <c r="F136">
        <f t="shared" ca="1" si="55"/>
        <v>39.000923110829653</v>
      </c>
      <c r="G136" t="str">
        <f t="shared" ca="1" si="67"/>
        <v>0.448145706088064-0.375474561820571i</v>
      </c>
      <c r="H136">
        <f t="shared" ca="1" si="68"/>
        <v>-4.6620796750228521</v>
      </c>
      <c r="I136">
        <f t="shared" ca="1" si="69"/>
        <v>-39.957633995355835</v>
      </c>
      <c r="K136" t="str">
        <f t="shared" ca="1" si="56"/>
        <v>1+0.915703512730653i</v>
      </c>
      <c r="L136" t="str">
        <f t="shared" ca="1" si="57"/>
        <v>1-0.0682716672784855i</v>
      </c>
      <c r="M136" t="str">
        <f t="shared" ca="1" si="58"/>
        <v>1+91.5703512730653i</v>
      </c>
      <c r="N136" t="str">
        <f t="shared" si="59"/>
        <v>1+0.436414723902599i</v>
      </c>
      <c r="O136">
        <f t="shared" ca="1" si="60"/>
        <v>22.224473826228223</v>
      </c>
      <c r="P136" t="str">
        <f t="shared" ca="1" si="50"/>
        <v>0.0814128165377855-0.291130018980763i</v>
      </c>
      <c r="Q136">
        <f t="shared" ca="1" si="70"/>
        <v>-10.391263448753401</v>
      </c>
      <c r="R136">
        <f t="shared" ca="1" si="51"/>
        <v>-74.376659931304516</v>
      </c>
      <c r="T136" t="str">
        <f t="shared" si="61"/>
        <v>1+2.66i</v>
      </c>
      <c r="U136" t="str">
        <f t="shared" si="62"/>
        <v>1+0.35i</v>
      </c>
      <c r="V136" t="str">
        <f t="shared" si="63"/>
        <v>-0.0704887218045113i</v>
      </c>
      <c r="W136" t="str">
        <f t="shared" si="71"/>
        <v>0.145059195873872-0.121259440360366i</v>
      </c>
      <c r="X136">
        <f t="shared" si="72"/>
        <v>-14.467722794466621</v>
      </c>
      <c r="Y136">
        <f t="shared" si="73"/>
        <v>-39.893287292605919</v>
      </c>
      <c r="Z136">
        <f t="shared" si="74"/>
        <v>5570.4230082163367</v>
      </c>
      <c r="AA136">
        <f t="shared" ca="1" si="64"/>
        <v>-24.858986243220023</v>
      </c>
      <c r="AB136">
        <f t="shared" ca="1" si="65"/>
        <v>-114.26994722391044</v>
      </c>
    </row>
    <row r="137" spans="1:28" x14ac:dyDescent="0.2">
      <c r="A137">
        <v>36000</v>
      </c>
      <c r="B137" t="str">
        <f t="shared" si="66"/>
        <v>36000i</v>
      </c>
      <c r="C137" t="str">
        <f t="shared" ca="1" si="52"/>
        <v>1+0.941866470237243i</v>
      </c>
      <c r="D137" t="str">
        <f t="shared" ca="1" si="53"/>
        <v>1+0.125073637212132i</v>
      </c>
      <c r="E137" t="str">
        <f t="shared" ca="1" si="54"/>
        <v>1+93.7147247656201i</v>
      </c>
      <c r="F137">
        <f t="shared" ca="1" si="55"/>
        <v>39.000923110829653</v>
      </c>
      <c r="G137" t="str">
        <f t="shared" ca="1" si="67"/>
        <v>0.447891308602015-0.362361616057814i</v>
      </c>
      <c r="H137">
        <f t="shared" ca="1" si="68"/>
        <v>-4.7897630632577677</v>
      </c>
      <c r="I137">
        <f t="shared" ca="1" si="69"/>
        <v>-38.974215542763631</v>
      </c>
      <c r="K137" t="str">
        <f t="shared" ca="1" si="56"/>
        <v>1+0.941866470237243i</v>
      </c>
      <c r="L137" t="str">
        <f t="shared" ca="1" si="57"/>
        <v>1-0.070222286343585i</v>
      </c>
      <c r="M137" t="str">
        <f t="shared" ca="1" si="58"/>
        <v>1+94.1866470237243i</v>
      </c>
      <c r="N137" t="str">
        <f t="shared" si="59"/>
        <v>1+0.448883716014102i</v>
      </c>
      <c r="O137">
        <f t="shared" ca="1" si="60"/>
        <v>22.224473826228223</v>
      </c>
      <c r="P137" t="str">
        <f t="shared" ca="1" si="50"/>
        <v>0.0802251326271084-0.285368529946096i</v>
      </c>
      <c r="Q137">
        <f t="shared" ca="1" si="70"/>
        <v>-10.561530977570177</v>
      </c>
      <c r="R137">
        <f t="shared" ca="1" si="51"/>
        <v>-74.297831034628203</v>
      </c>
      <c r="T137" t="str">
        <f t="shared" si="61"/>
        <v>1+2.736i</v>
      </c>
      <c r="U137" t="str">
        <f t="shared" si="62"/>
        <v>1+0.36i</v>
      </c>
      <c r="V137" t="str">
        <f t="shared" si="63"/>
        <v>-0.068530701754386i</v>
      </c>
      <c r="W137" t="str">
        <f t="shared" si="71"/>
        <v>0.144147439242582-0.120423779881716i</v>
      </c>
      <c r="X137">
        <f t="shared" si="72"/>
        <v>-14.524668565639111</v>
      </c>
      <c r="Y137">
        <f t="shared" si="73"/>
        <v>-39.876086606119244</v>
      </c>
      <c r="Z137">
        <f t="shared" si="74"/>
        <v>5729.5779513082325</v>
      </c>
      <c r="AA137">
        <f t="shared" ca="1" si="64"/>
        <v>-25.08619954320929</v>
      </c>
      <c r="AB137">
        <f t="shared" ca="1" si="65"/>
        <v>-114.17391764074745</v>
      </c>
    </row>
    <row r="138" spans="1:28" x14ac:dyDescent="0.2">
      <c r="A138">
        <v>37000</v>
      </c>
      <c r="B138" t="str">
        <f t="shared" si="66"/>
        <v>37000i</v>
      </c>
      <c r="C138" t="str">
        <f t="shared" ca="1" si="52"/>
        <v>1+0.968029427743833i</v>
      </c>
      <c r="D138" t="str">
        <f t="shared" ca="1" si="53"/>
        <v>1+0.128547904912469i</v>
      </c>
      <c r="E138" t="str">
        <f t="shared" ca="1" si="54"/>
        <v>1+96.3179115646651i</v>
      </c>
      <c r="F138">
        <f t="shared" ca="1" si="55"/>
        <v>39.000923110829653</v>
      </c>
      <c r="G138" t="str">
        <f t="shared" ca="1" si="67"/>
        <v>0.447657254924315-0.349883655073838i</v>
      </c>
      <c r="H138">
        <f t="shared" ca="1" si="68"/>
        <v>-4.9104549973597607</v>
      </c>
      <c r="I138">
        <f t="shared" ca="1" si="69"/>
        <v>-38.010765656918835</v>
      </c>
      <c r="K138" t="str">
        <f t="shared" ca="1" si="56"/>
        <v>1+0.968029427743833i</v>
      </c>
      <c r="L138" t="str">
        <f t="shared" ca="1" si="57"/>
        <v>1-0.0721729054086846i</v>
      </c>
      <c r="M138" t="str">
        <f t="shared" ca="1" si="58"/>
        <v>1+96.8029427743833i</v>
      </c>
      <c r="N138" t="str">
        <f t="shared" si="59"/>
        <v>1+0.461352708125605i</v>
      </c>
      <c r="O138">
        <f t="shared" ca="1" si="60"/>
        <v>22.224473826228223</v>
      </c>
      <c r="P138" t="str">
        <f t="shared" ca="1" si="50"/>
        <v>0.0790394189928087-0.279939131980812i</v>
      </c>
      <c r="Q138">
        <f t="shared" ca="1" si="70"/>
        <v>-10.725621501272251</v>
      </c>
      <c r="R138">
        <f t="shared" ca="1" si="51"/>
        <v>-74.233237954002206</v>
      </c>
      <c r="T138" t="str">
        <f t="shared" si="61"/>
        <v>1+2.812i</v>
      </c>
      <c r="U138" t="str">
        <f t="shared" si="62"/>
        <v>1+0.37i</v>
      </c>
      <c r="V138" t="str">
        <f t="shared" si="63"/>
        <v>-0.066678520625889i</v>
      </c>
      <c r="W138" t="str">
        <f t="shared" si="71"/>
        <v>0.143221872960173-0.119670613621153i</v>
      </c>
      <c r="X138">
        <f t="shared" si="72"/>
        <v>-14.58002130038439</v>
      </c>
      <c r="Y138">
        <f t="shared" si="73"/>
        <v>-39.880815242879592</v>
      </c>
      <c r="Z138">
        <f t="shared" si="74"/>
        <v>5888.7328944001274</v>
      </c>
      <c r="AA138">
        <f t="shared" ca="1" si="64"/>
        <v>-25.305642801656639</v>
      </c>
      <c r="AB138">
        <f t="shared" ca="1" si="65"/>
        <v>-114.1140531968818</v>
      </c>
    </row>
    <row r="139" spans="1:28" x14ac:dyDescent="0.2">
      <c r="A139">
        <v>38000</v>
      </c>
      <c r="B139" t="str">
        <f t="shared" si="66"/>
        <v>38000i</v>
      </c>
      <c r="C139" t="str">
        <f t="shared" ca="1" si="52"/>
        <v>1+0.994192385250424i</v>
      </c>
      <c r="D139" t="str">
        <f t="shared" ca="1" si="53"/>
        <v>1+0.132022172612806i</v>
      </c>
      <c r="E139" t="str">
        <f t="shared" ca="1" si="54"/>
        <v>1+98.9210983637101i</v>
      </c>
      <c r="F139">
        <f t="shared" ca="1" si="55"/>
        <v>39.000923110829653</v>
      </c>
      <c r="G139" t="str">
        <f t="shared" ca="1" si="67"/>
        <v>0.447441432409394-0.337990569848243i</v>
      </c>
      <c r="H139">
        <f t="shared" ca="1" si="68"/>
        <v>-5.0246019486957092</v>
      </c>
      <c r="I139">
        <f t="shared" ca="1" si="69"/>
        <v>-37.06685386515111</v>
      </c>
      <c r="K139" t="str">
        <f t="shared" ca="1" si="56"/>
        <v>1+0.994192385250424i</v>
      </c>
      <c r="L139" t="str">
        <f t="shared" ca="1" si="57"/>
        <v>1-0.0741235244737842i</v>
      </c>
      <c r="M139" t="str">
        <f t="shared" ca="1" si="58"/>
        <v>1+99.4192385250423i</v>
      </c>
      <c r="N139" t="str">
        <f t="shared" si="59"/>
        <v>1+0.473821700237107i</v>
      </c>
      <c r="O139">
        <f t="shared" ca="1" si="60"/>
        <v>22.224473826228223</v>
      </c>
      <c r="P139" t="str">
        <f t="shared" ca="1" si="50"/>
        <v>0.0778555440909226-0.274813364220791i</v>
      </c>
      <c r="Q139">
        <f t="shared" ca="1" si="70"/>
        <v>-10.883956926123759</v>
      </c>
      <c r="R139">
        <f t="shared" ca="1" si="51"/>
        <v>-74.182396826420586</v>
      </c>
      <c r="T139" t="str">
        <f t="shared" si="61"/>
        <v>1+2.888i</v>
      </c>
      <c r="U139" t="str">
        <f t="shared" si="62"/>
        <v>1+0.38i</v>
      </c>
      <c r="V139" t="str">
        <f t="shared" si="63"/>
        <v>-0.0649238227146814i</v>
      </c>
      <c r="W139" t="str">
        <f t="shared" si="71"/>
        <v>0.142283246564506-0.118991456409194i</v>
      </c>
      <c r="X139">
        <f t="shared" si="72"/>
        <v>-14.633975122113142</v>
      </c>
      <c r="Y139">
        <f t="shared" si="73"/>
        <v>-39.905734043483335</v>
      </c>
      <c r="Z139">
        <f t="shared" si="74"/>
        <v>6047.8878374920232</v>
      </c>
      <c r="AA139">
        <f t="shared" ca="1" si="64"/>
        <v>-25.517932048236901</v>
      </c>
      <c r="AB139">
        <f t="shared" ca="1" si="65"/>
        <v>-114.08813086990392</v>
      </c>
    </row>
    <row r="140" spans="1:28" x14ac:dyDescent="0.2">
      <c r="A140">
        <v>39000</v>
      </c>
      <c r="B140" t="str">
        <f t="shared" si="66"/>
        <v>39000i</v>
      </c>
      <c r="C140" t="str">
        <f t="shared" ca="1" si="52"/>
        <v>1+1.02035534275701i</v>
      </c>
      <c r="D140" t="str">
        <f t="shared" ca="1" si="53"/>
        <v>1+0.135496440313143i</v>
      </c>
      <c r="E140" t="str">
        <f t="shared" ca="1" si="54"/>
        <v>1+101.524285162755i</v>
      </c>
      <c r="F140">
        <f t="shared" ca="1" si="55"/>
        <v>39.000923110829653</v>
      </c>
      <c r="G140" t="str">
        <f t="shared" ca="1" si="67"/>
        <v>0.447241995689585-0.326637388114692i</v>
      </c>
      <c r="H140">
        <f t="shared" ca="1" si="68"/>
        <v>-5.1326160569421839</v>
      </c>
      <c r="I140">
        <f t="shared" ca="1" si="69"/>
        <v>-36.142039192197075</v>
      </c>
      <c r="K140" t="str">
        <f t="shared" ca="1" si="56"/>
        <v>1+1.02035534275701i</v>
      </c>
      <c r="L140" t="str">
        <f t="shared" ca="1" si="57"/>
        <v>1-0.0760741435388838i</v>
      </c>
      <c r="M140" t="str">
        <f t="shared" ca="1" si="58"/>
        <v>1+102.035534275701i</v>
      </c>
      <c r="N140" t="str">
        <f t="shared" si="59"/>
        <v>1+0.48629069234861i</v>
      </c>
      <c r="O140">
        <f t="shared" ca="1" si="60"/>
        <v>22.224473826228223</v>
      </c>
      <c r="P140" t="str">
        <f t="shared" ca="1" si="50"/>
        <v>0.0766735012892869-0.269965738733061i</v>
      </c>
      <c r="Q140">
        <f t="shared" ca="1" si="70"/>
        <v>-11.036924955331319</v>
      </c>
      <c r="R140">
        <f t="shared" ca="1" si="51"/>
        <v>-74.144818927038045</v>
      </c>
      <c r="T140" t="str">
        <f t="shared" si="61"/>
        <v>1+2.964i</v>
      </c>
      <c r="U140" t="str">
        <f t="shared" si="62"/>
        <v>1+0.39i</v>
      </c>
      <c r="V140" t="str">
        <f t="shared" si="63"/>
        <v>-0.0632591093117409i</v>
      </c>
      <c r="W140" t="str">
        <f t="shared" si="71"/>
        <v>0.14133230393926-0.118378707848052i</v>
      </c>
      <c r="X140">
        <f t="shared" si="72"/>
        <v>-14.686700637420882</v>
      </c>
      <c r="Y140">
        <f t="shared" si="73"/>
        <v>-39.949248307741207</v>
      </c>
      <c r="Z140">
        <f t="shared" si="74"/>
        <v>6207.0427805839181</v>
      </c>
      <c r="AA140">
        <f t="shared" ca="1" si="64"/>
        <v>-25.7236255927522</v>
      </c>
      <c r="AB140">
        <f t="shared" ca="1" si="65"/>
        <v>-114.09406723477926</v>
      </c>
    </row>
    <row r="141" spans="1:28" x14ac:dyDescent="0.2">
      <c r="A141">
        <v>40000</v>
      </c>
      <c r="B141" t="str">
        <f t="shared" si="66"/>
        <v>40000i</v>
      </c>
      <c r="C141" t="str">
        <f t="shared" ca="1" si="52"/>
        <v>1+1.0465183002636i</v>
      </c>
      <c r="D141" t="str">
        <f t="shared" ca="1" si="53"/>
        <v>1+0.13897070801348i</v>
      </c>
      <c r="E141" t="str">
        <f t="shared" ca="1" si="54"/>
        <v>1+104.1274719618i</v>
      </c>
      <c r="F141">
        <f t="shared" ca="1" si="55"/>
        <v>39.000923110829653</v>
      </c>
      <c r="G141" t="str">
        <f t="shared" ca="1" si="67"/>
        <v>0.447057327102615-0.315783632646686i</v>
      </c>
      <c r="H141">
        <f t="shared" ca="1" si="68"/>
        <v>-5.2348782669146914</v>
      </c>
      <c r="I141">
        <f t="shared" ca="1" si="69"/>
        <v>-35.235873430830381</v>
      </c>
      <c r="K141" t="str">
        <f t="shared" ca="1" si="56"/>
        <v>1+1.0465183002636i</v>
      </c>
      <c r="L141" t="str">
        <f t="shared" ca="1" si="57"/>
        <v>1-0.0780247626039834i</v>
      </c>
      <c r="M141" t="str">
        <f t="shared" ca="1" si="58"/>
        <v>1+104.65183002636i</v>
      </c>
      <c r="N141" t="str">
        <f t="shared" si="59"/>
        <v>1+0.498759684460113i</v>
      </c>
      <c r="O141">
        <f t="shared" ca="1" si="60"/>
        <v>22.224473826228223</v>
      </c>
      <c r="P141" t="str">
        <f t="shared" ca="1" si="50"/>
        <v>0.0754933850507981-0.265373371794813i</v>
      </c>
      <c r="Q141">
        <f t="shared" ca="1" si="70"/>
        <v>-11.184882257252838</v>
      </c>
      <c r="R141">
        <f t="shared" ca="1" si="51"/>
        <v>-74.120013789696714</v>
      </c>
      <c r="T141" t="str">
        <f t="shared" si="61"/>
        <v>1+3.04i</v>
      </c>
      <c r="U141" t="str">
        <f t="shared" si="62"/>
        <v>1+0.4i</v>
      </c>
      <c r="V141" t="str">
        <f t="shared" si="63"/>
        <v>-0.0616776315789474i</v>
      </c>
      <c r="W141" t="str">
        <f t="shared" si="71"/>
        <v>0.140369782214156-0.11782554446461i</v>
      </c>
      <c r="X141">
        <f t="shared" si="72"/>
        <v>-14.73834802465235</v>
      </c>
      <c r="Y141">
        <f t="shared" si="73"/>
        <v>-40.0098939569327</v>
      </c>
      <c r="Z141">
        <f t="shared" si="74"/>
        <v>6366.1977236758139</v>
      </c>
      <c r="AA141">
        <f t="shared" ca="1" si="64"/>
        <v>-25.923230281905187</v>
      </c>
      <c r="AB141">
        <f t="shared" ca="1" si="65"/>
        <v>-114.12990774662941</v>
      </c>
    </row>
    <row r="142" spans="1:28" x14ac:dyDescent="0.2">
      <c r="A142">
        <v>41000</v>
      </c>
      <c r="B142" t="str">
        <f t="shared" si="66"/>
        <v>41000i</v>
      </c>
      <c r="C142" t="str">
        <f t="shared" ca="1" si="52"/>
        <v>1+1.07268125777019i</v>
      </c>
      <c r="D142" t="str">
        <f t="shared" ca="1" si="53"/>
        <v>1+0.142444975713817i</v>
      </c>
      <c r="E142" t="str">
        <f t="shared" ca="1" si="54"/>
        <v>1+106.730658760845i</v>
      </c>
      <c r="F142">
        <f t="shared" ca="1" si="55"/>
        <v>39.000923110829653</v>
      </c>
      <c r="G142" t="str">
        <f t="shared" ca="1" si="67"/>
        <v>0.446886003789474-0.305392773390245i</v>
      </c>
      <c r="H142">
        <f t="shared" ca="1" si="68"/>
        <v>-5.3317411183385754</v>
      </c>
      <c r="I142">
        <f t="shared" ca="1" si="69"/>
        <v>-34.347903992367186</v>
      </c>
      <c r="K142" t="str">
        <f t="shared" ca="1" si="56"/>
        <v>1+1.07268125777019i</v>
      </c>
      <c r="L142" t="str">
        <f t="shared" ca="1" si="57"/>
        <v>1-0.079975381669083i</v>
      </c>
      <c r="M142" t="str">
        <f t="shared" ca="1" si="58"/>
        <v>1+107.268125777019i</v>
      </c>
      <c r="N142" t="str">
        <f t="shared" si="59"/>
        <v>1+0.511228676571616i</v>
      </c>
      <c r="O142">
        <f t="shared" ca="1" si="60"/>
        <v>22.224473826228223</v>
      </c>
      <c r="P142" t="str">
        <f t="shared" ca="1" si="50"/>
        <v>0.0743153710855231-0.261015668744846i</v>
      </c>
      <c r="Q142">
        <f t="shared" ca="1" si="70"/>
        <v>-11.328157284659618</v>
      </c>
      <c r="R142">
        <f t="shared" ca="1" si="51"/>
        <v>-74.107491901427707</v>
      </c>
      <c r="T142" t="str">
        <f t="shared" si="61"/>
        <v>1+3.116i</v>
      </c>
      <c r="U142" t="str">
        <f t="shared" si="62"/>
        <v>1+0.41i</v>
      </c>
      <c r="V142" t="str">
        <f t="shared" si="63"/>
        <v>-0.0601732991014121i</v>
      </c>
      <c r="W142" t="str">
        <f t="shared" si="71"/>
        <v>0.13939641072547-0.117325827498855i</v>
      </c>
      <c r="X142">
        <f t="shared" si="72"/>
        <v>-14.789049669357158</v>
      </c>
      <c r="Y142">
        <f t="shared" si="73"/>
        <v>-40.086325175424648</v>
      </c>
      <c r="Z142">
        <f t="shared" si="74"/>
        <v>6525.3526667677088</v>
      </c>
      <c r="AA142">
        <f t="shared" ca="1" si="64"/>
        <v>-26.117206954016776</v>
      </c>
      <c r="AB142">
        <f t="shared" ca="1" si="65"/>
        <v>-114.19381707685235</v>
      </c>
    </row>
    <row r="143" spans="1:28" x14ac:dyDescent="0.2">
      <c r="A143">
        <v>42000</v>
      </c>
      <c r="B143" t="str">
        <f t="shared" si="66"/>
        <v>42000i</v>
      </c>
      <c r="C143" t="str">
        <f t="shared" ca="1" si="52"/>
        <v>1+1.09884421527678i</v>
      </c>
      <c r="D143" t="str">
        <f t="shared" ca="1" si="53"/>
        <v>1+0.145919243414154i</v>
      </c>
      <c r="E143" t="str">
        <f t="shared" ca="1" si="54"/>
        <v>1+109.33384555989i</v>
      </c>
      <c r="F143">
        <f t="shared" ca="1" si="55"/>
        <v>39.000923110829653</v>
      </c>
      <c r="G143" t="str">
        <f t="shared" ca="1" si="67"/>
        <v>0.446726770207994-0.295431757813821i</v>
      </c>
      <c r="H143">
        <f t="shared" ca="1" si="68"/>
        <v>-5.4235312357203016</v>
      </c>
      <c r="I143">
        <f t="shared" ca="1" si="69"/>
        <v>-33.477676381832758</v>
      </c>
      <c r="K143" t="str">
        <f t="shared" ca="1" si="56"/>
        <v>1+1.09884421527678i</v>
      </c>
      <c r="L143" t="str">
        <f t="shared" ca="1" si="57"/>
        <v>1-0.0819260007341826i</v>
      </c>
      <c r="M143" t="str">
        <f t="shared" ca="1" si="58"/>
        <v>1+109.884421527678i</v>
      </c>
      <c r="N143" t="str">
        <f t="shared" si="59"/>
        <v>1+0.523697668683119i</v>
      </c>
      <c r="O143">
        <f t="shared" ca="1" si="60"/>
        <v>22.224473826228223</v>
      </c>
      <c r="P143" t="str">
        <f t="shared" ca="1" si="50"/>
        <v>0.0731396997530414-0.256874053496499i</v>
      </c>
      <c r="Q143">
        <f t="shared" ca="1" si="70"/>
        <v>-11.467052792208175</v>
      </c>
      <c r="R143">
        <f t="shared" ca="1" si="51"/>
        <v>-74.106767016534675</v>
      </c>
      <c r="T143" t="str">
        <f t="shared" si="61"/>
        <v>1+3.192i</v>
      </c>
      <c r="U143" t="str">
        <f t="shared" si="62"/>
        <v>1+0.42i</v>
      </c>
      <c r="V143" t="str">
        <f t="shared" si="63"/>
        <v>-0.0587406015037594i</v>
      </c>
      <c r="W143" t="str">
        <f t="shared" si="71"/>
        <v>0.13841291003776-0.116874023719619i</v>
      </c>
      <c r="X143">
        <f t="shared" si="72"/>
        <v>-14.838922420089597</v>
      </c>
      <c r="Y143">
        <f t="shared" si="73"/>
        <v>-40.177303365597396</v>
      </c>
      <c r="Z143">
        <f t="shared" si="74"/>
        <v>6684.5076098596046</v>
      </c>
      <c r="AA143">
        <f t="shared" ca="1" si="64"/>
        <v>-26.305975212297774</v>
      </c>
      <c r="AB143">
        <f t="shared" ca="1" si="65"/>
        <v>-114.28407038213207</v>
      </c>
    </row>
    <row r="144" spans="1:28" x14ac:dyDescent="0.2">
      <c r="A144">
        <v>43000</v>
      </c>
      <c r="B144" t="str">
        <f t="shared" si="66"/>
        <v>43000i</v>
      </c>
      <c r="C144" t="str">
        <f t="shared" ca="1" si="52"/>
        <v>1+1.12500717278337i</v>
      </c>
      <c r="D144" t="str">
        <f t="shared" ca="1" si="53"/>
        <v>1+0.149393511114491i</v>
      </c>
      <c r="E144" t="str">
        <f t="shared" ca="1" si="54"/>
        <v>1+111.937032358935i</v>
      </c>
      <c r="F144">
        <f t="shared" ca="1" si="55"/>
        <v>39.000923110829653</v>
      </c>
      <c r="G144" t="str">
        <f t="shared" ca="1" si="67"/>
        <v>0.446578515066826-0.285870606751285i</v>
      </c>
      <c r="H144">
        <f t="shared" ca="1" si="68"/>
        <v>-5.5105515577497721</v>
      </c>
      <c r="I144">
        <f t="shared" ca="1" si="69"/>
        <v>-32.624736337980387</v>
      </c>
      <c r="K144" t="str">
        <f t="shared" ca="1" si="56"/>
        <v>1+1.12500717278337i</v>
      </c>
      <c r="L144" t="str">
        <f t="shared" ca="1" si="57"/>
        <v>1-0.0838766197992821i</v>
      </c>
      <c r="M144" t="str">
        <f t="shared" ca="1" si="58"/>
        <v>1+112.500717278337i</v>
      </c>
      <c r="N144" t="str">
        <f t="shared" si="59"/>
        <v>1+0.536166660794622i</v>
      </c>
      <c r="O144">
        <f t="shared" ca="1" si="60"/>
        <v>22.224473826228223</v>
      </c>
      <c r="P144" t="str">
        <f t="shared" ca="1" si="50"/>
        <v>0.0719666621430068-0.252931735458888i</v>
      </c>
      <c r="Q144">
        <f t="shared" ca="1" si="70"/>
        <v>-11.601848091563722</v>
      </c>
      <c r="R144">
        <f t="shared" ca="1" si="51"/>
        <v>-74.117358131252729</v>
      </c>
      <c r="T144" t="str">
        <f t="shared" si="61"/>
        <v>1+3.268i</v>
      </c>
      <c r="U144" t="str">
        <f t="shared" si="62"/>
        <v>1+0.43i</v>
      </c>
      <c r="V144" t="str">
        <f t="shared" si="63"/>
        <v>-0.057374541003672i</v>
      </c>
      <c r="W144" t="str">
        <f t="shared" si="71"/>
        <v>0.137419991027446-0.116465137145474i</v>
      </c>
      <c r="X144">
        <f t="shared" si="72"/>
        <v>-14.888069525059151</v>
      </c>
      <c r="Y144">
        <f t="shared" si="73"/>
        <v>-40.281687267925477</v>
      </c>
      <c r="Z144">
        <f t="shared" si="74"/>
        <v>6843.6625529514995</v>
      </c>
      <c r="AA144">
        <f t="shared" ca="1" si="64"/>
        <v>-26.489917616622876</v>
      </c>
      <c r="AB144">
        <f t="shared" ca="1" si="65"/>
        <v>-114.39904539917821</v>
      </c>
    </row>
    <row r="145" spans="1:28" x14ac:dyDescent="0.2">
      <c r="A145">
        <v>44000</v>
      </c>
      <c r="B145" t="str">
        <f t="shared" si="66"/>
        <v>44000i</v>
      </c>
      <c r="C145" t="str">
        <f t="shared" ca="1" si="52"/>
        <v>1+1.15117013028996i</v>
      </c>
      <c r="D145" t="str">
        <f t="shared" ca="1" si="53"/>
        <v>1+0.152867778814828i</v>
      </c>
      <c r="E145" t="str">
        <f t="shared" ca="1" si="54"/>
        <v>1+114.54021915798i</v>
      </c>
      <c r="F145">
        <f t="shared" ca="1" si="55"/>
        <v>39.000923110829653</v>
      </c>
      <c r="G145" t="str">
        <f t="shared" ca="1" si="67"/>
        <v>0.44644025188567-0.276682065325578i</v>
      </c>
      <c r="H145">
        <f t="shared" ca="1" si="68"/>
        <v>-5.5930833393968555</v>
      </c>
      <c r="I145">
        <f t="shared" ca="1" si="69"/>
        <v>-31.788631674340376</v>
      </c>
      <c r="K145" t="str">
        <f t="shared" ca="1" si="56"/>
        <v>1+1.15117013028996i</v>
      </c>
      <c r="L145" t="str">
        <f t="shared" ca="1" si="57"/>
        <v>1-0.0858272388643817i</v>
      </c>
      <c r="M145" t="str">
        <f t="shared" ca="1" si="58"/>
        <v>1+115.117013028996i</v>
      </c>
      <c r="N145" t="str">
        <f t="shared" si="59"/>
        <v>1+0.548635652906124i</v>
      </c>
      <c r="O145">
        <f t="shared" ca="1" si="60"/>
        <v>22.224473826228223</v>
      </c>
      <c r="P145" t="str">
        <f t="shared" ca="1" si="50"/>
        <v>0.0707965883755651-0.249173507932275i</v>
      </c>
      <c r="Q145">
        <f t="shared" ca="1" si="70"/>
        <v>-11.732801077354857</v>
      </c>
      <c r="R145">
        <f t="shared" ca="1" si="51"/>
        <v>-74.138791155951395</v>
      </c>
      <c r="T145" t="str">
        <f t="shared" si="61"/>
        <v>1+3.344i</v>
      </c>
      <c r="U145" t="str">
        <f t="shared" si="62"/>
        <v>1+0.44i</v>
      </c>
      <c r="V145" t="str">
        <f t="shared" si="63"/>
        <v>-0.0560705741626794i</v>
      </c>
      <c r="W145" t="str">
        <f t="shared" si="71"/>
        <v>0.136418354028503-0.116094649935221i</v>
      </c>
      <c r="X145">
        <f t="shared" si="72"/>
        <v>-14.936582299643561</v>
      </c>
      <c r="Y145">
        <f t="shared" si="73"/>
        <v>-40.398424114535466</v>
      </c>
      <c r="Z145">
        <f t="shared" si="74"/>
        <v>7002.8174960433953</v>
      </c>
      <c r="AA145">
        <f t="shared" ca="1" si="64"/>
        <v>-26.669383376998418</v>
      </c>
      <c r="AB145">
        <f t="shared" ca="1" si="65"/>
        <v>-114.53721527048685</v>
      </c>
    </row>
    <row r="146" spans="1:28" x14ac:dyDescent="0.2">
      <c r="A146">
        <v>45000</v>
      </c>
      <c r="B146" t="str">
        <f t="shared" si="66"/>
        <v>45000i</v>
      </c>
      <c r="C146" t="str">
        <f t="shared" ca="1" si="52"/>
        <v>1+1.17733308779655i</v>
      </c>
      <c r="D146" t="str">
        <f t="shared" ca="1" si="53"/>
        <v>1+0.156342046515165i</v>
      </c>
      <c r="E146" t="str">
        <f t="shared" ca="1" si="54"/>
        <v>1+117.143405957025i</v>
      </c>
      <c r="F146">
        <f t="shared" ca="1" si="55"/>
        <v>39.000923110829653</v>
      </c>
      <c r="G146" t="str">
        <f t="shared" ca="1" si="67"/>
        <v>0.446311102544578-0.267841300390354i</v>
      </c>
      <c r="H146">
        <f t="shared" ca="1" si="68"/>
        <v>-5.6713879547544561</v>
      </c>
      <c r="I146">
        <f t="shared" ca="1" si="69"/>
        <v>-30.968913853920348</v>
      </c>
      <c r="K146" t="str">
        <f t="shared" ca="1" si="56"/>
        <v>1+1.17733308779655i</v>
      </c>
      <c r="L146" t="str">
        <f t="shared" ca="1" si="57"/>
        <v>1-0.0877778579294813i</v>
      </c>
      <c r="M146" t="str">
        <f t="shared" ca="1" si="58"/>
        <v>1+117.733308779655i</v>
      </c>
      <c r="N146" t="str">
        <f t="shared" si="59"/>
        <v>1+0.561104645017627i</v>
      </c>
      <c r="O146">
        <f t="shared" ca="1" si="60"/>
        <v>22.224473826228223</v>
      </c>
      <c r="P146" t="str">
        <f t="shared" ref="P146:P209" ca="1" si="75">IMDIV(IMPRODUCT(O146,K146,L146,),IMPRODUCT(M146,N146,))</f>
        <v>0.0696298377519483-0.245585573098382i</v>
      </c>
      <c r="Q146">
        <f t="shared" ca="1" si="70"/>
        <v>-11.860150052039431</v>
      </c>
      <c r="R146">
        <f t="shared" ref="R146:R209" ca="1" si="76">IMARGUMENT(P146)*180/PI()</f>
        <v>-74.170600318259858</v>
      </c>
      <c r="T146" t="str">
        <f t="shared" si="61"/>
        <v>1+3.42i</v>
      </c>
      <c r="U146" t="str">
        <f t="shared" si="62"/>
        <v>1+0.45i</v>
      </c>
      <c r="V146" t="str">
        <f t="shared" si="63"/>
        <v>-0.0548245614035088i</v>
      </c>
      <c r="W146" t="str">
        <f t="shared" si="71"/>
        <v>0.135408688040267-0.115758471021629i</v>
      </c>
      <c r="X146">
        <f t="shared" si="72"/>
        <v>-14.984541566234872</v>
      </c>
      <c r="Y146">
        <f t="shared" si="73"/>
        <v>-40.52654169949151</v>
      </c>
      <c r="Z146">
        <f t="shared" si="74"/>
        <v>7161.9724391352902</v>
      </c>
      <c r="AA146">
        <f t="shared" ca="1" si="64"/>
        <v>-26.844691618274304</v>
      </c>
      <c r="AB146">
        <f t="shared" ca="1" si="65"/>
        <v>-114.69714201775136</v>
      </c>
    </row>
    <row r="147" spans="1:28" x14ac:dyDescent="0.2">
      <c r="A147">
        <v>46000</v>
      </c>
      <c r="B147" t="str">
        <f t="shared" si="66"/>
        <v>46000i</v>
      </c>
      <c r="C147" t="str">
        <f t="shared" ca="1" si="52"/>
        <v>1+1.20349604530314i</v>
      </c>
      <c r="D147" t="str">
        <f t="shared" ca="1" si="53"/>
        <v>1+0.159816314215502i</v>
      </c>
      <c r="E147" t="str">
        <f t="shared" ca="1" si="54"/>
        <v>1+119.74659275607i</v>
      </c>
      <c r="F147">
        <f t="shared" ca="1" si="55"/>
        <v>39.000923110829653</v>
      </c>
      <c r="G147" t="str">
        <f t="shared" ca="1" si="67"/>
        <v>0.446190283308391-0.259325637415095i</v>
      </c>
      <c r="H147">
        <f t="shared" ca="1" si="68"/>
        <v>-5.7457085244886494</v>
      </c>
      <c r="I147">
        <f t="shared" ca="1" si="69"/>
        <v>-30.165139326999952</v>
      </c>
      <c r="K147" t="str">
        <f t="shared" ca="1" si="56"/>
        <v>1+1.20349604530314i</v>
      </c>
      <c r="L147" t="str">
        <f t="shared" ca="1" si="57"/>
        <v>1-0.0897284769945809i</v>
      </c>
      <c r="M147" t="str">
        <f t="shared" ca="1" si="58"/>
        <v>1+120.349604530314i</v>
      </c>
      <c r="N147" t="str">
        <f t="shared" si="59"/>
        <v>1+0.57357363712913i</v>
      </c>
      <c r="O147">
        <f t="shared" ca="1" si="60"/>
        <v>22.224473826228223</v>
      </c>
      <c r="P147" t="str">
        <f t="shared" ca="1" si="75"/>
        <v>0.0684667904551721-0.242155389575233i</v>
      </c>
      <c r="Q147">
        <f t="shared" ca="1" si="70"/>
        <v>-11.984115373573204</v>
      </c>
      <c r="R147">
        <f t="shared" ca="1" si="76"/>
        <v>-74.212329327292323</v>
      </c>
      <c r="T147" t="str">
        <f t="shared" si="61"/>
        <v>1+3.496i</v>
      </c>
      <c r="U147" t="str">
        <f t="shared" si="62"/>
        <v>1+0.46i</v>
      </c>
      <c r="V147" t="str">
        <f t="shared" si="63"/>
        <v>-0.0536327231121281i</v>
      </c>
      <c r="W147" t="str">
        <f t="shared" si="71"/>
        <v>0.134391669997046-0.115452891310769i</v>
      </c>
      <c r="X147">
        <f t="shared" si="72"/>
        <v>-15.032018900917963</v>
      </c>
      <c r="Y147">
        <f t="shared" si="73"/>
        <v>-40.665141262501542</v>
      </c>
      <c r="Z147">
        <f t="shared" si="74"/>
        <v>7321.127382227186</v>
      </c>
      <c r="AA147">
        <f t="shared" ca="1" si="64"/>
        <v>-27.016134274491165</v>
      </c>
      <c r="AB147">
        <f t="shared" ca="1" si="65"/>
        <v>-114.87747058979386</v>
      </c>
    </row>
    <row r="148" spans="1:28" x14ac:dyDescent="0.2">
      <c r="A148">
        <v>47000</v>
      </c>
      <c r="B148" t="str">
        <f t="shared" si="66"/>
        <v>47000i</v>
      </c>
      <c r="C148" t="str">
        <f t="shared" ca="1" si="52"/>
        <v>1+1.22965900280973i</v>
      </c>
      <c r="D148" t="str">
        <f t="shared" ca="1" si="53"/>
        <v>1+0.163290581915839i</v>
      </c>
      <c r="E148" t="str">
        <f t="shared" ca="1" si="54"/>
        <v>1+122.349779555115i</v>
      </c>
      <c r="F148">
        <f t="shared" ca="1" si="55"/>
        <v>39.000923110829653</v>
      </c>
      <c r="G148" t="str">
        <f t="shared" ca="1" si="67"/>
        <v>0.446077092909685-0.251114330942528i</v>
      </c>
      <c r="H148">
        <f t="shared" ca="1" si="68"/>
        <v>-5.816271388299886</v>
      </c>
      <c r="I148">
        <f t="shared" ca="1" si="69"/>
        <v>-29.376870658592146</v>
      </c>
      <c r="K148" t="str">
        <f t="shared" ca="1" si="56"/>
        <v>1+1.22965900280973i</v>
      </c>
      <c r="L148" t="str">
        <f t="shared" ca="1" si="57"/>
        <v>1-0.0916790960596805i</v>
      </c>
      <c r="M148" t="str">
        <f t="shared" ca="1" si="58"/>
        <v>1+122.965900280973i</v>
      </c>
      <c r="N148" t="str">
        <f t="shared" si="59"/>
        <v>1+0.586042629240633i</v>
      </c>
      <c r="O148">
        <f t="shared" ca="1" si="60"/>
        <v>22.224473826228223</v>
      </c>
      <c r="P148" t="str">
        <f t="shared" ca="1" si="75"/>
        <v>0.0673078405557696-0.238871539192031i</v>
      </c>
      <c r="Q148">
        <f t="shared" ca="1" si="70"/>
        <v>-12.104900946327328</v>
      </c>
      <c r="R148">
        <f t="shared" ca="1" si="76"/>
        <v>-74.263532326236046</v>
      </c>
      <c r="T148" t="str">
        <f t="shared" si="61"/>
        <v>1+3.572i</v>
      </c>
      <c r="U148" t="str">
        <f t="shared" si="62"/>
        <v>1+0.47i</v>
      </c>
      <c r="V148" t="str">
        <f t="shared" si="63"/>
        <v>-0.052491601343785i</v>
      </c>
      <c r="W148" t="str">
        <f t="shared" si="71"/>
        <v>0.133367964098961-0.115174544470297i</v>
      </c>
      <c r="X148">
        <f t="shared" si="72"/>
        <v>-15.079077715771215</v>
      </c>
      <c r="Y148">
        <f t="shared" si="73"/>
        <v>-40.813391094740801</v>
      </c>
      <c r="Z148">
        <f t="shared" si="74"/>
        <v>7480.2823253190809</v>
      </c>
      <c r="AA148">
        <f t="shared" ca="1" si="64"/>
        <v>-27.183978662098543</v>
      </c>
      <c r="AB148">
        <f t="shared" ca="1" si="65"/>
        <v>-115.07692342097684</v>
      </c>
    </row>
    <row r="149" spans="1:28" x14ac:dyDescent="0.2">
      <c r="A149">
        <v>48000</v>
      </c>
      <c r="B149" t="str">
        <f t="shared" si="66"/>
        <v>48000i</v>
      </c>
      <c r="C149" t="str">
        <f t="shared" ca="1" si="52"/>
        <v>1+1.25582196031632i</v>
      </c>
      <c r="D149" t="str">
        <f t="shared" ca="1" si="53"/>
        <v>1+0.166764849616176i</v>
      </c>
      <c r="E149" t="str">
        <f t="shared" ca="1" si="54"/>
        <v>1+124.95296635416i</v>
      </c>
      <c r="F149">
        <f t="shared" ca="1" si="55"/>
        <v>39.000923110829653</v>
      </c>
      <c r="G149" t="str">
        <f t="shared" ca="1" si="67"/>
        <v>0.445970902350871-0.243188363725109i</v>
      </c>
      <c r="H149">
        <f t="shared" ca="1" si="68"/>
        <v>-5.8832874399321256</v>
      </c>
      <c r="I149">
        <f t="shared" ca="1" si="69"/>
        <v>-28.603677469546554</v>
      </c>
      <c r="K149" t="str">
        <f t="shared" ca="1" si="56"/>
        <v>1+1.25582196031632i</v>
      </c>
      <c r="L149" t="str">
        <f t="shared" ca="1" si="57"/>
        <v>1-0.0936297151247801i</v>
      </c>
      <c r="M149" t="str">
        <f t="shared" ca="1" si="58"/>
        <v>1+125.582196031632i</v>
      </c>
      <c r="N149" t="str">
        <f t="shared" si="59"/>
        <v>1+0.598511621352136i</v>
      </c>
      <c r="O149">
        <f t="shared" ca="1" si="60"/>
        <v>22.224473826228223</v>
      </c>
      <c r="P149" t="str">
        <f t="shared" ca="1" si="75"/>
        <v>0.066153390121182-0.235723610197132i</v>
      </c>
      <c r="Q149">
        <f t="shared" ca="1" si="70"/>
        <v>-12.222695572834038</v>
      </c>
      <c r="R149">
        <f t="shared" ca="1" si="76"/>
        <v>-74.323774657941968</v>
      </c>
      <c r="T149" t="str">
        <f t="shared" si="61"/>
        <v>1+3.648i</v>
      </c>
      <c r="U149" t="str">
        <f t="shared" si="62"/>
        <v>1+0.48i</v>
      </c>
      <c r="V149" t="str">
        <f t="shared" si="63"/>
        <v>-0.0513980263157895i</v>
      </c>
      <c r="W149" t="str">
        <f t="shared" si="71"/>
        <v>0.132338221203203-0.114920372493327i</v>
      </c>
      <c r="X149">
        <f t="shared" si="72"/>
        <v>-15.12577420088695</v>
      </c>
      <c r="Y149">
        <f t="shared" si="73"/>
        <v>-40.970520786162993</v>
      </c>
      <c r="Z149">
        <f t="shared" si="74"/>
        <v>7639.4372684109767</v>
      </c>
      <c r="AA149">
        <f t="shared" ca="1" si="64"/>
        <v>-27.348469773720986</v>
      </c>
      <c r="AB149">
        <f t="shared" ca="1" si="65"/>
        <v>-115.29429544410496</v>
      </c>
    </row>
    <row r="150" spans="1:28" x14ac:dyDescent="0.2">
      <c r="A150">
        <v>49000</v>
      </c>
      <c r="B150" t="str">
        <f t="shared" si="66"/>
        <v>49000i</v>
      </c>
      <c r="C150" t="str">
        <f t="shared" ca="1" si="52"/>
        <v>1+1.28198491782291i</v>
      </c>
      <c r="D150" t="str">
        <f t="shared" ca="1" si="53"/>
        <v>1+0.170239117316513i</v>
      </c>
      <c r="E150" t="str">
        <f t="shared" ca="1" si="54"/>
        <v>1+127.556153153205i</v>
      </c>
      <c r="F150">
        <f t="shared" ca="1" si="55"/>
        <v>39.000923110829653</v>
      </c>
      <c r="G150" t="str">
        <f t="shared" ca="1" si="67"/>
        <v>0.445871146147748-0.235530270445741i</v>
      </c>
      <c r="H150">
        <f t="shared" ca="1" si="68"/>
        <v>-5.9469533398771057</v>
      </c>
      <c r="I150">
        <f t="shared" ca="1" si="69"/>
        <v>-27.845137212906426</v>
      </c>
      <c r="K150" t="str">
        <f t="shared" ca="1" si="56"/>
        <v>1+1.28198491782291i</v>
      </c>
      <c r="L150" t="str">
        <f t="shared" ca="1" si="57"/>
        <v>1-0.0955803341898796i</v>
      </c>
      <c r="M150" t="str">
        <f t="shared" ca="1" si="58"/>
        <v>1+128.198491782291i</v>
      </c>
      <c r="N150" t="str">
        <f t="shared" si="59"/>
        <v>1+0.610980613463639i</v>
      </c>
      <c r="O150">
        <f t="shared" ca="1" si="60"/>
        <v>22.224473826228223</v>
      </c>
      <c r="P150" t="str">
        <f t="shared" ca="1" si="75"/>
        <v>0.0650038442623664-0.232702094566915i</v>
      </c>
      <c r="Q150">
        <f t="shared" ca="1" si="70"/>
        <v>-12.337674181560534</v>
      </c>
      <c r="R150">
        <f t="shared" ca="1" si="76"/>
        <v>-74.392633465738712</v>
      </c>
      <c r="T150" t="str">
        <f t="shared" si="61"/>
        <v>1+3.724i</v>
      </c>
      <c r="U150" t="str">
        <f t="shared" si="62"/>
        <v>1+0.49i</v>
      </c>
      <c r="V150" t="str">
        <f t="shared" si="63"/>
        <v>-0.0503490870032223i</v>
      </c>
      <c r="W150" t="str">
        <f t="shared" si="71"/>
        <v>0.131303078274672-0.114687595357812i</v>
      </c>
      <c r="X150">
        <f t="shared" si="72"/>
        <v>-15.172158146340877</v>
      </c>
      <c r="Y150">
        <f t="shared" si="73"/>
        <v>-41.135816043131321</v>
      </c>
      <c r="Z150">
        <f t="shared" si="74"/>
        <v>7798.5922115028716</v>
      </c>
      <c r="AA150">
        <f t="shared" ca="1" si="64"/>
        <v>-27.50983232790141</v>
      </c>
      <c r="AB150">
        <f t="shared" ca="1" si="65"/>
        <v>-115.52844950887004</v>
      </c>
    </row>
    <row r="151" spans="1:28" x14ac:dyDescent="0.2">
      <c r="A151">
        <v>50000</v>
      </c>
      <c r="B151" t="str">
        <f t="shared" si="66"/>
        <v>50000i</v>
      </c>
      <c r="C151" t="str">
        <f t="shared" ca="1" si="52"/>
        <v>1+1.3081478753295i</v>
      </c>
      <c r="D151" t="str">
        <f t="shared" ca="1" si="53"/>
        <v>1+0.17371338501685i</v>
      </c>
      <c r="E151" t="str">
        <f t="shared" ca="1" si="54"/>
        <v>1+130.15933995225i</v>
      </c>
      <c r="F151">
        <f t="shared" ca="1" si="55"/>
        <v>39.000923110829653</v>
      </c>
      <c r="G151" t="str">
        <f t="shared" ca="1" si="67"/>
        <v>0.445777314786274-0.228123982582682i</v>
      </c>
      <c r="H151">
        <f t="shared" ca="1" si="68"/>
        <v>-6.0074526189172142</v>
      </c>
      <c r="I151">
        <f t="shared" ca="1" si="69"/>
        <v>-27.10083580497686</v>
      </c>
      <c r="K151" t="str">
        <f t="shared" ca="1" si="56"/>
        <v>1+1.3081478753295i</v>
      </c>
      <c r="L151" t="str">
        <f t="shared" ca="1" si="57"/>
        <v>1-0.0975309532549792i</v>
      </c>
      <c r="M151" t="str">
        <f t="shared" ca="1" si="58"/>
        <v>1+130.81478753295i</v>
      </c>
      <c r="N151" t="str">
        <f t="shared" si="59"/>
        <v>1+0.623449605575141i</v>
      </c>
      <c r="O151">
        <f t="shared" ca="1" si="60"/>
        <v>22.224473826228223</v>
      </c>
      <c r="P151" t="str">
        <f t="shared" ca="1" si="75"/>
        <v>0.0638596069792273-0.229798297456487i</v>
      </c>
      <c r="Q151">
        <f t="shared" ca="1" si="70"/>
        <v>-12.449998943906341</v>
      </c>
      <c r="R151">
        <f t="shared" ca="1" si="76"/>
        <v>-74.469698149514755</v>
      </c>
      <c r="T151" t="str">
        <f t="shared" si="61"/>
        <v>1+3.8i</v>
      </c>
      <c r="U151" t="str">
        <f t="shared" si="62"/>
        <v>1+0.5i</v>
      </c>
      <c r="V151" t="str">
        <f t="shared" si="63"/>
        <v>-0.0493421052631579i</v>
      </c>
      <c r="W151" t="str">
        <f t="shared" si="71"/>
        <v>0.130263157894737-0.114473684210526i</v>
      </c>
      <c r="X151">
        <f t="shared" si="72"/>
        <v>-15.218273661144844</v>
      </c>
      <c r="Y151">
        <f t="shared" si="73"/>
        <v>-41.308614013548613</v>
      </c>
      <c r="Z151">
        <f t="shared" si="74"/>
        <v>7957.7471545947674</v>
      </c>
      <c r="AA151">
        <f t="shared" ca="1" si="64"/>
        <v>-27.668272605051186</v>
      </c>
      <c r="AB151">
        <f t="shared" ca="1" si="65"/>
        <v>-115.77831216306336</v>
      </c>
    </row>
    <row r="152" spans="1:28" x14ac:dyDescent="0.2">
      <c r="A152">
        <v>51000</v>
      </c>
      <c r="B152" t="str">
        <f t="shared" si="66"/>
        <v>51000i</v>
      </c>
      <c r="C152" t="str">
        <f t="shared" ca="1" si="52"/>
        <v>1+1.33431083283609i</v>
      </c>
      <c r="D152" t="str">
        <f t="shared" ca="1" si="53"/>
        <v>1+0.177187652717187i</v>
      </c>
      <c r="E152" t="str">
        <f t="shared" ca="1" si="54"/>
        <v>1+132.762526751295i</v>
      </c>
      <c r="F152">
        <f t="shared" ca="1" si="55"/>
        <v>39.000923110829653</v>
      </c>
      <c r="G152" t="str">
        <f t="shared" ca="1" si="67"/>
        <v>0.445688948204201-0.220954691517921i</v>
      </c>
      <c r="H152">
        <f t="shared" ca="1" si="68"/>
        <v>-6.0649566839618538</v>
      </c>
      <c r="I152">
        <f t="shared" ca="1" si="69"/>
        <v>-26.370368128599395</v>
      </c>
      <c r="K152" t="str">
        <f t="shared" ca="1" si="56"/>
        <v>1+1.33431083283609i</v>
      </c>
      <c r="L152" t="str">
        <f t="shared" ca="1" si="57"/>
        <v>1-0.0994815723200788i</v>
      </c>
      <c r="M152" t="str">
        <f t="shared" ca="1" si="58"/>
        <v>1+133.431083283609i</v>
      </c>
      <c r="N152" t="str">
        <f t="shared" si="59"/>
        <v>1+0.635918597686644i</v>
      </c>
      <c r="O152">
        <f t="shared" ca="1" si="60"/>
        <v>22.224473826228223</v>
      </c>
      <c r="P152" t="str">
        <f t="shared" ca="1" si="75"/>
        <v>0.062721077689207-0.22700425714008i</v>
      </c>
      <c r="Q152">
        <f t="shared" ca="1" si="70"/>
        <v>-12.559820291939275</v>
      </c>
      <c r="R152">
        <f t="shared" ca="1" si="76"/>
        <v>-74.554570695089581</v>
      </c>
      <c r="T152" t="str">
        <f t="shared" si="61"/>
        <v>1+3.876i</v>
      </c>
      <c r="U152" t="str">
        <f t="shared" si="62"/>
        <v>1+0.51i</v>
      </c>
      <c r="V152" t="str">
        <f t="shared" si="63"/>
        <v>-0.048374613003096i</v>
      </c>
      <c r="W152" t="str">
        <f t="shared" si="71"/>
        <v>0.129219067826697-0.114276337594712i</v>
      </c>
      <c r="X152">
        <f t="shared" si="72"/>
        <v>-15.264159803562677</v>
      </c>
      <c r="Y152">
        <f t="shared" si="73"/>
        <v>-41.488299064042558</v>
      </c>
      <c r="Z152">
        <f t="shared" si="74"/>
        <v>8116.9020976866623</v>
      </c>
      <c r="AA152">
        <f t="shared" ca="1" si="64"/>
        <v>-27.823980095501952</v>
      </c>
      <c r="AB152">
        <f t="shared" ca="1" si="65"/>
        <v>-116.04286975913215</v>
      </c>
    </row>
    <row r="153" spans="1:28" x14ac:dyDescent="0.2">
      <c r="A153">
        <v>52000</v>
      </c>
      <c r="B153" t="str">
        <f t="shared" si="66"/>
        <v>52000i</v>
      </c>
      <c r="C153" t="str">
        <f t="shared" ca="1" si="52"/>
        <v>1+1.36047379034268i</v>
      </c>
      <c r="D153" t="str">
        <f t="shared" ca="1" si="53"/>
        <v>1+0.180661920417524i</v>
      </c>
      <c r="E153" t="str">
        <f t="shared" ca="1" si="54"/>
        <v>1+135.36571355034i</v>
      </c>
      <c r="F153">
        <f t="shared" ca="1" si="55"/>
        <v>39.000923110829653</v>
      </c>
      <c r="G153" t="str">
        <f t="shared" ca="1" si="67"/>
        <v>0.445605630141454-0.214008727434326i</v>
      </c>
      <c r="H153">
        <f t="shared" ca="1" si="68"/>
        <v>-6.1196257362027353</v>
      </c>
      <c r="I153">
        <f t="shared" ca="1" si="69"/>
        <v>-25.653338424340753</v>
      </c>
      <c r="K153" t="str">
        <f t="shared" ca="1" si="56"/>
        <v>1+1.36047379034268i</v>
      </c>
      <c r="L153" t="str">
        <f t="shared" ca="1" si="57"/>
        <v>1-0.101432191385178i</v>
      </c>
      <c r="M153" t="str">
        <f t="shared" ca="1" si="58"/>
        <v>1+136.047379034268i</v>
      </c>
      <c r="N153" t="str">
        <f t="shared" si="59"/>
        <v>1+0.648387589798147i</v>
      </c>
      <c r="O153">
        <f t="shared" ca="1" si="60"/>
        <v>22.224473826228223</v>
      </c>
      <c r="P153" t="str">
        <f t="shared" ca="1" si="75"/>
        <v>0.0615886483417797-0.22431267404299i</v>
      </c>
      <c r="Q153">
        <f t="shared" ca="1" si="70"/>
        <v>-12.667277846953917</v>
      </c>
      <c r="R153">
        <f t="shared" ca="1" si="76"/>
        <v>-74.646865893080061</v>
      </c>
      <c r="T153" t="str">
        <f t="shared" si="61"/>
        <v>1+3.952i</v>
      </c>
      <c r="U153" t="str">
        <f t="shared" si="62"/>
        <v>1+0.52i</v>
      </c>
      <c r="V153" t="str">
        <f t="shared" si="63"/>
        <v>-0.0474443319838057i</v>
      </c>
      <c r="W153" t="str">
        <f t="shared" si="71"/>
        <v>0.128171400636352-0.114093460314709i</v>
      </c>
      <c r="X153">
        <f t="shared" si="72"/>
        <v>-15.309851134965999</v>
      </c>
      <c r="Y153">
        <f t="shared" si="73"/>
        <v>-41.674298960235078</v>
      </c>
      <c r="Z153">
        <f t="shared" si="74"/>
        <v>8276.0570407785581</v>
      </c>
      <c r="AA153">
        <f t="shared" ca="1" si="64"/>
        <v>-27.977128981919918</v>
      </c>
      <c r="AB153">
        <f t="shared" ca="1" si="65"/>
        <v>-116.32116485331514</v>
      </c>
    </row>
    <row r="154" spans="1:28" x14ac:dyDescent="0.2">
      <c r="A154">
        <v>53000</v>
      </c>
      <c r="B154" t="str">
        <f t="shared" si="66"/>
        <v>53000i</v>
      </c>
      <c r="C154" t="str">
        <f t="shared" ca="1" si="52"/>
        <v>1+1.38663674784927i</v>
      </c>
      <c r="D154" t="str">
        <f t="shared" ca="1" si="53"/>
        <v>1+0.184136188117861i</v>
      </c>
      <c r="E154" t="str">
        <f t="shared" ca="1" si="54"/>
        <v>1+137.968900349385i</v>
      </c>
      <c r="F154">
        <f t="shared" ca="1" si="55"/>
        <v>39.000923110829653</v>
      </c>
      <c r="G154" t="str">
        <f t="shared" ca="1" si="67"/>
        <v>0.44552698322943-0.207273451917192i</v>
      </c>
      <c r="H154">
        <f t="shared" ca="1" si="68"/>
        <v>-6.1716096103953788</v>
      </c>
      <c r="I154">
        <f t="shared" ca="1" si="69"/>
        <v>-24.949360583671368</v>
      </c>
      <c r="K154" t="str">
        <f t="shared" ca="1" si="56"/>
        <v>1+1.38663674784927i</v>
      </c>
      <c r="L154" t="str">
        <f t="shared" ca="1" si="57"/>
        <v>1-0.103382810450278i</v>
      </c>
      <c r="M154" t="str">
        <f t="shared" ca="1" si="58"/>
        <v>1+138.663674784927i</v>
      </c>
      <c r="N154" t="str">
        <f t="shared" si="59"/>
        <v>1+0.66085658190965i</v>
      </c>
      <c r="O154">
        <f t="shared" ca="1" si="60"/>
        <v>22.224473826228223</v>
      </c>
      <c r="P154" t="str">
        <f t="shared" ca="1" si="75"/>
        <v>0.0604627010366887-0.221716847677474i</v>
      </c>
      <c r="Q154">
        <f t="shared" ca="1" si="70"/>
        <v>-12.772501267725438</v>
      </c>
      <c r="R154">
        <f t="shared" ca="1" si="76"/>
        <v>-74.746211461785521</v>
      </c>
      <c r="T154" t="str">
        <f t="shared" si="61"/>
        <v>1+4.028i</v>
      </c>
      <c r="U154" t="str">
        <f t="shared" si="62"/>
        <v>1+0.53i</v>
      </c>
      <c r="V154" t="str">
        <f t="shared" si="63"/>
        <v>-0.0465491559086395i</v>
      </c>
      <c r="W154" t="str">
        <f t="shared" si="71"/>
        <v>0.127120733365931-0.113923144592583i</v>
      </c>
      <c r="X154">
        <f t="shared" si="72"/>
        <v>-15.355378207566165</v>
      </c>
      <c r="Y154">
        <f t="shared" si="73"/>
        <v>-41.866081406849567</v>
      </c>
      <c r="Z154">
        <f t="shared" si="74"/>
        <v>8435.211983870453</v>
      </c>
      <c r="AA154">
        <f t="shared" ca="1" si="64"/>
        <v>-28.127879475291603</v>
      </c>
      <c r="AB154">
        <f t="shared" ca="1" si="65"/>
        <v>-116.61229286863508</v>
      </c>
    </row>
    <row r="155" spans="1:28" x14ac:dyDescent="0.2">
      <c r="A155">
        <v>54000</v>
      </c>
      <c r="B155" t="str">
        <f t="shared" si="66"/>
        <v>54000i</v>
      </c>
      <c r="C155" t="str">
        <f t="shared" ca="1" si="52"/>
        <v>1+1.41279970535587i</v>
      </c>
      <c r="D155" t="str">
        <f t="shared" ca="1" si="53"/>
        <v>1+0.187610455818198i</v>
      </c>
      <c r="E155" t="str">
        <f t="shared" ca="1" si="54"/>
        <v>1+140.57208714843i</v>
      </c>
      <c r="F155">
        <f t="shared" ca="1" si="55"/>
        <v>39.000923110829653</v>
      </c>
      <c r="G155" t="str">
        <f t="shared" ca="1" si="67"/>
        <v>0.445452664710784-0.200737162484461i</v>
      </c>
      <c r="H155">
        <f t="shared" ca="1" si="68"/>
        <v>-6.2210485430334481</v>
      </c>
      <c r="I155">
        <f t="shared" ca="1" si="69"/>
        <v>-24.258058356729144</v>
      </c>
      <c r="K155" t="str">
        <f t="shared" ca="1" si="56"/>
        <v>1+1.41279970535587i</v>
      </c>
      <c r="L155" t="str">
        <f t="shared" ca="1" si="57"/>
        <v>1-0.105333429515378i</v>
      </c>
      <c r="M155" t="str">
        <f t="shared" ca="1" si="58"/>
        <v>1+141.279970535587i</v>
      </c>
      <c r="N155" t="str">
        <f t="shared" si="59"/>
        <v>1+0.673325574021153i</v>
      </c>
      <c r="O155">
        <f t="shared" ca="1" si="60"/>
        <v>22.224473826228223</v>
      </c>
      <c r="P155" t="str">
        <f t="shared" ca="1" si="75"/>
        <v>0.0593436060761604-0.219210620470671i</v>
      </c>
      <c r="Q155">
        <f t="shared" ca="1" si="70"/>
        <v>-12.875611026287476</v>
      </c>
      <c r="R155">
        <f t="shared" ca="1" si="76"/>
        <v>-74.852248087097308</v>
      </c>
      <c r="T155" t="str">
        <f t="shared" si="61"/>
        <v>1+4.104i</v>
      </c>
      <c r="U155" t="str">
        <f t="shared" si="62"/>
        <v>1+0.54i</v>
      </c>
      <c r="V155" t="str">
        <f t="shared" si="63"/>
        <v>-0.045687134502924i</v>
      </c>
      <c r="W155" t="str">
        <f t="shared" si="71"/>
        <v>0.126067627259539-0.113763653223075i</v>
      </c>
      <c r="X155">
        <f t="shared" si="72"/>
        <v>-15.400767994820653</v>
      </c>
      <c r="Y155">
        <f t="shared" si="73"/>
        <v>-42.063150909405394</v>
      </c>
      <c r="Z155">
        <f t="shared" si="74"/>
        <v>8594.3669269623479</v>
      </c>
      <c r="AA155">
        <f t="shared" ca="1" si="64"/>
        <v>-28.276379021108127</v>
      </c>
      <c r="AB155">
        <f t="shared" ca="1" si="65"/>
        <v>-116.9153989965027</v>
      </c>
    </row>
    <row r="156" spans="1:28" x14ac:dyDescent="0.2">
      <c r="A156">
        <v>55000</v>
      </c>
      <c r="B156" t="str">
        <f t="shared" si="66"/>
        <v>55000i</v>
      </c>
      <c r="C156" t="str">
        <f t="shared" ca="1" si="52"/>
        <v>1+1.43896266286246i</v>
      </c>
      <c r="D156" t="str">
        <f t="shared" ca="1" si="53"/>
        <v>1+0.191084723518535i</v>
      </c>
      <c r="E156" t="str">
        <f t="shared" ca="1" si="54"/>
        <v>1+143.175273947475i</v>
      </c>
      <c r="F156">
        <f t="shared" ca="1" si="55"/>
        <v>39.000923110829653</v>
      </c>
      <c r="G156" t="str">
        <f t="shared" ca="1" si="67"/>
        <v>0.445382362698854-0.19438900752807i</v>
      </c>
      <c r="H156">
        <f t="shared" ca="1" si="68"/>
        <v>-6.2680738762870556</v>
      </c>
      <c r="I156">
        <f t="shared" ca="1" si="69"/>
        <v>-23.579065485918964</v>
      </c>
      <c r="K156" t="str">
        <f t="shared" ca="1" si="56"/>
        <v>1+1.43896266286246i</v>
      </c>
      <c r="L156" t="str">
        <f t="shared" ca="1" si="57"/>
        <v>1-0.107284048580477i</v>
      </c>
      <c r="M156" t="str">
        <f t="shared" ca="1" si="58"/>
        <v>1+143.896266286246i</v>
      </c>
      <c r="N156" t="str">
        <f t="shared" si="59"/>
        <v>1+0.685794566132655i</v>
      </c>
      <c r="O156">
        <f t="shared" ca="1" si="60"/>
        <v>22.224473826228223</v>
      </c>
      <c r="P156" t="str">
        <f t="shared" ca="1" si="75"/>
        <v>0.0582317203915525-0.216788327619247i</v>
      </c>
      <c r="Q156">
        <f t="shared" ca="1" si="70"/>
        <v>-12.976719118173348</v>
      </c>
      <c r="R156">
        <f t="shared" ca="1" si="76"/>
        <v>-74.96462939104903</v>
      </c>
      <c r="T156" t="str">
        <f t="shared" si="61"/>
        <v>1+4.18i</v>
      </c>
      <c r="U156" t="str">
        <f t="shared" si="62"/>
        <v>1+0.55i</v>
      </c>
      <c r="V156" t="str">
        <f t="shared" si="63"/>
        <v>-0.0448564593301435i</v>
      </c>
      <c r="W156" t="str">
        <f t="shared" si="71"/>
        <v>0.125012627538135-0.113613404476118i</v>
      </c>
      <c r="X156">
        <f t="shared" si="72"/>
        <v>-15.446044272022359</v>
      </c>
      <c r="Y156">
        <f t="shared" si="73"/>
        <v>-42.265045923676588</v>
      </c>
      <c r="Z156">
        <f t="shared" si="74"/>
        <v>8753.5218700542446</v>
      </c>
      <c r="AA156">
        <f t="shared" ca="1" si="64"/>
        <v>-28.422763390195705</v>
      </c>
      <c r="AB156">
        <f t="shared" ca="1" si="65"/>
        <v>-117.22967531472563</v>
      </c>
    </row>
    <row r="157" spans="1:28" x14ac:dyDescent="0.2">
      <c r="A157">
        <v>56000</v>
      </c>
      <c r="B157" t="str">
        <f t="shared" si="66"/>
        <v>56000i</v>
      </c>
      <c r="C157" t="str">
        <f t="shared" ca="1" si="52"/>
        <v>1+1.46512562036905i</v>
      </c>
      <c r="D157" t="str">
        <f t="shared" ca="1" si="53"/>
        <v>1+0.194558991218872i</v>
      </c>
      <c r="E157" t="str">
        <f t="shared" ca="1" si="54"/>
        <v>1+145.77846074652i</v>
      </c>
      <c r="F157">
        <f t="shared" ca="1" si="55"/>
        <v>39.000923110829653</v>
      </c>
      <c r="G157" t="str">
        <f t="shared" ca="1" si="67"/>
        <v>0.445315792900378-0.188218910365529i</v>
      </c>
      <c r="H157">
        <f t="shared" ca="1" si="68"/>
        <v>-6.3128087038034284</v>
      </c>
      <c r="I157">
        <f t="shared" ca="1" si="69"/>
        <v>-22.912025775370772</v>
      </c>
      <c r="K157" t="str">
        <f t="shared" ca="1" si="56"/>
        <v>1+1.46512562036905i</v>
      </c>
      <c r="L157" t="str">
        <f t="shared" ca="1" si="57"/>
        <v>1-0.109234667645577i</v>
      </c>
      <c r="M157" t="str">
        <f t="shared" ca="1" si="58"/>
        <v>1+146.512562036905i</v>
      </c>
      <c r="N157" t="str">
        <f t="shared" si="59"/>
        <v>1+0.698263558244158i</v>
      </c>
      <c r="O157">
        <f t="shared" ca="1" si="60"/>
        <v>22.224473826228223</v>
      </c>
      <c r="P157" t="str">
        <f t="shared" ca="1" si="75"/>
        <v>0.0571273862934209-0.214444752228688i</v>
      </c>
      <c r="Q157">
        <f t="shared" ca="1" si="70"/>
        <v>-13.075929713284465</v>
      </c>
      <c r="R157">
        <f t="shared" ca="1" si="76"/>
        <v>-75.083021839363639</v>
      </c>
      <c r="T157" t="str">
        <f t="shared" si="61"/>
        <v>1+4.256i</v>
      </c>
      <c r="U157" t="str">
        <f t="shared" si="62"/>
        <v>1+0.56i</v>
      </c>
      <c r="V157" t="str">
        <f t="shared" si="63"/>
        <v>-0.0440554511278195i</v>
      </c>
      <c r="W157" t="str">
        <f t="shared" si="71"/>
        <v>0.123956263222001-0.11347095853214i</v>
      </c>
      <c r="X157">
        <f t="shared" si="72"/>
        <v>-15.491227953494706</v>
      </c>
      <c r="Y157">
        <f t="shared" si="73"/>
        <v>-42.471336262958197</v>
      </c>
      <c r="Z157">
        <f t="shared" si="74"/>
        <v>8912.6768131461395</v>
      </c>
      <c r="AA157">
        <f t="shared" ca="1" si="64"/>
        <v>-28.56715766677917</v>
      </c>
      <c r="AB157">
        <f t="shared" ca="1" si="65"/>
        <v>-117.55435810232183</v>
      </c>
    </row>
    <row r="158" spans="1:28" x14ac:dyDescent="0.2">
      <c r="A158">
        <v>57000</v>
      </c>
      <c r="B158" t="str">
        <f t="shared" si="66"/>
        <v>57000i</v>
      </c>
      <c r="C158" t="str">
        <f t="shared" ca="1" si="52"/>
        <v>1+1.49128857787564i</v>
      </c>
      <c r="D158" t="str">
        <f t="shared" ca="1" si="53"/>
        <v>1+0.198033258919209i</v>
      </c>
      <c r="E158" t="str">
        <f t="shared" ca="1" si="54"/>
        <v>1+148.381647545565i</v>
      </c>
      <c r="F158">
        <f t="shared" ca="1" si="55"/>
        <v>39.000923110829653</v>
      </c>
      <c r="G158" t="str">
        <f t="shared" ca="1" si="67"/>
        <v>0.445252695737031-0.182217501283401i</v>
      </c>
      <c r="H158">
        <f t="shared" ca="1" si="68"/>
        <v>-6.355368463798885</v>
      </c>
      <c r="I158">
        <f t="shared" ca="1" si="69"/>
        <v>-22.256593105185164</v>
      </c>
      <c r="K158" t="str">
        <f t="shared" ca="1" si="56"/>
        <v>1+1.49128857787564i</v>
      </c>
      <c r="L158" t="str">
        <f t="shared" ca="1" si="57"/>
        <v>1-0.111185286710676i</v>
      </c>
      <c r="M158" t="str">
        <f t="shared" ca="1" si="58"/>
        <v>1+149.128857787564i</v>
      </c>
      <c r="N158" t="str">
        <f t="shared" si="59"/>
        <v>1+0.710732550355661i</v>
      </c>
      <c r="O158">
        <f t="shared" ca="1" si="60"/>
        <v>22.224473826228223</v>
      </c>
      <c r="P158" t="str">
        <f t="shared" ca="1" si="75"/>
        <v>0.0560309305010825-0.212175085098773i</v>
      </c>
      <c r="Q158">
        <f t="shared" ca="1" si="70"/>
        <v>-13.173339752882081</v>
      </c>
      <c r="R158">
        <f t="shared" ca="1" si="76"/>
        <v>-75.207104597211455</v>
      </c>
      <c r="T158" t="str">
        <f t="shared" si="61"/>
        <v>1+4.332i</v>
      </c>
      <c r="U158" t="str">
        <f t="shared" si="62"/>
        <v>1+0.57i</v>
      </c>
      <c r="V158" t="str">
        <f t="shared" si="63"/>
        <v>-0.0432825484764543i</v>
      </c>
      <c r="W158" t="str">
        <f t="shared" si="71"/>
        <v>0.122899046998582-0.113335005265646i</v>
      </c>
      <c r="X158">
        <f t="shared" si="72"/>
        <v>-15.536337391900778</v>
      </c>
      <c r="Y158">
        <f t="shared" si="73"/>
        <v>-42.681620736595526</v>
      </c>
      <c r="Z158">
        <f t="shared" si="74"/>
        <v>9071.8317562380344</v>
      </c>
      <c r="AA158">
        <f t="shared" ca="1" si="64"/>
        <v>-28.709677144782859</v>
      </c>
      <c r="AB158">
        <f t="shared" ca="1" si="65"/>
        <v>-117.88872533380697</v>
      </c>
    </row>
    <row r="159" spans="1:28" x14ac:dyDescent="0.2">
      <c r="A159">
        <v>58000</v>
      </c>
      <c r="B159" t="str">
        <f t="shared" si="66"/>
        <v>58000i</v>
      </c>
      <c r="C159" t="str">
        <f t="shared" ca="1" si="52"/>
        <v>1+1.51745153538223i</v>
      </c>
      <c r="D159" t="str">
        <f t="shared" ca="1" si="53"/>
        <v>1+0.201507526619546i</v>
      </c>
      <c r="E159" t="str">
        <f t="shared" ca="1" si="54"/>
        <v>1+150.98483434461i</v>
      </c>
      <c r="F159">
        <f t="shared" ca="1" si="55"/>
        <v>39.000923110829653</v>
      </c>
      <c r="G159" t="str">
        <f t="shared" ca="1" si="67"/>
        <v>0.44519283381128-0.176376056608473i</v>
      </c>
      <c r="H159">
        <f t="shared" ca="1" si="68"/>
        <v>-6.3958614842875239</v>
      </c>
      <c r="I159">
        <f t="shared" ca="1" si="69"/>
        <v>-21.612431398385599</v>
      </c>
      <c r="K159" t="str">
        <f t="shared" ca="1" si="56"/>
        <v>1+1.51745153538223i</v>
      </c>
      <c r="L159" t="str">
        <f t="shared" ca="1" si="57"/>
        <v>1-0.113135905775776i</v>
      </c>
      <c r="M159" t="str">
        <f t="shared" ca="1" si="58"/>
        <v>1+151.745153538223i</v>
      </c>
      <c r="N159" t="str">
        <f t="shared" si="59"/>
        <v>1+0.723201542467164i</v>
      </c>
      <c r="O159">
        <f t="shared" ca="1" si="60"/>
        <v>22.224473826228223</v>
      </c>
      <c r="P159" t="str">
        <f t="shared" ca="1" si="75"/>
        <v>0.0549426634137312-0.209974888604337i</v>
      </c>
      <c r="Q159">
        <f t="shared" ca="1" si="70"/>
        <v>-13.269039497614088</v>
      </c>
      <c r="R159">
        <f t="shared" ca="1" si="76"/>
        <v>-75.336569341357091</v>
      </c>
      <c r="T159" t="str">
        <f t="shared" si="61"/>
        <v>1+4.408i</v>
      </c>
      <c r="U159" t="str">
        <f t="shared" si="62"/>
        <v>1+0.58i</v>
      </c>
      <c r="V159" t="str">
        <f t="shared" si="63"/>
        <v>-0.0425362976406534i</v>
      </c>
      <c r="W159" t="str">
        <f t="shared" si="71"/>
        <v>0.121841475133509-0.113204353218088i</v>
      </c>
      <c r="X159">
        <f t="shared" si="72"/>
        <v>-15.581388644403102</v>
      </c>
      <c r="Y159">
        <f t="shared" si="73"/>
        <v>-42.895524996227202</v>
      </c>
      <c r="Z159">
        <f t="shared" si="74"/>
        <v>9230.9866993299293</v>
      </c>
      <c r="AA159">
        <f t="shared" ca="1" si="64"/>
        <v>-28.85042814201719</v>
      </c>
      <c r="AB159">
        <f t="shared" ca="1" si="65"/>
        <v>-118.2320943375843</v>
      </c>
    </row>
    <row r="160" spans="1:28" x14ac:dyDescent="0.2">
      <c r="A160">
        <v>59000</v>
      </c>
      <c r="B160" t="str">
        <f t="shared" si="66"/>
        <v>59000i</v>
      </c>
      <c r="C160" t="str">
        <f t="shared" ca="1" si="52"/>
        <v>1+1.54361449288882i</v>
      </c>
      <c r="D160" t="str">
        <f t="shared" ca="1" si="53"/>
        <v>1+0.204981794319883i</v>
      </c>
      <c r="E160" t="str">
        <f t="shared" ca="1" si="54"/>
        <v>1+153.588021143655i</v>
      </c>
      <c r="F160">
        <f t="shared" ca="1" si="55"/>
        <v>39.000923110829653</v>
      </c>
      <c r="G160" t="str">
        <f t="shared" ca="1" si="67"/>
        <v>0.445135989670288-0.170686443973149i</v>
      </c>
      <c r="H160">
        <f t="shared" ca="1" si="68"/>
        <v>-6.4343894847819367</v>
      </c>
      <c r="I160">
        <f t="shared" ca="1" si="69"/>
        <v>-20.979214547602723</v>
      </c>
      <c r="K160" t="str">
        <f t="shared" ca="1" si="56"/>
        <v>1+1.54361449288882i</v>
      </c>
      <c r="L160" t="str">
        <f t="shared" ca="1" si="57"/>
        <v>1-0.115086524840875i</v>
      </c>
      <c r="M160" t="str">
        <f t="shared" ca="1" si="58"/>
        <v>1+154.361449288882i</v>
      </c>
      <c r="N160" t="str">
        <f t="shared" si="59"/>
        <v>1+0.735670534578667i</v>
      </c>
      <c r="O160">
        <f t="shared" ca="1" si="60"/>
        <v>22.224473826228223</v>
      </c>
      <c r="P160" t="str">
        <f t="shared" ca="1" si="75"/>
        <v>0.0538628785902132-0.207840064194582i</v>
      </c>
      <c r="Q160">
        <f t="shared" ca="1" si="70"/>
        <v>-13.363113030979449</v>
      </c>
      <c r="R160">
        <f t="shared" ca="1" si="76"/>
        <v>-75.471120035933694</v>
      </c>
      <c r="T160" t="str">
        <f t="shared" si="61"/>
        <v>1+4.484i</v>
      </c>
      <c r="U160" t="str">
        <f t="shared" si="62"/>
        <v>1+0.59i</v>
      </c>
      <c r="V160" t="str">
        <f t="shared" si="63"/>
        <v>-0.0418153434433541i</v>
      </c>
      <c r="W160" t="str">
        <f t="shared" si="71"/>
        <v>0.12078402742261-0.113077919622694i</v>
      </c>
      <c r="X160">
        <f t="shared" si="72"/>
        <v>-15.626395709753151</v>
      </c>
      <c r="Y160">
        <f t="shared" si="73"/>
        <v>-43.112699568833563</v>
      </c>
      <c r="Z160">
        <f t="shared" si="74"/>
        <v>9390.141642421826</v>
      </c>
      <c r="AA160">
        <f t="shared" ca="1" si="64"/>
        <v>-28.9895087407326</v>
      </c>
      <c r="AB160">
        <f t="shared" ca="1" si="65"/>
        <v>-118.58381960476726</v>
      </c>
    </row>
    <row r="161" spans="1:28" x14ac:dyDescent="0.2">
      <c r="A161">
        <v>60000</v>
      </c>
      <c r="B161" t="str">
        <f t="shared" si="66"/>
        <v>60000i</v>
      </c>
      <c r="C161" t="str">
        <f t="shared" ca="1" si="52"/>
        <v>1+1.56977745039541i</v>
      </c>
      <c r="D161" t="str">
        <f t="shared" ca="1" si="53"/>
        <v>1+0.20845606202022i</v>
      </c>
      <c r="E161" t="str">
        <f t="shared" ca="1" si="54"/>
        <v>1+156.1912079427i</v>
      </c>
      <c r="F161">
        <f t="shared" ca="1" si="55"/>
        <v>39.000923110829653</v>
      </c>
      <c r="G161" t="str">
        <f t="shared" ca="1" si="67"/>
        <v>0.445081963828453-0.165141073052636i</v>
      </c>
      <c r="H161">
        <f t="shared" ca="1" si="68"/>
        <v>-6.471048038354926</v>
      </c>
      <c r="I161">
        <f t="shared" ca="1" si="69"/>
        <v>-20.356626307701248</v>
      </c>
      <c r="K161" t="str">
        <f t="shared" ca="1" si="56"/>
        <v>1+1.56977745039541i</v>
      </c>
      <c r="L161" t="str">
        <f t="shared" ca="1" si="57"/>
        <v>1-0.117037143905975i</v>
      </c>
      <c r="M161" t="str">
        <f t="shared" ca="1" si="58"/>
        <v>1+156.977745039541i</v>
      </c>
      <c r="N161" t="str">
        <f t="shared" si="59"/>
        <v>1+0.74813952669017i</v>
      </c>
      <c r="O161">
        <f t="shared" ca="1" si="60"/>
        <v>22.224473826228223</v>
      </c>
      <c r="P161" t="str">
        <f t="shared" ca="1" si="75"/>
        <v>0.052791852408816-0.205766823097293i</v>
      </c>
      <c r="Q161">
        <f t="shared" ca="1" si="70"/>
        <v>-13.45563872218289</v>
      </c>
      <c r="R161">
        <f t="shared" ca="1" si="76"/>
        <v>-75.610472678251398</v>
      </c>
      <c r="T161" t="str">
        <f t="shared" si="61"/>
        <v>1+4.56i</v>
      </c>
      <c r="U161" t="str">
        <f t="shared" si="62"/>
        <v>1+0.6i</v>
      </c>
      <c r="V161" t="str">
        <f t="shared" si="63"/>
        <v>-0.0411184210526316i</v>
      </c>
      <c r="W161" t="str">
        <f t="shared" si="71"/>
        <v>0.119727167182663-0.112954721362229i</v>
      </c>
      <c r="X161">
        <f t="shared" si="72"/>
        <v>-15.671370739836021</v>
      </c>
      <c r="Y161">
        <f t="shared" si="73"/>
        <v>-43.332818057998892</v>
      </c>
      <c r="Z161">
        <f t="shared" si="74"/>
        <v>9549.2965855137209</v>
      </c>
      <c r="AA161">
        <f t="shared" ca="1" si="64"/>
        <v>-29.127009462018911</v>
      </c>
      <c r="AB161">
        <f t="shared" ca="1" si="65"/>
        <v>-118.94329073625029</v>
      </c>
    </row>
    <row r="162" spans="1:28" x14ac:dyDescent="0.2">
      <c r="A162">
        <v>61000</v>
      </c>
      <c r="B162" t="str">
        <f t="shared" si="66"/>
        <v>61000i</v>
      </c>
      <c r="C162" t="str">
        <f t="shared" ca="1" si="52"/>
        <v>1+1.595940407902i</v>
      </c>
      <c r="D162" t="str">
        <f t="shared" ca="1" si="53"/>
        <v>1+0.211930329720557i</v>
      </c>
      <c r="E162" t="str">
        <f t="shared" ca="1" si="54"/>
        <v>1+158.794394741745i</v>
      </c>
      <c r="F162">
        <f t="shared" ca="1" si="55"/>
        <v>39.000923110829653</v>
      </c>
      <c r="G162" t="str">
        <f t="shared" ca="1" si="67"/>
        <v>0.445030573014959-0.159732851146247i</v>
      </c>
      <c r="H162">
        <f t="shared" ca="1" si="68"/>
        <v>-6.5059269975569247</v>
      </c>
      <c r="I162">
        <f t="shared" ca="1" si="69"/>
        <v>-19.744360159835011</v>
      </c>
      <c r="K162" t="str">
        <f t="shared" ca="1" si="56"/>
        <v>1+1.595940407902i</v>
      </c>
      <c r="L162" t="str">
        <f t="shared" ca="1" si="57"/>
        <v>1-0.118987762971075i</v>
      </c>
      <c r="M162" t="str">
        <f t="shared" ca="1" si="58"/>
        <v>1+159.5940407902i</v>
      </c>
      <c r="N162" t="str">
        <f t="shared" si="59"/>
        <v>1+0.760608518801672i</v>
      </c>
      <c r="O162">
        <f t="shared" ca="1" si="60"/>
        <v>22.224473826228223</v>
      </c>
      <c r="P162" t="str">
        <f t="shared" ca="1" si="75"/>
        <v>0.0517298438821322-0.203751659867969i</v>
      </c>
      <c r="Q162">
        <f t="shared" ca="1" si="70"/>
        <v>-13.54668965194074</v>
      </c>
      <c r="R162">
        <f t="shared" ca="1" si="76"/>
        <v>-75.75435502026636</v>
      </c>
      <c r="T162" t="str">
        <f t="shared" si="61"/>
        <v>1+4.636i</v>
      </c>
      <c r="U162" t="str">
        <f t="shared" si="62"/>
        <v>1+0.61i</v>
      </c>
      <c r="V162" t="str">
        <f t="shared" si="63"/>
        <v>-0.0404443485763589i</v>
      </c>
      <c r="W162" t="str">
        <f t="shared" si="71"/>
        <v>0.118671341278639-0.112833866756329i</v>
      </c>
      <c r="X162">
        <f t="shared" si="72"/>
        <v>-15.716324228720445</v>
      </c>
      <c r="Y162">
        <f t="shared" si="73"/>
        <v>-43.555575496853173</v>
      </c>
      <c r="Z162">
        <f t="shared" si="74"/>
        <v>9708.4515286056157</v>
      </c>
      <c r="AA162">
        <f t="shared" ca="1" si="64"/>
        <v>-29.263013880661184</v>
      </c>
      <c r="AB162">
        <f t="shared" ca="1" si="65"/>
        <v>-119.30993051711954</v>
      </c>
    </row>
    <row r="163" spans="1:28" x14ac:dyDescent="0.2">
      <c r="A163">
        <v>62000</v>
      </c>
      <c r="B163" t="str">
        <f t="shared" si="66"/>
        <v>62000i</v>
      </c>
      <c r="C163" t="str">
        <f t="shared" ca="1" si="52"/>
        <v>1+1.62210336540859i</v>
      </c>
      <c r="D163" t="str">
        <f t="shared" ca="1" si="53"/>
        <v>1+0.215404597420894i</v>
      </c>
      <c r="E163" t="str">
        <f t="shared" ca="1" si="54"/>
        <v>1+161.39758154079i</v>
      </c>
      <c r="F163">
        <f t="shared" ca="1" si="55"/>
        <v>39.000923110829653</v>
      </c>
      <c r="G163" t="str">
        <f t="shared" ca="1" si="67"/>
        <v>0.444981648617549-0.154455143056064i</v>
      </c>
      <c r="H163">
        <f t="shared" ca="1" si="68"/>
        <v>-6.539110887336717</v>
      </c>
      <c r="I163">
        <f t="shared" ca="1" si="69"/>
        <v>-19.142119151757488</v>
      </c>
      <c r="K163" t="str">
        <f t="shared" ca="1" si="56"/>
        <v>1+1.62210336540859i</v>
      </c>
      <c r="L163" t="str">
        <f t="shared" ca="1" si="57"/>
        <v>1-0.120938382036174i</v>
      </c>
      <c r="M163" t="str">
        <f t="shared" ca="1" si="58"/>
        <v>1+162.210336540859i</v>
      </c>
      <c r="N163" t="str">
        <f t="shared" si="59"/>
        <v>1+0.773077510913175i</v>
      </c>
      <c r="O163">
        <f t="shared" ca="1" si="60"/>
        <v>22.224473826228223</v>
      </c>
      <c r="P163" t="str">
        <f t="shared" ca="1" si="75"/>
        <v>0.0506770946051393-0.201791328469909i</v>
      </c>
      <c r="Q163">
        <f t="shared" ca="1" si="70"/>
        <v>-13.636334004446265</v>
      </c>
      <c r="R163">
        <f t="shared" ca="1" si="76"/>
        <v>-75.902506270673896</v>
      </c>
      <c r="T163" t="str">
        <f t="shared" si="61"/>
        <v>1+4.712i</v>
      </c>
      <c r="U163" t="str">
        <f t="shared" si="62"/>
        <v>1+0.62i</v>
      </c>
      <c r="V163" t="str">
        <f t="shared" si="63"/>
        <v>-0.0397920203735144i</v>
      </c>
      <c r="W163" t="str">
        <f t="shared" si="71"/>
        <v>0.117616980185222-0.112714548088352i</v>
      </c>
      <c r="X163">
        <f t="shared" si="72"/>
        <v>-15.761265181859867</v>
      </c>
      <c r="Y163">
        <f t="shared" si="73"/>
        <v>-43.780686837947123</v>
      </c>
      <c r="Z163">
        <f t="shared" si="74"/>
        <v>9867.6064716975106</v>
      </c>
      <c r="AA163">
        <f t="shared" ca="1" si="64"/>
        <v>-29.397599186306131</v>
      </c>
      <c r="AB163">
        <f t="shared" ca="1" si="65"/>
        <v>-119.68319310862103</v>
      </c>
    </row>
    <row r="164" spans="1:28" x14ac:dyDescent="0.2">
      <c r="A164">
        <v>63000</v>
      </c>
      <c r="B164" t="str">
        <f t="shared" si="66"/>
        <v>63000i</v>
      </c>
      <c r="C164" t="str">
        <f t="shared" ca="1" si="52"/>
        <v>1+1.64826632291518i</v>
      </c>
      <c r="D164" t="str">
        <f t="shared" ca="1" si="53"/>
        <v>1+0.218878865121231i</v>
      </c>
      <c r="E164" t="str">
        <f t="shared" ca="1" si="54"/>
        <v>1+164.000768339835i</v>
      </c>
      <c r="F164">
        <f t="shared" ca="1" si="55"/>
        <v>39.000923110829653</v>
      </c>
      <c r="G164" t="str">
        <f t="shared" ca="1" si="67"/>
        <v>0.44493503529779-0.149301734785639i</v>
      </c>
      <c r="H164">
        <f t="shared" ca="1" si="68"/>
        <v>-6.5706792678054162</v>
      </c>
      <c r="I164">
        <f t="shared" ca="1" si="69"/>
        <v>-18.549615718634012</v>
      </c>
      <c r="K164" t="str">
        <f t="shared" ca="1" si="56"/>
        <v>1+1.64826632291518i</v>
      </c>
      <c r="L164" t="str">
        <f t="shared" ca="1" si="57"/>
        <v>1-0.122889001101274i</v>
      </c>
      <c r="M164" t="str">
        <f t="shared" ca="1" si="58"/>
        <v>1+164.826632291518i</v>
      </c>
      <c r="N164" t="str">
        <f t="shared" si="59"/>
        <v>1+0.785546503024678i</v>
      </c>
      <c r="O164">
        <f t="shared" ca="1" si="60"/>
        <v>22.224473826228223</v>
      </c>
      <c r="P164" t="str">
        <f t="shared" ca="1" si="75"/>
        <v>0.0496338288173554-0.199882820610576i</v>
      </c>
      <c r="Q164">
        <f t="shared" ca="1" si="70"/>
        <v>-13.724635428397349</v>
      </c>
      <c r="R164">
        <f t="shared" ca="1" si="76"/>
        <v>-76.054676781964659</v>
      </c>
      <c r="T164" t="str">
        <f t="shared" si="61"/>
        <v>1+4.788i</v>
      </c>
      <c r="U164" t="str">
        <f t="shared" si="62"/>
        <v>1+0.63i</v>
      </c>
      <c r="V164" t="str">
        <f t="shared" si="63"/>
        <v>-0.0391604010025063i</v>
      </c>
      <c r="W164" t="str">
        <f t="shared" si="71"/>
        <v>0.116564498080336-0.112596034793118i</v>
      </c>
      <c r="X164">
        <f t="shared" si="72"/>
        <v>-15.806201267746813</v>
      </c>
      <c r="Y164">
        <f t="shared" si="73"/>
        <v>-44.007885566928344</v>
      </c>
      <c r="Z164">
        <f t="shared" si="74"/>
        <v>10026.761414789407</v>
      </c>
      <c r="AA164">
        <f t="shared" ca="1" si="64"/>
        <v>-29.530836696144164</v>
      </c>
      <c r="AB164">
        <f t="shared" ca="1" si="65"/>
        <v>-120.06256234889301</v>
      </c>
    </row>
    <row r="165" spans="1:28" x14ac:dyDescent="0.2">
      <c r="A165">
        <v>64000</v>
      </c>
      <c r="B165" t="str">
        <f t="shared" si="66"/>
        <v>64000i</v>
      </c>
      <c r="C165" t="str">
        <f t="shared" ca="1" si="52"/>
        <v>1+1.67442928042177i</v>
      </c>
      <c r="D165" t="str">
        <f t="shared" ca="1" si="53"/>
        <v>1+0.222353132821568i</v>
      </c>
      <c r="E165" t="str">
        <f t="shared" ca="1" si="54"/>
        <v>1+166.60395513888i</v>
      </c>
      <c r="F165">
        <f t="shared" ca="1" si="55"/>
        <v>39.000923110829653</v>
      </c>
      <c r="G165" t="str">
        <f t="shared" ca="1" si="67"/>
        <v>0.444890589756599-0.144266800641039i</v>
      </c>
      <c r="H165">
        <f t="shared" ca="1" si="68"/>
        <v>-6.6007070694095349</v>
      </c>
      <c r="I165">
        <f t="shared" ca="1" si="69"/>
        <v>-17.966571488074475</v>
      </c>
      <c r="K165" t="str">
        <f t="shared" ca="1" si="56"/>
        <v>1+1.67442928042177i</v>
      </c>
      <c r="L165" t="str">
        <f t="shared" ca="1" si="57"/>
        <v>1-0.124839620166373i</v>
      </c>
      <c r="M165" t="str">
        <f t="shared" ca="1" si="58"/>
        <v>1+167.442928042177i</v>
      </c>
      <c r="N165" t="str">
        <f t="shared" si="59"/>
        <v>1+0.798015495136181i</v>
      </c>
      <c r="O165">
        <f t="shared" ca="1" si="60"/>
        <v>22.224473826228223</v>
      </c>
      <c r="P165" t="str">
        <f t="shared" ca="1" si="75"/>
        <v>0.0486002535622686-0.198023346093475i</v>
      </c>
      <c r="Q165">
        <f t="shared" ca="1" si="70"/>
        <v>-13.811653369711298</v>
      </c>
      <c r="R165">
        <f t="shared" ca="1" si="76"/>
        <v>-76.210627726237206</v>
      </c>
      <c r="T165" t="str">
        <f t="shared" si="61"/>
        <v>1+4.864i</v>
      </c>
      <c r="U165" t="str">
        <f t="shared" si="62"/>
        <v>1+0.64i</v>
      </c>
      <c r="V165" t="str">
        <f t="shared" si="63"/>
        <v>-0.0385485197368421i</v>
      </c>
      <c r="W165" t="str">
        <f t="shared" si="71"/>
        <v>0.115514292968517-0.112477667236693i</v>
      </c>
      <c r="X165">
        <f t="shared" si="72"/>
        <v>-15.851138954023574</v>
      </c>
      <c r="Y165">
        <f t="shared" si="73"/>
        <v>-44.236922428271583</v>
      </c>
      <c r="Z165">
        <f t="shared" si="74"/>
        <v>10185.916357881302</v>
      </c>
      <c r="AA165">
        <f t="shared" ca="1" si="64"/>
        <v>-29.66279232373487</v>
      </c>
      <c r="AB165">
        <f t="shared" ca="1" si="65"/>
        <v>-120.44755015450879</v>
      </c>
    </row>
    <row r="166" spans="1:28" x14ac:dyDescent="0.2">
      <c r="A166">
        <v>65000</v>
      </c>
      <c r="B166" t="str">
        <f t="shared" si="66"/>
        <v>65000i</v>
      </c>
      <c r="C166" t="str">
        <f t="shared" ca="1" si="52"/>
        <v>1+1.70059223792836i</v>
      </c>
      <c r="D166" t="str">
        <f t="shared" ca="1" si="53"/>
        <v>1+0.225827400521905i</v>
      </c>
      <c r="E166" t="str">
        <f t="shared" ca="1" si="54"/>
        <v>1+169.207141937925i</v>
      </c>
      <c r="F166">
        <f t="shared" ca="1" si="55"/>
        <v>39.000923110829653</v>
      </c>
      <c r="G166" t="str">
        <f t="shared" ca="1" si="67"/>
        <v>0.444848179631643-0.139344873367939i</v>
      </c>
      <c r="H166">
        <f t="shared" ca="1" si="68"/>
        <v>-6.6292649028369208</v>
      </c>
      <c r="I166">
        <f t="shared" ca="1" si="69"/>
        <v>-17.392717072641904</v>
      </c>
      <c r="K166" t="str">
        <f t="shared" ca="1" si="56"/>
        <v>1+1.70059223792836i</v>
      </c>
      <c r="L166" t="str">
        <f t="shared" ca="1" si="57"/>
        <v>1-0.126790239231473i</v>
      </c>
      <c r="M166" t="str">
        <f t="shared" ca="1" si="58"/>
        <v>1+170.059223792836i</v>
      </c>
      <c r="N166" t="str">
        <f t="shared" si="59"/>
        <v>1+0.810484487247684i</v>
      </c>
      <c r="O166">
        <f t="shared" ca="1" si="60"/>
        <v>22.224473826228223</v>
      </c>
      <c r="P166" t="str">
        <f t="shared" ca="1" si="75"/>
        <v>0.0475765589292722-0.196210314973928i</v>
      </c>
      <c r="Q166">
        <f t="shared" ca="1" si="70"/>
        <v>-13.897443378307099</v>
      </c>
      <c r="R166">
        <f t="shared" ca="1" si="76"/>
        <v>-76.370130763066726</v>
      </c>
      <c r="T166" t="str">
        <f t="shared" si="61"/>
        <v>1+4.94i</v>
      </c>
      <c r="U166" t="str">
        <f t="shared" si="62"/>
        <v>1+0.65i</v>
      </c>
      <c r="V166" t="str">
        <f t="shared" si="63"/>
        <v>-0.0379554655870445i</v>
      </c>
      <c r="W166" t="str">
        <f t="shared" si="71"/>
        <v>0.11446674683193-0.112358851027799i</v>
      </c>
      <c r="X166">
        <f t="shared" si="72"/>
        <v>-15.896083629800264</v>
      </c>
      <c r="Y166">
        <f t="shared" si="73"/>
        <v>-44.467564252579294</v>
      </c>
      <c r="Z166">
        <f t="shared" si="74"/>
        <v>10345.071300973197</v>
      </c>
      <c r="AA166">
        <f t="shared" ca="1" si="64"/>
        <v>-29.793527008107361</v>
      </c>
      <c r="AB166">
        <f t="shared" ca="1" si="65"/>
        <v>-120.83769501564602</v>
      </c>
    </row>
    <row r="167" spans="1:28" x14ac:dyDescent="0.2">
      <c r="A167">
        <v>66000</v>
      </c>
      <c r="B167" t="str">
        <f t="shared" si="66"/>
        <v>66000i</v>
      </c>
      <c r="C167" t="str">
        <f t="shared" ca="1" si="52"/>
        <v>1+1.72675519543495i</v>
      </c>
      <c r="D167" t="str">
        <f t="shared" ca="1" si="53"/>
        <v>1+0.229301668222242i</v>
      </c>
      <c r="E167" t="str">
        <f t="shared" ca="1" si="54"/>
        <v>1+171.81032873697i</v>
      </c>
      <c r="F167">
        <f t="shared" ca="1" si="55"/>
        <v>39.000923110829653</v>
      </c>
      <c r="G167" t="str">
        <f t="shared" ca="1" si="67"/>
        <v>0.444807682510784-0.134530817002844i</v>
      </c>
      <c r="H167">
        <f t="shared" ca="1" si="68"/>
        <v>-6.6564193457607441</v>
      </c>
      <c r="I167">
        <f t="shared" ca="1" si="69"/>
        <v>-16.827791852672195</v>
      </c>
      <c r="K167" t="str">
        <f t="shared" ca="1" si="56"/>
        <v>1+1.72675519543495i</v>
      </c>
      <c r="L167" t="str">
        <f t="shared" ca="1" si="57"/>
        <v>1-0.128740858296573i</v>
      </c>
      <c r="M167" t="str">
        <f t="shared" ca="1" si="58"/>
        <v>1+172.675519543495i</v>
      </c>
      <c r="N167" t="str">
        <f t="shared" si="59"/>
        <v>1+0.822953479359187i</v>
      </c>
      <c r="O167">
        <f t="shared" ca="1" si="60"/>
        <v>22.224473826228223</v>
      </c>
      <c r="P167" t="str">
        <f t="shared" ca="1" si="75"/>
        <v>0.0465629183650793-0.194441321332314i</v>
      </c>
      <c r="Q167">
        <f t="shared" ca="1" si="70"/>
        <v>-13.982057391117246</v>
      </c>
      <c r="R167">
        <f t="shared" ca="1" si="76"/>
        <v>-76.532967702299302</v>
      </c>
      <c r="T167" t="str">
        <f t="shared" si="61"/>
        <v>1+5.016i</v>
      </c>
      <c r="U167" t="str">
        <f t="shared" si="62"/>
        <v>1+0.66i</v>
      </c>
      <c r="V167" t="str">
        <f t="shared" si="63"/>
        <v>-0.0373803827751196i</v>
      </c>
      <c r="W167" t="str">
        <f t="shared" si="71"/>
        <v>0.113422225806925-0.11223905180769i</v>
      </c>
      <c r="X167">
        <f t="shared" si="72"/>
        <v>-15.941039715710289</v>
      </c>
      <c r="Y167">
        <f t="shared" si="73"/>
        <v>-44.699592876056613</v>
      </c>
      <c r="Z167">
        <f t="shared" si="74"/>
        <v>10504.226244065092</v>
      </c>
      <c r="AA167">
        <f t="shared" ca="1" si="64"/>
        <v>-29.923097106827534</v>
      </c>
      <c r="AB167">
        <f t="shared" ca="1" si="65"/>
        <v>-121.23256057835592</v>
      </c>
    </row>
    <row r="168" spans="1:28" x14ac:dyDescent="0.2">
      <c r="A168">
        <v>67000</v>
      </c>
      <c r="B168" t="str">
        <f t="shared" si="66"/>
        <v>67000i</v>
      </c>
      <c r="C168" t="str">
        <f t="shared" ca="1" si="52"/>
        <v>1+1.75291815294154i</v>
      </c>
      <c r="D168" t="str">
        <f t="shared" ca="1" si="53"/>
        <v>1+0.232775935922579i</v>
      </c>
      <c r="E168" t="str">
        <f t="shared" ca="1" si="54"/>
        <v>1+174.413515536015i</v>
      </c>
      <c r="F168">
        <f t="shared" ca="1" si="55"/>
        <v>39.000923110829653</v>
      </c>
      <c r="G168" t="str">
        <f t="shared" ca="1" si="67"/>
        <v>0.444768985047808-0.129819802154968i</v>
      </c>
      <c r="H168">
        <f t="shared" ca="1" si="68"/>
        <v>-6.6822332083331046</v>
      </c>
      <c r="I168">
        <f t="shared" ca="1" si="69"/>
        <v>-16.271543751874201</v>
      </c>
      <c r="K168" t="str">
        <f t="shared" ca="1" si="56"/>
        <v>1+1.75291815294154i</v>
      </c>
      <c r="L168" t="str">
        <f t="shared" ca="1" si="57"/>
        <v>1-0.130691477361672i</v>
      </c>
      <c r="M168" t="str">
        <f t="shared" ca="1" si="58"/>
        <v>1+175.291815294154i</v>
      </c>
      <c r="N168" t="str">
        <f t="shared" si="59"/>
        <v>1+0.835422471470689i</v>
      </c>
      <c r="O168">
        <f t="shared" ca="1" si="60"/>
        <v>22.224473826228223</v>
      </c>
      <c r="P168" t="str">
        <f t="shared" ca="1" si="75"/>
        <v>0.0455594890431816-0.192714128500194i</v>
      </c>
      <c r="Q168">
        <f t="shared" ca="1" si="70"/>
        <v>-14.065543993293588</v>
      </c>
      <c r="R168">
        <f t="shared" ca="1" si="76"/>
        <v>-76.698930164239968</v>
      </c>
      <c r="T168" t="str">
        <f t="shared" si="61"/>
        <v>1+5.092i</v>
      </c>
      <c r="U168" t="str">
        <f t="shared" si="62"/>
        <v>1+0.67i</v>
      </c>
      <c r="V168" t="str">
        <f t="shared" si="63"/>
        <v>-0.0368224666142969i</v>
      </c>
      <c r="W168" t="str">
        <f t="shared" si="71"/>
        <v>0.11238108038403-0.112117790471597i</v>
      </c>
      <c r="X168">
        <f t="shared" si="72"/>
        <v>-15.986010763046519</v>
      </c>
      <c r="Y168">
        <f t="shared" si="73"/>
        <v>-44.932804143749323</v>
      </c>
      <c r="Z168">
        <f t="shared" si="74"/>
        <v>10663.381187156989</v>
      </c>
      <c r="AA168">
        <f t="shared" ca="1" si="64"/>
        <v>-30.051554756340106</v>
      </c>
      <c r="AB168">
        <f t="shared" ca="1" si="65"/>
        <v>-121.63173430798929</v>
      </c>
    </row>
    <row r="169" spans="1:28" x14ac:dyDescent="0.2">
      <c r="A169">
        <v>68000</v>
      </c>
      <c r="B169" t="str">
        <f t="shared" si="66"/>
        <v>68000i</v>
      </c>
      <c r="C169" t="str">
        <f t="shared" ca="1" si="52"/>
        <v>1+1.77908111044813i</v>
      </c>
      <c r="D169" t="str">
        <f t="shared" ca="1" si="53"/>
        <v>1+0.236250203622916i</v>
      </c>
      <c r="E169" t="str">
        <f t="shared" ca="1" si="54"/>
        <v>1+177.01670233506i</v>
      </c>
      <c r="F169">
        <f t="shared" ca="1" si="55"/>
        <v>39.000923110829653</v>
      </c>
      <c r="G169" t="str">
        <f t="shared" ca="1" si="67"/>
        <v>0.44473198216849-0.125207283468608i</v>
      </c>
      <c r="H169">
        <f t="shared" ca="1" si="68"/>
        <v>-6.7067657791656652</v>
      </c>
      <c r="I169">
        <f t="shared" ca="1" si="69"/>
        <v>-15.723729007846645</v>
      </c>
      <c r="K169" t="str">
        <f t="shared" ca="1" si="56"/>
        <v>1+1.77908111044813i</v>
      </c>
      <c r="L169" t="str">
        <f t="shared" ca="1" si="57"/>
        <v>1-0.132642096426772i</v>
      </c>
      <c r="M169" t="str">
        <f t="shared" ca="1" si="58"/>
        <v>1+177.908111044813i</v>
      </c>
      <c r="N169" t="str">
        <f t="shared" si="59"/>
        <v>1+0.847891463582192i</v>
      </c>
      <c r="O169">
        <f t="shared" ca="1" si="60"/>
        <v>22.224473826228223</v>
      </c>
      <c r="P169" t="str">
        <f t="shared" ca="1" si="75"/>
        <v>0.0445664122812555-0.191026655593728i</v>
      </c>
      <c r="Q169">
        <f t="shared" ca="1" si="70"/>
        <v>-14.147948659394169</v>
      </c>
      <c r="R169">
        <f t="shared" ca="1" si="76"/>
        <v>-76.867819239365929</v>
      </c>
      <c r="T169" t="str">
        <f t="shared" si="61"/>
        <v>1+5.168i</v>
      </c>
      <c r="U169" t="str">
        <f t="shared" si="62"/>
        <v>1+0.68i</v>
      </c>
      <c r="V169" t="str">
        <f t="shared" si="63"/>
        <v>-0.036280959752322i</v>
      </c>
      <c r="W169" t="str">
        <f t="shared" si="71"/>
        <v>0.111343645629391-0.111994638780308i</v>
      </c>
      <c r="X169">
        <f t="shared" si="72"/>
        <v>-16.030999543154653</v>
      </c>
      <c r="Y169">
        <f t="shared" si="73"/>
        <v>-45.167006988991858</v>
      </c>
      <c r="Z169">
        <f t="shared" si="74"/>
        <v>10822.536130248884</v>
      </c>
      <c r="AA169">
        <f t="shared" ca="1" si="64"/>
        <v>-30.178948202548824</v>
      </c>
      <c r="AB169">
        <f t="shared" ca="1" si="65"/>
        <v>-122.03482622835779</v>
      </c>
    </row>
    <row r="170" spans="1:28" x14ac:dyDescent="0.2">
      <c r="A170">
        <v>69000</v>
      </c>
      <c r="B170" t="str">
        <f t="shared" si="66"/>
        <v>69000i</v>
      </c>
      <c r="C170" t="str">
        <f t="shared" ca="1" si="52"/>
        <v>1+1.80524406795472i</v>
      </c>
      <c r="D170" t="str">
        <f t="shared" ca="1" si="53"/>
        <v>1+0.239724471323253i</v>
      </c>
      <c r="E170" t="str">
        <f t="shared" ca="1" si="54"/>
        <v>1+179.619889134105i</v>
      </c>
      <c r="F170">
        <f t="shared" ca="1" si="55"/>
        <v>39.000923110829653</v>
      </c>
      <c r="G170" t="str">
        <f t="shared" ca="1" si="67"/>
        <v>0.444696576356612-0.120688979044859i</v>
      </c>
      <c r="H170">
        <f t="shared" ca="1" si="68"/>
        <v>-6.7300730533777866</v>
      </c>
      <c r="I170">
        <f t="shared" ca="1" si="69"/>
        <v>-15.184111939357418</v>
      </c>
      <c r="K170" t="str">
        <f t="shared" ca="1" si="56"/>
        <v>1+1.80524406795472i</v>
      </c>
      <c r="L170" t="str">
        <f t="shared" ca="1" si="57"/>
        <v>1-0.134592715491871i</v>
      </c>
      <c r="M170" t="str">
        <f t="shared" ca="1" si="58"/>
        <v>1+180.524406795472i</v>
      </c>
      <c r="N170" t="str">
        <f t="shared" si="59"/>
        <v>1+0.860360455693695i</v>
      </c>
      <c r="O170">
        <f t="shared" ca="1" si="60"/>
        <v>22.224473826228223</v>
      </c>
      <c r="P170" t="str">
        <f t="shared" ca="1" si="75"/>
        <v>0.0435838139976244-0.189376965225201i</v>
      </c>
      <c r="Q170">
        <f t="shared" ca="1" si="70"/>
        <v>-14.229313976183178</v>
      </c>
      <c r="R170">
        <f t="shared" ca="1" si="76"/>
        <v>-77.039445149380285</v>
      </c>
      <c r="T170" t="str">
        <f t="shared" si="61"/>
        <v>1+5.244i</v>
      </c>
      <c r="U170" t="str">
        <f t="shared" si="62"/>
        <v>1+0.69i</v>
      </c>
      <c r="V170" t="str">
        <f t="shared" si="63"/>
        <v>-0.0357551487414188i</v>
      </c>
      <c r="W170" t="str">
        <f t="shared" si="71"/>
        <v>0.110310241425663-0.111869215325126i</v>
      </c>
      <c r="X170">
        <f t="shared" si="72"/>
        <v>-16.076008128123146</v>
      </c>
      <c r="Y170">
        <f t="shared" si="73"/>
        <v>-45.402022582287245</v>
      </c>
      <c r="Z170">
        <f t="shared" si="74"/>
        <v>10981.691073340779</v>
      </c>
      <c r="AA170">
        <f t="shared" ca="1" si="64"/>
        <v>-30.305322104306324</v>
      </c>
      <c r="AB170">
        <f t="shared" ca="1" si="65"/>
        <v>-122.44146773166753</v>
      </c>
    </row>
    <row r="171" spans="1:28" x14ac:dyDescent="0.2">
      <c r="A171">
        <v>70000</v>
      </c>
      <c r="B171" t="str">
        <f t="shared" si="66"/>
        <v>70000i</v>
      </c>
      <c r="C171" t="str">
        <f t="shared" ca="1" si="52"/>
        <v>1+1.83140702546131i</v>
      </c>
      <c r="D171" t="str">
        <f t="shared" ca="1" si="53"/>
        <v>1+0.24319873902359i</v>
      </c>
      <c r="E171" t="str">
        <f t="shared" ca="1" si="54"/>
        <v>1+182.22307593315i</v>
      </c>
      <c r="F171">
        <f t="shared" ca="1" si="55"/>
        <v>39.000923110829653</v>
      </c>
      <c r="G171" t="str">
        <f t="shared" ca="1" si="67"/>
        <v>0.444662677010853-0.11626085162681i</v>
      </c>
      <c r="H171">
        <f t="shared" ca="1" si="68"/>
        <v>-6.752207944152123</v>
      </c>
      <c r="I171">
        <f t="shared" ca="1" si="69"/>
        <v>-14.652464711976826</v>
      </c>
      <c r="K171" t="str">
        <f t="shared" ca="1" si="56"/>
        <v>1+1.83140702546131i</v>
      </c>
      <c r="L171" t="str">
        <f t="shared" ca="1" si="57"/>
        <v>1-0.136543334556971i</v>
      </c>
      <c r="M171" t="str">
        <f t="shared" ca="1" si="58"/>
        <v>1+183.140702546131i</v>
      </c>
      <c r="N171" t="str">
        <f t="shared" si="59"/>
        <v>1+0.872829447805198i</v>
      </c>
      <c r="O171">
        <f t="shared" ca="1" si="60"/>
        <v>22.224473826228223</v>
      </c>
      <c r="P171" t="str">
        <f t="shared" ca="1" si="75"/>
        <v>0.0426118051989531-0.187763252277997i</v>
      </c>
      <c r="Q171">
        <f t="shared" ca="1" si="70"/>
        <v>-14.3096798485278</v>
      </c>
      <c r="R171">
        <f t="shared" ca="1" si="76"/>
        <v>-77.21362691115624</v>
      </c>
      <c r="T171" t="str">
        <f t="shared" si="61"/>
        <v>1+5.32i</v>
      </c>
      <c r="U171" t="str">
        <f t="shared" si="62"/>
        <v>1+0.7i</v>
      </c>
      <c r="V171" t="str">
        <f t="shared" si="63"/>
        <v>-0.0352443609022556i</v>
      </c>
      <c r="W171" t="str">
        <f t="shared" si="71"/>
        <v>0.109281172730484-0.111741181813594i</v>
      </c>
      <c r="X171">
        <f t="shared" si="72"/>
        <v>-16.121037963682078</v>
      </c>
      <c r="Y171">
        <f t="shared" si="73"/>
        <v>-45.637683543518868</v>
      </c>
      <c r="Z171">
        <f t="shared" si="74"/>
        <v>11140.846016432673</v>
      </c>
      <c r="AA171">
        <f t="shared" ca="1" si="64"/>
        <v>-30.430717812209878</v>
      </c>
      <c r="AB171">
        <f t="shared" ca="1" si="65"/>
        <v>-122.85131045467512</v>
      </c>
    </row>
    <row r="172" spans="1:28" x14ac:dyDescent="0.2">
      <c r="A172">
        <v>71000</v>
      </c>
      <c r="B172" t="str">
        <f t="shared" si="66"/>
        <v>71000i</v>
      </c>
      <c r="C172" t="str">
        <f t="shared" ca="1" si="52"/>
        <v>1+1.8575699829679i</v>
      </c>
      <c r="D172" t="str">
        <f t="shared" ca="1" si="53"/>
        <v>1+0.246673006723927i</v>
      </c>
      <c r="E172" t="str">
        <f t="shared" ca="1" si="54"/>
        <v>1+184.826262732195i</v>
      </c>
      <c r="F172">
        <f t="shared" ca="1" si="55"/>
        <v>39.000923110829653</v>
      </c>
      <c r="G172" t="str">
        <f t="shared" ca="1" si="67"/>
        <v>0.444630199864626-0.11191909137437i</v>
      </c>
      <c r="H172">
        <f t="shared" ca="1" si="68"/>
        <v>-6.7732204791109147</v>
      </c>
      <c r="I172">
        <f t="shared" ca="1" si="69"/>
        <v>-14.128567103420808</v>
      </c>
      <c r="K172" t="str">
        <f t="shared" ca="1" si="56"/>
        <v>1+1.8575699829679i</v>
      </c>
      <c r="L172" t="str">
        <f t="shared" ca="1" si="57"/>
        <v>1-0.138493953622071i</v>
      </c>
      <c r="M172" t="str">
        <f t="shared" ca="1" si="58"/>
        <v>1+185.75699829679i</v>
      </c>
      <c r="N172" t="str">
        <f t="shared" si="59"/>
        <v>1+0.885298439916701i</v>
      </c>
      <c r="O172">
        <f t="shared" ca="1" si="60"/>
        <v>22.224473826228223</v>
      </c>
      <c r="P172" t="str">
        <f t="shared" ca="1" si="75"/>
        <v>0.0416504824923053-0.186183833642845i</v>
      </c>
      <c r="Q172">
        <f t="shared" ca="1" si="70"/>
        <v>-14.389083689750844</v>
      </c>
      <c r="R172">
        <f t="shared" ca="1" si="76"/>
        <v>-77.390192004869348</v>
      </c>
      <c r="T172" t="str">
        <f t="shared" si="61"/>
        <v>1+5.396i</v>
      </c>
      <c r="U172" t="str">
        <f t="shared" si="62"/>
        <v>1+0.71i</v>
      </c>
      <c r="V172" t="str">
        <f t="shared" si="63"/>
        <v>-0.0347479614529281i</v>
      </c>
      <c r="W172" t="str">
        <f t="shared" si="71"/>
        <v>0.108256729850689-0.111610239646917i</v>
      </c>
      <c r="X172">
        <f t="shared" si="72"/>
        <v>-16.166089935119892</v>
      </c>
      <c r="Y172">
        <f t="shared" si="73"/>
        <v>-45.873833212003078</v>
      </c>
      <c r="Z172">
        <f t="shared" si="74"/>
        <v>11300.00095952457</v>
      </c>
      <c r="AA172">
        <f t="shared" ca="1" si="64"/>
        <v>-30.555173624870736</v>
      </c>
      <c r="AB172">
        <f t="shared" ca="1" si="65"/>
        <v>-123.26402521687243</v>
      </c>
    </row>
    <row r="173" spans="1:28" x14ac:dyDescent="0.2">
      <c r="A173">
        <v>72000</v>
      </c>
      <c r="B173" t="str">
        <f t="shared" si="66"/>
        <v>72000i</v>
      </c>
      <c r="C173" t="str">
        <f t="shared" ca="1" si="52"/>
        <v>1+1.88373294047449i</v>
      </c>
      <c r="D173" t="str">
        <f t="shared" ca="1" si="53"/>
        <v>1+0.250147274424264i</v>
      </c>
      <c r="E173" t="str">
        <f t="shared" ca="1" si="54"/>
        <v>1+187.42944953124i</v>
      </c>
      <c r="F173">
        <f t="shared" ca="1" si="55"/>
        <v>39.000923110829653</v>
      </c>
      <c r="G173" t="str">
        <f t="shared" ca="1" si="67"/>
        <v>0.444599066461922-0.107660100074228i</v>
      </c>
      <c r="H173">
        <f t="shared" ca="1" si="68"/>
        <v>-6.7931579827111861</v>
      </c>
      <c r="I173">
        <f t="shared" ca="1" si="69"/>
        <v>-13.612206269764187</v>
      </c>
      <c r="K173" t="str">
        <f t="shared" ca="1" si="56"/>
        <v>1+1.88373294047449i</v>
      </c>
      <c r="L173" t="str">
        <f t="shared" ca="1" si="57"/>
        <v>1-0.14044457268717i</v>
      </c>
      <c r="M173" t="str">
        <f t="shared" ca="1" si="58"/>
        <v>1+188.373294047449i</v>
      </c>
      <c r="N173" t="str">
        <f t="shared" si="59"/>
        <v>1+0.897767432028204i</v>
      </c>
      <c r="O173">
        <f t="shared" ca="1" si="60"/>
        <v>22.224473826228223</v>
      </c>
      <c r="P173" t="str">
        <f t="shared" ca="1" si="75"/>
        <v>0.0406999286154839-0.184637138824261i</v>
      </c>
      <c r="Q173">
        <f t="shared" ca="1" si="70"/>
        <v>-14.467560597678954</v>
      </c>
      <c r="R173">
        <f t="shared" ca="1" si="76"/>
        <v>-77.568976047420207</v>
      </c>
      <c r="T173" t="str">
        <f t="shared" si="61"/>
        <v>1+5.472i</v>
      </c>
      <c r="U173" t="str">
        <f t="shared" si="62"/>
        <v>1+0.72i</v>
      </c>
      <c r="V173" t="str">
        <f t="shared" si="63"/>
        <v>-0.034265350877193i</v>
      </c>
      <c r="W173" t="str">
        <f t="shared" si="71"/>
        <v>0.10723718873052-0.111476126763167i</v>
      </c>
      <c r="X173">
        <f t="shared" si="72"/>
        <v>-16.211164426931706</v>
      </c>
      <c r="Y173">
        <f t="shared" si="73"/>
        <v>-46.110324969433343</v>
      </c>
      <c r="Z173">
        <f t="shared" si="74"/>
        <v>11459.155902616465</v>
      </c>
      <c r="AA173">
        <f t="shared" ca="1" si="64"/>
        <v>-30.67872502461066</v>
      </c>
      <c r="AB173">
        <f t="shared" ca="1" si="65"/>
        <v>-123.67930101685354</v>
      </c>
    </row>
    <row r="174" spans="1:28" x14ac:dyDescent="0.2">
      <c r="A174">
        <v>73000</v>
      </c>
      <c r="B174" t="str">
        <f t="shared" si="66"/>
        <v>73000i</v>
      </c>
      <c r="C174" t="str">
        <f t="shared" ca="1" si="52"/>
        <v>1+1.90989589798108i</v>
      </c>
      <c r="D174" t="str">
        <f t="shared" ca="1" si="53"/>
        <v>1+0.253621542124601i</v>
      </c>
      <c r="E174" t="str">
        <f t="shared" ca="1" si="54"/>
        <v>1+190.032636330285i</v>
      </c>
      <c r="F174">
        <f t="shared" ca="1" si="55"/>
        <v>39.000923110829653</v>
      </c>
      <c r="G174" t="str">
        <f t="shared" ca="1" si="67"/>
        <v>0.444569203683064-0.103480476647363i</v>
      </c>
      <c r="H174">
        <f t="shared" ca="1" si="68"/>
        <v>-6.8120652457539332</v>
      </c>
      <c r="I174">
        <f t="shared" ca="1" si="69"/>
        <v>-13.103176513504975</v>
      </c>
      <c r="K174" t="str">
        <f t="shared" ca="1" si="56"/>
        <v>1+1.90989589798108i</v>
      </c>
      <c r="L174" t="str">
        <f t="shared" ca="1" si="57"/>
        <v>1-0.14239519175227i</v>
      </c>
      <c r="M174" t="str">
        <f t="shared" ca="1" si="58"/>
        <v>1+190.989589798108i</v>
      </c>
      <c r="N174" t="str">
        <f t="shared" si="59"/>
        <v>1+0.910236424139706i</v>
      </c>
      <c r="O174">
        <f t="shared" ca="1" si="60"/>
        <v>22.224473826228223</v>
      </c>
      <c r="P174" t="str">
        <f t="shared" ca="1" si="75"/>
        <v>0.0397602129803998-0.183121701335778i</v>
      </c>
      <c r="Q174">
        <f t="shared" ca="1" si="70"/>
        <v>-14.545143517520678</v>
      </c>
      <c r="R174">
        <f t="shared" ca="1" si="76"/>
        <v>-77.749822472037323</v>
      </c>
      <c r="T174" t="str">
        <f t="shared" si="61"/>
        <v>1+5.548i</v>
      </c>
      <c r="U174" t="str">
        <f t="shared" si="62"/>
        <v>1+0.73i</v>
      </c>
      <c r="V174" t="str">
        <f t="shared" si="63"/>
        <v>-0.0337959625090123i</v>
      </c>
      <c r="W174" t="str">
        <f t="shared" si="71"/>
        <v>0.10622281125215-0.111338614723082i</v>
      </c>
      <c r="X174">
        <f t="shared" si="72"/>
        <v>-16.256261376832722</v>
      </c>
      <c r="Y174">
        <f t="shared" si="73"/>
        <v>-46.347021611249431</v>
      </c>
      <c r="Z174">
        <f t="shared" si="74"/>
        <v>11618.31084570836</v>
      </c>
      <c r="AA174">
        <f t="shared" ca="1" si="64"/>
        <v>-30.8014048943534</v>
      </c>
      <c r="AB174">
        <f t="shared" ca="1" si="65"/>
        <v>-124.09684408328675</v>
      </c>
    </row>
    <row r="175" spans="1:28" x14ac:dyDescent="0.2">
      <c r="A175">
        <v>74000</v>
      </c>
      <c r="B175" t="str">
        <f t="shared" si="66"/>
        <v>74000i</v>
      </c>
      <c r="C175" t="str">
        <f t="shared" ca="1" si="52"/>
        <v>1+1.93605885548767i</v>
      </c>
      <c r="D175" t="str">
        <f t="shared" ca="1" si="53"/>
        <v>1+0.257095809824938i</v>
      </c>
      <c r="E175" t="str">
        <f t="shared" ca="1" si="54"/>
        <v>1+192.63582312933i</v>
      </c>
      <c r="F175">
        <f t="shared" ca="1" si="55"/>
        <v>39.000923110829653</v>
      </c>
      <c r="G175" t="str">
        <f t="shared" ca="1" si="67"/>
        <v>0.444540543315006-0.0993770038313973i</v>
      </c>
      <c r="H175">
        <f t="shared" ca="1" si="68"/>
        <v>-6.8299846830086501</v>
      </c>
      <c r="I175">
        <f t="shared" ca="1" si="69"/>
        <v>-12.601279054305666</v>
      </c>
      <c r="K175" t="str">
        <f t="shared" ca="1" si="56"/>
        <v>1+1.93605885548767i</v>
      </c>
      <c r="L175" t="str">
        <f t="shared" ca="1" si="57"/>
        <v>1-0.144345810817369i</v>
      </c>
      <c r="M175" t="str">
        <f t="shared" ca="1" si="58"/>
        <v>1+193.605885548767i</v>
      </c>
      <c r="N175" t="str">
        <f t="shared" si="59"/>
        <v>1+0.922705416251209i</v>
      </c>
      <c r="O175">
        <f t="shared" ca="1" si="60"/>
        <v>22.224473826228223</v>
      </c>
      <c r="P175" t="str">
        <f t="shared" ca="1" si="75"/>
        <v>0.038831392224786-0.181636150811088i</v>
      </c>
      <c r="Q175">
        <f t="shared" ca="1" si="70"/>
        <v>-14.621863392613502</v>
      </c>
      <c r="R175">
        <f t="shared" ca="1" si="76"/>
        <v>-77.932582214811504</v>
      </c>
      <c r="T175" t="str">
        <f t="shared" si="61"/>
        <v>1+5.624i</v>
      </c>
      <c r="U175" t="str">
        <f t="shared" si="62"/>
        <v>1+0.74i</v>
      </c>
      <c r="V175" t="str">
        <f t="shared" si="63"/>
        <v>-0.0333392603129445i</v>
      </c>
      <c r="W175" t="str">
        <f t="shared" si="71"/>
        <v>0.105213845546925-0.111197506017669i</v>
      </c>
      <c r="X175">
        <f t="shared" si="72"/>
        <v>-16.301380324699252</v>
      </c>
      <c r="Y175">
        <f t="shared" si="73"/>
        <v>-46.583794762391989</v>
      </c>
      <c r="Z175">
        <f t="shared" si="74"/>
        <v>11777.465788800255</v>
      </c>
      <c r="AA175">
        <f t="shared" ca="1" si="64"/>
        <v>-30.923243717312754</v>
      </c>
      <c r="AB175">
        <f t="shared" ca="1" si="65"/>
        <v>-124.51637697720349</v>
      </c>
    </row>
    <row r="176" spans="1:28" x14ac:dyDescent="0.2">
      <c r="A176">
        <v>75000</v>
      </c>
      <c r="B176" t="str">
        <f t="shared" si="66"/>
        <v>75000i</v>
      </c>
      <c r="C176" t="str">
        <f t="shared" ca="1" si="52"/>
        <v>1+1.96222181299426i</v>
      </c>
      <c r="D176" t="str">
        <f t="shared" ca="1" si="53"/>
        <v>1+0.260570077525275i</v>
      </c>
      <c r="E176" t="str">
        <f t="shared" ca="1" si="54"/>
        <v>1+195.239009928375i</v>
      </c>
      <c r="F176">
        <f t="shared" ca="1" si="55"/>
        <v>39.000923110829653</v>
      </c>
      <c r="G176" t="str">
        <f t="shared" ca="1" si="67"/>
        <v>0.444513021661473-0.0953466359281413i</v>
      </c>
      <c r="H176">
        <f t="shared" ca="1" si="68"/>
        <v>-6.8469564798692435</v>
      </c>
      <c r="I176">
        <f t="shared" ca="1" si="69"/>
        <v>-12.106321803095902</v>
      </c>
      <c r="K176" t="str">
        <f t="shared" ca="1" si="56"/>
        <v>1+1.96222181299426i</v>
      </c>
      <c r="L176" t="str">
        <f t="shared" ca="1" si="57"/>
        <v>1-0.146296429882469i</v>
      </c>
      <c r="M176" t="str">
        <f t="shared" ca="1" si="58"/>
        <v>1+196.222181299426i</v>
      </c>
      <c r="N176" t="str">
        <f t="shared" si="59"/>
        <v>1+0.935174408362712i</v>
      </c>
      <c r="O176">
        <f t="shared" ca="1" si="60"/>
        <v>22.224473826228223</v>
      </c>
      <c r="P176" t="str">
        <f t="shared" ca="1" si="75"/>
        <v>0.0379135107682417-0.180179205765754i</v>
      </c>
      <c r="Q176">
        <f t="shared" ca="1" si="70"/>
        <v>-14.697749303990911</v>
      </c>
      <c r="R176">
        <f t="shared" ca="1" si="76"/>
        <v>-78.117113408746576</v>
      </c>
      <c r="T176" t="str">
        <f t="shared" si="61"/>
        <v>1+5.7i</v>
      </c>
      <c r="U176" t="str">
        <f t="shared" si="62"/>
        <v>1+0.75i</v>
      </c>
      <c r="V176" t="str">
        <f t="shared" si="63"/>
        <v>-0.0328947368421053i</v>
      </c>
      <c r="W176" t="str">
        <f t="shared" si="71"/>
        <v>0.104210526315789-0.111052631578947i</v>
      </c>
      <c r="X176">
        <f t="shared" si="72"/>
        <v>-16.346520456937565</v>
      </c>
      <c r="Y176">
        <f t="shared" si="73"/>
        <v>-46.82052433379566</v>
      </c>
      <c r="Z176">
        <f t="shared" si="74"/>
        <v>11936.620731892152</v>
      </c>
      <c r="AA176">
        <f t="shared" ca="1" si="64"/>
        <v>-31.044269760928476</v>
      </c>
      <c r="AB176">
        <f t="shared" ca="1" si="65"/>
        <v>-124.93763774254224</v>
      </c>
    </row>
    <row r="177" spans="1:28" x14ac:dyDescent="0.2">
      <c r="A177">
        <v>76000</v>
      </c>
      <c r="B177" t="str">
        <f t="shared" si="66"/>
        <v>76000i</v>
      </c>
      <c r="C177" t="str">
        <f t="shared" ca="1" si="52"/>
        <v>1+1.98838477050085i</v>
      </c>
      <c r="D177" t="str">
        <f t="shared" ca="1" si="53"/>
        <v>1+0.264044345225612i</v>
      </c>
      <c r="E177" t="str">
        <f t="shared" ca="1" si="54"/>
        <v>1+197.84219672742i</v>
      </c>
      <c r="F177">
        <f t="shared" ca="1" si="55"/>
        <v>39.000923110829653</v>
      </c>
      <c r="G177" t="str">
        <f t="shared" ca="1" si="67"/>
        <v>0.444486579188757-0.0913864875182713i</v>
      </c>
      <c r="H177">
        <f t="shared" ca="1" si="68"/>
        <v>-6.8630187288809772</v>
      </c>
      <c r="I177">
        <f t="shared" ca="1" si="69"/>
        <v>-11.618119140108909</v>
      </c>
      <c r="K177" t="str">
        <f t="shared" ca="1" si="56"/>
        <v>1+1.98838477050085i</v>
      </c>
      <c r="L177" t="str">
        <f t="shared" ca="1" si="57"/>
        <v>1-0.148247048947568i</v>
      </c>
      <c r="M177" t="str">
        <f t="shared" ca="1" si="58"/>
        <v>1+198.838477050085i</v>
      </c>
      <c r="N177" t="str">
        <f t="shared" si="59"/>
        <v>1+0.947643400474215i</v>
      </c>
      <c r="O177">
        <f t="shared" ca="1" si="60"/>
        <v>22.224473826228223</v>
      </c>
      <c r="P177" t="str">
        <f t="shared" ca="1" si="75"/>
        <v>0.0370066013690713-0.178749666950808i</v>
      </c>
      <c r="Q177">
        <f t="shared" ca="1" si="70"/>
        <v>-14.772828599641256</v>
      </c>
      <c r="R177">
        <f t="shared" ca="1" si="76"/>
        <v>-78.303281085799128</v>
      </c>
      <c r="T177" t="str">
        <f t="shared" si="61"/>
        <v>1+5.776i</v>
      </c>
      <c r="U177" t="str">
        <f t="shared" si="62"/>
        <v>1+0.76i</v>
      </c>
      <c r="V177" t="str">
        <f t="shared" si="63"/>
        <v>-0.0324619113573407i</v>
      </c>
      <c r="W177" t="str">
        <f t="shared" si="71"/>
        <v>0.103213075157468-0.110903848477016i</v>
      </c>
      <c r="X177">
        <f t="shared" si="72"/>
        <v>-16.391680646725636</v>
      </c>
      <c r="Y177">
        <f t="shared" si="73"/>
        <v>-47.057098016306583</v>
      </c>
      <c r="Z177">
        <f t="shared" si="74"/>
        <v>12095.775674984046</v>
      </c>
      <c r="AA177">
        <f t="shared" ca="1" si="64"/>
        <v>-31.16450924636689</v>
      </c>
      <c r="AB177">
        <f t="shared" ca="1" si="65"/>
        <v>-125.36037910210571</v>
      </c>
    </row>
    <row r="178" spans="1:28" x14ac:dyDescent="0.2">
      <c r="A178">
        <v>77000</v>
      </c>
      <c r="B178" t="str">
        <f t="shared" si="66"/>
        <v>77000i</v>
      </c>
      <c r="C178" t="str">
        <f t="shared" ca="1" si="52"/>
        <v>1+2.01454772800744i</v>
      </c>
      <c r="D178" t="str">
        <f t="shared" ca="1" si="53"/>
        <v>1+0.267518612925949i</v>
      </c>
      <c r="E178" t="str">
        <f t="shared" ca="1" si="54"/>
        <v>1+200.445383526465i</v>
      </c>
      <c r="F178">
        <f t="shared" ca="1" si="55"/>
        <v>39.000923110829653</v>
      </c>
      <c r="G178" t="str">
        <f t="shared" ca="1" si="67"/>
        <v>0.444461160203513-0.0874938230552178i</v>
      </c>
      <c r="H178">
        <f t="shared" ca="1" si="68"/>
        <v>-6.878207556907185</v>
      </c>
      <c r="I178">
        <f t="shared" ca="1" si="69"/>
        <v>-11.13649169731139</v>
      </c>
      <c r="K178" t="str">
        <f t="shared" ca="1" si="56"/>
        <v>1+2.01454772800744i</v>
      </c>
      <c r="L178" t="str">
        <f t="shared" ca="1" si="57"/>
        <v>1-0.150197668012668i</v>
      </c>
      <c r="M178" t="str">
        <f t="shared" ca="1" si="58"/>
        <v>1+201.454772800744i</v>
      </c>
      <c r="N178" t="str">
        <f t="shared" si="59"/>
        <v>1+0.960112392585718i</v>
      </c>
      <c r="O178">
        <f t="shared" ca="1" si="60"/>
        <v>22.224473826228223</v>
      </c>
      <c r="P178" t="str">
        <f t="shared" ca="1" si="75"/>
        <v>0.0361106856788777-0.177346411245413i</v>
      </c>
      <c r="Q178">
        <f t="shared" ca="1" si="70"/>
        <v>-14.847127014259442</v>
      </c>
      <c r="R178">
        <f t="shared" ca="1" si="76"/>
        <v>-78.490956887261305</v>
      </c>
      <c r="T178" t="str">
        <f t="shared" si="61"/>
        <v>1+5.852i</v>
      </c>
      <c r="U178" t="str">
        <f t="shared" si="62"/>
        <v>1+0.77i</v>
      </c>
      <c r="V178" t="str">
        <f t="shared" si="63"/>
        <v>-0.0320403280929597i</v>
      </c>
      <c r="W178" t="str">
        <f t="shared" si="71"/>
        <v>0.10222170090302-0.110751037788285i</v>
      </c>
      <c r="X178">
        <f t="shared" si="72"/>
        <v>-16.436859490526576</v>
      </c>
      <c r="Y178">
        <f t="shared" si="73"/>
        <v>-47.293410809031244</v>
      </c>
      <c r="Z178">
        <f t="shared" si="74"/>
        <v>12254.930618075941</v>
      </c>
      <c r="AA178">
        <f t="shared" ca="1" si="64"/>
        <v>-31.283986504786018</v>
      </c>
      <c r="AB178">
        <f t="shared" ca="1" si="65"/>
        <v>-125.78436769629255</v>
      </c>
    </row>
    <row r="179" spans="1:28" x14ac:dyDescent="0.2">
      <c r="A179">
        <v>78000</v>
      </c>
      <c r="B179" t="str">
        <f t="shared" si="66"/>
        <v>78000i</v>
      </c>
      <c r="C179" t="str">
        <f t="shared" ca="1" si="52"/>
        <v>1+2.04071068551403i</v>
      </c>
      <c r="D179" t="str">
        <f t="shared" ca="1" si="53"/>
        <v>1+0.270992880626286i</v>
      </c>
      <c r="E179" t="str">
        <f t="shared" ca="1" si="54"/>
        <v>1+203.04857032551i</v>
      </c>
      <c r="F179">
        <f t="shared" ca="1" si="55"/>
        <v>39.000923110829653</v>
      </c>
      <c r="G179" t="str">
        <f t="shared" ca="1" si="67"/>
        <v>0.444436712559266-0.0836660472593828i</v>
      </c>
      <c r="H179">
        <f t="shared" ca="1" si="68"/>
        <v>-6.8925572436420337</v>
      </c>
      <c r="I179">
        <f t="shared" ca="1" si="69"/>
        <v>-10.661266145599976</v>
      </c>
      <c r="K179" t="str">
        <f t="shared" ca="1" si="56"/>
        <v>1+2.04071068551403i</v>
      </c>
      <c r="L179" t="str">
        <f t="shared" ca="1" si="57"/>
        <v>1-0.152148287077768i</v>
      </c>
      <c r="M179" t="str">
        <f t="shared" ca="1" si="58"/>
        <v>1+204.071068551403i</v>
      </c>
      <c r="N179" t="str">
        <f t="shared" si="59"/>
        <v>1+0.972581384697221i</v>
      </c>
      <c r="O179">
        <f t="shared" ca="1" si="60"/>
        <v>22.224473826228223</v>
      </c>
      <c r="P179" t="str">
        <f t="shared" ca="1" si="75"/>
        <v>0.0352257747922859-0.175968386041042i</v>
      </c>
      <c r="Q179">
        <f t="shared" ca="1" si="70"/>
        <v>-14.920668780224432</v>
      </c>
      <c r="R179">
        <f t="shared" ca="1" si="76"/>
        <v>-78.680018782748519</v>
      </c>
      <c r="T179" t="str">
        <f t="shared" si="61"/>
        <v>1+5.928i</v>
      </c>
      <c r="U179" t="str">
        <f t="shared" si="62"/>
        <v>1+0.78i</v>
      </c>
      <c r="V179" t="str">
        <f t="shared" si="63"/>
        <v>-0.0316295546558704i</v>
      </c>
      <c r="W179" t="str">
        <f t="shared" si="71"/>
        <v>0.101236599955497-0.110594102621158i</v>
      </c>
      <c r="X179">
        <f t="shared" si="72"/>
        <v>-16.482055341227515</v>
      </c>
      <c r="Y179">
        <f t="shared" si="73"/>
        <v>-47.529364579387156</v>
      </c>
      <c r="Z179">
        <f t="shared" si="74"/>
        <v>12414.085561167836</v>
      </c>
      <c r="AA179">
        <f t="shared" ca="1" si="64"/>
        <v>-31.402724121451946</v>
      </c>
      <c r="AB179">
        <f t="shared" ca="1" si="65"/>
        <v>-126.20938336213567</v>
      </c>
    </row>
    <row r="180" spans="1:28" x14ac:dyDescent="0.2">
      <c r="A180">
        <v>79000</v>
      </c>
      <c r="B180" t="str">
        <f t="shared" si="66"/>
        <v>79000i</v>
      </c>
      <c r="C180" t="str">
        <f t="shared" ca="1" si="52"/>
        <v>1+2.06687364302062i</v>
      </c>
      <c r="D180" t="str">
        <f t="shared" ca="1" si="53"/>
        <v>1+0.274467148326623i</v>
      </c>
      <c r="E180" t="str">
        <f t="shared" ca="1" si="54"/>
        <v>1+205.651757124555i</v>
      </c>
      <c r="F180">
        <f t="shared" ca="1" si="55"/>
        <v>39.000923110829653</v>
      </c>
      <c r="G180" t="str">
        <f t="shared" ca="1" si="67"/>
        <v>0.44441318738877-0.0799006962417846i</v>
      </c>
      <c r="H180">
        <f t="shared" ca="1" si="68"/>
        <v>-6.9061003321164316</v>
      </c>
      <c r="I180">
        <f t="shared" ca="1" si="69"/>
        <v>-10.192274987055027</v>
      </c>
      <c r="K180" t="str">
        <f t="shared" ca="1" si="56"/>
        <v>1+2.06687364302062i</v>
      </c>
      <c r="L180" t="str">
        <f t="shared" ca="1" si="57"/>
        <v>1-0.154098906142867i</v>
      </c>
      <c r="M180" t="str">
        <f t="shared" ca="1" si="58"/>
        <v>1+206.687364302062i</v>
      </c>
      <c r="N180" t="str">
        <f t="shared" si="59"/>
        <v>1+0.985050376808723i</v>
      </c>
      <c r="O180">
        <f t="shared" ca="1" si="60"/>
        <v>22.224473826228223</v>
      </c>
      <c r="P180" t="str">
        <f t="shared" ca="1" si="75"/>
        <v>0.0343518697895428-0.174614604074216i</v>
      </c>
      <c r="Q180">
        <f t="shared" ca="1" si="70"/>
        <v>-14.99347673047853</v>
      </c>
      <c r="R180">
        <f t="shared" ca="1" si="76"/>
        <v>-78.870350797969522</v>
      </c>
      <c r="T180" t="str">
        <f t="shared" si="61"/>
        <v>1+6.004i</v>
      </c>
      <c r="U180" t="str">
        <f t="shared" si="62"/>
        <v>1+0.79i</v>
      </c>
      <c r="V180" t="str">
        <f t="shared" si="63"/>
        <v>-0.0312291805463025i</v>
      </c>
      <c r="W180" t="str">
        <f t="shared" si="71"/>
        <v>0.100257956633471-0.110432966286745i</v>
      </c>
      <c r="X180">
        <f t="shared" si="72"/>
        <v>-16.527266338223946</v>
      </c>
      <c r="Y180">
        <f t="shared" si="73"/>
        <v>-47.764867652386826</v>
      </c>
      <c r="Z180">
        <f t="shared" si="74"/>
        <v>12573.240504259733</v>
      </c>
      <c r="AA180">
        <f t="shared" ca="1" si="64"/>
        <v>-31.520743068702476</v>
      </c>
      <c r="AB180">
        <f t="shared" ca="1" si="65"/>
        <v>-126.63521845035635</v>
      </c>
    </row>
    <row r="181" spans="1:28" x14ac:dyDescent="0.2">
      <c r="A181">
        <v>80000</v>
      </c>
      <c r="B181" t="str">
        <f t="shared" si="66"/>
        <v>80000i</v>
      </c>
      <c r="C181" t="str">
        <f t="shared" ca="1" si="52"/>
        <v>1+2.09303660052721i</v>
      </c>
      <c r="D181" t="str">
        <f t="shared" ca="1" si="53"/>
        <v>1+0.27794141602696i</v>
      </c>
      <c r="E181" t="str">
        <f t="shared" ca="1" si="54"/>
        <v>1+208.2549439236i</v>
      </c>
      <c r="F181">
        <f t="shared" ca="1" si="55"/>
        <v>39.000923110829653</v>
      </c>
      <c r="G181" t="str">
        <f t="shared" ca="1" si="67"/>
        <v>0.444390538859627-0.0761954292933171i</v>
      </c>
      <c r="H181">
        <f t="shared" ca="1" si="68"/>
        <v>-6.9188677317925098</v>
      </c>
      <c r="I181">
        <f t="shared" ca="1" si="69"/>
        <v>-9.7293563524752091</v>
      </c>
      <c r="K181" t="str">
        <f t="shared" ca="1" si="56"/>
        <v>1+2.09303660052721i</v>
      </c>
      <c r="L181" t="str">
        <f t="shared" ca="1" si="57"/>
        <v>1-0.156049525207967i</v>
      </c>
      <c r="M181" t="str">
        <f t="shared" ca="1" si="58"/>
        <v>1+209.303660052721i</v>
      </c>
      <c r="N181" t="str">
        <f t="shared" si="59"/>
        <v>1+0.997519368920226i</v>
      </c>
      <c r="O181">
        <f t="shared" ca="1" si="60"/>
        <v>22.224473826228223</v>
      </c>
      <c r="P181" t="str">
        <f t="shared" ca="1" si="75"/>
        <v>0.0334889622700837-0.173284138669052i</v>
      </c>
      <c r="Q181">
        <f t="shared" ca="1" si="70"/>
        <v>-15.065572393926299</v>
      </c>
      <c r="R181">
        <f t="shared" ca="1" si="76"/>
        <v>-79.061842751386209</v>
      </c>
      <c r="T181" t="str">
        <f t="shared" si="61"/>
        <v>1+6.08i</v>
      </c>
      <c r="U181" t="str">
        <f t="shared" si="62"/>
        <v>1+0.8i</v>
      </c>
      <c r="V181" t="str">
        <f t="shared" si="63"/>
        <v>-0.0308388157894737i</v>
      </c>
      <c r="W181" t="str">
        <f t="shared" si="71"/>
        <v>0.0992859435173299-0.110267570603338i</v>
      </c>
      <c r="X181">
        <f t="shared" si="72"/>
        <v>-16.572490434732913</v>
      </c>
      <c r="Y181">
        <f t="shared" si="73"/>
        <v>-47.999834426895511</v>
      </c>
      <c r="Z181">
        <f t="shared" si="74"/>
        <v>12732.395447351628</v>
      </c>
      <c r="AA181">
        <f t="shared" ca="1" si="64"/>
        <v>-31.638062828659212</v>
      </c>
      <c r="AB181">
        <f t="shared" ca="1" si="65"/>
        <v>-127.06167717828171</v>
      </c>
    </row>
    <row r="182" spans="1:28" x14ac:dyDescent="0.2">
      <c r="A182">
        <v>81000</v>
      </c>
      <c r="B182" t="str">
        <f t="shared" si="66"/>
        <v>81000i</v>
      </c>
      <c r="C182" t="str">
        <f t="shared" ca="1" si="52"/>
        <v>1+2.1191995580338i</v>
      </c>
      <c r="D182" t="str">
        <f t="shared" ca="1" si="53"/>
        <v>1+0.281415683727297i</v>
      </c>
      <c r="E182" t="str">
        <f t="shared" ca="1" si="54"/>
        <v>1+210.858130722645i</v>
      </c>
      <c r="F182">
        <f t="shared" ca="1" si="55"/>
        <v>39.000923110829653</v>
      </c>
      <c r="G182" t="str">
        <f t="shared" ca="1" si="67"/>
        <v>0.444368723950893-0.0725480212821149i</v>
      </c>
      <c r="H182">
        <f t="shared" ca="1" si="68"/>
        <v>-6.9308888147933345</v>
      </c>
      <c r="I182">
        <f t="shared" ca="1" si="69"/>
        <v>-9.2723538043554896</v>
      </c>
      <c r="K182" t="str">
        <f t="shared" ca="1" si="56"/>
        <v>1+2.1191995580338i</v>
      </c>
      <c r="L182" t="str">
        <f t="shared" ca="1" si="57"/>
        <v>1-0.158000144273066i</v>
      </c>
      <c r="M182" t="str">
        <f t="shared" ca="1" si="58"/>
        <v>1+211.91995580338i</v>
      </c>
      <c r="N182" t="str">
        <f t="shared" si="59"/>
        <v>1+1.00998836103173i</v>
      </c>
      <c r="O182">
        <f t="shared" ca="1" si="60"/>
        <v>22.224473826228223</v>
      </c>
      <c r="P182" t="str">
        <f t="shared" ca="1" si="75"/>
        <v>0.0326370348754591-0.17197611935448i</v>
      </c>
      <c r="Q182">
        <f t="shared" ca="1" si="70"/>
        <v>-15.136976083924971</v>
      </c>
      <c r="R182">
        <f t="shared" ca="1" si="76"/>
        <v>-79.25438999980193</v>
      </c>
      <c r="T182" t="str">
        <f t="shared" si="61"/>
        <v>1+6.156i</v>
      </c>
      <c r="U182" t="str">
        <f t="shared" si="62"/>
        <v>1+0.81i</v>
      </c>
      <c r="V182" t="str">
        <f t="shared" si="63"/>
        <v>-0.030458089668616i</v>
      </c>
      <c r="W182" t="str">
        <f t="shared" si="71"/>
        <v>0.0983207217972472-0.110097874324386i</v>
      </c>
      <c r="X182">
        <f t="shared" si="72"/>
        <v>-16.617725422592898</v>
      </c>
      <c r="Y182">
        <f t="shared" si="73"/>
        <v>-48.234185016817442</v>
      </c>
      <c r="Z182">
        <f t="shared" si="74"/>
        <v>12891.550390443523</v>
      </c>
      <c r="AA182">
        <f t="shared" ca="1" si="64"/>
        <v>-31.754701506517868</v>
      </c>
      <c r="AB182">
        <f t="shared" ca="1" si="65"/>
        <v>-127.48857501661936</v>
      </c>
    </row>
    <row r="183" spans="1:28" x14ac:dyDescent="0.2">
      <c r="A183">
        <v>82000</v>
      </c>
      <c r="B183" t="str">
        <f t="shared" si="66"/>
        <v>82000i</v>
      </c>
      <c r="C183" t="str">
        <f t="shared" ca="1" si="52"/>
        <v>1+2.14536251554039i</v>
      </c>
      <c r="D183" t="str">
        <f t="shared" ca="1" si="53"/>
        <v>1+0.284889951427634i</v>
      </c>
      <c r="E183" t="str">
        <f t="shared" ca="1" si="54"/>
        <v>1+213.46131752169i</v>
      </c>
      <c r="F183">
        <f t="shared" ca="1" si="55"/>
        <v>39.000923110829653</v>
      </c>
      <c r="G183" t="str">
        <f t="shared" ca="1" si="67"/>
        <v>0.444347702248644-0.0689563556071169i</v>
      </c>
      <c r="H183">
        <f t="shared" ca="1" si="68"/>
        <v>-6.94219150577071</v>
      </c>
      <c r="I183">
        <f t="shared" ca="1" si="69"/>
        <v>-8.8211161454190918</v>
      </c>
      <c r="K183" t="str">
        <f t="shared" ca="1" si="56"/>
        <v>1+2.14536251554039i</v>
      </c>
      <c r="L183" t="str">
        <f t="shared" ca="1" si="57"/>
        <v>1-0.159950763338166i</v>
      </c>
      <c r="M183" t="str">
        <f t="shared" ca="1" si="58"/>
        <v>1+214.536251554039i</v>
      </c>
      <c r="N183" t="str">
        <f t="shared" si="59"/>
        <v>1+1.02245735314323i</v>
      </c>
      <c r="O183">
        <f t="shared" ca="1" si="60"/>
        <v>22.224473826228223</v>
      </c>
      <c r="P183" t="str">
        <f t="shared" ca="1" si="75"/>
        <v>0.0317960618002596-0.170689727824376i</v>
      </c>
      <c r="Q183">
        <f t="shared" ca="1" si="70"/>
        <v>-15.207706980388654</v>
      </c>
      <c r="R183">
        <f t="shared" ca="1" si="76"/>
        <v>-79.447893192877672</v>
      </c>
      <c r="T183" t="str">
        <f t="shared" si="61"/>
        <v>1+6.232i</v>
      </c>
      <c r="U183" t="str">
        <f t="shared" si="62"/>
        <v>1+0.82i</v>
      </c>
      <c r="V183" t="str">
        <f t="shared" si="63"/>
        <v>-0.030086649550706i</v>
      </c>
      <c r="W183" t="str">
        <f t="shared" si="71"/>
        <v>0.0973624416218734-0.109923851680642i</v>
      </c>
      <c r="X183">
        <f t="shared" si="72"/>
        <v>-16.662968954778925</v>
      </c>
      <c r="Y183">
        <f t="shared" si="73"/>
        <v>-48.467844915333487</v>
      </c>
      <c r="Z183">
        <f t="shared" si="74"/>
        <v>13050.705333535418</v>
      </c>
      <c r="AA183">
        <f t="shared" ca="1" si="64"/>
        <v>-31.870675935167579</v>
      </c>
      <c r="AB183">
        <f t="shared" ca="1" si="65"/>
        <v>-127.91573810821116</v>
      </c>
    </row>
    <row r="184" spans="1:28" x14ac:dyDescent="0.2">
      <c r="A184">
        <v>83000</v>
      </c>
      <c r="B184" t="str">
        <f t="shared" si="66"/>
        <v>83000i</v>
      </c>
      <c r="C184" t="str">
        <f t="shared" ca="1" si="52"/>
        <v>1+2.17152547304698i</v>
      </c>
      <c r="D184" t="str">
        <f t="shared" ca="1" si="53"/>
        <v>1+0.288364219127971i</v>
      </c>
      <c r="E184" t="str">
        <f t="shared" ca="1" si="54"/>
        <v>1+216.064504320735i</v>
      </c>
      <c r="F184">
        <f t="shared" ca="1" si="55"/>
        <v>39.000923110829653</v>
      </c>
      <c r="G184" t="str">
        <f t="shared" ca="1" si="67"/>
        <v>0.444327435758662-0.0654184176609331i</v>
      </c>
      <c r="H184">
        <f t="shared" ca="1" si="68"/>
        <v>-6.9528023658744136</v>
      </c>
      <c r="I184">
        <f t="shared" ca="1" si="69"/>
        <v>-8.3754972327712167</v>
      </c>
      <c r="K184" t="str">
        <f t="shared" ca="1" si="56"/>
        <v>1+2.17152547304698i</v>
      </c>
      <c r="L184" t="str">
        <f t="shared" ca="1" si="57"/>
        <v>1-0.161901382403266i</v>
      </c>
      <c r="M184" t="str">
        <f t="shared" ca="1" si="58"/>
        <v>1+217.152547304698i</v>
      </c>
      <c r="N184" t="str">
        <f t="shared" si="59"/>
        <v>1+1.03492634525473i</v>
      </c>
      <c r="O184">
        <f t="shared" ca="1" si="60"/>
        <v>22.224473826228223</v>
      </c>
      <c r="P184" t="str">
        <f t="shared" ca="1" si="75"/>
        <v>0.030966009289956-0.169424194211739i</v>
      </c>
      <c r="Q184">
        <f t="shared" ca="1" si="70"/>
        <v>-15.277783205989902</v>
      </c>
      <c r="R184">
        <f t="shared" ca="1" si="76"/>
        <v>-79.642258036512246</v>
      </c>
      <c r="T184" t="str">
        <f t="shared" si="61"/>
        <v>1+6.308i</v>
      </c>
      <c r="U184" t="str">
        <f t="shared" si="62"/>
        <v>1+0.83i</v>
      </c>
      <c r="V184" t="str">
        <f t="shared" si="63"/>
        <v>-0.0297241597970831i</v>
      </c>
      <c r="W184" t="str">
        <f t="shared" si="71"/>
        <v>0.0964112424468122-0.109745491027937i</v>
      </c>
      <c r="X184">
        <f t="shared" si="72"/>
        <v>-16.708218565841747</v>
      </c>
      <c r="Y184">
        <f t="shared" si="73"/>
        <v>-48.700744680483126</v>
      </c>
      <c r="Z184">
        <f t="shared" si="74"/>
        <v>13209.860276627312</v>
      </c>
      <c r="AA184">
        <f t="shared" ca="1" si="64"/>
        <v>-31.986001771831649</v>
      </c>
      <c r="AB184">
        <f t="shared" ca="1" si="65"/>
        <v>-128.34300271699539</v>
      </c>
    </row>
    <row r="185" spans="1:28" x14ac:dyDescent="0.2">
      <c r="A185">
        <v>84000</v>
      </c>
      <c r="B185" t="str">
        <f t="shared" si="66"/>
        <v>84000i</v>
      </c>
      <c r="C185" t="str">
        <f t="shared" ca="1" si="52"/>
        <v>1+2.19768843055357i</v>
      </c>
      <c r="D185" t="str">
        <f t="shared" ca="1" si="53"/>
        <v>1+0.291838486828308i</v>
      </c>
      <c r="E185" t="str">
        <f t="shared" ca="1" si="54"/>
        <v>1+218.66769111978i</v>
      </c>
      <c r="F185">
        <f t="shared" ca="1" si="55"/>
        <v>39.000923110829653</v>
      </c>
      <c r="G185" t="str">
        <f t="shared" ca="1" si="67"/>
        <v>0.444307888734654-0.061932288759579i</v>
      </c>
      <c r="H185">
        <f t="shared" ca="1" si="68"/>
        <v>-6.9627466712484516</v>
      </c>
      <c r="I185">
        <f t="shared" ca="1" si="69"/>
        <v>-7.9353557977025311</v>
      </c>
      <c r="K185" t="str">
        <f t="shared" ca="1" si="56"/>
        <v>1+2.19768843055357i</v>
      </c>
      <c r="L185" t="str">
        <f t="shared" ca="1" si="57"/>
        <v>1-0.163852001468365i</v>
      </c>
      <c r="M185" t="str">
        <f t="shared" ca="1" si="58"/>
        <v>1+219.768843055357i</v>
      </c>
      <c r="N185" t="str">
        <f t="shared" si="59"/>
        <v>1+1.04739533736624i</v>
      </c>
      <c r="O185">
        <f t="shared" ca="1" si="60"/>
        <v>22.224473826228223</v>
      </c>
      <c r="P185" t="str">
        <f t="shared" ca="1" si="75"/>
        <v>0.0301468361247304-0.168178793650736i</v>
      </c>
      <c r="Q185">
        <f t="shared" ca="1" si="70"/>
        <v>-15.347221896902262</v>
      </c>
      <c r="R185">
        <f t="shared" ca="1" si="76"/>
        <v>-79.837395065005154</v>
      </c>
      <c r="T185" t="str">
        <f t="shared" si="61"/>
        <v>1+6.384i</v>
      </c>
      <c r="U185" t="str">
        <f t="shared" si="62"/>
        <v>1+0.84i</v>
      </c>
      <c r="V185" t="str">
        <f t="shared" si="63"/>
        <v>-0.0293703007518797i</v>
      </c>
      <c r="W185" t="str">
        <f t="shared" si="71"/>
        <v>0.095467253382048-0.1095627935928i</v>
      </c>
      <c r="X185">
        <f t="shared" si="72"/>
        <v>-16.753471690456905</v>
      </c>
      <c r="Y185">
        <f t="shared" si="73"/>
        <v>-48.932819640529473</v>
      </c>
      <c r="Z185">
        <f t="shared" si="74"/>
        <v>13369.015219719209</v>
      </c>
      <c r="AA185">
        <f t="shared" ca="1" si="64"/>
        <v>-32.100693587359167</v>
      </c>
      <c r="AB185">
        <f t="shared" ca="1" si="65"/>
        <v>-128.77021470553461</v>
      </c>
    </row>
    <row r="186" spans="1:28" x14ac:dyDescent="0.2">
      <c r="A186">
        <v>85000</v>
      </c>
      <c r="B186" t="str">
        <f t="shared" si="66"/>
        <v>85000i</v>
      </c>
      <c r="C186" t="str">
        <f t="shared" ca="1" si="52"/>
        <v>1+2.22385138806016i</v>
      </c>
      <c r="D186" t="str">
        <f t="shared" ca="1" si="53"/>
        <v>1+0.295312754528645i</v>
      </c>
      <c r="E186" t="str">
        <f t="shared" ca="1" si="54"/>
        <v>1+221.270877918825i</v>
      </c>
      <c r="F186">
        <f t="shared" ca="1" si="55"/>
        <v>39.000923110829653</v>
      </c>
      <c r="G186" t="str">
        <f t="shared" ca="1" si="67"/>
        <v>0.444289027520517-0.0584961405006356i</v>
      </c>
      <c r="H186">
        <f t="shared" ca="1" si="68"/>
        <v>-6.9720484864478296</v>
      </c>
      <c r="I186">
        <f t="shared" ca="1" si="69"/>
        <v>-7.5005552711395174</v>
      </c>
      <c r="K186" t="str">
        <f t="shared" ca="1" si="56"/>
        <v>1+2.22385138806016i</v>
      </c>
      <c r="L186" t="str">
        <f t="shared" ca="1" si="57"/>
        <v>1-0.165802620533465i</v>
      </c>
      <c r="M186" t="str">
        <f t="shared" ca="1" si="58"/>
        <v>1+222.385138806016i</v>
      </c>
      <c r="N186" t="str">
        <f t="shared" si="59"/>
        <v>1+1.05986432947774i</v>
      </c>
      <c r="O186">
        <f t="shared" ca="1" si="60"/>
        <v>22.224473826228223</v>
      </c>
      <c r="P186" t="str">
        <f t="shared" ca="1" si="75"/>
        <v>0.0293384940886266-0.166952843102805i</v>
      </c>
      <c r="Q186">
        <f t="shared" ca="1" si="70"/>
        <v>-15.416039268492383</v>
      </c>
      <c r="R186">
        <f t="shared" ca="1" si="76"/>
        <v>-80.033219421866278</v>
      </c>
      <c r="T186" t="str">
        <f t="shared" si="61"/>
        <v>1+6.46i</v>
      </c>
      <c r="U186" t="str">
        <f t="shared" si="62"/>
        <v>1+0.85i</v>
      </c>
      <c r="V186" t="str">
        <f t="shared" si="63"/>
        <v>-0.0290247678018576i</v>
      </c>
      <c r="W186" t="str">
        <f t="shared" si="71"/>
        <v>0.0945305935375449-0.109375772308771i</v>
      </c>
      <c r="X186">
        <f t="shared" si="72"/>
        <v>-16.798725680253025</v>
      </c>
      <c r="Y186">
        <f t="shared" si="73"/>
        <v>-49.164009617675212</v>
      </c>
      <c r="Z186">
        <f t="shared" si="74"/>
        <v>13528.170162811104</v>
      </c>
      <c r="AA186">
        <f t="shared" ca="1" si="64"/>
        <v>-32.214764948745412</v>
      </c>
      <c r="AB186">
        <f t="shared" ca="1" si="65"/>
        <v>-129.1972290395415</v>
      </c>
    </row>
    <row r="187" spans="1:28" x14ac:dyDescent="0.2">
      <c r="A187">
        <v>86000</v>
      </c>
      <c r="B187" t="str">
        <f t="shared" si="66"/>
        <v>86000i</v>
      </c>
      <c r="C187" t="str">
        <f t="shared" ca="1" si="52"/>
        <v>1+2.25001434556675i</v>
      </c>
      <c r="D187" t="str">
        <f t="shared" ca="1" si="53"/>
        <v>1+0.298787022228982i</v>
      </c>
      <c r="E187" t="str">
        <f t="shared" ca="1" si="54"/>
        <v>1+223.87406471787i</v>
      </c>
      <c r="F187">
        <f t="shared" ca="1" si="55"/>
        <v>39.000923110829653</v>
      </c>
      <c r="G187" t="str">
        <f t="shared" ca="1" si="67"/>
        <v>0.444270820405373-0.055108229514966i</v>
      </c>
      <c r="H187">
        <f t="shared" ca="1" si="68"/>
        <v>-6.9807307331374426</v>
      </c>
      <c r="I187">
        <f t="shared" ca="1" si="69"/>
        <v>-7.0709636147098198</v>
      </c>
      <c r="K187" t="str">
        <f t="shared" ca="1" si="56"/>
        <v>1+2.25001434556675i</v>
      </c>
      <c r="L187" t="str">
        <f t="shared" ca="1" si="57"/>
        <v>1-0.167753239598564i</v>
      </c>
      <c r="M187" t="str">
        <f t="shared" ca="1" si="58"/>
        <v>1+225.001434556675i</v>
      </c>
      <c r="N187" t="str">
        <f t="shared" si="59"/>
        <v>1+1.07233332158924i</v>
      </c>
      <c r="O187">
        <f t="shared" ca="1" si="60"/>
        <v>22.224473826228223</v>
      </c>
      <c r="P187" t="str">
        <f t="shared" ca="1" si="75"/>
        <v>0.028540928423438-0.165745698425117i</v>
      </c>
      <c r="Q187">
        <f t="shared" ca="1" si="70"/>
        <v>-15.484250676340206</v>
      </c>
      <c r="R187">
        <f t="shared" ca="1" si="76"/>
        <v>-80.229650649134015</v>
      </c>
      <c r="T187" t="str">
        <f t="shared" si="61"/>
        <v>1+6.536i</v>
      </c>
      <c r="U187" t="str">
        <f t="shared" si="62"/>
        <v>1+0.86i</v>
      </c>
      <c r="V187" t="str">
        <f t="shared" si="63"/>
        <v>-0.028687270501836i</v>
      </c>
      <c r="W187" t="str">
        <f t="shared" si="71"/>
        <v>0.0936013723663032-0.109184450736857i</v>
      </c>
      <c r="X187">
        <f t="shared" si="72"/>
        <v>-16.843977819071604</v>
      </c>
      <c r="Y187">
        <f t="shared" si="73"/>
        <v>-49.394258668820754</v>
      </c>
      <c r="Z187">
        <f t="shared" si="74"/>
        <v>13687.325105902999</v>
      </c>
      <c r="AA187">
        <f t="shared" ca="1" si="64"/>
        <v>-32.328228495411807</v>
      </c>
      <c r="AB187">
        <f t="shared" ca="1" si="65"/>
        <v>-129.62390931795477</v>
      </c>
    </row>
    <row r="188" spans="1:28" x14ac:dyDescent="0.2">
      <c r="A188">
        <v>87000</v>
      </c>
      <c r="B188" t="str">
        <f t="shared" si="66"/>
        <v>87000i</v>
      </c>
      <c r="C188" t="str">
        <f t="shared" ca="1" si="52"/>
        <v>1+2.27617730307334i</v>
      </c>
      <c r="D188" t="str">
        <f t="shared" ca="1" si="53"/>
        <v>1+0.302261289929319i</v>
      </c>
      <c r="E188" t="str">
        <f t="shared" ca="1" si="54"/>
        <v>1+226.477251516915i</v>
      </c>
      <c r="F188">
        <f t="shared" ca="1" si="55"/>
        <v>39.000923110829653</v>
      </c>
      <c r="G188" t="str">
        <f t="shared" ca="1" si="67"/>
        <v>0.444253237490202-0.0517668925803383i</v>
      </c>
      <c r="H188">
        <f t="shared" ca="1" si="68"/>
        <v>-6.988815254407255</v>
      </c>
      <c r="I188">
        <f t="shared" ca="1" si="69"/>
        <v>-6.6464531573699812</v>
      </c>
      <c r="K188" t="str">
        <f t="shared" ca="1" si="56"/>
        <v>1+2.27617730307334i</v>
      </c>
      <c r="L188" t="str">
        <f t="shared" ca="1" si="57"/>
        <v>1-0.169703858663664i</v>
      </c>
      <c r="M188" t="str">
        <f t="shared" ca="1" si="58"/>
        <v>1+227.617730307334i</v>
      </c>
      <c r="N188" t="str">
        <f t="shared" si="59"/>
        <v>1+1.08480231370075i</v>
      </c>
      <c r="O188">
        <f t="shared" ca="1" si="60"/>
        <v>22.224473826228223</v>
      </c>
      <c r="P188" t="str">
        <f t="shared" ca="1" si="75"/>
        <v>0.0277540782669774-0.164556751661684i</v>
      </c>
      <c r="Q188">
        <f t="shared" ca="1" si="70"/>
        <v>-15.551870672932823</v>
      </c>
      <c r="R188">
        <f t="shared" ca="1" si="76"/>
        <v>-80.426612485019191</v>
      </c>
      <c r="T188" t="str">
        <f t="shared" si="61"/>
        <v>1+6.612i</v>
      </c>
      <c r="U188" t="str">
        <f t="shared" si="62"/>
        <v>1+0.87i</v>
      </c>
      <c r="V188" t="str">
        <f t="shared" si="63"/>
        <v>-0.0283575317604356i</v>
      </c>
      <c r="W188" t="str">
        <f t="shared" si="71"/>
        <v>0.0926796900042239-0.10898886206411i</v>
      </c>
      <c r="X188">
        <f t="shared" si="72"/>
        <v>-16.889225336796486</v>
      </c>
      <c r="Y188">
        <f t="shared" si="73"/>
        <v>-49.623514842162429</v>
      </c>
      <c r="Z188">
        <f t="shared" si="74"/>
        <v>13846.480048994894</v>
      </c>
      <c r="AA188">
        <f t="shared" ca="1" si="64"/>
        <v>-32.441096009729307</v>
      </c>
      <c r="AB188">
        <f t="shared" ca="1" si="65"/>
        <v>-130.05012732718163</v>
      </c>
    </row>
    <row r="189" spans="1:28" x14ac:dyDescent="0.2">
      <c r="A189">
        <v>88000</v>
      </c>
      <c r="B189" t="str">
        <f t="shared" si="66"/>
        <v>88000i</v>
      </c>
      <c r="C189" t="str">
        <f t="shared" ca="1" si="52"/>
        <v>1+2.30234026057993i</v>
      </c>
      <c r="D189" t="str">
        <f t="shared" ca="1" si="53"/>
        <v>1+0.305735557629656i</v>
      </c>
      <c r="E189" t="str">
        <f t="shared" ca="1" si="54"/>
        <v>1+229.08043831596i</v>
      </c>
      <c r="F189">
        <f t="shared" ca="1" si="55"/>
        <v>39.000923110829653</v>
      </c>
      <c r="G189" t="str">
        <f t="shared" ca="1" si="67"/>
        <v>0.444236250565023-0.0484705420681561i</v>
      </c>
      <c r="H189">
        <f t="shared" ca="1" si="68"/>
        <v>-6.9963228750121296</v>
      </c>
      <c r="I189">
        <f t="shared" ca="1" si="69"/>
        <v>-6.2269004375201904</v>
      </c>
      <c r="K189" t="str">
        <f t="shared" ca="1" si="56"/>
        <v>1+2.30234026057993i</v>
      </c>
      <c r="L189" t="str">
        <f t="shared" ca="1" si="57"/>
        <v>1-0.171654477728763i</v>
      </c>
      <c r="M189" t="str">
        <f t="shared" ca="1" si="58"/>
        <v>1+230.234026057993i</v>
      </c>
      <c r="N189" t="str">
        <f t="shared" si="59"/>
        <v>1+1.09727130581225i</v>
      </c>
      <c r="O189">
        <f t="shared" ca="1" si="60"/>
        <v>22.224473826228223</v>
      </c>
      <c r="P189" t="str">
        <f t="shared" ca="1" si="75"/>
        <v>0.0269778770754447-0.163385428539085i</v>
      </c>
      <c r="Q189">
        <f t="shared" ca="1" si="70"/>
        <v>-15.618913060353554</v>
      </c>
      <c r="R189">
        <f t="shared" ca="1" si="76"/>
        <v>-80.624032669689498</v>
      </c>
      <c r="T189" t="str">
        <f t="shared" si="61"/>
        <v>1+6.688i</v>
      </c>
      <c r="U189" t="str">
        <f t="shared" si="62"/>
        <v>1+0.88i</v>
      </c>
      <c r="V189" t="str">
        <f t="shared" si="63"/>
        <v>-0.0280352870813397i</v>
      </c>
      <c r="W189" t="str">
        <f t="shared" si="71"/>
        <v>0.0917656376061886-0.108789048174786i</v>
      </c>
      <c r="X189">
        <f t="shared" si="72"/>
        <v>-16.934465421877892</v>
      </c>
      <c r="Y189">
        <f t="shared" si="73"/>
        <v>-49.851729948527868</v>
      </c>
      <c r="Z189">
        <f t="shared" si="74"/>
        <v>14005.634992086791</v>
      </c>
      <c r="AA189">
        <f t="shared" ca="1" si="64"/>
        <v>-32.553378482231444</v>
      </c>
      <c r="AB189">
        <f t="shared" ca="1" si="65"/>
        <v>-130.47576261821737</v>
      </c>
    </row>
    <row r="190" spans="1:28" x14ac:dyDescent="0.2">
      <c r="A190">
        <v>89000</v>
      </c>
      <c r="B190" t="str">
        <f t="shared" si="66"/>
        <v>89000i</v>
      </c>
      <c r="C190" t="str">
        <f t="shared" ca="1" si="52"/>
        <v>1+2.32850321808652i</v>
      </c>
      <c r="D190" t="str">
        <f t="shared" ca="1" si="53"/>
        <v>1+0.309209825329993i</v>
      </c>
      <c r="E190" t="str">
        <f t="shared" ca="1" si="54"/>
        <v>1+231.683625115005i</v>
      </c>
      <c r="F190">
        <f t="shared" ca="1" si="55"/>
        <v>39.000923110829653</v>
      </c>
      <c r="G190" t="str">
        <f t="shared" ca="1" si="67"/>
        <v>0.444219832995662-0.0452176616971164i</v>
      </c>
      <c r="H190">
        <f t="shared" ca="1" si="68"/>
        <v>-7.0032734578213551</v>
      </c>
      <c r="I190">
        <f t="shared" ca="1" si="69"/>
        <v>-5.8121860505189868</v>
      </c>
      <c r="K190" t="str">
        <f t="shared" ca="1" si="56"/>
        <v>1+2.32850321808652i</v>
      </c>
      <c r="L190" t="str">
        <f t="shared" ca="1" si="57"/>
        <v>1-0.173605096793863i</v>
      </c>
      <c r="M190" t="str">
        <f t="shared" ca="1" si="58"/>
        <v>1+232.850321808652i</v>
      </c>
      <c r="N190" t="str">
        <f t="shared" si="59"/>
        <v>1+1.10974029792375i</v>
      </c>
      <c r="O190">
        <f t="shared" ca="1" si="60"/>
        <v>22.224473826228223</v>
      </c>
      <c r="P190" t="str">
        <f t="shared" ca="1" si="75"/>
        <v>0.0262122530297383-0.162231186150362i</v>
      </c>
      <c r="Q190">
        <f t="shared" ca="1" si="70"/>
        <v>-15.685390939262437</v>
      </c>
      <c r="R190">
        <f t="shared" ca="1" si="76"/>
        <v>-80.821842758992034</v>
      </c>
      <c r="T190" t="str">
        <f t="shared" si="61"/>
        <v>1+6.764i</v>
      </c>
      <c r="U190" t="str">
        <f t="shared" si="62"/>
        <v>1+0.89i</v>
      </c>
      <c r="V190" t="str">
        <f t="shared" si="63"/>
        <v>-0.0277202838557067i</v>
      </c>
      <c r="W190" t="str">
        <f t="shared" si="71"/>
        <v>0.0908592976778199-0.108585058788966i</v>
      </c>
      <c r="X190">
        <f t="shared" si="72"/>
        <v>-16.979695232665186</v>
      </c>
      <c r="Y190">
        <f t="shared" si="73"/>
        <v>-50.078859346431443</v>
      </c>
      <c r="Z190">
        <f t="shared" si="74"/>
        <v>14164.789935178685</v>
      </c>
      <c r="AA190">
        <f t="shared" ca="1" si="64"/>
        <v>-32.665086171927626</v>
      </c>
      <c r="AB190">
        <f t="shared" ca="1" si="65"/>
        <v>-130.90070210542348</v>
      </c>
    </row>
    <row r="191" spans="1:28" x14ac:dyDescent="0.2">
      <c r="A191">
        <v>90000</v>
      </c>
      <c r="B191" t="str">
        <f t="shared" si="66"/>
        <v>90000i</v>
      </c>
      <c r="C191" t="str">
        <f t="shared" ca="1" si="52"/>
        <v>1+2.35466617559311i</v>
      </c>
      <c r="D191" t="str">
        <f t="shared" ca="1" si="53"/>
        <v>1+0.31268409303033i</v>
      </c>
      <c r="E191" t="str">
        <f t="shared" ca="1" si="54"/>
        <v>1+234.28681191405i</v>
      </c>
      <c r="F191">
        <f t="shared" ca="1" si="55"/>
        <v>39.000923110829653</v>
      </c>
      <c r="G191" t="str">
        <f t="shared" ca="1" si="67"/>
        <v>0.444203959619303-0.0420068025699167i</v>
      </c>
      <c r="H191">
        <f t="shared" ca="1" si="68"/>
        <v>-7.0096859567401237</v>
      </c>
      <c r="I191">
        <f t="shared" ca="1" si="69"/>
        <v>-5.4021945014934571</v>
      </c>
      <c r="K191" t="str">
        <f t="shared" ca="1" si="56"/>
        <v>1+2.35466617559311i</v>
      </c>
      <c r="L191" t="str">
        <f t="shared" ca="1" si="57"/>
        <v>1-0.175555715858963i</v>
      </c>
      <c r="M191" t="str">
        <f t="shared" ca="1" si="58"/>
        <v>1+235.466617559311i</v>
      </c>
      <c r="N191" t="str">
        <f t="shared" si="59"/>
        <v>1+1.12220929003525i</v>
      </c>
      <c r="O191">
        <f t="shared" ca="1" si="60"/>
        <v>22.224473826228223</v>
      </c>
      <c r="P191" t="str">
        <f t="shared" ca="1" si="75"/>
        <v>0.0254571294256778-0.161093510812101i</v>
      </c>
      <c r="Q191">
        <f t="shared" ca="1" si="70"/>
        <v>-15.751316754439124</v>
      </c>
      <c r="R191">
        <f t="shared" ca="1" si="76"/>
        <v>-81.019977945893942</v>
      </c>
      <c r="T191" t="str">
        <f t="shared" si="61"/>
        <v>1+6.84i</v>
      </c>
      <c r="U191" t="str">
        <f t="shared" si="62"/>
        <v>1+0.9i</v>
      </c>
      <c r="V191" t="str">
        <f t="shared" si="63"/>
        <v>-0.0274122807017544i</v>
      </c>
      <c r="W191" t="str">
        <f t="shared" si="71"/>
        <v>0.0899607444024426-0.108376950663953i</v>
      </c>
      <c r="X191">
        <f t="shared" si="72"/>
        <v>-17.024911907650033</v>
      </c>
      <c r="Y191">
        <f t="shared" si="73"/>
        <v>-50.304861739923133</v>
      </c>
      <c r="Z191">
        <f t="shared" si="74"/>
        <v>14323.94487827058</v>
      </c>
      <c r="AA191">
        <f t="shared" ca="1" si="64"/>
        <v>-32.776228662089153</v>
      </c>
      <c r="AB191">
        <f t="shared" ca="1" si="65"/>
        <v>-131.32483968581707</v>
      </c>
    </row>
    <row r="192" spans="1:28" x14ac:dyDescent="0.2">
      <c r="A192">
        <v>91000</v>
      </c>
      <c r="B192" t="str">
        <f t="shared" si="66"/>
        <v>91000i</v>
      </c>
      <c r="C192" t="str">
        <f t="shared" ca="1" si="52"/>
        <v>1+2.3808291330997i</v>
      </c>
      <c r="D192" t="str">
        <f t="shared" ca="1" si="53"/>
        <v>1+0.316158360730667i</v>
      </c>
      <c r="E192" t="str">
        <f t="shared" ca="1" si="54"/>
        <v>1+236.889998713095i</v>
      </c>
      <c r="F192">
        <f t="shared" ca="1" si="55"/>
        <v>39.000923110829653</v>
      </c>
      <c r="G192" t="str">
        <f t="shared" ca="1" si="67"/>
        <v>0.444188606648009-0.0388365794712435i</v>
      </c>
      <c r="H192">
        <f t="shared" ca="1" si="68"/>
        <v>-7.0155784663470611</v>
      </c>
      <c r="I192">
        <f t="shared" ca="1" si="69"/>
        <v>-4.9968140633329368</v>
      </c>
      <c r="K192" t="str">
        <f t="shared" ca="1" si="56"/>
        <v>1+2.3808291330997i</v>
      </c>
      <c r="L192" t="str">
        <f t="shared" ca="1" si="57"/>
        <v>1-0.177506334924062i</v>
      </c>
      <c r="M192" t="str">
        <f t="shared" ca="1" si="58"/>
        <v>1+238.08291330997i</v>
      </c>
      <c r="N192" t="str">
        <f t="shared" si="59"/>
        <v>1+1.13467828214676i</v>
      </c>
      <c r="O192">
        <f t="shared" ca="1" si="60"/>
        <v>22.224473826228223</v>
      </c>
      <c r="P192" t="str">
        <f t="shared" ca="1" si="75"/>
        <v>0.0247124250481577-0.159971916080915i</v>
      </c>
      <c r="Q192">
        <f t="shared" ca="1" si="70"/>
        <v>-15.816702337142761</v>
      </c>
      <c r="R192">
        <f t="shared" ca="1" si="76"/>
        <v>-81.218376889421364</v>
      </c>
      <c r="T192" t="str">
        <f t="shared" si="61"/>
        <v>1+6.916i</v>
      </c>
      <c r="U192" t="str">
        <f t="shared" si="62"/>
        <v>1+0.91i</v>
      </c>
      <c r="V192" t="str">
        <f t="shared" si="63"/>
        <v>-0.0271110468478889i</v>
      </c>
      <c r="W192" t="str">
        <f t="shared" si="71"/>
        <v>0.0890700439628145-0.10816478685405i</v>
      </c>
      <c r="X192">
        <f t="shared" si="72"/>
        <v>-17.070112574715644</v>
      </c>
      <c r="Y192">
        <f t="shared" si="73"/>
        <v>-50.529698988361226</v>
      </c>
      <c r="Z192">
        <f t="shared" si="74"/>
        <v>14483.099821362475</v>
      </c>
      <c r="AA192">
        <f t="shared" ca="1" si="64"/>
        <v>-32.886814911858409</v>
      </c>
      <c r="AB192">
        <f t="shared" ca="1" si="65"/>
        <v>-131.74807587778258</v>
      </c>
    </row>
    <row r="193" spans="1:28" x14ac:dyDescent="0.2">
      <c r="A193">
        <v>92000</v>
      </c>
      <c r="B193" t="str">
        <f t="shared" si="66"/>
        <v>92000i</v>
      </c>
      <c r="C193" t="str">
        <f t="shared" ca="1" si="52"/>
        <v>1+2.40699209060629i</v>
      </c>
      <c r="D193" t="str">
        <f t="shared" ca="1" si="53"/>
        <v>1+0.319632628431004i</v>
      </c>
      <c r="E193" t="str">
        <f t="shared" ca="1" si="54"/>
        <v>1+239.49318551214i</v>
      </c>
      <c r="F193">
        <f t="shared" ca="1" si="55"/>
        <v>39.000923110829653</v>
      </c>
      <c r="G193" t="str">
        <f t="shared" ca="1" si="67"/>
        <v>0.444173751579566-0.0357056674071676i</v>
      </c>
      <c r="H193">
        <f t="shared" ca="1" si="68"/>
        <v>-7.0209682684719468</v>
      </c>
      <c r="I193">
        <f t="shared" ca="1" si="69"/>
        <v>-4.5959366397445711</v>
      </c>
      <c r="K193" t="str">
        <f t="shared" ca="1" si="56"/>
        <v>1+2.40699209060629i</v>
      </c>
      <c r="L193" t="str">
        <f t="shared" ca="1" si="57"/>
        <v>1-0.179456953989162i</v>
      </c>
      <c r="M193" t="str">
        <f t="shared" ca="1" si="58"/>
        <v>1+240.699209060629i</v>
      </c>
      <c r="N193" t="str">
        <f t="shared" si="59"/>
        <v>1+1.14714727425826i</v>
      </c>
      <c r="O193">
        <f t="shared" ca="1" si="60"/>
        <v>22.224473826228223</v>
      </c>
      <c r="P193" t="str">
        <f t="shared" ca="1" si="75"/>
        <v>0.0239780545293566-0.158865940916821i</v>
      </c>
      <c r="Q193">
        <f t="shared" ca="1" si="70"/>
        <v>-15.881558944518304</v>
      </c>
      <c r="R193">
        <f t="shared" ca="1" si="76"/>
        <v>-81.416981550866311</v>
      </c>
      <c r="T193" t="str">
        <f t="shared" si="61"/>
        <v>1+6.992i</v>
      </c>
      <c r="U193" t="str">
        <f t="shared" si="62"/>
        <v>1+0.92i</v>
      </c>
      <c r="V193" t="str">
        <f t="shared" si="63"/>
        <v>-0.0268163615560641i</v>
      </c>
      <c r="W193" t="str">
        <f t="shared" si="71"/>
        <v>0.0881872548572471-0.107948636024731i</v>
      </c>
      <c r="X193">
        <f t="shared" si="72"/>
        <v>-17.115294359475254</v>
      </c>
      <c r="Y193">
        <f t="shared" si="73"/>
        <v>-50.753335927326738</v>
      </c>
      <c r="Z193">
        <f t="shared" si="74"/>
        <v>14642.254764454372</v>
      </c>
      <c r="AA193">
        <f t="shared" ca="1" si="64"/>
        <v>-32.996853303993561</v>
      </c>
      <c r="AB193">
        <f t="shared" ca="1" si="65"/>
        <v>-132.17031747819306</v>
      </c>
    </row>
    <row r="194" spans="1:28" x14ac:dyDescent="0.2">
      <c r="A194">
        <v>93000</v>
      </c>
      <c r="B194" t="str">
        <f t="shared" si="66"/>
        <v>93000i</v>
      </c>
      <c r="C194" t="str">
        <f t="shared" ref="C194:C257" ca="1" si="77">IMSUM(1,IMDIV(B194,CcmWz1))</f>
        <v>1+2.43315504811288i</v>
      </c>
      <c r="D194" t="str">
        <f t="shared" ref="D194:D257" ca="1" si="78">IMSUM(1,IMDIV(B194,CcmWz2))</f>
        <v>1+0.323106896131341i</v>
      </c>
      <c r="E194" t="str">
        <f t="shared" ref="E194:E257" ca="1" si="79">IMSUM(1,IMDIV(B194,CcmWp1))</f>
        <v>1+242.096372311185i</v>
      </c>
      <c r="F194">
        <f t="shared" ref="F194:F257" ca="1" si="80">CcmGo</f>
        <v>39.000923110829653</v>
      </c>
      <c r="G194" t="str">
        <f t="shared" ca="1" si="67"/>
        <v>0.444159373114964-0.0326127983677761i</v>
      </c>
      <c r="H194">
        <f t="shared" ca="1" si="68"/>
        <v>-7.0258718759229595</v>
      </c>
      <c r="I194">
        <f t="shared" ca="1" si="69"/>
        <v>-4.1994576332432638</v>
      </c>
      <c r="K194" t="str">
        <f t="shared" ref="K194:K257" ca="1" si="81">IMSUM(1,IMDIV(B194,DcmWz1))</f>
        <v>1+2.43315504811288i</v>
      </c>
      <c r="L194" t="str">
        <f t="shared" ref="L194:L257" ca="1" si="82">IMSUB(1,IMDIV($B194,DcmWz2))</f>
        <v>1-0.181407573054261i</v>
      </c>
      <c r="M194" t="str">
        <f t="shared" ref="M194:M257" ca="1" si="83">IMSUM(1,IMDIV($B194,DcmWp1))</f>
        <v>1+243.315504811288i</v>
      </c>
      <c r="N194" t="str">
        <f t="shared" ref="N194:N257" si="84">IMSUM(1,IMDIV($B194,DcmWp2))</f>
        <v>1+1.15961626636976i</v>
      </c>
      <c r="O194">
        <f t="shared" ref="O194:O257" ca="1" si="85">DcmGo</f>
        <v>22.224473826228223</v>
      </c>
      <c r="P194" t="str">
        <f t="shared" ca="1" si="75"/>
        <v>0.0232539286911647-0.15777514798193i</v>
      </c>
      <c r="Q194">
        <f t="shared" ca="1" si="70"/>
        <v>-15.945897296267965</v>
      </c>
      <c r="R194">
        <f t="shared" ca="1" si="76"/>
        <v>-81.615737037029547</v>
      </c>
      <c r="T194" t="str">
        <f t="shared" ref="T194:T257" si="86">IMSUM(1,IMPRODUCT($B194,1/CompWz1))</f>
        <v>1+7.068i</v>
      </c>
      <c r="U194" t="str">
        <f t="shared" ref="U194:U257" si="87">IMSUM(1,IMPRODUCT($B194,1/CompWp1))</f>
        <v>1+0.93i</v>
      </c>
      <c r="V194" t="str">
        <f t="shared" ref="V194:V257" si="88">IMDIV(CompA,$B194)</f>
        <v>-0.026528013582343i</v>
      </c>
      <c r="W194" t="str">
        <f t="shared" si="71"/>
        <v>0.0873124282097812-0.10772857181744i</v>
      </c>
      <c r="X194">
        <f t="shared" si="72"/>
        <v>-17.160454392779243</v>
      </c>
      <c r="Y194">
        <f t="shared" si="73"/>
        <v>-50.975740199939118</v>
      </c>
      <c r="Z194">
        <f t="shared" si="74"/>
        <v>14801.409707546267</v>
      </c>
      <c r="AA194">
        <f t="shared" ref="AA194:AA257" ca="1" si="89">IF(IsDcmBode, X194+Q194,X194+H194)</f>
        <v>-33.106351689047209</v>
      </c>
      <c r="AB194">
        <f t="shared" ref="AB194:AB257" ca="1" si="90">IF(IsDcmBode, Y194+R194,Y194+I194)</f>
        <v>-132.59147723696867</v>
      </c>
    </row>
    <row r="195" spans="1:28" x14ac:dyDescent="0.2">
      <c r="A195">
        <v>94000</v>
      </c>
      <c r="B195" t="str">
        <f t="shared" ref="B195:B258" si="91">COMPLEX(0,A195)</f>
        <v>94000i</v>
      </c>
      <c r="C195" t="str">
        <f t="shared" ca="1" si="77"/>
        <v>1+2.45931800561947i</v>
      </c>
      <c r="D195" t="str">
        <f t="shared" ca="1" si="78"/>
        <v>1+0.326581163831678i</v>
      </c>
      <c r="E195" t="str">
        <f t="shared" ca="1" si="79"/>
        <v>1+244.69955911023i</v>
      </c>
      <c r="F195">
        <f t="shared" ca="1" si="80"/>
        <v>39.000923110829653</v>
      </c>
      <c r="G195" t="str">
        <f t="shared" ref="G195:G258" ca="1" si="92">IMDIV(IMPRODUCT(F195,C195,D195),E195)</f>
        <v>0.44414545108202-0.0295567582964201i</v>
      </c>
      <c r="H195">
        <f t="shared" ref="H195:H258" ca="1" si="93">20*LOG(IMABS(G195),10)</f>
        <v>-7.0303050735548958</v>
      </c>
      <c r="I195">
        <f t="shared" ref="I195:I258" ca="1" si="94">IMARGUMENT(G195)*180/PI()</f>
        <v>-3.8072758179426138</v>
      </c>
      <c r="K195" t="str">
        <f t="shared" ca="1" si="81"/>
        <v>1+2.45931800561947i</v>
      </c>
      <c r="L195" t="str">
        <f t="shared" ca="1" si="82"/>
        <v>1-0.183358192119361i</v>
      </c>
      <c r="M195" t="str">
        <f t="shared" ca="1" si="83"/>
        <v>1+245.931800561947i</v>
      </c>
      <c r="N195" t="str">
        <f t="shared" si="84"/>
        <v>1+1.17208525848127i</v>
      </c>
      <c r="O195">
        <f t="shared" ca="1" si="85"/>
        <v>22.224473826228223</v>
      </c>
      <c r="P195" t="str">
        <f t="shared" ca="1" si="75"/>
        <v>0.0225399548720699-0.156699122063973i</v>
      </c>
      <c r="Q195">
        <f t="shared" ref="Q195:Q258" ca="1" si="95">20*LOG(IMABS(P195),10)</f>
        <v>-16.009727608782576</v>
      </c>
      <c r="R195">
        <f t="shared" ca="1" si="76"/>
        <v>-81.814591450266107</v>
      </c>
      <c r="T195" t="str">
        <f t="shared" si="86"/>
        <v>1+7.144i</v>
      </c>
      <c r="U195" t="str">
        <f t="shared" si="87"/>
        <v>1+0.94i</v>
      </c>
      <c r="V195" t="str">
        <f t="shared" si="88"/>
        <v>-0.0262458006718925i</v>
      </c>
      <c r="W195" t="str">
        <f t="shared" ref="W195:W258" si="96">IMDIV(IMPRODUCT(V195,T195),U195)</f>
        <v>0.0864456080741246-0.10750467226157i</v>
      </c>
      <c r="X195">
        <f t="shared" ref="X195:X258" si="97">20*LOG(IMABS(W195),10)</f>
        <v>-17.205589817461039</v>
      </c>
      <c r="Y195">
        <f t="shared" ref="Y195:Y258" si="98">IMARGUMENT(W195)*180/PI()</f>
        <v>-51.196882097900691</v>
      </c>
      <c r="Z195">
        <f t="shared" ref="Z195:Z258" si="99">A195/(2*PI())</f>
        <v>14960.564650638162</v>
      </c>
      <c r="AA195">
        <f t="shared" ca="1" si="89"/>
        <v>-33.215317426243615</v>
      </c>
      <c r="AB195">
        <f t="shared" ca="1" si="90"/>
        <v>-133.0114735481668</v>
      </c>
    </row>
    <row r="196" spans="1:28" x14ac:dyDescent="0.2">
      <c r="A196">
        <v>95000</v>
      </c>
      <c r="B196" t="str">
        <f t="shared" si="91"/>
        <v>95000i</v>
      </c>
      <c r="C196" t="str">
        <f t="shared" ca="1" si="77"/>
        <v>1+2.48548096312606i</v>
      </c>
      <c r="D196" t="str">
        <f t="shared" ca="1" si="78"/>
        <v>1+0.330055431532015i</v>
      </c>
      <c r="E196" t="str">
        <f t="shared" ca="1" si="79"/>
        <v>1+247.302745909275i</v>
      </c>
      <c r="F196">
        <f t="shared" ca="1" si="80"/>
        <v>39.000923110829653</v>
      </c>
      <c r="G196" t="str">
        <f t="shared" ca="1" si="92"/>
        <v>0.444131966364604-0.0265363842503546i</v>
      </c>
      <c r="H196">
        <f t="shared" ca="1" si="93"/>
        <v>-7.0342829568573944</v>
      </c>
      <c r="I196">
        <f t="shared" ca="1" si="94"/>
        <v>-3.4192932170109565</v>
      </c>
      <c r="K196" t="str">
        <f t="shared" ca="1" si="81"/>
        <v>1+2.48548096312606i</v>
      </c>
      <c r="L196" t="str">
        <f t="shared" ca="1" si="82"/>
        <v>1-0.185308811184461i</v>
      </c>
      <c r="M196" t="str">
        <f t="shared" ca="1" si="83"/>
        <v>1+248.548096312606i</v>
      </c>
      <c r="N196" t="str">
        <f t="shared" si="84"/>
        <v>1+1.18455425059277i</v>
      </c>
      <c r="O196">
        <f t="shared" ca="1" si="85"/>
        <v>22.224473826228223</v>
      </c>
      <c r="P196" t="str">
        <f t="shared" ca="1" si="75"/>
        <v>0.0218360372387914-0.155637468614929i</v>
      </c>
      <c r="Q196">
        <f t="shared" ca="1" si="95"/>
        <v>-16.073059626919466</v>
      </c>
      <c r="R196">
        <f t="shared" ca="1" si="76"/>
        <v>-82.013495745091134</v>
      </c>
      <c r="T196" t="str">
        <f t="shared" si="86"/>
        <v>1+7.22i</v>
      </c>
      <c r="U196" t="str">
        <f t="shared" si="87"/>
        <v>1+0.95i</v>
      </c>
      <c r="V196" t="str">
        <f t="shared" si="88"/>
        <v>-0.0259695290858726i</v>
      </c>
      <c r="W196" t="str">
        <f t="shared" si="96"/>
        <v>0.0855868317311017-0.107277019230419i</v>
      </c>
      <c r="X196">
        <f t="shared" si="97"/>
        <v>-17.250697794386017</v>
      </c>
      <c r="Y196">
        <f t="shared" si="98"/>
        <v>-51.4167344116468</v>
      </c>
      <c r="Z196">
        <f t="shared" si="99"/>
        <v>15119.719593730057</v>
      </c>
      <c r="AA196">
        <f t="shared" ca="1" si="89"/>
        <v>-33.323757421305487</v>
      </c>
      <c r="AB196">
        <f t="shared" ca="1" si="90"/>
        <v>-133.43023015673793</v>
      </c>
    </row>
    <row r="197" spans="1:28" x14ac:dyDescent="0.2">
      <c r="A197">
        <v>96000</v>
      </c>
      <c r="B197" t="str">
        <f t="shared" si="91"/>
        <v>96000i</v>
      </c>
      <c r="C197" t="str">
        <f t="shared" ca="1" si="77"/>
        <v>1+2.51164392063265i</v>
      </c>
      <c r="D197" t="str">
        <f t="shared" ca="1" si="78"/>
        <v>1+0.333529699232352i</v>
      </c>
      <c r="E197" t="str">
        <f t="shared" ca="1" si="79"/>
        <v>1+249.90593270832i</v>
      </c>
      <c r="F197">
        <f t="shared" ca="1" si="80"/>
        <v>39.000923110829653</v>
      </c>
      <c r="G197" t="str">
        <f t="shared" ca="1" si="92"/>
        <v>0.444118900836962-0.0235505617388198i</v>
      </c>
      <c r="H197">
        <f t="shared" ca="1" si="93"/>
        <v>-7.0378199682295328</v>
      </c>
      <c r="I197">
        <f t="shared" ca="1" si="94"/>
        <v>-3.0354149846549339</v>
      </c>
      <c r="K197" t="str">
        <f t="shared" ca="1" si="81"/>
        <v>1+2.51164392063265i</v>
      </c>
      <c r="L197" t="str">
        <f t="shared" ca="1" si="82"/>
        <v>1-0.18725943024956i</v>
      </c>
      <c r="M197" t="str">
        <f t="shared" ca="1" si="83"/>
        <v>1+251.164392063265i</v>
      </c>
      <c r="N197" t="str">
        <f t="shared" si="84"/>
        <v>1+1.19702324270427i</v>
      </c>
      <c r="O197">
        <f t="shared" ca="1" si="85"/>
        <v>22.224473826228223</v>
      </c>
      <c r="P197" t="str">
        <f t="shared" ca="1" si="75"/>
        <v>0.0211420770829493-0.154589812395906i</v>
      </c>
      <c r="Q197">
        <f t="shared" ca="1" si="95"/>
        <v>-16.135902653595263</v>
      </c>
      <c r="R197">
        <f t="shared" ca="1" si="76"/>
        <v>-82.212403591124556</v>
      </c>
      <c r="T197" t="str">
        <f t="shared" si="86"/>
        <v>1+7.296i</v>
      </c>
      <c r="U197" t="str">
        <f t="shared" si="87"/>
        <v>1+0.96i</v>
      </c>
      <c r="V197" t="str">
        <f t="shared" si="88"/>
        <v>-0.0256990131578947i</v>
      </c>
      <c r="W197" t="str">
        <f t="shared" si="96"/>
        <v>0.0847361299794031-0.107045697938122i</v>
      </c>
      <c r="X197">
        <f t="shared" si="97"/>
        <v>-17.29577550786329</v>
      </c>
      <c r="Y197">
        <f t="shared" si="98"/>
        <v>-51.635272289017657</v>
      </c>
      <c r="Z197">
        <f t="shared" si="99"/>
        <v>15278.874536821953</v>
      </c>
      <c r="AA197">
        <f t="shared" ca="1" si="89"/>
        <v>-33.431678161458549</v>
      </c>
      <c r="AB197">
        <f t="shared" ca="1" si="90"/>
        <v>-133.84767588014222</v>
      </c>
    </row>
    <row r="198" spans="1:28" x14ac:dyDescent="0.2">
      <c r="A198">
        <v>97000</v>
      </c>
      <c r="B198" t="str">
        <f t="shared" si="91"/>
        <v>97000i</v>
      </c>
      <c r="C198" t="str">
        <f t="shared" ca="1" si="77"/>
        <v>1+2.53780687813924i</v>
      </c>
      <c r="D198" t="str">
        <f t="shared" ca="1" si="78"/>
        <v>1+0.337003966932689i</v>
      </c>
      <c r="E198" t="str">
        <f t="shared" ca="1" si="79"/>
        <v>1+252.509119507365i</v>
      </c>
      <c r="F198">
        <f t="shared" ca="1" si="80"/>
        <v>39.000923110829653</v>
      </c>
      <c r="G198" t="str">
        <f t="shared" ca="1" si="92"/>
        <v>0.444106237302787-0.0205982222257565i</v>
      </c>
      <c r="H198">
        <f t="shared" ca="1" si="93"/>
        <v>-7.0409299310927951</v>
      </c>
      <c r="I198">
        <f t="shared" ca="1" si="94"/>
        <v>-2.6555492924899666</v>
      </c>
      <c r="K198" t="str">
        <f t="shared" ca="1" si="81"/>
        <v>1+2.53780687813924i</v>
      </c>
      <c r="L198" t="str">
        <f t="shared" ca="1" si="82"/>
        <v>1-0.18921004931466i</v>
      </c>
      <c r="M198" t="str">
        <f t="shared" ca="1" si="83"/>
        <v>1+253.780687813924i</v>
      </c>
      <c r="N198" t="str">
        <f t="shared" si="84"/>
        <v>1+1.20949223481577i</v>
      </c>
      <c r="O198">
        <f t="shared" ca="1" si="85"/>
        <v>22.224473826228223</v>
      </c>
      <c r="P198" t="str">
        <f t="shared" ca="1" si="75"/>
        <v>0.0204579731031551-0.153555796220117i</v>
      </c>
      <c r="Q198">
        <f t="shared" ca="1" si="95"/>
        <v>-16.19826557735059</v>
      </c>
      <c r="R198">
        <f t="shared" ca="1" si="76"/>
        <v>-82.411271242129928</v>
      </c>
      <c r="T198" t="str">
        <f t="shared" si="86"/>
        <v>1+7.372i</v>
      </c>
      <c r="U198" t="str">
        <f t="shared" si="87"/>
        <v>1+0.97i</v>
      </c>
      <c r="V198" t="str">
        <f t="shared" si="88"/>
        <v>-0.0254340748779164i</v>
      </c>
      <c r="W198" t="str">
        <f t="shared" si="96"/>
        <v>0.0838935274194555-0.106810796474788i</v>
      </c>
      <c r="X198">
        <f t="shared" si="97"/>
        <v>-17.340820170474217</v>
      </c>
      <c r="Y198">
        <f t="shared" si="98"/>
        <v>-51.852473101917475</v>
      </c>
      <c r="Z198">
        <f t="shared" si="99"/>
        <v>15438.029479913848</v>
      </c>
      <c r="AA198">
        <f t="shared" ca="1" si="89"/>
        <v>-33.539085747824807</v>
      </c>
      <c r="AB198">
        <f t="shared" ca="1" si="90"/>
        <v>-134.26374434404741</v>
      </c>
    </row>
    <row r="199" spans="1:28" x14ac:dyDescent="0.2">
      <c r="A199">
        <v>98000</v>
      </c>
      <c r="B199" t="str">
        <f t="shared" si="91"/>
        <v>98000i</v>
      </c>
      <c r="C199" t="str">
        <f t="shared" ca="1" si="77"/>
        <v>1+2.56396983564583i</v>
      </c>
      <c r="D199" t="str">
        <f t="shared" ca="1" si="78"/>
        <v>1+0.340478234633026i</v>
      </c>
      <c r="E199" t="str">
        <f t="shared" ca="1" si="79"/>
        <v>1+255.11230630641i</v>
      </c>
      <c r="F199">
        <f t="shared" ca="1" si="80"/>
        <v>39.000923110829653</v>
      </c>
      <c r="G199" t="str">
        <f t="shared" ca="1" si="92"/>
        <v>0.444093959438607-0.0176783407854012i</v>
      </c>
      <c r="H199">
        <f t="shared" ca="1" si="93"/>
        <v>-7.0436260819857406</v>
      </c>
      <c r="I199">
        <f t="shared" ca="1" si="94"/>
        <v>-2.2796072201588711</v>
      </c>
      <c r="K199" t="str">
        <f t="shared" ca="1" si="81"/>
        <v>1+2.56396983564583i</v>
      </c>
      <c r="L199" t="str">
        <f t="shared" ca="1" si="82"/>
        <v>1-0.191160668379759i</v>
      </c>
      <c r="M199" t="str">
        <f t="shared" ca="1" si="83"/>
        <v>1+256.396983564583i</v>
      </c>
      <c r="N199" t="str">
        <f t="shared" si="84"/>
        <v>1+1.22196122692728i</v>
      </c>
      <c r="O199">
        <f t="shared" ca="1" si="85"/>
        <v>22.224473826228223</v>
      </c>
      <c r="P199" t="str">
        <f t="shared" ca="1" si="75"/>
        <v>0.019783621672879-0.152535079786444i</v>
      </c>
      <c r="Q199">
        <f t="shared" ca="1" si="95"/>
        <v>-16.260156898032889</v>
      </c>
      <c r="R199">
        <f t="shared" ca="1" si="76"/>
        <v>-82.610057410924924</v>
      </c>
      <c r="T199" t="str">
        <f t="shared" si="86"/>
        <v>1+7.448i</v>
      </c>
      <c r="U199" t="str">
        <f t="shared" si="87"/>
        <v>1+0.98i</v>
      </c>
      <c r="V199" t="str">
        <f t="shared" si="88"/>
        <v>-0.0251745435016112i</v>
      </c>
      <c r="W199" t="str">
        <f t="shared" si="96"/>
        <v>0.0830590427302699-0.106572405377276i</v>
      </c>
      <c r="X199">
        <f t="shared" si="97"/>
        <v>-17.385829027366171</v>
      </c>
      <c r="Y199">
        <f t="shared" si="98"/>
        <v>-52.068316320466529</v>
      </c>
      <c r="Z199">
        <f t="shared" si="99"/>
        <v>15597.184423005743</v>
      </c>
      <c r="AA199">
        <f t="shared" ca="1" si="89"/>
        <v>-33.64598592539906</v>
      </c>
      <c r="AB199">
        <f t="shared" ca="1" si="90"/>
        <v>-134.67837373139145</v>
      </c>
    </row>
    <row r="200" spans="1:28" x14ac:dyDescent="0.2">
      <c r="A200">
        <v>99000</v>
      </c>
      <c r="B200" t="str">
        <f t="shared" si="91"/>
        <v>99000i</v>
      </c>
      <c r="C200" t="str">
        <f t="shared" ca="1" si="77"/>
        <v>1+2.59013279315242i</v>
      </c>
      <c r="D200" t="str">
        <f t="shared" ca="1" si="78"/>
        <v>1+0.343952502333363i</v>
      </c>
      <c r="E200" t="str">
        <f t="shared" ca="1" si="79"/>
        <v>1+257.715493105455i</v>
      </c>
      <c r="F200">
        <f t="shared" ca="1" si="80"/>
        <v>39.000923110829653</v>
      </c>
      <c r="G200" t="str">
        <f t="shared" ca="1" si="92"/>
        <v>0.444082051741167-0.0147899338999494i</v>
      </c>
      <c r="H200">
        <f t="shared" ca="1" si="93"/>
        <v>-7.0459211007720057</v>
      </c>
      <c r="I200">
        <f t="shared" ca="1" si="94"/>
        <v>-1.9075026500587871</v>
      </c>
      <c r="K200" t="str">
        <f t="shared" ca="1" si="81"/>
        <v>1+2.59013279315242i</v>
      </c>
      <c r="L200" t="str">
        <f t="shared" ca="1" si="82"/>
        <v>1-0.193111287444859i</v>
      </c>
      <c r="M200" t="str">
        <f t="shared" ca="1" si="83"/>
        <v>1+259.013279315242i</v>
      </c>
      <c r="N200" t="str">
        <f t="shared" si="84"/>
        <v>1+1.23443021903878i</v>
      </c>
      <c r="O200">
        <f t="shared" ca="1" si="85"/>
        <v>22.224473826228223</v>
      </c>
      <c r="P200" t="str">
        <f t="shared" ca="1" si="75"/>
        <v>0.019118917094507-0.151527338596727i</v>
      </c>
      <c r="Q200">
        <f t="shared" ca="1" si="95"/>
        <v>-16.321584750730342</v>
      </c>
      <c r="R200">
        <f t="shared" ca="1" si="76"/>
        <v>-82.808723149934892</v>
      </c>
      <c r="T200" t="str">
        <f t="shared" si="86"/>
        <v>1+7.524i</v>
      </c>
      <c r="U200" t="str">
        <f t="shared" si="87"/>
        <v>1+0.99i</v>
      </c>
      <c r="V200" t="str">
        <f t="shared" si="88"/>
        <v>-0.0249202551834131i</v>
      </c>
      <c r="W200" t="str">
        <f t="shared" si="96"/>
        <v>0.0822326889391551-0.106330617233177i</v>
      </c>
      <c r="X200">
        <f t="shared" si="97"/>
        <v>-17.430799360058209</v>
      </c>
      <c r="Y200">
        <f t="shared" si="98"/>
        <v>-52.282783394176811</v>
      </c>
      <c r="Z200">
        <f t="shared" si="99"/>
        <v>15756.339366097638</v>
      </c>
      <c r="AA200">
        <f t="shared" ca="1" si="89"/>
        <v>-33.752384110788554</v>
      </c>
      <c r="AB200">
        <f t="shared" ca="1" si="90"/>
        <v>-135.0915065441117</v>
      </c>
    </row>
    <row r="201" spans="1:28" x14ac:dyDescent="0.2">
      <c r="A201">
        <v>100000</v>
      </c>
      <c r="B201" t="str">
        <f t="shared" si="91"/>
        <v>100000i</v>
      </c>
      <c r="C201" t="str">
        <f t="shared" ca="1" si="77"/>
        <v>1+2.61629575065901i</v>
      </c>
      <c r="D201" t="str">
        <f t="shared" ca="1" si="78"/>
        <v>1+0.3474267700337i</v>
      </c>
      <c r="E201" t="str">
        <f t="shared" ca="1" si="79"/>
        <v>1+260.3186799045i</v>
      </c>
      <c r="F201">
        <f t="shared" ca="1" si="80"/>
        <v>39.000923110829653</v>
      </c>
      <c r="G201" t="str">
        <f t="shared" ca="1" si="92"/>
        <v>0.444070499478443-0.0119320573893462i</v>
      </c>
      <c r="H201">
        <f t="shared" ca="1" si="93"/>
        <v>-7.0478271390852356</v>
      </c>
      <c r="I201">
        <f t="shared" ca="1" si="94"/>
        <v>-1.5391521660389365</v>
      </c>
      <c r="K201" t="str">
        <f t="shared" ca="1" si="81"/>
        <v>1+2.61629575065901i</v>
      </c>
      <c r="L201" t="str">
        <f t="shared" ca="1" si="82"/>
        <v>1-0.195061906509958i</v>
      </c>
      <c r="M201" t="str">
        <f t="shared" ca="1" si="83"/>
        <v>1+261.629575065901i</v>
      </c>
      <c r="N201" t="str">
        <f t="shared" si="84"/>
        <v>1+1.24689921115028i</v>
      </c>
      <c r="O201">
        <f t="shared" ca="1" si="85"/>
        <v>22.224473826228223</v>
      </c>
      <c r="P201" t="str">
        <f t="shared" ca="1" si="75"/>
        <v>0.0184637518399875-0.150532262950404i</v>
      </c>
      <c r="Q201">
        <f t="shared" ca="1" si="95"/>
        <v>-16.382556928083524</v>
      </c>
      <c r="R201">
        <f t="shared" ca="1" si="76"/>
        <v>-83.007231737171182</v>
      </c>
      <c r="T201" t="str">
        <f t="shared" si="86"/>
        <v>1+7.6i</v>
      </c>
      <c r="U201" t="str">
        <f t="shared" si="87"/>
        <v>1+i</v>
      </c>
      <c r="V201" t="str">
        <f t="shared" si="88"/>
        <v>-0.0246710526315789i</v>
      </c>
      <c r="W201" t="str">
        <f t="shared" si="96"/>
        <v>0.0814144736842106-0.106085526315789i</v>
      </c>
      <c r="X201">
        <f t="shared" si="97"/>
        <v>-17.475728489798716</v>
      </c>
      <c r="Y201">
        <f t="shared" si="98"/>
        <v>-52.495857639729714</v>
      </c>
      <c r="Z201">
        <f t="shared" si="99"/>
        <v>15915.494309189535</v>
      </c>
      <c r="AA201">
        <f t="shared" ca="1" si="89"/>
        <v>-33.858285417882243</v>
      </c>
      <c r="AB201">
        <f t="shared" ca="1" si="90"/>
        <v>-135.5030893769009</v>
      </c>
    </row>
    <row r="202" spans="1:28" x14ac:dyDescent="0.2">
      <c r="A202">
        <v>110000</v>
      </c>
      <c r="B202" t="str">
        <f t="shared" si="91"/>
        <v>110000i</v>
      </c>
      <c r="C202" t="str">
        <f t="shared" ca="1" si="77"/>
        <v>1+2.87792532572491i</v>
      </c>
      <c r="D202" t="str">
        <f t="shared" ca="1" si="78"/>
        <v>1+0.38216944703707i</v>
      </c>
      <c r="E202" t="str">
        <f t="shared" ca="1" si="79"/>
        <v>1+286.35054789495i</v>
      </c>
      <c r="F202">
        <f t="shared" ca="1" si="80"/>
        <v>39.000923110829653</v>
      </c>
      <c r="G202" t="str">
        <f t="shared" ca="1" si="92"/>
        <v>0.443971753472878+0.0151507096676524i</v>
      </c>
      <c r="H202">
        <f t="shared" ca="1" si="93"/>
        <v>-7.0478385964456827</v>
      </c>
      <c r="I202">
        <f t="shared" ca="1" si="94"/>
        <v>1.9544824198863771</v>
      </c>
      <c r="K202" t="str">
        <f t="shared" ca="1" si="81"/>
        <v>1+2.87792532572491i</v>
      </c>
      <c r="L202" t="str">
        <f t="shared" ca="1" si="82"/>
        <v>1-0.214568097160954i</v>
      </c>
      <c r="M202" t="str">
        <f t="shared" ca="1" si="83"/>
        <v>1+287.792532572491i</v>
      </c>
      <c r="N202" t="str">
        <f t="shared" si="84"/>
        <v>1+1.37158913226531i</v>
      </c>
      <c r="O202">
        <f t="shared" ca="1" si="85"/>
        <v>22.224473826228223</v>
      </c>
      <c r="P202" t="str">
        <f t="shared" ca="1" si="75"/>
        <v>0.0124122168730882-0.141218870880012i</v>
      </c>
      <c r="Q202">
        <f t="shared" ca="1" si="95"/>
        <v>-16.968723845649073</v>
      </c>
      <c r="R202">
        <f t="shared" ca="1" si="76"/>
        <v>-84.976983176428064</v>
      </c>
      <c r="T202" t="str">
        <f t="shared" si="86"/>
        <v>1+8.36i</v>
      </c>
      <c r="U202" t="str">
        <f t="shared" si="87"/>
        <v>1+1.1i</v>
      </c>
      <c r="V202" t="str">
        <f t="shared" si="88"/>
        <v>-0.0224282296650718i</v>
      </c>
      <c r="W202" t="str">
        <f t="shared" si="96"/>
        <v>0.0736782567277923-0.103474312065643i</v>
      </c>
      <c r="X202">
        <f t="shared" si="97"/>
        <v>-17.922197586166174</v>
      </c>
      <c r="Y202">
        <f t="shared" si="98"/>
        <v>-54.54746335869055</v>
      </c>
      <c r="Z202">
        <f t="shared" si="99"/>
        <v>17507.043740108489</v>
      </c>
      <c r="AA202">
        <f t="shared" ca="1" si="89"/>
        <v>-34.890921431815244</v>
      </c>
      <c r="AB202">
        <f t="shared" ca="1" si="90"/>
        <v>-139.52444653511861</v>
      </c>
    </row>
    <row r="203" spans="1:28" x14ac:dyDescent="0.2">
      <c r="A203">
        <v>120000</v>
      </c>
      <c r="B203" t="str">
        <f t="shared" si="91"/>
        <v>120000i</v>
      </c>
      <c r="C203" t="str">
        <f t="shared" ca="1" si="77"/>
        <v>1+3.13955490079081i</v>
      </c>
      <c r="D203" t="str">
        <f t="shared" ca="1" si="78"/>
        <v>1+0.41691212404044i</v>
      </c>
      <c r="E203" t="str">
        <f t="shared" ca="1" si="79"/>
        <v>1+312.3824158854i</v>
      </c>
      <c r="F203">
        <f t="shared" ca="1" si="80"/>
        <v>39.000923110829653</v>
      </c>
      <c r="G203" t="str">
        <f t="shared" ca="1" si="92"/>
        <v>0.443896648698787+0.0399894576853422i</v>
      </c>
      <c r="H203">
        <f t="shared" ca="1" si="93"/>
        <v>-7.019258786512971</v>
      </c>
      <c r="I203">
        <f t="shared" ca="1" si="94"/>
        <v>5.1477271629826262</v>
      </c>
      <c r="K203" t="str">
        <f t="shared" ca="1" si="81"/>
        <v>1+3.13955490079081i</v>
      </c>
      <c r="L203" t="str">
        <f t="shared" ca="1" si="82"/>
        <v>1-0.23407428781195i</v>
      </c>
      <c r="M203" t="str">
        <f t="shared" ca="1" si="83"/>
        <v>1+313.955490079081i</v>
      </c>
      <c r="N203" t="str">
        <f t="shared" si="84"/>
        <v>1+1.49627905338034i</v>
      </c>
      <c r="O203">
        <f t="shared" ca="1" si="85"/>
        <v>22.224473826228223</v>
      </c>
      <c r="P203" t="str">
        <f t="shared" ca="1" si="75"/>
        <v>0.0071900457369663-0.132912359208929i</v>
      </c>
      <c r="Q203">
        <f t="shared" ca="1" si="95"/>
        <v>-17.516002061792054</v>
      </c>
      <c r="R203">
        <f t="shared" ca="1" si="76"/>
        <v>-86.903537561978538</v>
      </c>
      <c r="T203" t="str">
        <f t="shared" si="86"/>
        <v>1+9.12i</v>
      </c>
      <c r="U203" t="str">
        <f t="shared" si="87"/>
        <v>1+1.2i</v>
      </c>
      <c r="V203" t="str">
        <f t="shared" si="88"/>
        <v>-0.0205592105263158i</v>
      </c>
      <c r="W203" t="str">
        <f t="shared" si="96"/>
        <v>0.0667331751509922-0.100639020707506i</v>
      </c>
      <c r="X203">
        <f t="shared" si="97"/>
        <v>-18.361969294731587</v>
      </c>
      <c r="Y203">
        <f t="shared" si="98"/>
        <v>-56.451863205880912</v>
      </c>
      <c r="Z203">
        <f t="shared" si="99"/>
        <v>19098.593171027442</v>
      </c>
      <c r="AA203">
        <f t="shared" ca="1" si="89"/>
        <v>-35.877971356523645</v>
      </c>
      <c r="AB203">
        <f t="shared" ca="1" si="90"/>
        <v>-143.35540076785946</v>
      </c>
    </row>
    <row r="204" spans="1:28" x14ac:dyDescent="0.2">
      <c r="A204">
        <v>130000</v>
      </c>
      <c r="B204" t="str">
        <f t="shared" si="91"/>
        <v>130000i</v>
      </c>
      <c r="C204" t="str">
        <f t="shared" ca="1" si="77"/>
        <v>1+3.40118447585671i</v>
      </c>
      <c r="D204" t="str">
        <f t="shared" ca="1" si="78"/>
        <v>1+0.45165480104381i</v>
      </c>
      <c r="E204" t="str">
        <f t="shared" ca="1" si="79"/>
        <v>1+338.41428387585i</v>
      </c>
      <c r="F204">
        <f t="shared" ca="1" si="80"/>
        <v>39.000923110829653</v>
      </c>
      <c r="G204" t="str">
        <f t="shared" ca="1" si="92"/>
        <v>0.443838199321741+0.0631020165684087i</v>
      </c>
      <c r="H204">
        <f t="shared" ca="1" si="93"/>
        <v>-6.9685966619643125</v>
      </c>
      <c r="I204">
        <f t="shared" ca="1" si="94"/>
        <v>8.0917105033661159</v>
      </c>
      <c r="K204" t="str">
        <f t="shared" ca="1" si="81"/>
        <v>1+3.40118447585671i</v>
      </c>
      <c r="L204" t="str">
        <f t="shared" ca="1" si="82"/>
        <v>1-0.253580478462946i</v>
      </c>
      <c r="M204" t="str">
        <f t="shared" ca="1" si="83"/>
        <v>1+340.118447585671i</v>
      </c>
      <c r="N204" t="str">
        <f t="shared" si="84"/>
        <v>1+1.62096897449537i</v>
      </c>
      <c r="O204">
        <f t="shared" ca="1" si="85"/>
        <v>22.224473826228223</v>
      </c>
      <c r="P204" t="str">
        <f t="shared" ca="1" si="75"/>
        <v>0.00268516721001454-0.125447072852462i</v>
      </c>
      <c r="Q204">
        <f t="shared" ca="1" si="95"/>
        <v>-18.028800030548197</v>
      </c>
      <c r="R204">
        <f t="shared" ca="1" si="76"/>
        <v>-88.773783593677607</v>
      </c>
      <c r="T204" t="str">
        <f t="shared" si="86"/>
        <v>1+9.88i</v>
      </c>
      <c r="U204" t="str">
        <f t="shared" si="87"/>
        <v>1+1.3i</v>
      </c>
      <c r="V204" t="str">
        <f t="shared" si="88"/>
        <v>-0.0189777327935223i</v>
      </c>
      <c r="W204" t="str">
        <f t="shared" si="96"/>
        <v>0.0605312072001565-0.0976683021537258i</v>
      </c>
      <c r="X204">
        <f t="shared" si="97"/>
        <v>-18.79323288365428</v>
      </c>
      <c r="Y204">
        <f t="shared" si="98"/>
        <v>-58.210893796328442</v>
      </c>
      <c r="Z204">
        <f t="shared" si="99"/>
        <v>20690.142601946394</v>
      </c>
      <c r="AA204">
        <f t="shared" ca="1" si="89"/>
        <v>-36.822032914202481</v>
      </c>
      <c r="AB204">
        <f t="shared" ca="1" si="90"/>
        <v>-146.98467739000606</v>
      </c>
    </row>
    <row r="205" spans="1:28" x14ac:dyDescent="0.2">
      <c r="A205">
        <v>140000</v>
      </c>
      <c r="B205" t="str">
        <f t="shared" si="91"/>
        <v>140000i</v>
      </c>
      <c r="C205" t="str">
        <f t="shared" ca="1" si="77"/>
        <v>1+3.66281405092261i</v>
      </c>
      <c r="D205" t="str">
        <f t="shared" ca="1" si="78"/>
        <v>1+0.48639747804718i</v>
      </c>
      <c r="E205" t="str">
        <f t="shared" ca="1" si="79"/>
        <v>1+364.446151866301i</v>
      </c>
      <c r="F205">
        <f t="shared" ca="1" si="80"/>
        <v>39.000923110829653</v>
      </c>
      <c r="G205" t="str">
        <f t="shared" ca="1" si="92"/>
        <v>0.44379182140423+0.0848582714107383i</v>
      </c>
      <c r="H205">
        <f t="shared" ca="1" si="93"/>
        <v>-6.9004613353850672</v>
      </c>
      <c r="I205">
        <f t="shared" ca="1" si="94"/>
        <v>10.824968850557175</v>
      </c>
      <c r="K205" t="str">
        <f t="shared" ca="1" si="81"/>
        <v>1+3.66281405092261i</v>
      </c>
      <c r="L205" t="str">
        <f t="shared" ca="1" si="82"/>
        <v>1-0.273086669113942i</v>
      </c>
      <c r="M205" t="str">
        <f t="shared" ca="1" si="83"/>
        <v>1+366.281405092261i</v>
      </c>
      <c r="N205" t="str">
        <f t="shared" si="84"/>
        <v>1+1.7456588956104i</v>
      </c>
      <c r="O205">
        <f t="shared" ca="1" si="85"/>
        <v>22.224473826228223</v>
      </c>
      <c r="P205" t="str">
        <f t="shared" ca="1" si="75"/>
        <v>-0.00120588861954128-0.118700537376916i</v>
      </c>
      <c r="Q205">
        <f t="shared" ca="1" si="95"/>
        <v>-18.510498099321556</v>
      </c>
      <c r="R205">
        <f t="shared" ca="1" si="76"/>
        <v>-90.582052560164655</v>
      </c>
      <c r="T205" t="str">
        <f t="shared" si="86"/>
        <v>1+10.64i</v>
      </c>
      <c r="U205" t="str">
        <f t="shared" si="87"/>
        <v>1+1.4i</v>
      </c>
      <c r="V205" t="str">
        <f t="shared" si="88"/>
        <v>-0.0176221804511278i</v>
      </c>
      <c r="W205" t="str">
        <f t="shared" si="96"/>
        <v>0.0550097795163585-0.0946358717740297i</v>
      </c>
      <c r="X205">
        <f t="shared" si="97"/>
        <v>-19.214698123565302</v>
      </c>
      <c r="Y205">
        <f t="shared" si="98"/>
        <v>-59.831492022856359</v>
      </c>
      <c r="Z205">
        <f t="shared" si="99"/>
        <v>22281.692032865347</v>
      </c>
      <c r="AA205">
        <f t="shared" ca="1" si="89"/>
        <v>-37.725196222886858</v>
      </c>
      <c r="AB205">
        <f t="shared" ca="1" si="90"/>
        <v>-150.41354458302101</v>
      </c>
    </row>
    <row r="206" spans="1:28" x14ac:dyDescent="0.2">
      <c r="A206">
        <v>150000</v>
      </c>
      <c r="B206" t="str">
        <f t="shared" si="91"/>
        <v>150000i</v>
      </c>
      <c r="C206" t="str">
        <f t="shared" ca="1" si="77"/>
        <v>1+3.92444362598851i</v>
      </c>
      <c r="D206" t="str">
        <f t="shared" ca="1" si="78"/>
        <v>1+0.52114015505055i</v>
      </c>
      <c r="E206" t="str">
        <f t="shared" ca="1" si="79"/>
        <v>1+390.478019856751i</v>
      </c>
      <c r="F206">
        <f t="shared" ca="1" si="80"/>
        <v>39.000923110829653</v>
      </c>
      <c r="G206" t="str">
        <f t="shared" ca="1" si="92"/>
        <v>0.443754405985681+0.105529475058544i</v>
      </c>
      <c r="H206">
        <f t="shared" ca="1" si="93"/>
        <v>-6.8182300554859552</v>
      </c>
      <c r="I206">
        <f t="shared" ca="1" si="94"/>
        <v>13.377059889332093</v>
      </c>
      <c r="K206" t="str">
        <f t="shared" ca="1" si="81"/>
        <v>1+3.92444362598851i</v>
      </c>
      <c r="L206" t="str">
        <f t="shared" ca="1" si="82"/>
        <v>1-0.292592859764938i</v>
      </c>
      <c r="M206" t="str">
        <f t="shared" ca="1" si="83"/>
        <v>1+392.444362598851i</v>
      </c>
      <c r="N206" t="str">
        <f t="shared" si="84"/>
        <v>1+1.87034881672542i</v>
      </c>
      <c r="O206">
        <f t="shared" ca="1" si="85"/>
        <v>22.224473826228223</v>
      </c>
      <c r="P206" t="str">
        <f t="shared" ca="1" si="75"/>
        <v>-0.00457467093991988-0.112577010511292i</v>
      </c>
      <c r="Q206">
        <f t="shared" ca="1" si="95"/>
        <v>-18.963840268294241</v>
      </c>
      <c r="R206">
        <f t="shared" ca="1" si="76"/>
        <v>-92.326986720219068</v>
      </c>
      <c r="T206" t="str">
        <f t="shared" si="86"/>
        <v>1+11.4i</v>
      </c>
      <c r="U206" t="str">
        <f t="shared" si="87"/>
        <v>1+1.5i</v>
      </c>
      <c r="V206" t="str">
        <f t="shared" si="88"/>
        <v>-0.0164473684210526i</v>
      </c>
      <c r="W206" t="str">
        <f t="shared" si="96"/>
        <v>0.0501012145748988-0.0915991902834008i</v>
      </c>
      <c r="X206">
        <f t="shared" si="97"/>
        <v>-19.625518531204587</v>
      </c>
      <c r="Y206">
        <f t="shared" si="98"/>
        <v>-61.323046229056011</v>
      </c>
      <c r="Z206">
        <f t="shared" si="99"/>
        <v>23873.241463784303</v>
      </c>
      <c r="AA206">
        <f t="shared" ca="1" si="89"/>
        <v>-38.589358799498825</v>
      </c>
      <c r="AB206">
        <f t="shared" ca="1" si="90"/>
        <v>-153.65003294927507</v>
      </c>
    </row>
    <row r="207" spans="1:28" x14ac:dyDescent="0.2">
      <c r="A207">
        <v>160000</v>
      </c>
      <c r="B207" t="str">
        <f t="shared" si="91"/>
        <v>160000i</v>
      </c>
      <c r="C207" t="str">
        <f t="shared" ca="1" si="77"/>
        <v>1+4.18607320105442i</v>
      </c>
      <c r="D207" t="str">
        <f t="shared" ca="1" si="78"/>
        <v>1+0.55588283205392i</v>
      </c>
      <c r="E207" t="str">
        <f t="shared" ca="1" si="79"/>
        <v>1+416.509887847201i</v>
      </c>
      <c r="F207">
        <f t="shared" ca="1" si="80"/>
        <v>39.000923110829653</v>
      </c>
      <c r="G207" t="str">
        <f t="shared" ca="1" si="92"/>
        <v>0.443723784153211+0.125319069403449i</v>
      </c>
      <c r="H207">
        <f t="shared" ca="1" si="93"/>
        <v>-6.7244559375101467</v>
      </c>
      <c r="I207">
        <f t="shared" ca="1" si="94"/>
        <v>15.771051692394087</v>
      </c>
      <c r="K207" t="str">
        <f t="shared" ca="1" si="81"/>
        <v>1+4.18607320105442i</v>
      </c>
      <c r="L207" t="str">
        <f t="shared" ca="1" si="82"/>
        <v>1-0.312099050415934i</v>
      </c>
      <c r="M207" t="str">
        <f t="shared" ca="1" si="83"/>
        <v>1+418.607320105441i</v>
      </c>
      <c r="N207" t="str">
        <f t="shared" si="84"/>
        <v>1+1.99503873784045i</v>
      </c>
      <c r="O207">
        <f t="shared" ca="1" si="85"/>
        <v>22.224473826228223</v>
      </c>
      <c r="P207" t="str">
        <f t="shared" ca="1" si="75"/>
        <v>-0.00750017715095692-0.106998660441404i</v>
      </c>
      <c r="Q207">
        <f t="shared" ca="1" si="95"/>
        <v>-19.391146606837466</v>
      </c>
      <c r="R207">
        <f t="shared" ca="1" si="76"/>
        <v>-94.009645971473049</v>
      </c>
      <c r="T207" t="str">
        <f t="shared" si="86"/>
        <v>1+12.16i</v>
      </c>
      <c r="U207" t="str">
        <f t="shared" si="87"/>
        <v>1+1.6i</v>
      </c>
      <c r="V207" t="str">
        <f t="shared" si="88"/>
        <v>-0.0154194078947368i</v>
      </c>
      <c r="W207" t="str">
        <f t="shared" si="96"/>
        <v>0.045738468361916-0.0886009572738025i</v>
      </c>
      <c r="X207">
        <f t="shared" si="97"/>
        <v>-20.025202515421281</v>
      </c>
      <c r="Y207">
        <f t="shared" si="98"/>
        <v>-62.695861796704762</v>
      </c>
      <c r="Z207">
        <f t="shared" si="99"/>
        <v>25464.790894703256</v>
      </c>
      <c r="AA207">
        <f t="shared" ca="1" si="89"/>
        <v>-39.416349122258751</v>
      </c>
      <c r="AB207">
        <f t="shared" ca="1" si="90"/>
        <v>-156.70550776817782</v>
      </c>
    </row>
    <row r="208" spans="1:28" x14ac:dyDescent="0.2">
      <c r="A208">
        <v>170000</v>
      </c>
      <c r="B208" t="str">
        <f t="shared" si="91"/>
        <v>170000i</v>
      </c>
      <c r="C208" t="str">
        <f t="shared" ca="1" si="77"/>
        <v>1+4.44770277612032i</v>
      </c>
      <c r="D208" t="str">
        <f t="shared" ca="1" si="78"/>
        <v>1+0.59062550905729i</v>
      </c>
      <c r="E208" t="str">
        <f t="shared" ca="1" si="79"/>
        <v>1+442.541755837651i</v>
      </c>
      <c r="F208">
        <f t="shared" ca="1" si="80"/>
        <v>39.000923110829653</v>
      </c>
      <c r="G208" t="str">
        <f t="shared" ca="1" si="92"/>
        <v>0.443698405490825+0.144382629054294i</v>
      </c>
      <c r="H208">
        <f t="shared" ca="1" si="93"/>
        <v>-6.6211240895835939</v>
      </c>
      <c r="I208">
        <f t="shared" ca="1" si="94"/>
        <v>18.02525790742289</v>
      </c>
      <c r="K208" t="str">
        <f t="shared" ca="1" si="81"/>
        <v>1+4.44770277612032i</v>
      </c>
      <c r="L208" t="str">
        <f t="shared" ca="1" si="82"/>
        <v>1-0.331605241066929i</v>
      </c>
      <c r="M208" t="str">
        <f t="shared" ca="1" si="83"/>
        <v>1+444.770277612032i</v>
      </c>
      <c r="N208" t="str">
        <f t="shared" si="84"/>
        <v>1+2.11972865895548i</v>
      </c>
      <c r="O208">
        <f t="shared" ca="1" si="85"/>
        <v>22.224473826228223</v>
      </c>
      <c r="P208" t="str">
        <f t="shared" ca="1" si="75"/>
        <v>-0.0100495655620664-0.101900548488945i</v>
      </c>
      <c r="Q208">
        <f t="shared" ca="1" si="95"/>
        <v>-19.794433474204787</v>
      </c>
      <c r="R208">
        <f t="shared" ca="1" si="76"/>
        <v>-95.632371489420052</v>
      </c>
      <c r="T208" t="str">
        <f t="shared" si="86"/>
        <v>1+12.92i</v>
      </c>
      <c r="U208" t="str">
        <f t="shared" si="87"/>
        <v>1+1.7i</v>
      </c>
      <c r="V208" t="str">
        <f t="shared" si="88"/>
        <v>-0.0145123839009288i</v>
      </c>
      <c r="W208" t="str">
        <f t="shared" si="96"/>
        <v>0.0418583412258152-0.0856715639848146i</v>
      </c>
      <c r="X208">
        <f t="shared" si="97"/>
        <v>-20.413531068236423</v>
      </c>
      <c r="Y208">
        <f t="shared" si="98"/>
        <v>-63.960289116989912</v>
      </c>
      <c r="Z208">
        <f t="shared" si="99"/>
        <v>27056.340325622208</v>
      </c>
      <c r="AA208">
        <f t="shared" ca="1" si="89"/>
        <v>-40.207964542441211</v>
      </c>
      <c r="AB208">
        <f t="shared" ca="1" si="90"/>
        <v>-159.59266060640996</v>
      </c>
    </row>
    <row r="209" spans="1:28" x14ac:dyDescent="0.2">
      <c r="A209">
        <v>180000</v>
      </c>
      <c r="B209" t="str">
        <f t="shared" si="91"/>
        <v>180000i</v>
      </c>
      <c r="C209" t="str">
        <f t="shared" ca="1" si="77"/>
        <v>1+4.70933235118622i</v>
      </c>
      <c r="D209" t="str">
        <f t="shared" ca="1" si="78"/>
        <v>1+0.62536818606066i</v>
      </c>
      <c r="E209" t="str">
        <f t="shared" ca="1" si="79"/>
        <v>1+468.573623828101i</v>
      </c>
      <c r="F209">
        <f t="shared" ca="1" si="80"/>
        <v>39.000923110829653</v>
      </c>
      <c r="G209" t="str">
        <f t="shared" ca="1" si="92"/>
        <v>0.44367713789916+0.162841157377369i</v>
      </c>
      <c r="H209">
        <f t="shared" ca="1" si="93"/>
        <v>-6.5098167846255626</v>
      </c>
      <c r="I209">
        <f t="shared" ca="1" si="94"/>
        <v>20.154462425056639</v>
      </c>
      <c r="K209" t="str">
        <f t="shared" ca="1" si="81"/>
        <v>1+4.70933235118622i</v>
      </c>
      <c r="L209" t="str">
        <f t="shared" ca="1" si="82"/>
        <v>1-0.351111431717925i</v>
      </c>
      <c r="M209" t="str">
        <f t="shared" ca="1" si="83"/>
        <v>1+470.933235118622i</v>
      </c>
      <c r="N209" t="str">
        <f t="shared" si="84"/>
        <v>1+2.24441858007051i</v>
      </c>
      <c r="O209">
        <f t="shared" ca="1" si="85"/>
        <v>22.224473826228223</v>
      </c>
      <c r="P209" t="str">
        <f t="shared" ca="1" si="75"/>
        <v>-0.0122794409512903-0.0972275700413227i</v>
      </c>
      <c r="Q209">
        <f t="shared" ca="1" si="95"/>
        <v>-20.175485248281188</v>
      </c>
      <c r="R209">
        <f t="shared" ca="1" si="76"/>
        <v>-97.198110492944352</v>
      </c>
      <c r="T209" t="str">
        <f t="shared" si="86"/>
        <v>1+13.68i</v>
      </c>
      <c r="U209" t="str">
        <f t="shared" si="87"/>
        <v>1+1.8i</v>
      </c>
      <c r="V209" t="str">
        <f t="shared" si="88"/>
        <v>-0.0137061403508772i</v>
      </c>
      <c r="W209" t="str">
        <f t="shared" si="96"/>
        <v>0.0384030536246276-0.0828316368752069i</v>
      </c>
      <c r="X209">
        <f t="shared" si="97"/>
        <v>-20.790488275205725</v>
      </c>
      <c r="Y209">
        <f t="shared" si="98"/>
        <v>-65.126247630821226</v>
      </c>
      <c r="Z209">
        <f t="shared" si="99"/>
        <v>28647.889756541161</v>
      </c>
      <c r="AA209">
        <f t="shared" ca="1" si="89"/>
        <v>-40.965973523486909</v>
      </c>
      <c r="AB209">
        <f t="shared" ca="1" si="90"/>
        <v>-162.32435812376559</v>
      </c>
    </row>
    <row r="210" spans="1:28" x14ac:dyDescent="0.2">
      <c r="A210">
        <v>190000</v>
      </c>
      <c r="B210" t="str">
        <f t="shared" si="91"/>
        <v>190000i</v>
      </c>
      <c r="C210" t="str">
        <f t="shared" ca="1" si="77"/>
        <v>1+4.97096192625212i</v>
      </c>
      <c r="D210" t="str">
        <f t="shared" ca="1" si="78"/>
        <v>1+0.66011086306403i</v>
      </c>
      <c r="E210" t="str">
        <f t="shared" ca="1" si="79"/>
        <v>1+494.605491818551i</v>
      </c>
      <c r="F210">
        <f t="shared" ca="1" si="80"/>
        <v>39.000923110829653</v>
      </c>
      <c r="G210" t="str">
        <f t="shared" ca="1" si="92"/>
        <v>0.443659139118846+0.180790183932062i</v>
      </c>
      <c r="H210">
        <f t="shared" ca="1" si="93"/>
        <v>-6.3918226079748743</v>
      </c>
      <c r="I210">
        <f t="shared" ca="1" si="94"/>
        <v>22.170794266516047</v>
      </c>
      <c r="K210" t="str">
        <f t="shared" ca="1" si="81"/>
        <v>1+4.97096192625212i</v>
      </c>
      <c r="L210" t="str">
        <f t="shared" ca="1" si="82"/>
        <v>1-0.370617622368921i</v>
      </c>
      <c r="M210" t="str">
        <f t="shared" ca="1" si="83"/>
        <v>1+497.096192625212i</v>
      </c>
      <c r="N210" t="str">
        <f t="shared" si="84"/>
        <v>1+2.36910850118554i</v>
      </c>
      <c r="O210">
        <f t="shared" ca="1" si="85"/>
        <v>22.224473826228223</v>
      </c>
      <c r="P210" t="str">
        <f t="shared" ref="P210:P273" ca="1" si="100">IMDIV(IMPRODUCT(O210,K210,L210,),IMPRODUCT(M210,N210,))</f>
        <v>-0.0142372980267247-0.092932445265215i</v>
      </c>
      <c r="Q210">
        <f t="shared" ca="1" si="95"/>
        <v>-20.535899855396821</v>
      </c>
      <c r="R210">
        <f t="shared" ref="R210:R273" ca="1" si="101">IMARGUMENT(P210)*180/PI()</f>
        <v>-98.710021424791847</v>
      </c>
      <c r="T210" t="str">
        <f t="shared" si="86"/>
        <v>1+14.44i</v>
      </c>
      <c r="U210" t="str">
        <f t="shared" si="87"/>
        <v>1+1.9i</v>
      </c>
      <c r="V210" t="str">
        <f t="shared" si="88"/>
        <v>-0.0129847645429363i</v>
      </c>
      <c r="W210" t="str">
        <f t="shared" si="96"/>
        <v>0.0353208128781824-0.0800943090114829i</v>
      </c>
      <c r="X210">
        <f t="shared" si="97"/>
        <v>-21.156205484784088</v>
      </c>
      <c r="Y210">
        <f t="shared" si="98"/>
        <v>-66.202986281450208</v>
      </c>
      <c r="Z210">
        <f t="shared" si="99"/>
        <v>30239.439187460113</v>
      </c>
      <c r="AA210">
        <f t="shared" ca="1" si="89"/>
        <v>-41.692105340180909</v>
      </c>
      <c r="AB210">
        <f t="shared" ca="1" si="90"/>
        <v>-164.91300770624207</v>
      </c>
    </row>
    <row r="211" spans="1:28" x14ac:dyDescent="0.2">
      <c r="A211">
        <v>200000</v>
      </c>
      <c r="B211" t="str">
        <f t="shared" si="91"/>
        <v>200000i</v>
      </c>
      <c r="C211" t="str">
        <f t="shared" ca="1" si="77"/>
        <v>1+5.23259150131802i</v>
      </c>
      <c r="D211" t="str">
        <f t="shared" ca="1" si="78"/>
        <v>1+0.6948535400674i</v>
      </c>
      <c r="E211" t="str">
        <f t="shared" ca="1" si="79"/>
        <v>1+520.637359809001i</v>
      </c>
      <c r="F211">
        <f t="shared" ca="1" si="80"/>
        <v>39.000923110829653</v>
      </c>
      <c r="G211" t="str">
        <f t="shared" ca="1" si="92"/>
        <v>0.443643772038788+0.198306132759918i</v>
      </c>
      <c r="H211">
        <f t="shared" ca="1" si="93"/>
        <v>-6.2682102708470406</v>
      </c>
      <c r="I211">
        <f t="shared" ca="1" si="94"/>
        <v>24.08435985135338</v>
      </c>
      <c r="K211" t="str">
        <f t="shared" ca="1" si="81"/>
        <v>1+5.23259150131802i</v>
      </c>
      <c r="L211" t="str">
        <f t="shared" ca="1" si="82"/>
        <v>1-0.390123813019917i</v>
      </c>
      <c r="M211" t="str">
        <f t="shared" ca="1" si="83"/>
        <v>1+523.259150131802i</v>
      </c>
      <c r="N211" t="str">
        <f t="shared" si="84"/>
        <v>1+2.49379842230057i</v>
      </c>
      <c r="O211">
        <f t="shared" ca="1" si="85"/>
        <v>22.224473826228223</v>
      </c>
      <c r="P211" t="str">
        <f t="shared" ca="1" si="100"/>
        <v>-0.0159629158617908-0.0889743028730225i</v>
      </c>
      <c r="Q211">
        <f t="shared" ca="1" si="95"/>
        <v>-20.877119668389113</v>
      </c>
      <c r="R211">
        <f t="shared" ca="1" si="101"/>
        <v>-100.17124931394683</v>
      </c>
      <c r="T211" t="str">
        <f t="shared" si="86"/>
        <v>1+15.2i</v>
      </c>
      <c r="U211" t="str">
        <f t="shared" si="87"/>
        <v>1+2i</v>
      </c>
      <c r="V211" t="str">
        <f t="shared" si="88"/>
        <v>-0.0123355263157895i</v>
      </c>
      <c r="W211" t="str">
        <f t="shared" si="96"/>
        <v>0.0325657894736842-0.0774671052631579i</v>
      </c>
      <c r="X211">
        <f t="shared" si="97"/>
        <v>-21.510917793025289</v>
      </c>
      <c r="Y211">
        <f t="shared" si="98"/>
        <v>-67.198983687827749</v>
      </c>
      <c r="Z211">
        <f t="shared" si="99"/>
        <v>31830.98861837907</v>
      </c>
      <c r="AA211">
        <f t="shared" ca="1" si="89"/>
        <v>-42.388037461414399</v>
      </c>
      <c r="AB211">
        <f t="shared" ca="1" si="90"/>
        <v>-167.37023300177458</v>
      </c>
    </row>
    <row r="212" spans="1:28" x14ac:dyDescent="0.2">
      <c r="A212">
        <v>210000</v>
      </c>
      <c r="B212" t="str">
        <f t="shared" si="91"/>
        <v>210000i</v>
      </c>
      <c r="C212" t="str">
        <f t="shared" ca="1" si="77"/>
        <v>1+5.49422107638392i</v>
      </c>
      <c r="D212" t="str">
        <f t="shared" ca="1" si="78"/>
        <v>1+0.72959621707077i</v>
      </c>
      <c r="E212" t="str">
        <f t="shared" ca="1" si="79"/>
        <v>1+546.669227799451i</v>
      </c>
      <c r="F212">
        <f t="shared" ca="1" si="80"/>
        <v>39.000923110829653</v>
      </c>
      <c r="G212" t="str">
        <f t="shared" ca="1" si="92"/>
        <v>0.443630547530352+0.215450871212882i</v>
      </c>
      <c r="H212">
        <f t="shared" ca="1" si="93"/>
        <v>-6.1398796575275769</v>
      </c>
      <c r="I212">
        <f t="shared" ca="1" si="94"/>
        <v>25.903704929411816</v>
      </c>
      <c r="K212" t="str">
        <f t="shared" ca="1" si="81"/>
        <v>1+5.49422107638392i</v>
      </c>
      <c r="L212" t="str">
        <f t="shared" ca="1" si="82"/>
        <v>1-0.409630003670913i</v>
      </c>
      <c r="M212" t="str">
        <f t="shared" ca="1" si="83"/>
        <v>1+549.422107638392i</v>
      </c>
      <c r="N212" t="str">
        <f t="shared" si="84"/>
        <v>1+2.61848834341559i</v>
      </c>
      <c r="O212">
        <f t="shared" ca="1" si="85"/>
        <v>22.224473826228223</v>
      </c>
      <c r="P212" t="str">
        <f t="shared" ca="1" si="100"/>
        <v>-0.0174896123502-0.0853176210121052i</v>
      </c>
      <c r="Q212">
        <f t="shared" ca="1" si="95"/>
        <v>-21.200453885152974</v>
      </c>
      <c r="R212">
        <f t="shared" ca="1" si="101"/>
        <v>-101.58480401475083</v>
      </c>
      <c r="T212" t="str">
        <f t="shared" si="86"/>
        <v>1+15.96i</v>
      </c>
      <c r="U212" t="str">
        <f t="shared" si="87"/>
        <v>1+2.1i</v>
      </c>
      <c r="V212" t="str">
        <f t="shared" si="88"/>
        <v>-0.0117481203007519i</v>
      </c>
      <c r="W212" t="str">
        <f t="shared" si="96"/>
        <v>0.0300977721568246-0.0749534418300835i</v>
      </c>
      <c r="X212">
        <f t="shared" si="97"/>
        <v>-21.854930819426169</v>
      </c>
      <c r="Y212">
        <f t="shared" si="98"/>
        <v>-68.121929206876402</v>
      </c>
      <c r="Z212">
        <f t="shared" si="99"/>
        <v>33422.538049298018</v>
      </c>
      <c r="AA212">
        <f t="shared" ca="1" si="89"/>
        <v>-43.05538470457914</v>
      </c>
      <c r="AB212">
        <f t="shared" ca="1" si="90"/>
        <v>-169.70673322162725</v>
      </c>
    </row>
    <row r="213" spans="1:28" x14ac:dyDescent="0.2">
      <c r="A213">
        <v>220000</v>
      </c>
      <c r="B213" t="str">
        <f t="shared" si="91"/>
        <v>220000i</v>
      </c>
      <c r="C213" t="str">
        <f t="shared" ca="1" si="77"/>
        <v>1+5.75585065144982i</v>
      </c>
      <c r="D213" t="str">
        <f t="shared" ca="1" si="78"/>
        <v>1+0.76433889407414i</v>
      </c>
      <c r="E213" t="str">
        <f t="shared" ca="1" si="79"/>
        <v>1+572.701095789901i</v>
      </c>
      <c r="F213">
        <f t="shared" ca="1" si="80"/>
        <v>39.000923110829653</v>
      </c>
      <c r="G213" t="str">
        <f t="shared" ca="1" si="92"/>
        <v>0.443619085038377+0.23227501822304i</v>
      </c>
      <c r="H213">
        <f t="shared" ca="1" si="93"/>
        <v>-6.0075979145474978</v>
      </c>
      <c r="I213">
        <f t="shared" ca="1" si="94"/>
        <v>27.636155548324638</v>
      </c>
      <c r="K213" t="str">
        <f t="shared" ca="1" si="81"/>
        <v>1+5.75585065144982i</v>
      </c>
      <c r="L213" t="str">
        <f t="shared" ca="1" si="82"/>
        <v>1-0.429136194321909i</v>
      </c>
      <c r="M213" t="str">
        <f t="shared" ca="1" si="83"/>
        <v>1+575.585065144982i</v>
      </c>
      <c r="N213" t="str">
        <f t="shared" si="84"/>
        <v>1+2.74317826453062i</v>
      </c>
      <c r="O213">
        <f t="shared" ca="1" si="85"/>
        <v>22.224473826228223</v>
      </c>
      <c r="P213" t="str">
        <f t="shared" ca="1" si="100"/>
        <v>-0.0188453293632021-0.0819313989460859i</v>
      </c>
      <c r="Q213">
        <f t="shared" ca="1" si="95"/>
        <v>-21.507095685745771</v>
      </c>
      <c r="R213">
        <f t="shared" ca="1" si="101"/>
        <v>-102.95350015957835</v>
      </c>
      <c r="T213" t="str">
        <f t="shared" si="86"/>
        <v>1+16.72i</v>
      </c>
      <c r="U213" t="str">
        <f t="shared" si="87"/>
        <v>1+2.2i</v>
      </c>
      <c r="V213" t="str">
        <f t="shared" si="88"/>
        <v>-0.0112141148325359i</v>
      </c>
      <c r="W213" t="str">
        <f t="shared" si="96"/>
        <v>0.0278816690699351-0.0725537867863931i</v>
      </c>
      <c r="X213">
        <f t="shared" si="97"/>
        <v>-22.188595730538307</v>
      </c>
      <c r="Y213">
        <f t="shared" si="98"/>
        <v>-68.978749092628789</v>
      </c>
      <c r="Z213">
        <f t="shared" si="99"/>
        <v>35014.087480216978</v>
      </c>
      <c r="AA213">
        <f t="shared" ca="1" si="89"/>
        <v>-43.695691416284077</v>
      </c>
      <c r="AB213">
        <f t="shared" ca="1" si="90"/>
        <v>-171.93224925220716</v>
      </c>
    </row>
    <row r="214" spans="1:28" x14ac:dyDescent="0.2">
      <c r="A214">
        <v>230000</v>
      </c>
      <c r="B214" t="str">
        <f t="shared" si="91"/>
        <v>230000i</v>
      </c>
      <c r="C214" t="str">
        <f t="shared" ca="1" si="77"/>
        <v>1+6.01748022651572i</v>
      </c>
      <c r="D214" t="str">
        <f t="shared" ca="1" si="78"/>
        <v>1+0.79908157107751i</v>
      </c>
      <c r="E214" t="str">
        <f t="shared" ca="1" si="79"/>
        <v>1+598.732963780351i</v>
      </c>
      <c r="F214">
        <f t="shared" ca="1" si="80"/>
        <v>39.000923110829653</v>
      </c>
      <c r="G214" t="str">
        <f t="shared" ca="1" si="92"/>
        <v>0.443609084894189+0.248820389565035i</v>
      </c>
      <c r="H214">
        <f t="shared" ca="1" si="93"/>
        <v>-5.8720255317893146</v>
      </c>
      <c r="I214">
        <f t="shared" ca="1" si="94"/>
        <v>29.288072199680741</v>
      </c>
      <c r="K214" t="str">
        <f t="shared" ca="1" si="81"/>
        <v>1+6.01748022651572i</v>
      </c>
      <c r="L214" t="str">
        <f t="shared" ca="1" si="82"/>
        <v>1-0.448642384972904i</v>
      </c>
      <c r="M214" t="str">
        <f t="shared" ca="1" si="83"/>
        <v>1+601.748022651572i</v>
      </c>
      <c r="N214" t="str">
        <f t="shared" si="84"/>
        <v>1+2.86786818564565i</v>
      </c>
      <c r="O214">
        <f t="shared" ca="1" si="85"/>
        <v>22.224473826228223</v>
      </c>
      <c r="P214" t="str">
        <f t="shared" ca="1" si="100"/>
        <v>-0.0200535500622328-0.0787884886041752i</v>
      </c>
      <c r="Q214">
        <f t="shared" ca="1" si="95"/>
        <v>-21.798135993860903</v>
      </c>
      <c r="R214">
        <f t="shared" ca="1" si="101"/>
        <v>-104.27993361922042</v>
      </c>
      <c r="T214" t="str">
        <f t="shared" si="86"/>
        <v>1+17.48i</v>
      </c>
      <c r="U214" t="str">
        <f t="shared" si="87"/>
        <v>1+2.3i</v>
      </c>
      <c r="V214" t="str">
        <f t="shared" si="88"/>
        <v>-0.0107265446224256i</v>
      </c>
      <c r="W214" t="str">
        <f t="shared" si="96"/>
        <v>0.0258869550665216-0.0702665412754254i</v>
      </c>
      <c r="X214">
        <f t="shared" si="97"/>
        <v>-22.512290707650276</v>
      </c>
      <c r="Y214">
        <f t="shared" si="98"/>
        <v>-69.775656087533349</v>
      </c>
      <c r="Z214">
        <f t="shared" si="99"/>
        <v>36605.636911135931</v>
      </c>
      <c r="AA214">
        <f t="shared" ca="1" si="89"/>
        <v>-44.310426701511176</v>
      </c>
      <c r="AB214">
        <f t="shared" ca="1" si="90"/>
        <v>-174.05558970675378</v>
      </c>
    </row>
    <row r="215" spans="1:28" x14ac:dyDescent="0.2">
      <c r="A215">
        <v>240000</v>
      </c>
      <c r="B215" t="str">
        <f t="shared" si="91"/>
        <v>240000i</v>
      </c>
      <c r="C215" t="str">
        <f t="shared" ca="1" si="77"/>
        <v>1+6.27910980158162i</v>
      </c>
      <c r="D215" t="str">
        <f t="shared" ca="1" si="78"/>
        <v>1+0.83382424808088i</v>
      </c>
      <c r="E215" t="str">
        <f t="shared" ca="1" si="79"/>
        <v>1+624.764831770801i</v>
      </c>
      <c r="F215">
        <f t="shared" ca="1" si="80"/>
        <v>39.000923110829653</v>
      </c>
      <c r="G215" t="str">
        <f t="shared" ca="1" si="92"/>
        <v>0.443600308528804+0.265121831815536i</v>
      </c>
      <c r="H215">
        <f t="shared" ca="1" si="93"/>
        <v>-5.7337356106861872</v>
      </c>
      <c r="I215">
        <f t="shared" ca="1" si="94"/>
        <v>30.865041038384064</v>
      </c>
      <c r="K215" t="str">
        <f t="shared" ca="1" si="81"/>
        <v>1+6.27910980158162i</v>
      </c>
      <c r="L215" t="str">
        <f t="shared" ca="1" si="82"/>
        <v>1-0.4681485756239i</v>
      </c>
      <c r="M215" t="str">
        <f t="shared" ca="1" si="83"/>
        <v>1+627.910980158162i</v>
      </c>
      <c r="N215" t="str">
        <f t="shared" si="84"/>
        <v>1+2.99255810676068i</v>
      </c>
      <c r="O215">
        <f t="shared" ca="1" si="85"/>
        <v>22.224473826228223</v>
      </c>
      <c r="P215" t="str">
        <f t="shared" ca="1" si="100"/>
        <v>-0.0211340636466996-0.0758650437542494i</v>
      </c>
      <c r="Q215">
        <f t="shared" ca="1" si="95"/>
        <v>-22.074574887040498</v>
      </c>
      <c r="R215">
        <f t="shared" ca="1" si="101"/>
        <v>-105.56647903991509</v>
      </c>
      <c r="T215" t="str">
        <f t="shared" si="86"/>
        <v>1+18.24i</v>
      </c>
      <c r="U215" t="str">
        <f t="shared" si="87"/>
        <v>1+2.4i</v>
      </c>
      <c r="V215" t="str">
        <f t="shared" si="88"/>
        <v>-0.0102796052631579i</v>
      </c>
      <c r="W215" t="str">
        <f t="shared" si="96"/>
        <v>0.0240871223917783-0.0680886990034257i</v>
      </c>
      <c r="X215">
        <f t="shared" si="97"/>
        <v>-22.826407366398314</v>
      </c>
      <c r="Y215">
        <f t="shared" si="98"/>
        <v>-70.518209479340172</v>
      </c>
      <c r="Z215">
        <f t="shared" si="99"/>
        <v>38197.186342054883</v>
      </c>
      <c r="AA215">
        <f t="shared" ca="1" si="89"/>
        <v>-44.900982253438812</v>
      </c>
      <c r="AB215">
        <f t="shared" ca="1" si="90"/>
        <v>-176.08468851925528</v>
      </c>
    </row>
    <row r="216" spans="1:28" x14ac:dyDescent="0.2">
      <c r="A216">
        <v>250000</v>
      </c>
      <c r="B216" t="str">
        <f t="shared" si="91"/>
        <v>250000i</v>
      </c>
      <c r="C216" t="str">
        <f t="shared" ca="1" si="77"/>
        <v>1+6.54073937664752i</v>
      </c>
      <c r="D216" t="str">
        <f t="shared" ca="1" si="78"/>
        <v>1+0.86856692508425i</v>
      </c>
      <c r="E216" t="str">
        <f t="shared" ca="1" si="79"/>
        <v>1+650.796699761251i</v>
      </c>
      <c r="F216">
        <f t="shared" ca="1" si="80"/>
        <v>39.000923110829653</v>
      </c>
      <c r="G216" t="str">
        <f t="shared" ca="1" si="92"/>
        <v>0.443592564111285+0.281208616170754i</v>
      </c>
      <c r="H216">
        <f t="shared" ca="1" si="93"/>
        <v>-5.5932284158058945</v>
      </c>
      <c r="I216">
        <f t="shared" ca="1" si="94"/>
        <v>32.372019084274193</v>
      </c>
      <c r="K216" t="str">
        <f t="shared" ca="1" si="81"/>
        <v>1+6.54073937664752i</v>
      </c>
      <c r="L216" t="str">
        <f t="shared" ca="1" si="82"/>
        <v>1-0.487654766274896i</v>
      </c>
      <c r="M216" t="str">
        <f t="shared" ca="1" si="83"/>
        <v>1+654.073937664752i</v>
      </c>
      <c r="N216" t="str">
        <f t="shared" si="84"/>
        <v>1+3.11724802787571i</v>
      </c>
      <c r="O216">
        <f t="shared" ca="1" si="85"/>
        <v>22.224473826228223</v>
      </c>
      <c r="P216" t="str">
        <f t="shared" ca="1" si="100"/>
        <v>-0.0221035976916533-0.0731400598817056i</v>
      </c>
      <c r="Q216">
        <f t="shared" ca="1" si="95"/>
        <v>-22.337331278477556</v>
      </c>
      <c r="R216">
        <f t="shared" ca="1" si="101"/>
        <v>-106.81529903593263</v>
      </c>
      <c r="T216" t="str">
        <f t="shared" si="86"/>
        <v>1+19i</v>
      </c>
      <c r="U216" t="str">
        <f t="shared" si="87"/>
        <v>1+2.5i</v>
      </c>
      <c r="V216" t="str">
        <f t="shared" si="88"/>
        <v>-0.00986842105263158i</v>
      </c>
      <c r="W216" t="str">
        <f t="shared" si="96"/>
        <v>0.022459165154265-0.066016333938294i</v>
      </c>
      <c r="X216">
        <f t="shared" si="97"/>
        <v>-23.131340938160108</v>
      </c>
      <c r="Y216">
        <f t="shared" si="98"/>
        <v>-71.211378017831507</v>
      </c>
      <c r="Z216">
        <f t="shared" si="99"/>
        <v>39788.735772973836</v>
      </c>
      <c r="AA216">
        <f t="shared" ca="1" si="89"/>
        <v>-45.468672216637664</v>
      </c>
      <c r="AB216">
        <f t="shared" ca="1" si="90"/>
        <v>-178.02667705376413</v>
      </c>
    </row>
    <row r="217" spans="1:28" x14ac:dyDescent="0.2">
      <c r="A217">
        <v>260000</v>
      </c>
      <c r="B217" t="str">
        <f t="shared" si="91"/>
        <v>260000i</v>
      </c>
      <c r="C217" t="str">
        <f t="shared" ca="1" si="77"/>
        <v>1+6.80236895171342i</v>
      </c>
      <c r="D217" t="str">
        <f t="shared" ca="1" si="78"/>
        <v>1+0.90330960208762i</v>
      </c>
      <c r="E217" t="str">
        <f t="shared" ca="1" si="79"/>
        <v>1+676.828567751701i</v>
      </c>
      <c r="F217">
        <f t="shared" ca="1" si="80"/>
        <v>39.000923110829653</v>
      </c>
      <c r="G217" t="str">
        <f t="shared" ca="1" si="92"/>
        <v>0.443585695976541+0.297105510619389i</v>
      </c>
      <c r="H217">
        <f t="shared" ca="1" si="93"/>
        <v>-5.4509426056803614</v>
      </c>
      <c r="I217">
        <f t="shared" ca="1" si="94"/>
        <v>33.813445494598099</v>
      </c>
      <c r="K217" t="str">
        <f t="shared" ca="1" si="81"/>
        <v>1+6.80236895171342i</v>
      </c>
      <c r="L217" t="str">
        <f t="shared" ca="1" si="82"/>
        <v>1-0.507160956925892i</v>
      </c>
      <c r="M217" t="str">
        <f t="shared" ca="1" si="83"/>
        <v>1+680.236895171342i</v>
      </c>
      <c r="N217" t="str">
        <f t="shared" si="84"/>
        <v>1+3.24193794899073i</v>
      </c>
      <c r="O217">
        <f t="shared" ca="1" si="85"/>
        <v>22.224473826228223</v>
      </c>
      <c r="P217" t="str">
        <f t="shared" ca="1" si="100"/>
        <v>-0.0229763386215877-0.0705949864056986i</v>
      </c>
      <c r="Q217">
        <f t="shared" ca="1" si="95"/>
        <v>-22.587251261409627</v>
      </c>
      <c r="R217">
        <f t="shared" ca="1" si="101"/>
        <v>-108.02835932375007</v>
      </c>
      <c r="T217" t="str">
        <f t="shared" si="86"/>
        <v>1+19.76i</v>
      </c>
      <c r="U217" t="str">
        <f t="shared" si="87"/>
        <v>1+2.6i</v>
      </c>
      <c r="V217" t="str">
        <f t="shared" si="88"/>
        <v>-0.00948886639676113i</v>
      </c>
      <c r="W217" t="str">
        <f t="shared" si="96"/>
        <v>0.0209831117742811-0.0640449570098919i</v>
      </c>
      <c r="X217">
        <f t="shared" si="97"/>
        <v>-23.427483284896251</v>
      </c>
      <c r="Y217">
        <f t="shared" si="98"/>
        <v>-71.859601382419385</v>
      </c>
      <c r="Z217">
        <f t="shared" si="99"/>
        <v>41380.285203892789</v>
      </c>
      <c r="AA217">
        <f t="shared" ca="1" si="89"/>
        <v>-46.014734546305874</v>
      </c>
      <c r="AB217">
        <f t="shared" ca="1" si="90"/>
        <v>-179.88796070616945</v>
      </c>
    </row>
    <row r="218" spans="1:28" x14ac:dyDescent="0.2">
      <c r="A218">
        <v>270000</v>
      </c>
      <c r="B218" t="str">
        <f t="shared" si="91"/>
        <v>270000i</v>
      </c>
      <c r="C218" t="str">
        <f t="shared" ca="1" si="77"/>
        <v>1+7.06399852677933i</v>
      </c>
      <c r="D218" t="str">
        <f t="shared" ca="1" si="78"/>
        <v>1+0.93805227909099i</v>
      </c>
      <c r="E218" t="str">
        <f t="shared" ca="1" si="79"/>
        <v>1+702.860435742151i</v>
      </c>
      <c r="F218">
        <f t="shared" ca="1" si="80"/>
        <v>39.000923110829653</v>
      </c>
      <c r="G218" t="str">
        <f t="shared" ca="1" si="92"/>
        <v>0.44357957674149+0.312833613858713i</v>
      </c>
      <c r="H218">
        <f t="shared" ca="1" si="93"/>
        <v>-5.3072640851677235</v>
      </c>
      <c r="I218">
        <f t="shared" ca="1" si="94"/>
        <v>35.193327630192307</v>
      </c>
      <c r="K218" t="str">
        <f t="shared" ca="1" si="81"/>
        <v>1+7.06399852677933i</v>
      </c>
      <c r="L218" t="str">
        <f t="shared" ca="1" si="82"/>
        <v>1-0.526667147576888i</v>
      </c>
      <c r="M218" t="str">
        <f t="shared" ca="1" si="83"/>
        <v>1+706.399852677932i</v>
      </c>
      <c r="N218" t="str">
        <f t="shared" si="84"/>
        <v>1+3.36662787010576i</v>
      </c>
      <c r="O218">
        <f t="shared" ca="1" si="85"/>
        <v>22.224473826228223</v>
      </c>
      <c r="P218" t="str">
        <f t="shared" ca="1" si="100"/>
        <v>-0.0237643592075324-0.0682133979038402i</v>
      </c>
      <c r="Q218">
        <f t="shared" ca="1" si="95"/>
        <v>-22.82511537634641</v>
      </c>
      <c r="R218">
        <f t="shared" ca="1" si="101"/>
        <v>-109.20744637530269</v>
      </c>
      <c r="T218" t="str">
        <f t="shared" si="86"/>
        <v>1+20.52i</v>
      </c>
      <c r="U218" t="str">
        <f t="shared" si="87"/>
        <v>1+2.7i</v>
      </c>
      <c r="V218" t="str">
        <f t="shared" si="88"/>
        <v>-0.00913742690058479i</v>
      </c>
      <c r="W218" t="str">
        <f t="shared" si="96"/>
        <v>0.0196416100565044-0.0621697740531465i</v>
      </c>
      <c r="X218">
        <f t="shared" si="97"/>
        <v>-23.715218033607446</v>
      </c>
      <c r="Y218">
        <f t="shared" si="98"/>
        <v>-72.466847906705794</v>
      </c>
      <c r="Z218">
        <f t="shared" si="99"/>
        <v>42971.834634811741</v>
      </c>
      <c r="AA218">
        <f t="shared" ca="1" si="89"/>
        <v>-46.54033340995386</v>
      </c>
      <c r="AB218">
        <f t="shared" ca="1" si="90"/>
        <v>-181.67429428200847</v>
      </c>
    </row>
    <row r="219" spans="1:28" x14ac:dyDescent="0.2">
      <c r="A219">
        <v>280000</v>
      </c>
      <c r="B219" t="str">
        <f t="shared" si="91"/>
        <v>280000i</v>
      </c>
      <c r="C219" t="str">
        <f t="shared" ca="1" si="77"/>
        <v>1+7.32562810184523i</v>
      </c>
      <c r="D219" t="str">
        <f t="shared" ca="1" si="78"/>
        <v>1+0.97279495609436i</v>
      </c>
      <c r="E219" t="str">
        <f t="shared" ca="1" si="79"/>
        <v>1+728.892303732601i</v>
      </c>
      <c r="F219">
        <f t="shared" ca="1" si="80"/>
        <v>39.000923110829653</v>
      </c>
      <c r="G219" t="str">
        <f t="shared" ca="1" si="92"/>
        <v>0.443574101355764+0.328411010517026i</v>
      </c>
      <c r="H219">
        <f t="shared" ca="1" si="93"/>
        <v>-5.1625331237469076</v>
      </c>
      <c r="I219">
        <f t="shared" ca="1" si="94"/>
        <v>36.515308262496475</v>
      </c>
      <c r="K219" t="str">
        <f t="shared" ca="1" si="81"/>
        <v>1+7.32562810184523i</v>
      </c>
      <c r="L219" t="str">
        <f t="shared" ca="1" si="82"/>
        <v>1-0.546173338227884i</v>
      </c>
      <c r="M219" t="str">
        <f t="shared" ca="1" si="83"/>
        <v>1+732.562810184523i</v>
      </c>
      <c r="N219" t="str">
        <f t="shared" si="84"/>
        <v>1+3.49131779122079i</v>
      </c>
      <c r="O219">
        <f t="shared" ca="1" si="85"/>
        <v>22.224473826228223</v>
      </c>
      <c r="P219" t="str">
        <f t="shared" ca="1" si="100"/>
        <v>-0.0244779695478507-0.0659807141858502i</v>
      </c>
      <c r="Q219">
        <f t="shared" ca="1" si="95"/>
        <v>-23.051644985152052</v>
      </c>
      <c r="R219">
        <f t="shared" ca="1" si="101"/>
        <v>-110.35418558465956</v>
      </c>
      <c r="T219" t="str">
        <f t="shared" si="86"/>
        <v>1+21.28i</v>
      </c>
      <c r="U219" t="str">
        <f t="shared" si="87"/>
        <v>1+2.8i</v>
      </c>
      <c r="V219" t="str">
        <f t="shared" si="88"/>
        <v>-0.00881109022556391i</v>
      </c>
      <c r="W219" t="str">
        <f t="shared" si="96"/>
        <v>0.0184195641819481-0.0603858699350185i</v>
      </c>
      <c r="X219">
        <f t="shared" si="97"/>
        <v>-23.994917286705046</v>
      </c>
      <c r="Y219">
        <f t="shared" si="98"/>
        <v>-73.03666748382642</v>
      </c>
      <c r="Z219">
        <f t="shared" si="99"/>
        <v>44563.384065730694</v>
      </c>
      <c r="AA219">
        <f t="shared" ca="1" si="89"/>
        <v>-47.046562271857098</v>
      </c>
      <c r="AB219">
        <f t="shared" ca="1" si="90"/>
        <v>-183.39085306848597</v>
      </c>
    </row>
    <row r="220" spans="1:28" x14ac:dyDescent="0.2">
      <c r="A220">
        <v>290000</v>
      </c>
      <c r="B220" t="str">
        <f t="shared" si="91"/>
        <v>290000i</v>
      </c>
      <c r="C220" t="str">
        <f t="shared" ca="1" si="77"/>
        <v>1+7.58725767691113i</v>
      </c>
      <c r="D220" t="str">
        <f t="shared" ca="1" si="78"/>
        <v>1+1.00753763309773i</v>
      </c>
      <c r="E220" t="str">
        <f t="shared" ca="1" si="79"/>
        <v>1+754.924171723051i</v>
      </c>
      <c r="F220">
        <f t="shared" ca="1" si="80"/>
        <v>39.000923110829653</v>
      </c>
      <c r="G220" t="str">
        <f t="shared" ca="1" si="92"/>
        <v>0.44356918256289+0.343853290814716i</v>
      </c>
      <c r="H220">
        <f t="shared" ca="1" si="93"/>
        <v>-5.0170501860268431</v>
      </c>
      <c r="I220">
        <f t="shared" ca="1" si="94"/>
        <v>37.782718574682185</v>
      </c>
      <c r="K220" t="str">
        <f t="shared" ca="1" si="81"/>
        <v>1+7.58725767691113i</v>
      </c>
      <c r="L220" t="str">
        <f t="shared" ca="1" si="82"/>
        <v>1-0.56567952887888i</v>
      </c>
      <c r="M220" t="str">
        <f t="shared" ca="1" si="83"/>
        <v>1+758.725767691113i</v>
      </c>
      <c r="N220" t="str">
        <f t="shared" si="84"/>
        <v>1+3.61600771233582i</v>
      </c>
      <c r="O220">
        <f t="shared" ca="1" si="85"/>
        <v>22.224473826228223</v>
      </c>
      <c r="P220" t="str">
        <f t="shared" ca="1" si="100"/>
        <v>-0.0251260054441657-0.0638839611902637i</v>
      </c>
      <c r="Q220">
        <f t="shared" ca="1" si="95"/>
        <v>-23.26750788962384</v>
      </c>
      <c r="R220">
        <f t="shared" ca="1" si="101"/>
        <v>-111.47005881657948</v>
      </c>
      <c r="T220" t="str">
        <f t="shared" si="86"/>
        <v>1+22.04i</v>
      </c>
      <c r="U220" t="str">
        <f t="shared" si="87"/>
        <v>1+2.9i</v>
      </c>
      <c r="V220" t="str">
        <f t="shared" si="88"/>
        <v>-0.00850725952813067i</v>
      </c>
      <c r="W220" t="str">
        <f t="shared" si="96"/>
        <v>0.017303820124168-0.0586883378882179i</v>
      </c>
      <c r="X220">
        <f t="shared" si="97"/>
        <v>-24.266939496860843</v>
      </c>
      <c r="Y220">
        <f t="shared" si="98"/>
        <v>-73.572239298265814</v>
      </c>
      <c r="Z220">
        <f t="shared" si="99"/>
        <v>46154.933496649646</v>
      </c>
      <c r="AA220">
        <f t="shared" ca="1" si="89"/>
        <v>-47.534447386484686</v>
      </c>
      <c r="AB220">
        <f t="shared" ca="1" si="90"/>
        <v>-185.04229811484529</v>
      </c>
    </row>
    <row r="221" spans="1:28" x14ac:dyDescent="0.2">
      <c r="A221">
        <v>300000</v>
      </c>
      <c r="B221" t="str">
        <f t="shared" si="91"/>
        <v>300000i</v>
      </c>
      <c r="C221" t="str">
        <f t="shared" ca="1" si="77"/>
        <v>1+7.84888725197703i</v>
      </c>
      <c r="D221" t="str">
        <f t="shared" ca="1" si="78"/>
        <v>1+1.0422803101011i</v>
      </c>
      <c r="E221" t="str">
        <f t="shared" ca="1" si="79"/>
        <v>1+780.956039713501i</v>
      </c>
      <c r="F221">
        <f t="shared" ca="1" si="80"/>
        <v>39.000923110829653</v>
      </c>
      <c r="G221" t="str">
        <f t="shared" ca="1" si="92"/>
        <v>0.443564747402297+0.359173966294418i</v>
      </c>
      <c r="H221">
        <f t="shared" ca="1" si="93"/>
        <v>-4.8710807874844706</v>
      </c>
      <c r="I221">
        <f t="shared" ca="1" si="94"/>
        <v>38.998620391547384</v>
      </c>
      <c r="K221" t="str">
        <f t="shared" ca="1" si="81"/>
        <v>1+7.84888725197703i</v>
      </c>
      <c r="L221" t="str">
        <f t="shared" ca="1" si="82"/>
        <v>1-0.585185719529875i</v>
      </c>
      <c r="M221" t="str">
        <f t="shared" ca="1" si="83"/>
        <v>1+784.888725197703i</v>
      </c>
      <c r="N221" t="str">
        <f t="shared" si="84"/>
        <v>1+3.74069763345085i</v>
      </c>
      <c r="O221">
        <f t="shared" ca="1" si="85"/>
        <v>22.224473826228223</v>
      </c>
      <c r="P221" t="str">
        <f t="shared" ca="1" si="100"/>
        <v>-0.0257160657122949-0.0619115662079144i</v>
      </c>
      <c r="Q221">
        <f t="shared" ca="1" si="95"/>
        <v>-23.47332330246029</v>
      </c>
      <c r="R221">
        <f t="shared" ca="1" si="101"/>
        <v>-112.55642074150194</v>
      </c>
      <c r="T221" t="str">
        <f t="shared" si="86"/>
        <v>1+22.8i</v>
      </c>
      <c r="U221" t="str">
        <f t="shared" si="87"/>
        <v>1+3i</v>
      </c>
      <c r="V221" t="str">
        <f t="shared" si="88"/>
        <v>-0.00822368421052632i</v>
      </c>
      <c r="W221" t="str">
        <f t="shared" si="96"/>
        <v>0.0162828947368421-0.0570723684210526i</v>
      </c>
      <c r="X221">
        <f t="shared" si="97"/>
        <v>-24.53162819643191</v>
      </c>
      <c r="Y221">
        <f t="shared" si="98"/>
        <v>-74.076414444241067</v>
      </c>
      <c r="Z221">
        <f t="shared" si="99"/>
        <v>47746.482927568606</v>
      </c>
      <c r="AA221">
        <f t="shared" ca="1" si="89"/>
        <v>-48.004951498892197</v>
      </c>
      <c r="AB221">
        <f t="shared" ca="1" si="90"/>
        <v>-186.63283518574301</v>
      </c>
    </row>
    <row r="222" spans="1:28" x14ac:dyDescent="0.2">
      <c r="A222">
        <v>310000</v>
      </c>
      <c r="B222" t="str">
        <f t="shared" si="91"/>
        <v>310000i</v>
      </c>
      <c r="C222" t="str">
        <f t="shared" ca="1" si="77"/>
        <v>1+8.11051682704293i</v>
      </c>
      <c r="D222" t="str">
        <f t="shared" ca="1" si="78"/>
        <v>1+1.07702298710447i</v>
      </c>
      <c r="E222" t="str">
        <f t="shared" ca="1" si="79"/>
        <v>1+806.987907703951i</v>
      </c>
      <c r="F222">
        <f t="shared" ca="1" si="80"/>
        <v>39.000923110829653</v>
      </c>
      <c r="G222" t="str">
        <f t="shared" ca="1" si="92"/>
        <v>0.443560734488077+0.374384805088257i</v>
      </c>
      <c r="H222">
        <f t="shared" ca="1" si="93"/>
        <v>-4.7248595978614691</v>
      </c>
      <c r="I222">
        <f t="shared" ca="1" si="94"/>
        <v>40.165840188892211</v>
      </c>
      <c r="K222" t="str">
        <f t="shared" ca="1" si="81"/>
        <v>1+8.11051682704293i</v>
      </c>
      <c r="L222" t="str">
        <f t="shared" ca="1" si="82"/>
        <v>1-0.604691910180871i</v>
      </c>
      <c r="M222" t="str">
        <f t="shared" ca="1" si="83"/>
        <v>1+811.051682704293i</v>
      </c>
      <c r="N222" t="str">
        <f t="shared" si="84"/>
        <v>1+3.86538755456588i</v>
      </c>
      <c r="O222">
        <f t="shared" ca="1" si="85"/>
        <v>22.224473826228223</v>
      </c>
      <c r="P222" t="str">
        <f t="shared" ca="1" si="100"/>
        <v>-0.0262547078912147-0.0600531820904949i</v>
      </c>
      <c r="Q222">
        <f t="shared" ca="1" si="95"/>
        <v>-23.669666258268439</v>
      </c>
      <c r="R222">
        <f t="shared" ca="1" si="101"/>
        <v>-113.61451368666084</v>
      </c>
      <c r="T222" t="str">
        <f t="shared" si="86"/>
        <v>1+23.56i</v>
      </c>
      <c r="U222" t="str">
        <f t="shared" si="87"/>
        <v>1+3.1i</v>
      </c>
      <c r="V222" t="str">
        <f t="shared" si="88"/>
        <v>-0.00795840407470289i</v>
      </c>
      <c r="W222" t="str">
        <f t="shared" si="96"/>
        <v>0.0153467433900491-0.0555333085838551i</v>
      </c>
      <c r="X222">
        <f t="shared" si="97"/>
        <v>-24.789311348851612</v>
      </c>
      <c r="Y222">
        <f t="shared" si="98"/>
        <v>-74.551753715733923</v>
      </c>
      <c r="Z222">
        <f t="shared" si="99"/>
        <v>49338.032358487559</v>
      </c>
      <c r="AA222">
        <f t="shared" ca="1" si="89"/>
        <v>-48.458977607120048</v>
      </c>
      <c r="AB222">
        <f t="shared" ca="1" si="90"/>
        <v>-188.16626740239477</v>
      </c>
    </row>
    <row r="223" spans="1:28" x14ac:dyDescent="0.2">
      <c r="A223">
        <v>320000</v>
      </c>
      <c r="B223" t="str">
        <f t="shared" si="91"/>
        <v>320000i</v>
      </c>
      <c r="C223" t="str">
        <f t="shared" ca="1" si="77"/>
        <v>1+8.37214640210883i</v>
      </c>
      <c r="D223" t="str">
        <f t="shared" ca="1" si="78"/>
        <v>1+1.11176566410784i</v>
      </c>
      <c r="E223" t="str">
        <f t="shared" ca="1" si="79"/>
        <v>1+833.019775694401i</v>
      </c>
      <c r="F223">
        <f t="shared" ca="1" si="80"/>
        <v>39.000923110829653</v>
      </c>
      <c r="G223" t="str">
        <f t="shared" ca="1" si="92"/>
        <v>0.443557091873427+0.389496104323174i</v>
      </c>
      <c r="H223">
        <f t="shared" ca="1" si="93"/>
        <v>-4.5785939524820662</v>
      </c>
      <c r="I223">
        <f t="shared" ca="1" si="94"/>
        <v>41.286996787245833</v>
      </c>
      <c r="K223" t="str">
        <f t="shared" ca="1" si="81"/>
        <v>1+8.37214640210883i</v>
      </c>
      <c r="L223" t="str">
        <f t="shared" ca="1" si="82"/>
        <v>1-0.624198100831867i</v>
      </c>
      <c r="M223" t="str">
        <f t="shared" ca="1" si="83"/>
        <v>1+837.214640210883i</v>
      </c>
      <c r="N223" t="str">
        <f t="shared" si="84"/>
        <v>1+3.9900774756809i</v>
      </c>
      <c r="O223">
        <f t="shared" ca="1" si="85"/>
        <v>22.224473826228223</v>
      </c>
      <c r="P223" t="str">
        <f t="shared" ca="1" si="100"/>
        <v>-0.0267476100558747-0.0582995360078925i</v>
      </c>
      <c r="Q223">
        <f t="shared" ca="1" si="95"/>
        <v>-23.857071537632635</v>
      </c>
      <c r="R223">
        <f t="shared" ca="1" si="101"/>
        <v>-114.64548092639195</v>
      </c>
      <c r="T223" t="str">
        <f t="shared" si="86"/>
        <v>1+24.32i</v>
      </c>
      <c r="U223" t="str">
        <f t="shared" si="87"/>
        <v>1+3.2i</v>
      </c>
      <c r="V223" t="str">
        <f t="shared" si="88"/>
        <v>-0.00770970394736842i</v>
      </c>
      <c r="W223" t="str">
        <f t="shared" si="96"/>
        <v>0.0144865611537741-0.0540666996394456i</v>
      </c>
      <c r="X223">
        <f t="shared" si="97"/>
        <v>-25.040301147905161</v>
      </c>
      <c r="Y223">
        <f t="shared" si="98"/>
        <v>-75.000560962825773</v>
      </c>
      <c r="Z223">
        <f t="shared" si="99"/>
        <v>50929.581789406511</v>
      </c>
      <c r="AA223">
        <f t="shared" ca="1" si="89"/>
        <v>-48.897372685537796</v>
      </c>
      <c r="AB223">
        <f t="shared" ca="1" si="90"/>
        <v>-189.64604188921771</v>
      </c>
    </row>
    <row r="224" spans="1:28" x14ac:dyDescent="0.2">
      <c r="A224">
        <v>330000</v>
      </c>
      <c r="B224" t="str">
        <f t="shared" si="91"/>
        <v>330000i</v>
      </c>
      <c r="C224" t="str">
        <f t="shared" ca="1" si="77"/>
        <v>1+8.63377597717473i</v>
      </c>
      <c r="D224" t="str">
        <f t="shared" ca="1" si="78"/>
        <v>1+1.14650834111121i</v>
      </c>
      <c r="E224" t="str">
        <f t="shared" ca="1" si="79"/>
        <v>1+859.051643684851i</v>
      </c>
      <c r="F224">
        <f t="shared" ca="1" si="80"/>
        <v>39.000923110829653</v>
      </c>
      <c r="G224" t="str">
        <f t="shared" ca="1" si="92"/>
        <v>0.443553775361042+0.404516912998529i</v>
      </c>
      <c r="H224">
        <f t="shared" ca="1" si="93"/>
        <v>-4.4324668886833019</v>
      </c>
      <c r="I224">
        <f t="shared" ca="1" si="94"/>
        <v>42.364524159867322</v>
      </c>
      <c r="K224" t="str">
        <f t="shared" ca="1" si="81"/>
        <v>1+8.63377597717473i</v>
      </c>
      <c r="L224" t="str">
        <f t="shared" ca="1" si="82"/>
        <v>1-0.643704291482863i</v>
      </c>
      <c r="M224" t="str">
        <f t="shared" ca="1" si="83"/>
        <v>1+863.377597717473i</v>
      </c>
      <c r="N224" t="str">
        <f t="shared" si="84"/>
        <v>1+4.11476739679593i</v>
      </c>
      <c r="O224">
        <f t="shared" ca="1" si="85"/>
        <v>22.224473826228223</v>
      </c>
      <c r="P224" t="str">
        <f t="shared" ca="1" si="100"/>
        <v>-0.0271997049837206-0.0566422990466566i</v>
      </c>
      <c r="Q224">
        <f t="shared" ca="1" si="95"/>
        <v>-24.036037166117573</v>
      </c>
      <c r="R224">
        <f t="shared" ca="1" si="101"/>
        <v>-115.65037844599991</v>
      </c>
      <c r="T224" t="str">
        <f t="shared" si="86"/>
        <v>1+25.08i</v>
      </c>
      <c r="U224" t="str">
        <f t="shared" si="87"/>
        <v>1+3.3i</v>
      </c>
      <c r="V224" t="str">
        <f t="shared" si="88"/>
        <v>-0.00747607655502392i</v>
      </c>
      <c r="W224" t="str">
        <f t="shared" si="96"/>
        <v>0.0136946128989421-0.0526682991215327i</v>
      </c>
      <c r="X224">
        <f t="shared" si="97"/>
        <v>-25.284894134969498</v>
      </c>
      <c r="Y224">
        <f t="shared" si="98"/>
        <v>-75.424912449524015</v>
      </c>
      <c r="Z224">
        <f t="shared" si="99"/>
        <v>52521.131220325464</v>
      </c>
      <c r="AA224">
        <f t="shared" ca="1" si="89"/>
        <v>-49.320931301087072</v>
      </c>
      <c r="AB224">
        <f t="shared" ca="1" si="90"/>
        <v>-191.07529089552392</v>
      </c>
    </row>
    <row r="225" spans="1:28" x14ac:dyDescent="0.2">
      <c r="A225">
        <v>340000</v>
      </c>
      <c r="B225" t="str">
        <f t="shared" si="91"/>
        <v>340000i</v>
      </c>
      <c r="C225" t="str">
        <f t="shared" ca="1" si="77"/>
        <v>1+8.89540555224063i</v>
      </c>
      <c r="D225" t="str">
        <f t="shared" ca="1" si="78"/>
        <v>1+1.18125101811458i</v>
      </c>
      <c r="E225" t="str">
        <f t="shared" ca="1" si="79"/>
        <v>1+885.083511675301i</v>
      </c>
      <c r="F225">
        <f t="shared" ca="1" si="80"/>
        <v>39.000923110829653</v>
      </c>
      <c r="G225" t="str">
        <f t="shared" ca="1" si="92"/>
        <v>0.443550747156103+0.41945521553276i</v>
      </c>
      <c r="H225">
        <f t="shared" ca="1" si="93"/>
        <v>-4.2866397944323458</v>
      </c>
      <c r="I225">
        <f t="shared" ca="1" si="94"/>
        <v>43.40069043366011</v>
      </c>
      <c r="K225" t="str">
        <f t="shared" ca="1" si="81"/>
        <v>1+8.89540555224063i</v>
      </c>
      <c r="L225" t="str">
        <f t="shared" ca="1" si="82"/>
        <v>1-0.663210482133859i</v>
      </c>
      <c r="M225" t="str">
        <f t="shared" ca="1" si="83"/>
        <v>1+889.540555224063i</v>
      </c>
      <c r="N225" t="str">
        <f t="shared" si="84"/>
        <v>1+4.23945731791096i</v>
      </c>
      <c r="O225">
        <f t="shared" ca="1" si="85"/>
        <v>22.224473826228223</v>
      </c>
      <c r="P225" t="str">
        <f t="shared" ca="1" si="100"/>
        <v>-0.0276152917340546-0.0550739735383531i</v>
      </c>
      <c r="Q225">
        <f t="shared" ca="1" si="95"/>
        <v>-24.207027541196315</v>
      </c>
      <c r="R225">
        <f t="shared" ca="1" si="101"/>
        <v>-116.630185273931</v>
      </c>
      <c r="T225" t="str">
        <f t="shared" si="86"/>
        <v>1+25.84i</v>
      </c>
      <c r="U225" t="str">
        <f t="shared" si="87"/>
        <v>1+3.4i</v>
      </c>
      <c r="V225" t="str">
        <f t="shared" si="88"/>
        <v>-0.0072561919504644i</v>
      </c>
      <c r="W225" t="str">
        <f t="shared" si="96"/>
        <v>0.0129640881662756-0.0513340917158013i</v>
      </c>
      <c r="X225">
        <f t="shared" si="97"/>
        <v>-25.523371537542673</v>
      </c>
      <c r="Y225">
        <f t="shared" si="98"/>
        <v>-75.826682648712634</v>
      </c>
      <c r="Z225">
        <f t="shared" si="99"/>
        <v>54112.680651244416</v>
      </c>
      <c r="AA225">
        <f t="shared" ca="1" si="89"/>
        <v>-49.730399078738984</v>
      </c>
      <c r="AB225">
        <f t="shared" ca="1" si="90"/>
        <v>-192.45686792264365</v>
      </c>
    </row>
    <row r="226" spans="1:28" x14ac:dyDescent="0.2">
      <c r="A226">
        <v>350000</v>
      </c>
      <c r="B226" t="str">
        <f t="shared" si="91"/>
        <v>350000i</v>
      </c>
      <c r="C226" t="str">
        <f t="shared" ca="1" si="77"/>
        <v>1+9.15703512730653i</v>
      </c>
      <c r="D226" t="str">
        <f t="shared" ca="1" si="78"/>
        <v>1+1.21599369511795i</v>
      </c>
      <c r="E226" t="str">
        <f t="shared" ca="1" si="79"/>
        <v>1+911.115379665751i</v>
      </c>
      <c r="F226">
        <f t="shared" ca="1" si="80"/>
        <v>39.000923110829653</v>
      </c>
      <c r="G226" t="str">
        <f t="shared" ca="1" si="92"/>
        <v>0.443547974784716+0.434318083845177i</v>
      </c>
      <c r="H226">
        <f t="shared" ca="1" si="93"/>
        <v>-4.1412547349405662</v>
      </c>
      <c r="I226">
        <f t="shared" ca="1" si="94"/>
        <v>44.397613900477417</v>
      </c>
      <c r="K226" t="str">
        <f t="shared" ca="1" si="81"/>
        <v>1+9.15703512730653i</v>
      </c>
      <c r="L226" t="str">
        <f t="shared" ca="1" si="82"/>
        <v>1-0.682716672784855i</v>
      </c>
      <c r="M226" t="str">
        <f t="shared" ca="1" si="83"/>
        <v>1+915.703512730653i</v>
      </c>
      <c r="N226" t="str">
        <f t="shared" si="84"/>
        <v>1+4.36414723902599i</v>
      </c>
      <c r="O226">
        <f t="shared" ca="1" si="85"/>
        <v>22.224473826228223</v>
      </c>
      <c r="P226" t="str">
        <f t="shared" ca="1" si="100"/>
        <v>-0.0279981287334183-0.0535877954997343i</v>
      </c>
      <c r="Q226">
        <f t="shared" ca="1" si="95"/>
        <v>-24.37047623279852</v>
      </c>
      <c r="R226">
        <f t="shared" ca="1" si="101"/>
        <v>-117.58581250615373</v>
      </c>
      <c r="T226" t="str">
        <f t="shared" si="86"/>
        <v>1+26.6i</v>
      </c>
      <c r="U226" t="str">
        <f t="shared" si="87"/>
        <v>1+3.5i</v>
      </c>
      <c r="V226" t="str">
        <f t="shared" si="88"/>
        <v>-0.00704887218045113i</v>
      </c>
      <c r="W226" t="str">
        <f t="shared" si="96"/>
        <v>0.0122889771598808-0.050060292240034i</v>
      </c>
      <c r="X226">
        <f t="shared" si="97"/>
        <v>-25.755999757377438</v>
      </c>
      <c r="Y226">
        <f t="shared" si="98"/>
        <v>-76.207566888177624</v>
      </c>
      <c r="Z226">
        <f t="shared" si="99"/>
        <v>55704.230082163369</v>
      </c>
      <c r="AA226">
        <f t="shared" ca="1" si="89"/>
        <v>-50.126475990175962</v>
      </c>
      <c r="AB226">
        <f t="shared" ca="1" si="90"/>
        <v>-193.79337939433134</v>
      </c>
    </row>
    <row r="227" spans="1:28" x14ac:dyDescent="0.2">
      <c r="A227">
        <v>360000</v>
      </c>
      <c r="B227" t="str">
        <f t="shared" si="91"/>
        <v>360000i</v>
      </c>
      <c r="C227" t="str">
        <f t="shared" ca="1" si="77"/>
        <v>1+9.41866470237243i</v>
      </c>
      <c r="D227" t="str">
        <f t="shared" ca="1" si="78"/>
        <v>1+1.25073637212132i</v>
      </c>
      <c r="E227" t="str">
        <f t="shared" ca="1" si="79"/>
        <v>1+937.147247656201i</v>
      </c>
      <c r="F227">
        <f t="shared" ca="1" si="80"/>
        <v>39.000923110829653</v>
      </c>
      <c r="G227" t="str">
        <f t="shared" ca="1" si="92"/>
        <v>0.443545430219663+0.449111804091026i</v>
      </c>
      <c r="H227">
        <f t="shared" ca="1" si="93"/>
        <v>-3.9964365079132684</v>
      </c>
      <c r="I227">
        <f t="shared" ca="1" si="94"/>
        <v>45.357276661257039</v>
      </c>
      <c r="K227" t="str">
        <f t="shared" ca="1" si="81"/>
        <v>1+9.41866470237243i</v>
      </c>
      <c r="L227" t="str">
        <f t="shared" ca="1" si="82"/>
        <v>1-0.70222286343585i</v>
      </c>
      <c r="M227" t="str">
        <f t="shared" ca="1" si="83"/>
        <v>1+941.866470237243i</v>
      </c>
      <c r="N227" t="str">
        <f t="shared" si="84"/>
        <v>1+4.48883716014102i</v>
      </c>
      <c r="O227">
        <f t="shared" ca="1" si="85"/>
        <v>22.224473826228223</v>
      </c>
      <c r="P227" t="str">
        <f t="shared" ca="1" si="100"/>
        <v>-0.0283515116804135-0.0521776499771441i</v>
      </c>
      <c r="Q227">
        <f t="shared" ca="1" si="95"/>
        <v>-24.526788497039892</v>
      </c>
      <c r="R227">
        <f t="shared" ca="1" si="101"/>
        <v>-118.5181111569478</v>
      </c>
      <c r="T227" t="str">
        <f t="shared" si="86"/>
        <v>1+27.36i</v>
      </c>
      <c r="U227" t="str">
        <f t="shared" si="87"/>
        <v>1+3.6i</v>
      </c>
      <c r="V227" t="str">
        <f t="shared" si="88"/>
        <v>-0.0068530701754386i</v>
      </c>
      <c r="W227" t="str">
        <f t="shared" si="96"/>
        <v>0.0116639647112049-0.0488433431357764i</v>
      </c>
      <c r="X227">
        <f t="shared" si="97"/>
        <v>-25.983030955297465</v>
      </c>
      <c r="Y227">
        <f t="shared" si="98"/>
        <v>-76.569101228874615</v>
      </c>
      <c r="Z227">
        <f t="shared" si="99"/>
        <v>57295.779513082322</v>
      </c>
      <c r="AA227">
        <f t="shared" ca="1" si="89"/>
        <v>-50.509819452337354</v>
      </c>
      <c r="AB227">
        <f t="shared" ca="1" si="90"/>
        <v>-195.0872123858224</v>
      </c>
    </row>
    <row r="228" spans="1:28" x14ac:dyDescent="0.2">
      <c r="A228">
        <v>370000</v>
      </c>
      <c r="B228" t="str">
        <f t="shared" si="91"/>
        <v>370000i</v>
      </c>
      <c r="C228" t="str">
        <f t="shared" ca="1" si="77"/>
        <v>1+9.68029427743834i</v>
      </c>
      <c r="D228" t="str">
        <f t="shared" ca="1" si="78"/>
        <v>1+1.28547904912469i</v>
      </c>
      <c r="E228" t="str">
        <f t="shared" ca="1" si="79"/>
        <v>1+963.179115646651i</v>
      </c>
      <c r="F228">
        <f t="shared" ca="1" si="80"/>
        <v>39.000923110829653</v>
      </c>
      <c r="G228" t="str">
        <f t="shared" ca="1" si="92"/>
        <v>0.443543089169254+0.463841982845077i</v>
      </c>
      <c r="H228">
        <f t="shared" ca="1" si="93"/>
        <v>-3.852294467128992</v>
      </c>
      <c r="I228">
        <f t="shared" ca="1" si="94"/>
        <v>46.281536379149216</v>
      </c>
      <c r="K228" t="str">
        <f t="shared" ca="1" si="81"/>
        <v>1+9.68029427743834i</v>
      </c>
      <c r="L228" t="str">
        <f t="shared" ca="1" si="82"/>
        <v>1-0.721729054086846i</v>
      </c>
      <c r="M228" t="str">
        <f t="shared" ca="1" si="83"/>
        <v>1+968.029427743833i</v>
      </c>
      <c r="N228" t="str">
        <f t="shared" si="84"/>
        <v>1+4.61352708125605i</v>
      </c>
      <c r="O228">
        <f t="shared" ca="1" si="85"/>
        <v>22.224473826228223</v>
      </c>
      <c r="P228" t="str">
        <f t="shared" ca="1" si="100"/>
        <v>-0.0286783389555453-0.05083799743051i</v>
      </c>
      <c r="Q228">
        <f t="shared" ca="1" si="95"/>
        <v>-24.676343537472356</v>
      </c>
      <c r="R228">
        <f t="shared" ca="1" si="101"/>
        <v>-119.42787896955004</v>
      </c>
      <c r="T228" t="str">
        <f t="shared" si="86"/>
        <v>1+28.12i</v>
      </c>
      <c r="U228" t="str">
        <f t="shared" si="87"/>
        <v>1+3.7i</v>
      </c>
      <c r="V228" t="str">
        <f t="shared" si="88"/>
        <v>-0.0066678520625889i</v>
      </c>
      <c r="W228" t="str">
        <f t="shared" si="96"/>
        <v>0.011084339507721-0.0476799082411565i</v>
      </c>
      <c r="X228">
        <f t="shared" si="97"/>
        <v>-26.204703693850234</v>
      </c>
      <c r="Y228">
        <f t="shared" si="98"/>
        <v>-76.912679919365416</v>
      </c>
      <c r="Z228">
        <f t="shared" si="99"/>
        <v>58887.328944001274</v>
      </c>
      <c r="AA228">
        <f t="shared" ca="1" si="89"/>
        <v>-50.88104723132259</v>
      </c>
      <c r="AB228">
        <f t="shared" ca="1" si="90"/>
        <v>-196.34055888891544</v>
      </c>
    </row>
    <row r="229" spans="1:28" x14ac:dyDescent="0.2">
      <c r="A229">
        <v>380000</v>
      </c>
      <c r="B229" t="str">
        <f t="shared" si="91"/>
        <v>380000i</v>
      </c>
      <c r="C229" t="str">
        <f t="shared" ca="1" si="77"/>
        <v>1+9.94192385250424i</v>
      </c>
      <c r="D229" t="str">
        <f t="shared" ca="1" si="78"/>
        <v>1+1.32022172612806i</v>
      </c>
      <c r="E229" t="str">
        <f t="shared" ca="1" si="79"/>
        <v>1+989.210983637101i</v>
      </c>
      <c r="F229">
        <f t="shared" ca="1" si="80"/>
        <v>39.000923110829653</v>
      </c>
      <c r="G229" t="str">
        <f t="shared" ca="1" si="92"/>
        <v>0.44354093049542+0.478513636519525i</v>
      </c>
      <c r="H229">
        <f t="shared" ca="1" si="93"/>
        <v>-3.708924146043477</v>
      </c>
      <c r="I229">
        <f t="shared" ca="1" si="94"/>
        <v>47.172136507692592</v>
      </c>
      <c r="K229" t="str">
        <f t="shared" ca="1" si="81"/>
        <v>1+9.94192385250424i</v>
      </c>
      <c r="L229" t="str">
        <f t="shared" ca="1" si="82"/>
        <v>1-0.741235244737842i</v>
      </c>
      <c r="M229" t="str">
        <f t="shared" ca="1" si="83"/>
        <v>1+994.192385250424i</v>
      </c>
      <c r="N229" t="str">
        <f t="shared" si="84"/>
        <v>1+4.73821700237107i</v>
      </c>
      <c r="O229">
        <f t="shared" ca="1" si="85"/>
        <v>22.224473826228223</v>
      </c>
      <c r="P229" t="str">
        <f t="shared" ca="1" si="100"/>
        <v>-0.0289811667167216-0.0495638095794945i</v>
      </c>
      <c r="Q229">
        <f t="shared" ca="1" si="95"/>
        <v>-24.81949654370942</v>
      </c>
      <c r="R229">
        <f t="shared" ca="1" si="101"/>
        <v>-120.31586631317306</v>
      </c>
      <c r="T229" t="str">
        <f t="shared" si="86"/>
        <v>1+28.88i</v>
      </c>
      <c r="U229" t="str">
        <f t="shared" si="87"/>
        <v>1+3.8i</v>
      </c>
      <c r="V229" t="str">
        <f t="shared" si="88"/>
        <v>-0.00649238227146814i</v>
      </c>
      <c r="W229" t="str">
        <f t="shared" si="96"/>
        <v>0.0105459162803382-0.0465668641367531i</v>
      </c>
      <c r="X229">
        <f t="shared" si="97"/>
        <v>-26.421243609500131</v>
      </c>
      <c r="Y229">
        <f t="shared" si="98"/>
        <v>-77.239570732554853</v>
      </c>
      <c r="Z229">
        <f t="shared" si="99"/>
        <v>60478.878374920227</v>
      </c>
      <c r="AA229">
        <f t="shared" ca="1" si="89"/>
        <v>-51.240740153209551</v>
      </c>
      <c r="AB229">
        <f t="shared" ca="1" si="90"/>
        <v>-197.5554370457279</v>
      </c>
    </row>
    <row r="230" spans="1:28" x14ac:dyDescent="0.2">
      <c r="A230">
        <v>390000</v>
      </c>
      <c r="B230" t="str">
        <f t="shared" si="91"/>
        <v>390000i</v>
      </c>
      <c r="C230" t="str">
        <f t="shared" ca="1" si="77"/>
        <v>1+10.2035534275701i</v>
      </c>
      <c r="D230" t="str">
        <f t="shared" ca="1" si="78"/>
        <v>1+1.35496440313143i</v>
      </c>
      <c r="E230" t="str">
        <f t="shared" ca="1" si="79"/>
        <v>1+1015.24285162755i</v>
      </c>
      <c r="F230">
        <f t="shared" ca="1" si="80"/>
        <v>39.000923110829653</v>
      </c>
      <c r="G230" t="str">
        <f t="shared" ca="1" si="92"/>
        <v>0.443538935734871+0.493131267025382i</v>
      </c>
      <c r="H230">
        <f t="shared" ca="1" si="93"/>
        <v>-3.5664087071873456</v>
      </c>
      <c r="I230">
        <f t="shared" ca="1" si="94"/>
        <v>48.030715276907827</v>
      </c>
      <c r="K230" t="str">
        <f t="shared" ca="1" si="81"/>
        <v>1+10.2035534275701i</v>
      </c>
      <c r="L230" t="str">
        <f t="shared" ca="1" si="82"/>
        <v>1-0.760741435388838i</v>
      </c>
      <c r="M230" t="str">
        <f t="shared" ca="1" si="83"/>
        <v>1+1020.35534275701i</v>
      </c>
      <c r="N230" t="str">
        <f t="shared" si="84"/>
        <v>1+4.8629069234861i</v>
      </c>
      <c r="O230">
        <f t="shared" ca="1" si="85"/>
        <v>22.224473826228223</v>
      </c>
      <c r="P230" t="str">
        <f t="shared" ca="1" si="100"/>
        <v>-0.0292622554549304-0.0483505133753373i</v>
      </c>
      <c r="Q230">
        <f t="shared" ca="1" si="95"/>
        <v>-24.956580533408847</v>
      </c>
      <c r="R230">
        <f t="shared" ca="1" si="101"/>
        <v>-121.18278128284915</v>
      </c>
      <c r="T230" t="str">
        <f t="shared" si="86"/>
        <v>1+29.64i</v>
      </c>
      <c r="U230" t="str">
        <f t="shared" si="87"/>
        <v>1+3.9i</v>
      </c>
      <c r="V230" t="str">
        <f t="shared" si="88"/>
        <v>-0.00632591093117409i</v>
      </c>
      <c r="W230" t="str">
        <f t="shared" si="96"/>
        <v>0.0100449689924998-0.0455012900019231i</v>
      </c>
      <c r="X230">
        <f t="shared" si="97"/>
        <v>-26.632864093962102</v>
      </c>
      <c r="Y230">
        <f t="shared" si="98"/>
        <v>-77.550928454689668</v>
      </c>
      <c r="Z230">
        <f t="shared" si="99"/>
        <v>62070.427805839186</v>
      </c>
      <c r="AA230">
        <f t="shared" ca="1" si="89"/>
        <v>-51.589444627370952</v>
      </c>
      <c r="AB230">
        <f t="shared" ca="1" si="90"/>
        <v>-198.73370973753882</v>
      </c>
    </row>
    <row r="231" spans="1:28" x14ac:dyDescent="0.2">
      <c r="A231">
        <v>400000</v>
      </c>
      <c r="B231" t="str">
        <f t="shared" si="91"/>
        <v>400000i</v>
      </c>
      <c r="C231" t="str">
        <f t="shared" ca="1" si="77"/>
        <v>1+10.465183002636i</v>
      </c>
      <c r="D231" t="str">
        <f t="shared" ca="1" si="78"/>
        <v>1+1.3897070801348i</v>
      </c>
      <c r="E231" t="str">
        <f t="shared" ca="1" si="79"/>
        <v>1+1041.274719618i</v>
      </c>
      <c r="F231">
        <f t="shared" ca="1" si="80"/>
        <v>39.000923110829653</v>
      </c>
      <c r="G231" t="str">
        <f t="shared" ca="1" si="92"/>
        <v>0.443537088702996+0.507698926084753i</v>
      </c>
      <c r="H231">
        <f t="shared" ca="1" si="93"/>
        <v>-3.4248202386648052</v>
      </c>
      <c r="I231">
        <f t="shared" ca="1" si="94"/>
        <v>48.858813657126348</v>
      </c>
      <c r="K231" t="str">
        <f t="shared" ca="1" si="81"/>
        <v>1+10.465183002636i</v>
      </c>
      <c r="L231" t="str">
        <f t="shared" ca="1" si="82"/>
        <v>1-0.780247626039834i</v>
      </c>
      <c r="M231" t="str">
        <f t="shared" ca="1" si="83"/>
        <v>1+1046.5183002636i</v>
      </c>
      <c r="N231" t="str">
        <f t="shared" si="84"/>
        <v>1+4.98759684460113i</v>
      </c>
      <c r="O231">
        <f t="shared" ca="1" si="85"/>
        <v>22.224473826228223</v>
      </c>
      <c r="P231" t="str">
        <f t="shared" ca="1" si="100"/>
        <v>-0.0295236094576834-0.0471939419643257i</v>
      </c>
      <c r="Q231">
        <f t="shared" ca="1" si="95"/>
        <v>-25.087908020246736</v>
      </c>
      <c r="R231">
        <f t="shared" ca="1" si="101"/>
        <v>-122.029294107179</v>
      </c>
      <c r="T231" t="str">
        <f t="shared" si="86"/>
        <v>1+30.4i</v>
      </c>
      <c r="U231" t="str">
        <f t="shared" si="87"/>
        <v>1+4i</v>
      </c>
      <c r="V231" t="str">
        <f t="shared" si="88"/>
        <v>-0.00616776315789474i</v>
      </c>
      <c r="W231" t="str">
        <f t="shared" si="96"/>
        <v>0.009578173374613-0.0444804566563467i</v>
      </c>
      <c r="X231">
        <f t="shared" si="97"/>
        <v>-26.83976697017814</v>
      </c>
      <c r="Y231">
        <f t="shared" si="98"/>
        <v>-77.847806763165309</v>
      </c>
      <c r="Z231">
        <f t="shared" si="99"/>
        <v>63661.977236758139</v>
      </c>
      <c r="AA231">
        <f t="shared" ca="1" si="89"/>
        <v>-51.927674990424876</v>
      </c>
      <c r="AB231">
        <f t="shared" ca="1" si="90"/>
        <v>-199.87710087034429</v>
      </c>
    </row>
    <row r="232" spans="1:28" x14ac:dyDescent="0.2">
      <c r="A232">
        <v>410000</v>
      </c>
      <c r="B232" t="str">
        <f t="shared" si="91"/>
        <v>410000i</v>
      </c>
      <c r="C232" t="str">
        <f t="shared" ca="1" si="77"/>
        <v>1+10.7268125777019i</v>
      </c>
      <c r="D232" t="str">
        <f t="shared" ca="1" si="78"/>
        <v>1+1.42444975713817i</v>
      </c>
      <c r="E232" t="str">
        <f t="shared" ca="1" si="79"/>
        <v>1+1067.30658760845i</v>
      </c>
      <c r="F232">
        <f t="shared" ca="1" si="80"/>
        <v>39.000923110829653</v>
      </c>
      <c r="G232" t="str">
        <f t="shared" ca="1" si="92"/>
        <v>0.443535375164528+0.522220270131603i</v>
      </c>
      <c r="H232">
        <f t="shared" ca="1" si="93"/>
        <v>-3.2842209156471003</v>
      </c>
      <c r="I232">
        <f t="shared" ca="1" si="94"/>
        <v>49.657882472420489</v>
      </c>
      <c r="K232" t="str">
        <f t="shared" ca="1" si="81"/>
        <v>1+10.7268125777019i</v>
      </c>
      <c r="L232" t="str">
        <f t="shared" ca="1" si="82"/>
        <v>1-0.79975381669083i</v>
      </c>
      <c r="M232" t="str">
        <f t="shared" ca="1" si="83"/>
        <v>1+1072.68125777019i</v>
      </c>
      <c r="N232" t="str">
        <f t="shared" si="84"/>
        <v>1+5.11228676571616i</v>
      </c>
      <c r="O232">
        <f t="shared" ca="1" si="85"/>
        <v>22.224473826228223</v>
      </c>
      <c r="P232" t="str">
        <f t="shared" ca="1" si="100"/>
        <v>-0.0297670103642739-0.046090291679042i</v>
      </c>
      <c r="Q232">
        <f t="shared" ca="1" si="95"/>
        <v>-25.213772527616594</v>
      </c>
      <c r="R232">
        <f t="shared" ca="1" si="101"/>
        <v>-122.85604095752508</v>
      </c>
      <c r="T232" t="str">
        <f t="shared" si="86"/>
        <v>1+31.16i</v>
      </c>
      <c r="U232" t="str">
        <f t="shared" si="87"/>
        <v>1+4.1i</v>
      </c>
      <c r="V232" t="str">
        <f t="shared" si="88"/>
        <v>-0.00601732991014121i</v>
      </c>
      <c r="W232" t="str">
        <f t="shared" si="96"/>
        <v>0.00914255740417861-0.0435018152672735i</v>
      </c>
      <c r="X232">
        <f t="shared" si="97"/>
        <v>-27.042143152839717</v>
      </c>
      <c r="Y232">
        <f t="shared" si="98"/>
        <v>-78.131168699493969</v>
      </c>
      <c r="Z232">
        <f t="shared" si="99"/>
        <v>65253.526667677092</v>
      </c>
      <c r="AA232">
        <f t="shared" ca="1" si="89"/>
        <v>-52.255915680456312</v>
      </c>
      <c r="AB232">
        <f t="shared" ca="1" si="90"/>
        <v>-200.98720965701904</v>
      </c>
    </row>
    <row r="233" spans="1:28" x14ac:dyDescent="0.2">
      <c r="A233">
        <v>420000</v>
      </c>
      <c r="B233" t="str">
        <f t="shared" si="91"/>
        <v>420000i</v>
      </c>
      <c r="C233" t="str">
        <f t="shared" ca="1" si="77"/>
        <v>1+10.9884421527678i</v>
      </c>
      <c r="D233" t="str">
        <f t="shared" ca="1" si="78"/>
        <v>1+1.45919243414154i</v>
      </c>
      <c r="E233" t="str">
        <f t="shared" ca="1" si="79"/>
        <v>1+1093.3384555989i</v>
      </c>
      <c r="F233">
        <f t="shared" ca="1" si="80"/>
        <v>39.000923110829653</v>
      </c>
      <c r="G233" t="str">
        <f t="shared" ca="1" si="92"/>
        <v>0.443533782558442+0.536698607369622i</v>
      </c>
      <c r="H233">
        <f t="shared" ca="1" si="93"/>
        <v>-3.1446640420917253</v>
      </c>
      <c r="I233">
        <f t="shared" ca="1" si="94"/>
        <v>50.429288798913348</v>
      </c>
      <c r="K233" t="str">
        <f t="shared" ca="1" si="81"/>
        <v>1+10.9884421527678i</v>
      </c>
      <c r="L233" t="str">
        <f t="shared" ca="1" si="82"/>
        <v>1-0.819260007341826i</v>
      </c>
      <c r="M233" t="str">
        <f t="shared" ca="1" si="83"/>
        <v>1+1098.84421527678i</v>
      </c>
      <c r="N233" t="str">
        <f t="shared" si="84"/>
        <v>1+5.23697668683119i</v>
      </c>
      <c r="O233">
        <f t="shared" ca="1" si="85"/>
        <v>22.224473826228223</v>
      </c>
      <c r="P233" t="str">
        <f t="shared" ca="1" si="100"/>
        <v>-0.0299940457840446-0.0450360842368564i</v>
      </c>
      <c r="Q233">
        <f t="shared" ca="1" si="95"/>
        <v>-25.334449965272164</v>
      </c>
      <c r="R233">
        <f t="shared" ca="1" si="101"/>
        <v>-123.66362724108254</v>
      </c>
      <c r="T233" t="str">
        <f t="shared" si="86"/>
        <v>1+31.92i</v>
      </c>
      <c r="U233" t="str">
        <f t="shared" si="87"/>
        <v>1+4.2i</v>
      </c>
      <c r="V233" t="str">
        <f t="shared" si="88"/>
        <v>-0.00587406015037594i</v>
      </c>
      <c r="W233" t="str">
        <f t="shared" si="96"/>
        <v>0.00873545854980799-0.0425629860595695i</v>
      </c>
      <c r="X233">
        <f t="shared" si="97"/>
        <v>-27.240173286630892</v>
      </c>
      <c r="Y233">
        <f t="shared" si="98"/>
        <v>-78.401895916925724</v>
      </c>
      <c r="Z233">
        <f t="shared" si="99"/>
        <v>66845.076098596037</v>
      </c>
      <c r="AA233">
        <f t="shared" ca="1" si="89"/>
        <v>-52.574623251903056</v>
      </c>
      <c r="AB233">
        <f t="shared" ca="1" si="90"/>
        <v>-202.06552315800826</v>
      </c>
    </row>
    <row r="234" spans="1:28" x14ac:dyDescent="0.2">
      <c r="A234">
        <v>430000</v>
      </c>
      <c r="B234" t="str">
        <f t="shared" si="91"/>
        <v>430000i</v>
      </c>
      <c r="C234" t="str">
        <f t="shared" ca="1" si="77"/>
        <v>1+11.2500717278337i</v>
      </c>
      <c r="D234" t="str">
        <f t="shared" ca="1" si="78"/>
        <v>1+1.49393511114491i</v>
      </c>
      <c r="E234" t="str">
        <f t="shared" ca="1" si="79"/>
        <v>1+1119.37032358935i</v>
      </c>
      <c r="F234">
        <f t="shared" ca="1" si="80"/>
        <v>39.000923110829653</v>
      </c>
      <c r="G234" t="str">
        <f t="shared" ca="1" si="92"/>
        <v>0.443532299767101+0.551136938263915i</v>
      </c>
      <c r="H234">
        <f t="shared" ca="1" si="93"/>
        <v>-3.0061949858068484</v>
      </c>
      <c r="I234">
        <f t="shared" ca="1" si="94"/>
        <v>51.174321755234047</v>
      </c>
      <c r="K234" t="str">
        <f t="shared" ca="1" si="81"/>
        <v>1+11.2500717278337i</v>
      </c>
      <c r="L234" t="str">
        <f t="shared" ca="1" si="82"/>
        <v>1-0.838766197992821i</v>
      </c>
      <c r="M234" t="str">
        <f t="shared" ca="1" si="83"/>
        <v>1+1125.00717278337i</v>
      </c>
      <c r="N234" t="str">
        <f t="shared" si="84"/>
        <v>1+5.36166660794622i</v>
      </c>
      <c r="O234">
        <f t="shared" ca="1" si="85"/>
        <v>22.224473826228223</v>
      </c>
      <c r="P234" t="str">
        <f t="shared" ca="1" si="100"/>
        <v>-0.0302061337765609-0.0440281334459214i</v>
      </c>
      <c r="Q234">
        <f t="shared" ca="1" si="95"/>
        <v>-25.450199883956689</v>
      </c>
      <c r="R234">
        <f t="shared" ca="1" si="101"/>
        <v>-124.45263044994627</v>
      </c>
      <c r="T234" t="str">
        <f t="shared" si="86"/>
        <v>1+32.68i</v>
      </c>
      <c r="U234" t="str">
        <f t="shared" si="87"/>
        <v>1+4.3i</v>
      </c>
      <c r="V234" t="str">
        <f t="shared" si="88"/>
        <v>-0.0057374541003672i</v>
      </c>
      <c r="W234" t="str">
        <f t="shared" si="96"/>
        <v>0.00835448678134536-0.0416617472601522i</v>
      </c>
      <c r="X234">
        <f t="shared" si="97"/>
        <v>-27.434028357788357</v>
      </c>
      <c r="Y234">
        <f t="shared" si="98"/>
        <v>-78.660796858557575</v>
      </c>
      <c r="Z234">
        <f t="shared" si="99"/>
        <v>68436.625529515004</v>
      </c>
      <c r="AA234">
        <f t="shared" ca="1" si="89"/>
        <v>-52.884228241745049</v>
      </c>
      <c r="AB234">
        <f t="shared" ca="1" si="90"/>
        <v>-203.11342730850384</v>
      </c>
    </row>
    <row r="235" spans="1:28" x14ac:dyDescent="0.2">
      <c r="A235">
        <v>440000</v>
      </c>
      <c r="B235" t="str">
        <f t="shared" si="91"/>
        <v>440000i</v>
      </c>
      <c r="C235" t="str">
        <f t="shared" ca="1" si="77"/>
        <v>1+11.5117013028996i</v>
      </c>
      <c r="D235" t="str">
        <f t="shared" ca="1" si="78"/>
        <v>1+1.52867778814828i</v>
      </c>
      <c r="E235" t="str">
        <f t="shared" ca="1" si="79"/>
        <v>1+1145.4021915798i</v>
      </c>
      <c r="F235">
        <f t="shared" ca="1" si="80"/>
        <v>39.000923110829653</v>
      </c>
      <c r="G235" t="str">
        <f t="shared" ca="1" si="92"/>
        <v>0.443530916921704+0.565537990511118i</v>
      </c>
      <c r="H235">
        <f t="shared" ca="1" si="93"/>
        <v>-2.868852018271832</v>
      </c>
      <c r="I235">
        <f t="shared" ca="1" si="94"/>
        <v>51.894197770857815</v>
      </c>
      <c r="K235" t="str">
        <f t="shared" ca="1" si="81"/>
        <v>1+11.5117013028996i</v>
      </c>
      <c r="L235" t="str">
        <f t="shared" ca="1" si="82"/>
        <v>1-0.858272388643817i</v>
      </c>
      <c r="M235" t="str">
        <f t="shared" ca="1" si="83"/>
        <v>1+1151.17013028996i</v>
      </c>
      <c r="N235" t="str">
        <f t="shared" si="84"/>
        <v>1+5.48635652906124i</v>
      </c>
      <c r="O235">
        <f t="shared" ca="1" si="85"/>
        <v>22.224473826228223</v>
      </c>
      <c r="P235" t="str">
        <f t="shared" ca="1" si="100"/>
        <v>-0.0304045438528035-0.0430635158208832i</v>
      </c>
      <c r="Q235">
        <f t="shared" ca="1" si="95"/>
        <v>-25.56126662117169</v>
      </c>
      <c r="R235">
        <f t="shared" ca="1" si="101"/>
        <v>-125.22360262892671</v>
      </c>
      <c r="T235" t="str">
        <f t="shared" si="86"/>
        <v>1+33.44i</v>
      </c>
      <c r="U235" t="str">
        <f t="shared" si="87"/>
        <v>1+4.4i</v>
      </c>
      <c r="V235" t="str">
        <f t="shared" si="88"/>
        <v>-0.00560705741626794i</v>
      </c>
      <c r="W235" t="str">
        <f t="shared" si="96"/>
        <v>0.00799749250336056-0.0407960244310544i</v>
      </c>
      <c r="X235">
        <f t="shared" si="97"/>
        <v>-27.623870276357209</v>
      </c>
      <c r="Y235">
        <f t="shared" si="98"/>
        <v>-78.90861400108686</v>
      </c>
      <c r="Z235">
        <f t="shared" si="99"/>
        <v>70028.174960433957</v>
      </c>
      <c r="AA235">
        <f t="shared" ca="1" si="89"/>
        <v>-53.185136897528899</v>
      </c>
      <c r="AB235">
        <f t="shared" ca="1" si="90"/>
        <v>-204.13221663001357</v>
      </c>
    </row>
    <row r="236" spans="1:28" x14ac:dyDescent="0.2">
      <c r="A236">
        <v>450000</v>
      </c>
      <c r="B236" t="str">
        <f t="shared" si="91"/>
        <v>450000i</v>
      </c>
      <c r="C236" t="str">
        <f t="shared" ca="1" si="77"/>
        <v>1+11.7733308779655i</v>
      </c>
      <c r="D236" t="str">
        <f t="shared" ca="1" si="78"/>
        <v>1+1.56342046515165i</v>
      </c>
      <c r="E236" t="str">
        <f t="shared" ca="1" si="79"/>
        <v>1+1171.43405957025i</v>
      </c>
      <c r="F236">
        <f t="shared" ca="1" si="80"/>
        <v>39.000923110829653</v>
      </c>
      <c r="G236" t="str">
        <f t="shared" ca="1" si="92"/>
        <v>0.443529625237656+0.579904249346873i</v>
      </c>
      <c r="H236">
        <f t="shared" ca="1" si="93"/>
        <v>-2.7326670692189343</v>
      </c>
      <c r="I236">
        <f t="shared" ca="1" si="94"/>
        <v>52.590065401467669</v>
      </c>
      <c r="K236" t="str">
        <f t="shared" ca="1" si="81"/>
        <v>1+11.7733308779655i</v>
      </c>
      <c r="L236" t="str">
        <f t="shared" ca="1" si="82"/>
        <v>1-0.877778579294813i</v>
      </c>
      <c r="M236" t="str">
        <f t="shared" ca="1" si="83"/>
        <v>1+1177.33308779655i</v>
      </c>
      <c r="N236" t="str">
        <f t="shared" si="84"/>
        <v>1+5.61104645017627i</v>
      </c>
      <c r="O236">
        <f t="shared" ca="1" si="85"/>
        <v>22.224473826228223</v>
      </c>
      <c r="P236" t="str">
        <f t="shared" ca="1" si="100"/>
        <v>-0.0305904150427525-0.0421395445966864i</v>
      </c>
      <c r="Q236">
        <f t="shared" ca="1" si="95"/>
        <v>-25.667880349604793</v>
      </c>
      <c r="R236">
        <f t="shared" ca="1" si="101"/>
        <v>-125.9770725164646</v>
      </c>
      <c r="T236" t="str">
        <f t="shared" si="86"/>
        <v>1+34.2i</v>
      </c>
      <c r="U236" t="str">
        <f t="shared" si="87"/>
        <v>1+4.5i</v>
      </c>
      <c r="V236" t="str">
        <f t="shared" si="88"/>
        <v>-0.00548245614035088i</v>
      </c>
      <c r="W236" t="str">
        <f t="shared" si="96"/>
        <v>0.0076625386996904-0.0399638802889577i</v>
      </c>
      <c r="X236">
        <f t="shared" si="97"/>
        <v>-27.809852427821976</v>
      </c>
      <c r="Y236">
        <f t="shared" si="98"/>
        <v>-79.146030281377705</v>
      </c>
      <c r="Z236">
        <f t="shared" si="99"/>
        <v>71619.724391352909</v>
      </c>
      <c r="AA236">
        <f t="shared" ca="1" si="89"/>
        <v>-53.477732777426766</v>
      </c>
      <c r="AB236">
        <f t="shared" ca="1" si="90"/>
        <v>-205.12310279784231</v>
      </c>
    </row>
    <row r="237" spans="1:28" x14ac:dyDescent="0.2">
      <c r="A237">
        <v>460000</v>
      </c>
      <c r="B237" t="str">
        <f t="shared" si="91"/>
        <v>460000i</v>
      </c>
      <c r="C237" t="str">
        <f t="shared" ca="1" si="77"/>
        <v>1+12.0349604530314i</v>
      </c>
      <c r="D237" t="str">
        <f t="shared" ca="1" si="78"/>
        <v>1+1.59816314215502i</v>
      </c>
      <c r="E237" t="str">
        <f t="shared" ca="1" si="79"/>
        <v>1+1197.4659275607i</v>
      </c>
      <c r="F237">
        <f t="shared" ca="1" si="80"/>
        <v>39.000923110829653</v>
      </c>
      <c r="G237" t="str">
        <f t="shared" ca="1" si="92"/>
        <v>0.44352841687471+0.59423798390016i</v>
      </c>
      <c r="H237">
        <f t="shared" ca="1" si="93"/>
        <v>-2.5976664048060867</v>
      </c>
      <c r="I237">
        <f t="shared" ca="1" si="94"/>
        <v>53.263009747605913</v>
      </c>
      <c r="K237" t="str">
        <f t="shared" ca="1" si="81"/>
        <v>1+12.0349604530314i</v>
      </c>
      <c r="L237" t="str">
        <f t="shared" ca="1" si="82"/>
        <v>1-0.897284769945809i</v>
      </c>
      <c r="M237" t="str">
        <f t="shared" ca="1" si="83"/>
        <v>1+1203.49604530314i</v>
      </c>
      <c r="N237" t="str">
        <f t="shared" si="84"/>
        <v>1+5.7357363712913i</v>
      </c>
      <c r="O237">
        <f t="shared" ca="1" si="85"/>
        <v>22.224473826228223</v>
      </c>
      <c r="P237" t="str">
        <f t="shared" ca="1" si="100"/>
        <v>-0.030764771481983-0.0412537467017752i</v>
      </c>
      <c r="Q237">
        <f t="shared" ca="1" si="95"/>
        <v>-25.770258038317635</v>
      </c>
      <c r="R237">
        <f t="shared" ca="1" si="101"/>
        <v>-126.71354740557865</v>
      </c>
      <c r="T237" t="str">
        <f t="shared" si="86"/>
        <v>1+34.96i</v>
      </c>
      <c r="U237" t="str">
        <f t="shared" si="87"/>
        <v>1+4.6i</v>
      </c>
      <c r="V237" t="str">
        <f t="shared" si="88"/>
        <v>-0.00536327231121281i</v>
      </c>
      <c r="W237" t="str">
        <f t="shared" si="96"/>
        <v>0.00734787668630059-0.0391635050681955i</v>
      </c>
      <c r="X237">
        <f t="shared" si="97"/>
        <v>-27.992120193732589</v>
      </c>
      <c r="Y237">
        <f t="shared" si="98"/>
        <v>-79.373674807419974</v>
      </c>
      <c r="Z237">
        <f t="shared" si="99"/>
        <v>73211.273822271862</v>
      </c>
      <c r="AA237">
        <f t="shared" ca="1" si="89"/>
        <v>-53.762378232050224</v>
      </c>
      <c r="AB237">
        <f t="shared" ca="1" si="90"/>
        <v>-206.08722221299863</v>
      </c>
    </row>
    <row r="238" spans="1:28" x14ac:dyDescent="0.2">
      <c r="A238">
        <v>470000</v>
      </c>
      <c r="B238" t="str">
        <f t="shared" si="91"/>
        <v>470000i</v>
      </c>
      <c r="C238" t="str">
        <f t="shared" ca="1" si="77"/>
        <v>1+12.2965900280973i</v>
      </c>
      <c r="D238" t="str">
        <f t="shared" ca="1" si="78"/>
        <v>1+1.63290581915839i</v>
      </c>
      <c r="E238" t="str">
        <f t="shared" ca="1" si="79"/>
        <v>1+1223.49779555115i</v>
      </c>
      <c r="F238">
        <f t="shared" ca="1" si="80"/>
        <v>39.000923110829653</v>
      </c>
      <c r="G238" t="str">
        <f t="shared" ca="1" si="92"/>
        <v>0.443527284817711+0.608541270183277i</v>
      </c>
      <c r="H238">
        <f t="shared" ca="1" si="93"/>
        <v>-2.4638712372124068</v>
      </c>
      <c r="I238">
        <f t="shared" ca="1" si="94"/>
        <v>53.914056522870922</v>
      </c>
      <c r="K238" t="str">
        <f t="shared" ca="1" si="81"/>
        <v>1+12.2965900280973i</v>
      </c>
      <c r="L238" t="str">
        <f t="shared" ca="1" si="82"/>
        <v>1-0.916790960596805i</v>
      </c>
      <c r="M238" t="str">
        <f t="shared" ca="1" si="83"/>
        <v>1+1229.65900280973i</v>
      </c>
      <c r="N238" t="str">
        <f t="shared" si="84"/>
        <v>1+5.86042629240633i</v>
      </c>
      <c r="O238">
        <f t="shared" ca="1" si="85"/>
        <v>22.224473826228223</v>
      </c>
      <c r="P238" t="str">
        <f t="shared" ca="1" si="100"/>
        <v>-0.0309285358940053-0.0404038423138108i</v>
      </c>
      <c r="Q238">
        <f t="shared" ca="1" si="95"/>
        <v>-25.868604335567369</v>
      </c>
      <c r="R238">
        <f t="shared" ca="1" si="101"/>
        <v>-127.43351476525299</v>
      </c>
      <c r="T238" t="str">
        <f t="shared" si="86"/>
        <v>1+35.72i</v>
      </c>
      <c r="U238" t="str">
        <f t="shared" si="87"/>
        <v>1+4.7i</v>
      </c>
      <c r="V238" t="str">
        <f t="shared" si="88"/>
        <v>-0.0052491601343785i</v>
      </c>
      <c r="W238" t="str">
        <f t="shared" si="96"/>
        <v>0.00705192496181988-0.0383932074549319i</v>
      </c>
      <c r="X238">
        <f t="shared" si="97"/>
        <v>-28.170811441613598</v>
      </c>
      <c r="Y238">
        <f t="shared" si="98"/>
        <v>-79.592127941779466</v>
      </c>
      <c r="Z238">
        <f t="shared" si="99"/>
        <v>74802.823253190814</v>
      </c>
      <c r="AA238">
        <f t="shared" ca="1" si="89"/>
        <v>-54.039415777180963</v>
      </c>
      <c r="AB238">
        <f t="shared" ca="1" si="90"/>
        <v>-207.02564270703246</v>
      </c>
    </row>
    <row r="239" spans="1:28" x14ac:dyDescent="0.2">
      <c r="A239">
        <v>480000</v>
      </c>
      <c r="B239" t="str">
        <f t="shared" si="91"/>
        <v>480000i</v>
      </c>
      <c r="C239" t="str">
        <f t="shared" ca="1" si="77"/>
        <v>1+12.5582196031632i</v>
      </c>
      <c r="D239" t="str">
        <f t="shared" ca="1" si="78"/>
        <v>1+1.66764849616176i</v>
      </c>
      <c r="E239" t="str">
        <f t="shared" ca="1" si="79"/>
        <v>1+1249.5296635416i</v>
      </c>
      <c r="F239">
        <f t="shared" ca="1" si="80"/>
        <v>39.000923110829653</v>
      </c>
      <c r="G239" t="str">
        <f t="shared" ca="1" si="92"/>
        <v>0.443526222774557+0.622816011208072i</v>
      </c>
      <c r="H239">
        <f t="shared" ca="1" si="93"/>
        <v>-2.3312982726309999</v>
      </c>
      <c r="I239">
        <f t="shared" ca="1" si="94"/>
        <v>54.544175810070847</v>
      </c>
      <c r="K239" t="str">
        <f t="shared" ca="1" si="81"/>
        <v>1+12.5582196031632i</v>
      </c>
      <c r="L239" t="str">
        <f t="shared" ca="1" si="82"/>
        <v>1-0.936297151247801i</v>
      </c>
      <c r="M239" t="str">
        <f t="shared" ca="1" si="83"/>
        <v>1+1255.82196031632i</v>
      </c>
      <c r="N239" t="str">
        <f t="shared" si="84"/>
        <v>1+5.98511621352136i</v>
      </c>
      <c r="O239">
        <f t="shared" ca="1" si="85"/>
        <v>22.224473826228223</v>
      </c>
      <c r="P239" t="str">
        <f t="shared" ca="1" si="100"/>
        <v>-0.0310825412828417-0.0395877266735143i</v>
      </c>
      <c r="Q239">
        <f t="shared" ca="1" si="95"/>
        <v>-25.963112381069593</v>
      </c>
      <c r="R239">
        <f t="shared" ca="1" si="101"/>
        <v>-128.13744365697792</v>
      </c>
      <c r="T239" t="str">
        <f t="shared" si="86"/>
        <v>1+36.48i</v>
      </c>
      <c r="U239" t="str">
        <f t="shared" si="87"/>
        <v>1+4.8i</v>
      </c>
      <c r="V239" t="str">
        <f t="shared" si="88"/>
        <v>-0.00513980263157895i</v>
      </c>
      <c r="W239" t="str">
        <f t="shared" si="96"/>
        <v>0.00677325072248008-0.0376514060994833i</v>
      </c>
      <c r="X239">
        <f t="shared" si="97"/>
        <v>-28.346056984911094</v>
      </c>
      <c r="Y239">
        <f t="shared" si="98"/>
        <v>-79.801925833997345</v>
      </c>
      <c r="Z239">
        <f t="shared" si="99"/>
        <v>76394.372684109767</v>
      </c>
      <c r="AA239">
        <f t="shared" ca="1" si="89"/>
        <v>-54.309169365980686</v>
      </c>
      <c r="AB239">
        <f t="shared" ca="1" si="90"/>
        <v>-207.93936949097525</v>
      </c>
    </row>
    <row r="240" spans="1:28" x14ac:dyDescent="0.2">
      <c r="A240">
        <v>490000</v>
      </c>
      <c r="B240" t="str">
        <f t="shared" si="91"/>
        <v>490000i</v>
      </c>
      <c r="C240" t="str">
        <f t="shared" ca="1" si="77"/>
        <v>1+12.8198491782291i</v>
      </c>
      <c r="D240" t="str">
        <f t="shared" ca="1" si="78"/>
        <v>1+1.70239117316513i</v>
      </c>
      <c r="E240" t="str">
        <f t="shared" ca="1" si="79"/>
        <v>1+1275.56153153205i</v>
      </c>
      <c r="F240">
        <f t="shared" ca="1" si="80"/>
        <v>39.000923110829653</v>
      </c>
      <c r="G240" t="str">
        <f t="shared" ca="1" si="92"/>
        <v>0.443525225088571+0.637063954638988i</v>
      </c>
      <c r="H240">
        <f t="shared" ca="1" si="93"/>
        <v>-2.19996020388851</v>
      </c>
      <c r="I240">
        <f t="shared" ca="1" si="94"/>
        <v>55.154285537577394</v>
      </c>
      <c r="K240" t="str">
        <f t="shared" ca="1" si="81"/>
        <v>1+12.8198491782291i</v>
      </c>
      <c r="L240" t="str">
        <f t="shared" ca="1" si="82"/>
        <v>1-0.955803341898796i</v>
      </c>
      <c r="M240" t="str">
        <f t="shared" ca="1" si="83"/>
        <v>1+1281.98491782291i</v>
      </c>
      <c r="N240" t="str">
        <f t="shared" si="84"/>
        <v>1+6.10980613463639i</v>
      </c>
      <c r="O240">
        <f t="shared" ca="1" si="85"/>
        <v>22.224473826228223</v>
      </c>
      <c r="P240" t="str">
        <f t="shared" ca="1" si="100"/>
        <v>-0.031227541099128-0.0388034538768815i</v>
      </c>
      <c r="Q240">
        <f t="shared" ca="1" si="95"/>
        <v>-26.05396455458709</v>
      </c>
      <c r="R240">
        <f t="shared" ca="1" si="101"/>
        <v>-128.82578597620906</v>
      </c>
      <c r="T240" t="str">
        <f t="shared" si="86"/>
        <v>1+37.24i</v>
      </c>
      <c r="U240" t="str">
        <f t="shared" si="87"/>
        <v>1+4.9i</v>
      </c>
      <c r="V240" t="str">
        <f t="shared" si="88"/>
        <v>-0.00503490870032223i</v>
      </c>
      <c r="W240" t="str">
        <f t="shared" si="96"/>
        <v>0.00651055367326754-0.0369366216993332i</v>
      </c>
      <c r="X240">
        <f t="shared" si="97"/>
        <v>-28.517981014045869</v>
      </c>
      <c r="Y240">
        <f t="shared" si="98"/>
        <v>-80.003564468354639</v>
      </c>
      <c r="Z240">
        <f t="shared" si="99"/>
        <v>77985.922115028719</v>
      </c>
      <c r="AA240">
        <f t="shared" ca="1" si="89"/>
        <v>-54.571945568632955</v>
      </c>
      <c r="AB240">
        <f t="shared" ca="1" si="90"/>
        <v>-208.82935044456372</v>
      </c>
    </row>
    <row r="241" spans="1:28" x14ac:dyDescent="0.2">
      <c r="A241">
        <v>500000</v>
      </c>
      <c r="B241" t="str">
        <f t="shared" si="91"/>
        <v>500000i</v>
      </c>
      <c r="C241" t="str">
        <f t="shared" ca="1" si="77"/>
        <v>1+13.081478753295i</v>
      </c>
      <c r="D241" t="str">
        <f t="shared" ca="1" si="78"/>
        <v>1+1.7371338501685i</v>
      </c>
      <c r="E241" t="str">
        <f t="shared" ca="1" si="79"/>
        <v>1+1301.5933995225i</v>
      </c>
      <c r="F241">
        <f t="shared" ca="1" si="80"/>
        <v>39.000923110829653</v>
      </c>
      <c r="G241" t="str">
        <f t="shared" ca="1" si="92"/>
        <v>0.443524286663029+0.651286708327744i</v>
      </c>
      <c r="H241">
        <f t="shared" ca="1" si="93"/>
        <v>-2.0698661532682121</v>
      </c>
      <c r="I241">
        <f t="shared" ca="1" si="94"/>
        <v>55.745254703221889</v>
      </c>
      <c r="K241" t="str">
        <f t="shared" ca="1" si="81"/>
        <v>1+13.081478753295i</v>
      </c>
      <c r="L241" t="str">
        <f t="shared" ca="1" si="82"/>
        <v>1-0.975309532549792i</v>
      </c>
      <c r="M241" t="str">
        <f t="shared" ca="1" si="83"/>
        <v>1+1308.1478753295i</v>
      </c>
      <c r="N241" t="str">
        <f t="shared" si="84"/>
        <v>1+6.23449605575141i</v>
      </c>
      <c r="O241">
        <f t="shared" ca="1" si="85"/>
        <v>22.224473826228223</v>
      </c>
      <c r="P241" t="str">
        <f t="shared" ca="1" si="100"/>
        <v>-0.0313642181007932-0.0380492224040441i</v>
      </c>
      <c r="Q241">
        <f t="shared" ca="1" si="95"/>
        <v>-26.141333166925879</v>
      </c>
      <c r="R241">
        <f t="shared" ca="1" si="101"/>
        <v>-129.49897754423498</v>
      </c>
      <c r="T241" t="str">
        <f t="shared" si="86"/>
        <v>1+38i</v>
      </c>
      <c r="U241" t="str">
        <f t="shared" si="87"/>
        <v>1+5i</v>
      </c>
      <c r="V241" t="str">
        <f t="shared" si="88"/>
        <v>-0.00493421052631579i</v>
      </c>
      <c r="W241" t="str">
        <f t="shared" si="96"/>
        <v>0.00626265182186235-0.0362474696356275i</v>
      </c>
      <c r="X241">
        <f t="shared" si="97"/>
        <v>-28.686701499843966</v>
      </c>
      <c r="Y241">
        <f t="shared" si="98"/>
        <v>-80.197503284754745</v>
      </c>
      <c r="Z241">
        <f t="shared" si="99"/>
        <v>79577.471545947672</v>
      </c>
      <c r="AA241">
        <f t="shared" ca="1" si="89"/>
        <v>-54.828034666769845</v>
      </c>
      <c r="AB241">
        <f t="shared" ca="1" si="90"/>
        <v>-209.69648082898971</v>
      </c>
    </row>
    <row r="242" spans="1:28" x14ac:dyDescent="0.2">
      <c r="A242">
        <v>510000</v>
      </c>
      <c r="B242" t="str">
        <f t="shared" si="91"/>
        <v>510000i</v>
      </c>
      <c r="C242" t="str">
        <f t="shared" ca="1" si="77"/>
        <v>1+13.3431083283609i</v>
      </c>
      <c r="D242" t="str">
        <f t="shared" ca="1" si="78"/>
        <v>1+1.77187652717187i</v>
      </c>
      <c r="E242" t="str">
        <f t="shared" ca="1" si="79"/>
        <v>1+1327.62526751295i</v>
      </c>
      <c r="F242">
        <f t="shared" ca="1" si="80"/>
        <v>39.000923110829653</v>
      </c>
      <c r="G242" t="str">
        <f t="shared" ca="1" si="92"/>
        <v>0.443523402895934+0.665485754020409i</v>
      </c>
      <c r="H242">
        <f t="shared" ca="1" si="93"/>
        <v>-1.9410220705377323</v>
      </c>
      <c r="I242">
        <f t="shared" ca="1" si="94"/>
        <v>56.31790636916989</v>
      </c>
      <c r="K242" t="str">
        <f t="shared" ca="1" si="81"/>
        <v>1+13.3431083283609i</v>
      </c>
      <c r="L242" t="str">
        <f t="shared" ca="1" si="82"/>
        <v>1-0.994815723200788i</v>
      </c>
      <c r="M242" t="str">
        <f t="shared" ca="1" si="83"/>
        <v>1+1334.31083283609i</v>
      </c>
      <c r="N242" t="str">
        <f t="shared" si="84"/>
        <v>1+6.35918597686644i</v>
      </c>
      <c r="O242">
        <f t="shared" ca="1" si="85"/>
        <v>22.224473826228223</v>
      </c>
      <c r="P242" t="str">
        <f t="shared" ca="1" si="100"/>
        <v>-0.031493192094417-0.0373233621755153i</v>
      </c>
      <c r="Q242">
        <f t="shared" ca="1" si="95"/>
        <v>-26.225381098723194</v>
      </c>
      <c r="R242">
        <f t="shared" ca="1" si="101"/>
        <v>-130.15743907223472</v>
      </c>
      <c r="T242" t="str">
        <f t="shared" si="86"/>
        <v>1+38.76i</v>
      </c>
      <c r="U242" t="str">
        <f t="shared" si="87"/>
        <v>1+5.1i</v>
      </c>
      <c r="V242" t="str">
        <f t="shared" si="88"/>
        <v>-0.0048374613003096i</v>
      </c>
      <c r="W242" t="str">
        <f t="shared" si="96"/>
        <v>0.00602846898809408-0.0355826531395894i</v>
      </c>
      <c r="X242">
        <f t="shared" si="97"/>
        <v>-28.852330570734384</v>
      </c>
      <c r="Y242">
        <f t="shared" si="98"/>
        <v>-80.384168423004454</v>
      </c>
      <c r="Z242">
        <f t="shared" si="99"/>
        <v>81169.020976866625</v>
      </c>
      <c r="AA242">
        <f t="shared" ca="1" si="89"/>
        <v>-55.077711669457578</v>
      </c>
      <c r="AB242">
        <f t="shared" ca="1" si="90"/>
        <v>-210.54160749523919</v>
      </c>
    </row>
    <row r="243" spans="1:28" x14ac:dyDescent="0.2">
      <c r="A243">
        <v>520000</v>
      </c>
      <c r="B243" t="str">
        <f t="shared" si="91"/>
        <v>520000i</v>
      </c>
      <c r="C243" t="str">
        <f t="shared" ca="1" si="77"/>
        <v>1+13.6047379034268i</v>
      </c>
      <c r="D243" t="str">
        <f t="shared" ca="1" si="78"/>
        <v>1+1.80661920417524i</v>
      </c>
      <c r="E243" t="str">
        <f t="shared" ca="1" si="79"/>
        <v>1+1353.6571355034i</v>
      </c>
      <c r="F243">
        <f t="shared" ca="1" si="80"/>
        <v>39.000923110829653</v>
      </c>
      <c r="G243" t="str">
        <f t="shared" ca="1" si="92"/>
        <v>0.443522569623491+0.679662459482916i</v>
      </c>
      <c r="H243">
        <f t="shared" ca="1" si="93"/>
        <v>-1.8134310906708995</v>
      </c>
      <c r="I243">
        <f t="shared" ca="1" si="94"/>
        <v>56.87302044805886</v>
      </c>
      <c r="K243" t="str">
        <f t="shared" ca="1" si="81"/>
        <v>1+13.6047379034268i</v>
      </c>
      <c r="L243" t="str">
        <f t="shared" ca="1" si="82"/>
        <v>1-1.01432191385178i</v>
      </c>
      <c r="M243" t="str">
        <f t="shared" ca="1" si="83"/>
        <v>1+1360.47379034268i</v>
      </c>
      <c r="N243" t="str">
        <f t="shared" si="84"/>
        <v>1+6.48387589798147i</v>
      </c>
      <c r="O243">
        <f t="shared" ca="1" si="85"/>
        <v>22.224473826228223</v>
      </c>
      <c r="P243" t="str">
        <f t="shared" ca="1" si="100"/>
        <v>-0.0316150267143814-0.0366243229543023i</v>
      </c>
      <c r="Q243">
        <f t="shared" ca="1" si="95"/>
        <v>-26.30626239180507</v>
      </c>
      <c r="R243">
        <f t="shared" ca="1" si="101"/>
        <v>-130.80157701613513</v>
      </c>
      <c r="T243" t="str">
        <f t="shared" si="86"/>
        <v>1+39.52i</v>
      </c>
      <c r="U243" t="str">
        <f t="shared" si="87"/>
        <v>1+5.2i</v>
      </c>
      <c r="V243" t="str">
        <f t="shared" si="88"/>
        <v>-0.00474443319838057i</v>
      </c>
      <c r="W243" t="str">
        <f t="shared" si="96"/>
        <v>0.00580702380058563-0.0349409569614258i</v>
      </c>
      <c r="X243">
        <f t="shared" si="97"/>
        <v>-29.014974865163239</v>
      </c>
      <c r="Y243">
        <f t="shared" si="98"/>
        <v>-80.563955634324543</v>
      </c>
      <c r="Z243">
        <f t="shared" si="99"/>
        <v>82760.570407785577</v>
      </c>
      <c r="AA243">
        <f t="shared" ca="1" si="89"/>
        <v>-55.32123725696831</v>
      </c>
      <c r="AB243">
        <f t="shared" ca="1" si="90"/>
        <v>-211.36553265045967</v>
      </c>
    </row>
    <row r="244" spans="1:28" x14ac:dyDescent="0.2">
      <c r="A244">
        <v>530000</v>
      </c>
      <c r="B244" t="str">
        <f t="shared" si="91"/>
        <v>530000i</v>
      </c>
      <c r="C244" t="str">
        <f t="shared" ca="1" si="77"/>
        <v>1+13.8663674784927i</v>
      </c>
      <c r="D244" t="str">
        <f t="shared" ca="1" si="78"/>
        <v>1+1.84136188117861i</v>
      </c>
      <c r="E244" t="str">
        <f t="shared" ca="1" si="79"/>
        <v>1+1379.68900349385i</v>
      </c>
      <c r="F244">
        <f t="shared" ca="1" si="80"/>
        <v>39.000923110829653</v>
      </c>
      <c r="G244" t="str">
        <f t="shared" ca="1" si="92"/>
        <v>0.443521783070974+0.693818089253855i</v>
      </c>
      <c r="H244">
        <f t="shared" ca="1" si="93"/>
        <v>-1.6870938552989667</v>
      </c>
      <c r="I244">
        <f t="shared" ca="1" si="94"/>
        <v>57.411336298121974</v>
      </c>
      <c r="K244" t="str">
        <f t="shared" ca="1" si="81"/>
        <v>1+13.8663674784927i</v>
      </c>
      <c r="L244" t="str">
        <f t="shared" ca="1" si="82"/>
        <v>1-1.03382810450278i</v>
      </c>
      <c r="M244" t="str">
        <f t="shared" ca="1" si="83"/>
        <v>1+1386.63674784927i</v>
      </c>
      <c r="N244" t="str">
        <f t="shared" si="84"/>
        <v>1+6.6085658190965i</v>
      </c>
      <c r="O244">
        <f t="shared" ca="1" si="85"/>
        <v>22.224473826228223</v>
      </c>
      <c r="P244" t="str">
        <f t="shared" ca="1" si="100"/>
        <v>-0.0317302353728088-0.0359506639361445i</v>
      </c>
      <c r="Q244">
        <f t="shared" ca="1" si="95"/>
        <v>-26.384122797362778</v>
      </c>
      <c r="R244">
        <f t="shared" ca="1" si="101"/>
        <v>-131.43178433813412</v>
      </c>
      <c r="T244" t="str">
        <f t="shared" si="86"/>
        <v>1+40.28i</v>
      </c>
      <c r="U244" t="str">
        <f t="shared" si="87"/>
        <v>1+5.3i</v>
      </c>
      <c r="V244" t="str">
        <f t="shared" si="88"/>
        <v>-0.00465491559086395i</v>
      </c>
      <c r="W244" t="str">
        <f t="shared" si="96"/>
        <v>0.00559741998516401-0.0343212415122332i</v>
      </c>
      <c r="X244">
        <f t="shared" si="97"/>
        <v>-29.174735860686845</v>
      </c>
      <c r="Y244">
        <f t="shared" si="98"/>
        <v>-80.737232898352261</v>
      </c>
      <c r="Z244">
        <f t="shared" si="99"/>
        <v>84352.11983870453</v>
      </c>
      <c r="AA244">
        <f t="shared" ca="1" si="89"/>
        <v>-55.558858658049623</v>
      </c>
      <c r="AB244">
        <f t="shared" ca="1" si="90"/>
        <v>-212.16901723648638</v>
      </c>
    </row>
    <row r="245" spans="1:28" x14ac:dyDescent="0.2">
      <c r="A245">
        <v>540000</v>
      </c>
      <c r="B245" t="str">
        <f t="shared" si="91"/>
        <v>540000i</v>
      </c>
      <c r="C245" t="str">
        <f t="shared" ca="1" si="77"/>
        <v>1+14.1279970535587i</v>
      </c>
      <c r="D245" t="str">
        <f t="shared" ca="1" si="78"/>
        <v>1+1.87610455818198i</v>
      </c>
      <c r="E245" t="str">
        <f t="shared" ca="1" si="79"/>
        <v>1+1405.7208714843i</v>
      </c>
      <c r="F245">
        <f t="shared" ca="1" si="80"/>
        <v>39.000923110829653</v>
      </c>
      <c r="G245" t="str">
        <f t="shared" ca="1" si="92"/>
        <v>0.443521039809903+0.707953814202549i</v>
      </c>
      <c r="H245">
        <f t="shared" ca="1" si="93"/>
        <v>-1.562008801518262</v>
      </c>
      <c r="I245">
        <f t="shared" ca="1" si="94"/>
        <v>57.93355514292309</v>
      </c>
      <c r="K245" t="str">
        <f t="shared" ca="1" si="81"/>
        <v>1+14.1279970535587i</v>
      </c>
      <c r="L245" t="str">
        <f t="shared" ca="1" si="82"/>
        <v>1-1.05333429515378i</v>
      </c>
      <c r="M245" t="str">
        <f t="shared" ca="1" si="83"/>
        <v>1+1412.79970535586i</v>
      </c>
      <c r="N245" t="str">
        <f t="shared" si="84"/>
        <v>1+6.73325574021153i</v>
      </c>
      <c r="O245">
        <f t="shared" ca="1" si="85"/>
        <v>22.224473826228223</v>
      </c>
      <c r="P245" t="str">
        <f t="shared" ca="1" si="100"/>
        <v>-0.0318392864931583-0.0353010443905335i</v>
      </c>
      <c r="Q245">
        <f t="shared" ca="1" si="95"/>
        <v>-26.459100284735818</v>
      </c>
      <c r="R245">
        <f t="shared" ca="1" si="101"/>
        <v>-132.04844118841024</v>
      </c>
      <c r="T245" t="str">
        <f t="shared" si="86"/>
        <v>1+41.04i</v>
      </c>
      <c r="U245" t="str">
        <f t="shared" si="87"/>
        <v>1+5.4i</v>
      </c>
      <c r="V245" t="str">
        <f t="shared" si="88"/>
        <v>-0.0045687134502924i</v>
      </c>
      <c r="W245" t="str">
        <f t="shared" si="96"/>
        <v>0.00539883777746754-0.0337224374486171i</v>
      </c>
      <c r="X245">
        <f t="shared" si="97"/>
        <v>-29.331710181191028</v>
      </c>
      <c r="Y245">
        <f t="shared" si="98"/>
        <v>-80.904342779082953</v>
      </c>
      <c r="Z245">
        <f t="shared" si="99"/>
        <v>85943.669269623482</v>
      </c>
      <c r="AA245">
        <f t="shared" ca="1" si="89"/>
        <v>-55.790810465926846</v>
      </c>
      <c r="AB245">
        <f t="shared" ca="1" si="90"/>
        <v>-212.95278396749319</v>
      </c>
    </row>
    <row r="246" spans="1:28" x14ac:dyDescent="0.2">
      <c r="A246">
        <v>550000</v>
      </c>
      <c r="B246" t="str">
        <f t="shared" si="91"/>
        <v>550000i</v>
      </c>
      <c r="C246" t="str">
        <f t="shared" ca="1" si="77"/>
        <v>1+14.3896266286246i</v>
      </c>
      <c r="D246" t="str">
        <f t="shared" ca="1" si="78"/>
        <v>1+1.91084723518535i</v>
      </c>
      <c r="E246" t="str">
        <f t="shared" ca="1" si="79"/>
        <v>1+1431.75273947475i</v>
      </c>
      <c r="F246">
        <f t="shared" ca="1" si="80"/>
        <v>39.000923110829653</v>
      </c>
      <c r="G246" t="str">
        <f t="shared" ca="1" si="92"/>
        <v>0.443520336720609+0.722070720044383i</v>
      </c>
      <c r="H246">
        <f t="shared" ca="1" si="93"/>
        <v>-1.4381724213183946</v>
      </c>
      <c r="I246">
        <f t="shared" ca="1" si="94"/>
        <v>58.440342329581462</v>
      </c>
      <c r="K246" t="str">
        <f t="shared" ca="1" si="81"/>
        <v>1+14.3896266286246i</v>
      </c>
      <c r="L246" t="str">
        <f t="shared" ca="1" si="82"/>
        <v>1-1.07284048580477i</v>
      </c>
      <c r="M246" t="str">
        <f t="shared" ca="1" si="83"/>
        <v>1+1438.96266286246i</v>
      </c>
      <c r="N246" t="str">
        <f t="shared" si="84"/>
        <v>1+6.85794566132656i</v>
      </c>
      <c r="O246">
        <f t="shared" ca="1" si="85"/>
        <v>22.224473826228223</v>
      </c>
      <c r="P246" t="str">
        <f t="shared" ca="1" si="100"/>
        <v>-0.0319426081235217-0.0346742152327066i</v>
      </c>
      <c r="Q246">
        <f t="shared" ca="1" si="95"/>
        <v>-26.531325514186733</v>
      </c>
      <c r="R246">
        <f t="shared" ca="1" si="101"/>
        <v>-132.65191551852828</v>
      </c>
      <c r="T246" t="str">
        <f t="shared" si="86"/>
        <v>1+41.8i</v>
      </c>
      <c r="U246" t="str">
        <f t="shared" si="87"/>
        <v>1+5.5i</v>
      </c>
      <c r="V246" t="str">
        <f t="shared" si="88"/>
        <v>-0.00448564593301435i</v>
      </c>
      <c r="W246" t="str">
        <f t="shared" si="96"/>
        <v>0.00521052631578947-0.0331435406698565i</v>
      </c>
      <c r="X246">
        <f t="shared" si="97"/>
        <v>-29.485989883644365</v>
      </c>
      <c r="Y246">
        <f t="shared" si="98"/>
        <v>-81.065604549033608</v>
      </c>
      <c r="Z246">
        <f t="shared" si="99"/>
        <v>87535.218700542435</v>
      </c>
      <c r="AA246">
        <f t="shared" ca="1" si="89"/>
        <v>-56.017315397831098</v>
      </c>
      <c r="AB246">
        <f t="shared" ca="1" si="90"/>
        <v>-213.71752006756191</v>
      </c>
    </row>
    <row r="247" spans="1:28" x14ac:dyDescent="0.2">
      <c r="A247">
        <v>560000</v>
      </c>
      <c r="B247" t="str">
        <f t="shared" si="91"/>
        <v>560000i</v>
      </c>
      <c r="C247" t="str">
        <f t="shared" ca="1" si="77"/>
        <v>1+14.6512562036905i</v>
      </c>
      <c r="D247" t="str">
        <f t="shared" ca="1" si="78"/>
        <v>1+1.94558991218872i</v>
      </c>
      <c r="E247" t="str">
        <f t="shared" ca="1" si="79"/>
        <v>1+1457.7846074652i</v>
      </c>
      <c r="F247">
        <f t="shared" ca="1" si="80"/>
        <v>39.000923110829653</v>
      </c>
      <c r="G247" t="str">
        <f t="shared" ca="1" si="92"/>
        <v>0.443519670959461+0.736169814943857i</v>
      </c>
      <c r="H247">
        <f t="shared" ca="1" si="93"/>
        <v>-1.3155794945656685</v>
      </c>
      <c r="I247">
        <f t="shared" ca="1" si="94"/>
        <v>58.932329437910518</v>
      </c>
      <c r="K247" t="str">
        <f t="shared" ca="1" si="81"/>
        <v>1+14.6512562036905i</v>
      </c>
      <c r="L247" t="str">
        <f t="shared" ca="1" si="82"/>
        <v>1-1.09234667645577i</v>
      </c>
      <c r="M247" t="str">
        <f t="shared" ca="1" si="83"/>
        <v>1+1465.12562036905i</v>
      </c>
      <c r="N247" t="str">
        <f t="shared" si="84"/>
        <v>1+6.98263558244158i</v>
      </c>
      <c r="O247">
        <f t="shared" ca="1" si="85"/>
        <v>22.224473826228223</v>
      </c>
      <c r="P247" t="str">
        <f t="shared" ca="1" si="100"/>
        <v>-0.0320405920115524-0.0340690114219187i</v>
      </c>
      <c r="Q247">
        <f t="shared" ca="1" si="95"/>
        <v>-26.600922276697663</v>
      </c>
      <c r="R247">
        <f t="shared" ca="1" si="101"/>
        <v>-133.24256363633086</v>
      </c>
      <c r="T247" t="str">
        <f t="shared" si="86"/>
        <v>1+42.56i</v>
      </c>
      <c r="U247" t="str">
        <f t="shared" si="87"/>
        <v>1+5.6i</v>
      </c>
      <c r="V247" t="str">
        <f t="shared" si="88"/>
        <v>-0.00440554511278195i</v>
      </c>
      <c r="W247" t="str">
        <f t="shared" si="96"/>
        <v>0.00503179689024787-0.03258360769817i</v>
      </c>
      <c r="X247">
        <f t="shared" si="97"/>
        <v>-29.637662725740974</v>
      </c>
      <c r="Y247">
        <f t="shared" si="98"/>
        <v>-81.221316107301874</v>
      </c>
      <c r="Z247">
        <f t="shared" si="99"/>
        <v>89126.768131461387</v>
      </c>
      <c r="AA247">
        <f t="shared" ca="1" si="89"/>
        <v>-56.23858500243864</v>
      </c>
      <c r="AB247">
        <f t="shared" ca="1" si="90"/>
        <v>-214.46387974363273</v>
      </c>
    </row>
    <row r="248" spans="1:28" x14ac:dyDescent="0.2">
      <c r="A248">
        <v>570000</v>
      </c>
      <c r="B248" t="str">
        <f t="shared" si="91"/>
        <v>570000i</v>
      </c>
      <c r="C248" t="str">
        <f t="shared" ca="1" si="77"/>
        <v>1+14.9128857787564i</v>
      </c>
      <c r="D248" t="str">
        <f t="shared" ca="1" si="78"/>
        <v>1+1.98033258919209i</v>
      </c>
      <c r="E248" t="str">
        <f t="shared" ca="1" si="79"/>
        <v>1+1483.81647545565i</v>
      </c>
      <c r="F248">
        <f t="shared" ca="1" si="80"/>
        <v>39.000923110829653</v>
      </c>
      <c r="G248" t="str">
        <f t="shared" ca="1" si="92"/>
        <v>0.443519039930061+0.750252036317232i</v>
      </c>
      <c r="H248">
        <f t="shared" ca="1" si="93"/>
        <v>-1.1942232981856775</v>
      </c>
      <c r="I248">
        <f t="shared" ca="1" si="94"/>
        <v>59.41011625165347</v>
      </c>
      <c r="K248" t="str">
        <f t="shared" ca="1" si="81"/>
        <v>1+14.9128857787564i</v>
      </c>
      <c r="L248" t="str">
        <f t="shared" ca="1" si="82"/>
        <v>1-1.11185286710676i</v>
      </c>
      <c r="M248" t="str">
        <f t="shared" ca="1" si="83"/>
        <v>1+1491.28857787564i</v>
      </c>
      <c r="N248" t="str">
        <f t="shared" si="84"/>
        <v>1+7.10732550355661i</v>
      </c>
      <c r="O248">
        <f t="shared" ca="1" si="85"/>
        <v>22.224473826228223</v>
      </c>
      <c r="P248" t="str">
        <f t="shared" ca="1" si="100"/>
        <v>-0.032133597211067-0.0334843450943155i</v>
      </c>
      <c r="Q248">
        <f t="shared" ca="1" si="95"/>
        <v>-26.668007903514169</v>
      </c>
      <c r="R248">
        <f t="shared" ca="1" si="101"/>
        <v>-133.82073071062572</v>
      </c>
      <c r="T248" t="str">
        <f t="shared" si="86"/>
        <v>1+43.32i</v>
      </c>
      <c r="U248" t="str">
        <f t="shared" si="87"/>
        <v>1+5.7i</v>
      </c>
      <c r="V248" t="str">
        <f t="shared" si="88"/>
        <v>-0.00432825484764543i</v>
      </c>
      <c r="W248" t="str">
        <f t="shared" si="96"/>
        <v>0.00486201694142792-0.0320417514137846i</v>
      </c>
      <c r="X248">
        <f t="shared" si="97"/>
        <v>-29.786812415724949</v>
      </c>
      <c r="Y248">
        <f t="shared" si="98"/>
        <v>-81.37175571406587</v>
      </c>
      <c r="Z248">
        <f t="shared" si="99"/>
        <v>90718.31756238034</v>
      </c>
      <c r="AA248">
        <f t="shared" ca="1" si="89"/>
        <v>-56.454820319239118</v>
      </c>
      <c r="AB248">
        <f t="shared" ca="1" si="90"/>
        <v>-215.19248642469159</v>
      </c>
    </row>
    <row r="249" spans="1:28" x14ac:dyDescent="0.2">
      <c r="A249">
        <v>580000</v>
      </c>
      <c r="B249" t="str">
        <f t="shared" si="91"/>
        <v>580000i</v>
      </c>
      <c r="C249" t="str">
        <f t="shared" ca="1" si="77"/>
        <v>1+15.1745153538223i</v>
      </c>
      <c r="D249" t="str">
        <f t="shared" ca="1" si="78"/>
        <v>1+2.01507526619546i</v>
      </c>
      <c r="E249" t="str">
        <f t="shared" ca="1" si="79"/>
        <v>1+1509.8483434461i</v>
      </c>
      <c r="F249">
        <f t="shared" ca="1" si="80"/>
        <v>39.000923110829653</v>
      </c>
      <c r="G249" t="str">
        <f t="shared" ca="1" si="92"/>
        <v>0.443518441257888+0.764318256931528i</v>
      </c>
      <c r="H249">
        <f t="shared" ca="1" si="93"/>
        <v>-1.0740957939214217</v>
      </c>
      <c r="I249">
        <f t="shared" ca="1" si="94"/>
        <v>59.874272601949691</v>
      </c>
      <c r="K249" t="str">
        <f t="shared" ca="1" si="81"/>
        <v>1+15.1745153538223i</v>
      </c>
      <c r="L249" t="str">
        <f t="shared" ca="1" si="82"/>
        <v>1-1.13135905775776i</v>
      </c>
      <c r="M249" t="str">
        <f t="shared" ca="1" si="83"/>
        <v>1+1517.45153538223i</v>
      </c>
      <c r="N249" t="str">
        <f t="shared" si="84"/>
        <v>1+7.23201542467164i</v>
      </c>
      <c r="O249">
        <f t="shared" ca="1" si="85"/>
        <v>22.224473826228223</v>
      </c>
      <c r="P249" t="str">
        <f t="shared" ca="1" si="100"/>
        <v>-0.0322219532803897-0.0329191993500204i</v>
      </c>
      <c r="Q249">
        <f t="shared" ca="1" si="95"/>
        <v>-26.73269364788192</v>
      </c>
      <c r="R249">
        <f t="shared" ca="1" si="101"/>
        <v>-134.38675123273947</v>
      </c>
      <c r="T249" t="str">
        <f t="shared" si="86"/>
        <v>1+44.08i</v>
      </c>
      <c r="U249" t="str">
        <f t="shared" si="87"/>
        <v>1+5.8i</v>
      </c>
      <c r="V249" t="str">
        <f t="shared" si="88"/>
        <v>-0.00425362976406534i</v>
      </c>
      <c r="W249" t="str">
        <f t="shared" si="96"/>
        <v>0.00470060471617844-0.0315171371179003i</v>
      </c>
      <c r="X249">
        <f t="shared" si="97"/>
        <v>-29.933518845622174</v>
      </c>
      <c r="Y249">
        <f t="shared" si="98"/>
        <v>-81.517183561350379</v>
      </c>
      <c r="Z249">
        <f t="shared" si="99"/>
        <v>92309.866993299293</v>
      </c>
      <c r="AA249">
        <f t="shared" ca="1" si="89"/>
        <v>-56.666212493504091</v>
      </c>
      <c r="AB249">
        <f t="shared" ca="1" si="90"/>
        <v>-215.90393479408985</v>
      </c>
    </row>
    <row r="250" spans="1:28" x14ac:dyDescent="0.2">
      <c r="A250">
        <v>590000</v>
      </c>
      <c r="B250" t="str">
        <f t="shared" si="91"/>
        <v>590000i</v>
      </c>
      <c r="C250" t="str">
        <f t="shared" ca="1" si="77"/>
        <v>1+15.4361449288882i</v>
      </c>
      <c r="D250" t="str">
        <f t="shared" ca="1" si="78"/>
        <v>1+2.04981794319883i</v>
      </c>
      <c r="E250" t="str">
        <f t="shared" ca="1" si="79"/>
        <v>1+1535.88021143655i</v>
      </c>
      <c r="F250">
        <f t="shared" ca="1" si="80"/>
        <v>39.000923110829653</v>
      </c>
      <c r="G250" t="str">
        <f t="shared" ca="1" si="92"/>
        <v>0.443517872767935+0.778369290383253i</v>
      </c>
      <c r="H250">
        <f t="shared" ca="1" si="93"/>
        <v>-0.95518779680805044</v>
      </c>
      <c r="I250">
        <f t="shared" ca="1" si="94"/>
        <v>60.325340092243302</v>
      </c>
      <c r="K250" t="str">
        <f t="shared" ca="1" si="81"/>
        <v>1+15.4361449288882i</v>
      </c>
      <c r="L250" t="str">
        <f t="shared" ca="1" si="82"/>
        <v>1-1.15086524840875i</v>
      </c>
      <c r="M250" t="str">
        <f t="shared" ca="1" si="83"/>
        <v>1+1543.61449288882i</v>
      </c>
      <c r="N250" t="str">
        <f t="shared" si="84"/>
        <v>1+7.35670534578667i</v>
      </c>
      <c r="O250">
        <f t="shared" ca="1" si="85"/>
        <v>22.224473826228223</v>
      </c>
      <c r="P250" t="str">
        <f t="shared" ca="1" si="100"/>
        <v>-0.0323059631240136-0.0323726226237881i</v>
      </c>
      <c r="Q250">
        <f t="shared" ca="1" si="95"/>
        <v>-26.795085041189317</v>
      </c>
      <c r="R250">
        <f t="shared" ca="1" si="101"/>
        <v>-134.94094944091472</v>
      </c>
      <c r="T250" t="str">
        <f t="shared" si="86"/>
        <v>1+44.84i</v>
      </c>
      <c r="U250" t="str">
        <f t="shared" si="87"/>
        <v>1+5.9i</v>
      </c>
      <c r="V250" t="str">
        <f t="shared" si="88"/>
        <v>-0.00418153434433541i</v>
      </c>
      <c r="W250" t="str">
        <f t="shared" si="96"/>
        <v>0.00454702450065404-0.0310089788981942i</v>
      </c>
      <c r="X250">
        <f t="shared" si="97"/>
        <v>-30.077858309033061</v>
      </c>
      <c r="Y250">
        <f t="shared" si="98"/>
        <v>-81.657843197523931</v>
      </c>
      <c r="Z250">
        <f t="shared" si="99"/>
        <v>93901.416424218245</v>
      </c>
      <c r="AA250">
        <f t="shared" ca="1" si="89"/>
        <v>-56.872943350222378</v>
      </c>
      <c r="AB250">
        <f t="shared" ca="1" si="90"/>
        <v>-216.59879263843865</v>
      </c>
    </row>
    <row r="251" spans="1:28" x14ac:dyDescent="0.2">
      <c r="A251">
        <v>600000</v>
      </c>
      <c r="B251" t="str">
        <f t="shared" si="91"/>
        <v>600000i</v>
      </c>
      <c r="C251" t="str">
        <f t="shared" ca="1" si="77"/>
        <v>1+15.6977745039541i</v>
      </c>
      <c r="D251" t="str">
        <f t="shared" ca="1" si="78"/>
        <v>1+2.0845606202022i</v>
      </c>
      <c r="E251" t="str">
        <f t="shared" ca="1" si="79"/>
        <v>1+1561.912079427i</v>
      </c>
      <c r="F251">
        <f t="shared" ca="1" si="80"/>
        <v>39.000923110829653</v>
      </c>
      <c r="G251" t="str">
        <f t="shared" ca="1" si="92"/>
        <v>0.443517332464918+0.792405896029253i</v>
      </c>
      <c r="H251">
        <f t="shared" ca="1" si="93"/>
        <v>-0.83748912629048577</v>
      </c>
      <c r="I251">
        <f t="shared" ca="1" si="94"/>
        <v>60.763833713056407</v>
      </c>
      <c r="K251" t="str">
        <f t="shared" ca="1" si="81"/>
        <v>1+15.6977745039541i</v>
      </c>
      <c r="L251" t="str">
        <f t="shared" ca="1" si="82"/>
        <v>1-1.17037143905975i</v>
      </c>
      <c r="M251" t="str">
        <f t="shared" ca="1" si="83"/>
        <v>1+1569.77745039541i</v>
      </c>
      <c r="N251" t="str">
        <f t="shared" si="84"/>
        <v>1+7.4813952669017i</v>
      </c>
      <c r="O251">
        <f t="shared" ca="1" si="85"/>
        <v>22.224473826228223</v>
      </c>
      <c r="P251" t="str">
        <f t="shared" ca="1" si="100"/>
        <v>-0.0323859055220182-0.0318437235770493i</v>
      </c>
      <c r="Q251">
        <f t="shared" ca="1" si="95"/>
        <v>-26.855282225512767</v>
      </c>
      <c r="R251">
        <f t="shared" ca="1" si="101"/>
        <v>-135.48363971264078</v>
      </c>
      <c r="T251" t="str">
        <f t="shared" si="86"/>
        <v>1+45.6i</v>
      </c>
      <c r="U251" t="str">
        <f t="shared" si="87"/>
        <v>1+6i</v>
      </c>
      <c r="V251" t="str">
        <f t="shared" si="88"/>
        <v>-0.00411184210526316i</v>
      </c>
      <c r="W251" t="str">
        <f t="shared" si="96"/>
        <v>0.00440078236130868-0.0305165362731152i</v>
      </c>
      <c r="X251">
        <f t="shared" si="97"/>
        <v>-30.219903704570214</v>
      </c>
      <c r="Y251">
        <f t="shared" si="98"/>
        <v>-81.793962820930702</v>
      </c>
      <c r="Z251">
        <f t="shared" si="99"/>
        <v>95492.965855137212</v>
      </c>
      <c r="AA251">
        <f t="shared" ca="1" si="89"/>
        <v>-57.075185930082981</v>
      </c>
      <c r="AB251">
        <f t="shared" ca="1" si="90"/>
        <v>-217.2776025335715</v>
      </c>
    </row>
    <row r="252" spans="1:28" x14ac:dyDescent="0.2">
      <c r="A252">
        <v>610000</v>
      </c>
      <c r="B252" t="str">
        <f t="shared" si="91"/>
        <v>610000i</v>
      </c>
      <c r="C252" t="str">
        <f t="shared" ca="1" si="77"/>
        <v>1+15.95940407902i</v>
      </c>
      <c r="D252" t="str">
        <f t="shared" ca="1" si="78"/>
        <v>1+2.11930329720557i</v>
      </c>
      <c r="E252" t="str">
        <f t="shared" ca="1" si="79"/>
        <v>1+1587.94394741745i</v>
      </c>
      <c r="F252">
        <f t="shared" ca="1" si="80"/>
        <v>39.000923110829653</v>
      </c>
      <c r="G252" t="str">
        <f t="shared" ca="1" si="92"/>
        <v>0.44351681851575+0.806428783432594i</v>
      </c>
      <c r="H252">
        <f t="shared" ca="1" si="93"/>
        <v>-0.72098874171716565</v>
      </c>
      <c r="I252">
        <f t="shared" ca="1" si="94"/>
        <v>61.190243354344041</v>
      </c>
      <c r="K252" t="str">
        <f t="shared" ca="1" si="81"/>
        <v>1+15.95940407902i</v>
      </c>
      <c r="L252" t="str">
        <f t="shared" ca="1" si="82"/>
        <v>1-1.18987762971075i</v>
      </c>
      <c r="M252" t="str">
        <f t="shared" ca="1" si="83"/>
        <v>1+1595.940407902i</v>
      </c>
      <c r="N252" t="str">
        <f t="shared" si="84"/>
        <v>1+7.60608518801672i</v>
      </c>
      <c r="O252">
        <f t="shared" ca="1" si="85"/>
        <v>22.224473826228223</v>
      </c>
      <c r="P252" t="str">
        <f t="shared" ca="1" si="100"/>
        <v>-0.0324620373855764-0.0313316664565358i</v>
      </c>
      <c r="Q252">
        <f t="shared" ca="1" si="95"/>
        <v>-26.913380264375672</v>
      </c>
      <c r="R252">
        <f t="shared" ca="1" si="101"/>
        <v>-136.01512692920443</v>
      </c>
      <c r="T252" t="str">
        <f t="shared" si="86"/>
        <v>1+46.36i</v>
      </c>
      <c r="U252" t="str">
        <f t="shared" si="87"/>
        <v>1+6.1i</v>
      </c>
      <c r="V252" t="str">
        <f t="shared" si="88"/>
        <v>-0.00404443485763589i</v>
      </c>
      <c r="W252" t="str">
        <f t="shared" si="96"/>
        <v>0.00426142233364096-0.0300391110928457i</v>
      </c>
      <c r="X252">
        <f t="shared" si="97"/>
        <v>-30.359724725954536</v>
      </c>
      <c r="Y252">
        <f t="shared" si="98"/>
        <v>-81.925756456267493</v>
      </c>
      <c r="Z252">
        <f t="shared" si="99"/>
        <v>97084.515286056165</v>
      </c>
      <c r="AA252">
        <f t="shared" ca="1" si="89"/>
        <v>-57.273104990330211</v>
      </c>
      <c r="AB252">
        <f t="shared" ca="1" si="90"/>
        <v>-217.94088338547192</v>
      </c>
    </row>
    <row r="253" spans="1:28" x14ac:dyDescent="0.2">
      <c r="A253">
        <v>620000</v>
      </c>
      <c r="B253" t="str">
        <f t="shared" si="91"/>
        <v>620000i</v>
      </c>
      <c r="C253" t="str">
        <f t="shared" ca="1" si="77"/>
        <v>1+16.2210336540859i</v>
      </c>
      <c r="D253" t="str">
        <f t="shared" ca="1" si="78"/>
        <v>1+2.15404597420894i</v>
      </c>
      <c r="E253" t="str">
        <f t="shared" ca="1" si="79"/>
        <v>1+1613.9758154079i</v>
      </c>
      <c r="F253">
        <f t="shared" ca="1" si="80"/>
        <v>39.000923110829653</v>
      </c>
      <c r="G253" t="str">
        <f t="shared" ca="1" si="92"/>
        <v>0.443516329233973+0.820438616378163i</v>
      </c>
      <c r="H253">
        <f t="shared" ca="1" si="93"/>
        <v>-0.60567486377116209</v>
      </c>
      <c r="I253">
        <f t="shared" ca="1" si="94"/>
        <v>61.605035222525721</v>
      </c>
      <c r="K253" t="str">
        <f t="shared" ca="1" si="81"/>
        <v>1+16.2210336540859i</v>
      </c>
      <c r="L253" t="str">
        <f t="shared" ca="1" si="82"/>
        <v>1-1.20938382036174i</v>
      </c>
      <c r="M253" t="str">
        <f t="shared" ca="1" si="83"/>
        <v>1+1622.10336540859i</v>
      </c>
      <c r="N253" t="str">
        <f t="shared" si="84"/>
        <v>1+7.73077510913175i</v>
      </c>
      <c r="O253">
        <f t="shared" ca="1" si="85"/>
        <v>22.224473826228223</v>
      </c>
      <c r="P253" t="str">
        <f t="shared" ca="1" si="100"/>
        <v>-0.0325345957717222-0.0308356668710735i</v>
      </c>
      <c r="Q253">
        <f t="shared" ca="1" si="95"/>
        <v>-26.969469433364665</v>
      </c>
      <c r="R253">
        <f t="shared" ca="1" si="101"/>
        <v>-136.53570681611106</v>
      </c>
      <c r="T253" t="str">
        <f t="shared" si="86"/>
        <v>1+47.12i</v>
      </c>
      <c r="U253" t="str">
        <f t="shared" si="87"/>
        <v>1+6.2i</v>
      </c>
      <c r="V253" t="str">
        <f t="shared" si="88"/>
        <v>-0.00397920203735144i</v>
      </c>
      <c r="W253" t="str">
        <f t="shared" si="96"/>
        <v>0.00412852300629871-0.0295760446764034i</v>
      </c>
      <c r="X253">
        <f t="shared" si="97"/>
        <v>-30.497388039715048</v>
      </c>
      <c r="Y253">
        <f t="shared" si="98"/>
        <v>-82.053425025748126</v>
      </c>
      <c r="Z253">
        <f t="shared" si="99"/>
        <v>98676.064716975117</v>
      </c>
      <c r="AA253">
        <f t="shared" ca="1" si="89"/>
        <v>-57.466857473079713</v>
      </c>
      <c r="AB253">
        <f t="shared" ca="1" si="90"/>
        <v>-218.58913184185917</v>
      </c>
    </row>
    <row r="254" spans="1:28" x14ac:dyDescent="0.2">
      <c r="A254">
        <v>630000</v>
      </c>
      <c r="B254" t="str">
        <f t="shared" si="91"/>
        <v>630000i</v>
      </c>
      <c r="C254" t="str">
        <f t="shared" ca="1" si="77"/>
        <v>1+16.4826632291518i</v>
      </c>
      <c r="D254" t="str">
        <f t="shared" ca="1" si="78"/>
        <v>1+2.18878865121231i</v>
      </c>
      <c r="E254" t="str">
        <f t="shared" ca="1" si="79"/>
        <v>1+1640.00768339835i</v>
      </c>
      <c r="F254">
        <f t="shared" ca="1" si="80"/>
        <v>39.000923110829653</v>
      </c>
      <c r="G254" t="str">
        <f t="shared" ca="1" si="92"/>
        <v>0.443515863065902+0.834436016505856i</v>
      </c>
      <c r="H254">
        <f t="shared" ca="1" si="93"/>
        <v>-0.49153508324270301</v>
      </c>
      <c r="I254">
        <f t="shared" ca="1" si="94"/>
        <v>62.008653168734767</v>
      </c>
      <c r="K254" t="str">
        <f t="shared" ca="1" si="81"/>
        <v>1+16.4826632291518i</v>
      </c>
      <c r="L254" t="str">
        <f t="shared" ca="1" si="82"/>
        <v>1-1.22889001101274i</v>
      </c>
      <c r="M254" t="str">
        <f t="shared" ca="1" si="83"/>
        <v>1+1648.26632291518i</v>
      </c>
      <c r="N254" t="str">
        <f t="shared" si="84"/>
        <v>1+7.85546503024678i</v>
      </c>
      <c r="O254">
        <f t="shared" ca="1" si="85"/>
        <v>22.224473826228223</v>
      </c>
      <c r="P254" t="str">
        <f t="shared" ca="1" si="100"/>
        <v>-0.0326037996861133-0.0303549879437192i</v>
      </c>
      <c r="Q254">
        <f t="shared" ca="1" si="95"/>
        <v>-27.023635492100944</v>
      </c>
      <c r="R254">
        <f t="shared" ca="1" si="101"/>
        <v>-137.04566626245006</v>
      </c>
      <c r="T254" t="str">
        <f t="shared" si="86"/>
        <v>1+47.88i</v>
      </c>
      <c r="U254" t="str">
        <f t="shared" si="87"/>
        <v>1+6.3i</v>
      </c>
      <c r="V254" t="str">
        <f t="shared" si="88"/>
        <v>-0.00391604010025063i</v>
      </c>
      <c r="W254" t="str">
        <f t="shared" si="96"/>
        <v>0.00400169445486412-0.0291267151658946i</v>
      </c>
      <c r="X254">
        <f t="shared" si="97"/>
        <v>-30.632957451373095</v>
      </c>
      <c r="Y254">
        <f t="shared" si="98"/>
        <v>-82.177157325725787</v>
      </c>
      <c r="Z254">
        <f t="shared" si="99"/>
        <v>100267.61414789407</v>
      </c>
      <c r="AA254">
        <f t="shared" ca="1" si="89"/>
        <v>-57.656592943474038</v>
      </c>
      <c r="AB254">
        <f t="shared" ca="1" si="90"/>
        <v>-219.22282358817586</v>
      </c>
    </row>
    <row r="255" spans="1:28" x14ac:dyDescent="0.2">
      <c r="A255">
        <v>640000</v>
      </c>
      <c r="B255" t="str">
        <f t="shared" si="91"/>
        <v>640000i</v>
      </c>
      <c r="C255" t="str">
        <f t="shared" ca="1" si="77"/>
        <v>1+16.7442928042177i</v>
      </c>
      <c r="D255" t="str">
        <f t="shared" ca="1" si="78"/>
        <v>1+2.22353132821568i</v>
      </c>
      <c r="E255" t="str">
        <f t="shared" ca="1" si="79"/>
        <v>1+1666.0395513888i</v>
      </c>
      <c r="F255">
        <f t="shared" ca="1" si="80"/>
        <v>39.000923110829653</v>
      </c>
      <c r="G255" t="str">
        <f t="shared" ca="1" si="92"/>
        <v>0.443515418578278+0.848421566603158i</v>
      </c>
      <c r="H255">
        <f t="shared" ca="1" si="93"/>
        <v>-0.37855645840749069</v>
      </c>
      <c r="I255">
        <f t="shared" ca="1" si="94"/>
        <v>62.401519934322621</v>
      </c>
      <c r="K255" t="str">
        <f t="shared" ca="1" si="81"/>
        <v>1+16.7442928042177i</v>
      </c>
      <c r="L255" t="str">
        <f t="shared" ca="1" si="82"/>
        <v>1-1.24839620166373i</v>
      </c>
      <c r="M255" t="str">
        <f t="shared" ca="1" si="83"/>
        <v>1+1674.42928042177i</v>
      </c>
      <c r="N255" t="str">
        <f t="shared" si="84"/>
        <v>1+7.98015495136181i</v>
      </c>
      <c r="O255">
        <f t="shared" ca="1" si="85"/>
        <v>22.224473826228223</v>
      </c>
      <c r="P255" t="str">
        <f t="shared" ca="1" si="100"/>
        <v>-0.0326698516987552-0.0298889368013043i</v>
      </c>
      <c r="Q255">
        <f t="shared" ca="1" si="95"/>
        <v>-27.075959938930474</v>
      </c>
      <c r="R255">
        <f t="shared" ca="1" si="101"/>
        <v>-137.54528362180636</v>
      </c>
      <c r="T255" t="str">
        <f t="shared" si="86"/>
        <v>1+48.64i</v>
      </c>
      <c r="U255" t="str">
        <f t="shared" si="87"/>
        <v>1+6.4i</v>
      </c>
      <c r="V255" t="str">
        <f t="shared" si="88"/>
        <v>-0.00385485197368421i</v>
      </c>
      <c r="W255" t="str">
        <f t="shared" si="96"/>
        <v>0.00388057548542472-0.0286905350804024i</v>
      </c>
      <c r="X255">
        <f t="shared" si="97"/>
        <v>-30.766494060928935</v>
      </c>
      <c r="Y255">
        <f t="shared" si="98"/>
        <v>-82.297130918243411</v>
      </c>
      <c r="Z255">
        <f t="shared" si="99"/>
        <v>101859.16357881302</v>
      </c>
      <c r="AA255">
        <f t="shared" ca="1" si="89"/>
        <v>-57.842453999859408</v>
      </c>
      <c r="AB255">
        <f t="shared" ca="1" si="90"/>
        <v>-219.84241454004979</v>
      </c>
    </row>
    <row r="256" spans="1:28" x14ac:dyDescent="0.2">
      <c r="A256">
        <v>650000</v>
      </c>
      <c r="B256" t="str">
        <f t="shared" si="91"/>
        <v>650000i</v>
      </c>
      <c r="C256" t="str">
        <f t="shared" ca="1" si="77"/>
        <v>1+17.0059223792836i</v>
      </c>
      <c r="D256" t="str">
        <f t="shared" ca="1" si="78"/>
        <v>1+2.25827400521905i</v>
      </c>
      <c r="E256" t="str">
        <f t="shared" ca="1" si="79"/>
        <v>1+1692.07141937925i</v>
      </c>
      <c r="F256">
        <f t="shared" ca="1" si="80"/>
        <v>39.000923110829653</v>
      </c>
      <c r="G256" t="str">
        <f t="shared" ca="1" si="92"/>
        <v>0.443514994447237+0.86239581359376i</v>
      </c>
      <c r="H256">
        <f t="shared" ca="1" si="93"/>
        <v>-0.26672560214912311</v>
      </c>
      <c r="I256">
        <f t="shared" ca="1" si="94"/>
        <v>62.784038319203901</v>
      </c>
      <c r="K256" t="str">
        <f t="shared" ca="1" si="81"/>
        <v>1+17.0059223792836i</v>
      </c>
      <c r="L256" t="str">
        <f t="shared" ca="1" si="82"/>
        <v>1-1.26790239231473i</v>
      </c>
      <c r="M256" t="str">
        <f t="shared" ca="1" si="83"/>
        <v>1+1700.59223792836i</v>
      </c>
      <c r="N256" t="str">
        <f t="shared" si="84"/>
        <v>1+8.10484487247684i</v>
      </c>
      <c r="O256">
        <f t="shared" ca="1" si="85"/>
        <v>22.224473826228223</v>
      </c>
      <c r="P256" t="str">
        <f t="shared" ca="1" si="100"/>
        <v>-0.032732939394418-0.0294368613677176i</v>
      </c>
      <c r="Q256">
        <f t="shared" ca="1" si="95"/>
        <v>-27.126520249578874</v>
      </c>
      <c r="R256">
        <f t="shared" ca="1" si="101"/>
        <v>-138.03482899692409</v>
      </c>
      <c r="T256" t="str">
        <f t="shared" si="86"/>
        <v>1+49.4i</v>
      </c>
      <c r="U256" t="str">
        <f t="shared" si="87"/>
        <v>1+6.5i</v>
      </c>
      <c r="V256" t="str">
        <f t="shared" si="88"/>
        <v>-0.00379554655870445i</v>
      </c>
      <c r="W256" t="str">
        <f t="shared" si="96"/>
        <v>0.00376483115302708-0.0282669490533804i</v>
      </c>
      <c r="X256">
        <f t="shared" si="97"/>
        <v>-30.898056408410216</v>
      </c>
      <c r="Y256">
        <f t="shared" si="98"/>
        <v>-82.413512945928346</v>
      </c>
      <c r="Z256">
        <f t="shared" si="99"/>
        <v>103450.71300973198</v>
      </c>
      <c r="AA256">
        <f t="shared" ca="1" si="89"/>
        <v>-58.024576657989087</v>
      </c>
      <c r="AB256">
        <f t="shared" ca="1" si="90"/>
        <v>-220.44834194285244</v>
      </c>
    </row>
    <row r="257" spans="1:28" x14ac:dyDescent="0.2">
      <c r="A257">
        <v>660000</v>
      </c>
      <c r="B257" t="str">
        <f t="shared" si="91"/>
        <v>660000i</v>
      </c>
      <c r="C257" t="str">
        <f t="shared" ca="1" si="77"/>
        <v>1+17.2675519543495i</v>
      </c>
      <c r="D257" t="str">
        <f t="shared" ca="1" si="78"/>
        <v>1+2.29301668222242i</v>
      </c>
      <c r="E257" t="str">
        <f t="shared" ca="1" si="79"/>
        <v>1+1718.1032873697i</v>
      </c>
      <c r="F257">
        <f t="shared" ca="1" si="80"/>
        <v>39.000923110829653</v>
      </c>
      <c r="G257" t="str">
        <f t="shared" ca="1" si="92"/>
        <v>0.443514589448443+0.876359271254534i</v>
      </c>
      <c r="H257">
        <f t="shared" ca="1" si="93"/>
        <v>-0.1560287598491745</v>
      </c>
      <c r="I257">
        <f t="shared" ca="1" si="94"/>
        <v>63.156592278218433</v>
      </c>
      <c r="K257" t="str">
        <f t="shared" ca="1" si="81"/>
        <v>1+17.2675519543495i</v>
      </c>
      <c r="L257" t="str">
        <f t="shared" ca="1" si="82"/>
        <v>1-1.28740858296573i</v>
      </c>
      <c r="M257" t="str">
        <f t="shared" ca="1" si="83"/>
        <v>1+1726.75519543495i</v>
      </c>
      <c r="N257" t="str">
        <f t="shared" si="84"/>
        <v>1+8.22953479359187i</v>
      </c>
      <c r="O257">
        <f t="shared" ca="1" si="85"/>
        <v>22.224473826228223</v>
      </c>
      <c r="P257" t="str">
        <f t="shared" ca="1" si="100"/>
        <v>-0.032793236676677-0.0289981474309983i</v>
      </c>
      <c r="Q257">
        <f t="shared" ca="1" si="95"/>
        <v>-27.175390100914587</v>
      </c>
      <c r="R257">
        <f t="shared" ca="1" si="101"/>
        <v>-138.51456450997458</v>
      </c>
      <c r="T257" t="str">
        <f t="shared" si="86"/>
        <v>1+50.16i</v>
      </c>
      <c r="U257" t="str">
        <f t="shared" si="87"/>
        <v>1+6.6i</v>
      </c>
      <c r="V257" t="str">
        <f t="shared" si="88"/>
        <v>-0.00373803827751196i</v>
      </c>
      <c r="W257" t="str">
        <f t="shared" si="96"/>
        <v>0.00365415052442597-0.0278554317387233i</v>
      </c>
      <c r="X257">
        <f t="shared" si="97"/>
        <v>-31.027700610186685</v>
      </c>
      <c r="Y257">
        <f t="shared" si="98"/>
        <v>-82.526460877721746</v>
      </c>
      <c r="Z257">
        <f t="shared" si="99"/>
        <v>105042.26244065093</v>
      </c>
      <c r="AA257">
        <f t="shared" ca="1" si="89"/>
        <v>-58.203090711101268</v>
      </c>
      <c r="AB257">
        <f t="shared" ca="1" si="90"/>
        <v>-221.04102538769632</v>
      </c>
    </row>
    <row r="258" spans="1:28" x14ac:dyDescent="0.2">
      <c r="A258">
        <v>670000</v>
      </c>
      <c r="B258" t="str">
        <f t="shared" si="91"/>
        <v>670000i</v>
      </c>
      <c r="C258" t="str">
        <f t="shared" ref="C258:C321" ca="1" si="102">IMSUM(1,IMDIV(B258,CcmWz1))</f>
        <v>1+17.5291815294154i</v>
      </c>
      <c r="D258" t="str">
        <f t="shared" ref="D258:D321" ca="1" si="103">IMSUM(1,IMDIV(B258,CcmWz2))</f>
        <v>1+2.32775935922579i</v>
      </c>
      <c r="E258" t="str">
        <f t="shared" ref="E258:E321" ca="1" si="104">IMSUM(1,IMDIV(B258,CcmWp1))</f>
        <v>1+1744.13515536015i</v>
      </c>
      <c r="F258">
        <f t="shared" ref="F258:F321" ca="1" si="105">CcmGo</f>
        <v>39.000923110829653</v>
      </c>
      <c r="G258" t="str">
        <f t="shared" ca="1" si="92"/>
        <v>0.44351420244824+0.890312422689142i</v>
      </c>
      <c r="H258">
        <f t="shared" ca="1" si="93"/>
        <v>-4.6451878967925624E-2</v>
      </c>
      <c r="I258">
        <f t="shared" ca="1" si="94"/>
        <v>63.519547950305679</v>
      </c>
      <c r="K258" t="str">
        <f t="shared" ref="K258:K321" ca="1" si="106">IMSUM(1,IMDIV(B258,DcmWz1))</f>
        <v>1+17.5291815294154i</v>
      </c>
      <c r="L258" t="str">
        <f t="shared" ref="L258:L321" ca="1" si="107">IMSUB(1,IMDIV($B258,DcmWz2))</f>
        <v>1-1.30691477361672i</v>
      </c>
      <c r="M258" t="str">
        <f t="shared" ref="M258:M321" ca="1" si="108">IMSUM(1,IMDIV($B258,DcmWp1))</f>
        <v>1+1752.91815294154i</v>
      </c>
      <c r="N258" t="str">
        <f t="shared" ref="N258:N321" si="109">IMSUM(1,IMDIV($B258,DcmWp2))</f>
        <v>1+8.35422471470689i</v>
      </c>
      <c r="O258">
        <f t="shared" ref="O258:O321" ca="1" si="110">DcmGo</f>
        <v>22.224473826228223</v>
      </c>
      <c r="P258" t="str">
        <f t="shared" ca="1" si="100"/>
        <v>-0.0328509049421401-0.0285722159576105i</v>
      </c>
      <c r="Q258">
        <f t="shared" ca="1" si="95"/>
        <v>-27.222639580863898</v>
      </c>
      <c r="R258">
        <f t="shared" ca="1" si="101"/>
        <v>-138.98474456000474</v>
      </c>
      <c r="T258" t="str">
        <f t="shared" ref="T258:T321" si="111">IMSUM(1,IMPRODUCT($B258,1/CompWz1))</f>
        <v>1+50.92i</v>
      </c>
      <c r="U258" t="str">
        <f t="shared" ref="U258:U321" si="112">IMSUM(1,IMPRODUCT($B258,1/CompWp1))</f>
        <v>1+6.7i</v>
      </c>
      <c r="V258" t="str">
        <f t="shared" ref="V258:V321" si="113">IMDIV(CompA,$B258)</f>
        <v>-0.00368224666142969i</v>
      </c>
      <c r="W258" t="str">
        <f t="shared" si="96"/>
        <v>0.00354824465827895-0.0274554858718987i</v>
      </c>
      <c r="X258">
        <f t="shared" si="97"/>
        <v>-31.155480486703663</v>
      </c>
      <c r="Y258">
        <f t="shared" si="98"/>
        <v>-82.636123192118944</v>
      </c>
      <c r="Z258">
        <f t="shared" si="99"/>
        <v>106633.81187156988</v>
      </c>
      <c r="AA258">
        <f t="shared" ref="AA258:AA321" ca="1" si="114">IF(IsDcmBode, X258+Q258,X258+H258)</f>
        <v>-58.378120067567565</v>
      </c>
      <c r="AB258">
        <f t="shared" ref="AB258:AB321" ca="1" si="115">IF(IsDcmBode, Y258+R258,Y258+I258)</f>
        <v>-221.62086775212367</v>
      </c>
    </row>
    <row r="259" spans="1:28" x14ac:dyDescent="0.2">
      <c r="A259">
        <v>680000</v>
      </c>
      <c r="B259" t="str">
        <f t="shared" ref="B259:B322" si="116">COMPLEX(0,A259)</f>
        <v>680000i</v>
      </c>
      <c r="C259" t="str">
        <f t="shared" ca="1" si="102"/>
        <v>1+17.7908111044813i</v>
      </c>
      <c r="D259" t="str">
        <f t="shared" ca="1" si="103"/>
        <v>1+2.36250203622916i</v>
      </c>
      <c r="E259" t="str">
        <f t="shared" ca="1" si="104"/>
        <v>1+1770.1670233506i</v>
      </c>
      <c r="F259">
        <f t="shared" ca="1" si="105"/>
        <v>39.000923110829653</v>
      </c>
      <c r="G259" t="str">
        <f t="shared" ref="G259:G322" ca="1" si="117">IMDIV(IMPRODUCT(F259,C259,D259),E259)</f>
        <v>0.443513832395714+0.904255722583447i</v>
      </c>
      <c r="H259">
        <f t="shared" ref="H259:H322" ca="1" si="118">20*LOG(IMABS(G259),10)</f>
        <v>6.2019328855145155E-2</v>
      </c>
      <c r="I259">
        <f t="shared" ref="I259:I322" ca="1" si="119">IMARGUMENT(G259)*180/PI()</f>
        <v>63.873254624948743</v>
      </c>
      <c r="K259" t="str">
        <f t="shared" ca="1" si="106"/>
        <v>1+17.7908111044813i</v>
      </c>
      <c r="L259" t="str">
        <f t="shared" ca="1" si="107"/>
        <v>1-1.32642096426772i</v>
      </c>
      <c r="M259" t="str">
        <f t="shared" ca="1" si="108"/>
        <v>1+1779.08111044813i</v>
      </c>
      <c r="N259" t="str">
        <f t="shared" si="109"/>
        <v>1+8.47891463582192i</v>
      </c>
      <c r="O259">
        <f t="shared" ca="1" si="110"/>
        <v>22.224473826228223</v>
      </c>
      <c r="P259" t="str">
        <f t="shared" ca="1" si="100"/>
        <v>-0.0329060941393389-0.0281585206301491i</v>
      </c>
      <c r="Q259">
        <f t="shared" ref="Q259:Q322" ca="1" si="120">20*LOG(IMABS(P259),10)</f>
        <v>-27.268335385440924</v>
      </c>
      <c r="R259">
        <f t="shared" ca="1" si="101"/>
        <v>-139.4456160688909</v>
      </c>
      <c r="T259" t="str">
        <f t="shared" si="111"/>
        <v>1+51.68i</v>
      </c>
      <c r="U259" t="str">
        <f t="shared" si="112"/>
        <v>1+6.8i</v>
      </c>
      <c r="V259" t="str">
        <f t="shared" si="113"/>
        <v>-0.0036280959752322i</v>
      </c>
      <c r="W259" t="str">
        <f t="shared" ref="W259:W322" si="121">IMDIV(IMPRODUCT(V259,T259),U259)</f>
        <v>0.00344684477917911-0.0270666404736501i</v>
      </c>
      <c r="X259">
        <f t="shared" ref="X259:X322" si="122">20*LOG(IMABS(W259),10)</f>
        <v>-31.281447682238554</v>
      </c>
      <c r="Y259">
        <f t="shared" ref="Y259:Y322" si="123">IMARGUMENT(W259)*180/PI()</f>
        <v>-82.742640003879501</v>
      </c>
      <c r="Z259">
        <f t="shared" ref="Z259:Z322" si="124">A259/(2*PI())</f>
        <v>108225.36130248883</v>
      </c>
      <c r="AA259">
        <f t="shared" ca="1" si="114"/>
        <v>-58.549783067679478</v>
      </c>
      <c r="AB259">
        <f t="shared" ca="1" si="115"/>
        <v>-222.1882560727704</v>
      </c>
    </row>
    <row r="260" spans="1:28" x14ac:dyDescent="0.2">
      <c r="A260">
        <v>690000</v>
      </c>
      <c r="B260" t="str">
        <f t="shared" si="116"/>
        <v>690000i</v>
      </c>
      <c r="C260" t="str">
        <f t="shared" ca="1" si="102"/>
        <v>1+18.0524406795472i</v>
      </c>
      <c r="D260" t="str">
        <f t="shared" ca="1" si="103"/>
        <v>1+2.39724471323253i</v>
      </c>
      <c r="E260" t="str">
        <f t="shared" ca="1" si="104"/>
        <v>1+1796.19889134105i</v>
      </c>
      <c r="F260">
        <f t="shared" ca="1" si="105"/>
        <v>39.000923110829653</v>
      </c>
      <c r="G260" t="str">
        <f t="shared" ca="1" si="117"/>
        <v>0.443513478315544+0.918189599264738i</v>
      </c>
      <c r="H260">
        <f t="shared" ca="1" si="118"/>
        <v>0.16939933243274607</v>
      </c>
      <c r="I260">
        <f t="shared" ca="1" si="119"/>
        <v>64.218045650022646</v>
      </c>
      <c r="K260" t="str">
        <f t="shared" ca="1" si="106"/>
        <v>1+18.0524406795472i</v>
      </c>
      <c r="L260" t="str">
        <f t="shared" ca="1" si="107"/>
        <v>1-1.34592715491871i</v>
      </c>
      <c r="M260" t="str">
        <f t="shared" ca="1" si="108"/>
        <v>1+1805.24406795472i</v>
      </c>
      <c r="N260" t="str">
        <f t="shared" si="109"/>
        <v>1+8.60360455693695i</v>
      </c>
      <c r="O260">
        <f t="shared" ca="1" si="110"/>
        <v>22.224473826228223</v>
      </c>
      <c r="P260" t="str">
        <f t="shared" ca="1" si="100"/>
        <v>-0.0329589437249888-0.0277565455872837i</v>
      </c>
      <c r="Q260">
        <f t="shared" ca="1" si="120"/>
        <v>-27.312541003775404</v>
      </c>
      <c r="R260">
        <f t="shared" ca="1" si="101"/>
        <v>-139.89741871691888</v>
      </c>
      <c r="T260" t="str">
        <f t="shared" si="111"/>
        <v>1+52.44i</v>
      </c>
      <c r="U260" t="str">
        <f t="shared" si="112"/>
        <v>1+6.9i</v>
      </c>
      <c r="V260" t="str">
        <f t="shared" si="113"/>
        <v>-0.00357551487414188i</v>
      </c>
      <c r="W260" t="str">
        <f t="shared" si="121"/>
        <v>0.00334970062473608-0.0266884491848209i</v>
      </c>
      <c r="X260">
        <f t="shared" si="122"/>
        <v>-31.405651777239378</v>
      </c>
      <c r="Y260">
        <f t="shared" si="123"/>
        <v>-82.846143639533153</v>
      </c>
      <c r="Z260">
        <f t="shared" si="124"/>
        <v>109816.91073340779</v>
      </c>
      <c r="AA260">
        <f t="shared" ca="1" si="114"/>
        <v>-58.718192781014778</v>
      </c>
      <c r="AB260">
        <f t="shared" ca="1" si="115"/>
        <v>-222.74356235645203</v>
      </c>
    </row>
    <row r="261" spans="1:28" x14ac:dyDescent="0.2">
      <c r="A261">
        <v>700000</v>
      </c>
      <c r="B261" t="str">
        <f t="shared" si="116"/>
        <v>700000i</v>
      </c>
      <c r="C261" t="str">
        <f t="shared" ca="1" si="102"/>
        <v>1+18.3140702546131i</v>
      </c>
      <c r="D261" t="str">
        <f t="shared" ca="1" si="103"/>
        <v>1+2.4319873902359i</v>
      </c>
      <c r="E261" t="str">
        <f t="shared" ca="1" si="104"/>
        <v>1+1822.2307593315i</v>
      </c>
      <c r="F261">
        <f t="shared" ca="1" si="105"/>
        <v>39.000923110829653</v>
      </c>
      <c r="G261" t="str">
        <f t="shared" ca="1" si="117"/>
        <v>0.443513139301578+0.932114456584505i</v>
      </c>
      <c r="H261">
        <f t="shared" ca="1" si="118"/>
        <v>0.27570273172111892</v>
      </c>
      <c r="I261">
        <f t="shared" ca="1" si="119"/>
        <v>64.554239284895417</v>
      </c>
      <c r="K261" t="str">
        <f t="shared" ca="1" si="106"/>
        <v>1+18.3140702546131i</v>
      </c>
      <c r="L261" t="str">
        <f t="shared" ca="1" si="107"/>
        <v>1-1.36543334556971i</v>
      </c>
      <c r="M261" t="str">
        <f t="shared" ca="1" si="108"/>
        <v>1+1831.40702546131i</v>
      </c>
      <c r="N261" t="str">
        <f t="shared" si="109"/>
        <v>1+8.72829447805198i</v>
      </c>
      <c r="O261">
        <f t="shared" ca="1" si="110"/>
        <v>22.224473826228223</v>
      </c>
      <c r="P261" t="str">
        <f t="shared" ca="1" si="100"/>
        <v>-0.0330095835287761-0.0273658033469856i</v>
      </c>
      <c r="Q261">
        <f t="shared" ca="1" si="120"/>
        <v>-27.355316891953159</v>
      </c>
      <c r="R261">
        <f t="shared" ca="1" si="101"/>
        <v>-140.34038516894373</v>
      </c>
      <c r="T261" t="str">
        <f t="shared" si="111"/>
        <v>1+53.2i</v>
      </c>
      <c r="U261" t="str">
        <f t="shared" si="112"/>
        <v>1+7i</v>
      </c>
      <c r="V261" t="str">
        <f t="shared" si="113"/>
        <v>-0.00352443609022556i</v>
      </c>
      <c r="W261" t="str">
        <f t="shared" si="121"/>
        <v>0.00325657894736842-0.0263204887218045i</v>
      </c>
      <c r="X261">
        <f t="shared" si="122"/>
        <v>-31.52814039376387</v>
      </c>
      <c r="Y261">
        <f t="shared" si="123"/>
        <v>-82.946759166446625</v>
      </c>
      <c r="Z261">
        <f t="shared" si="124"/>
        <v>111408.46016432674</v>
      </c>
      <c r="AA261">
        <f t="shared" ca="1" si="114"/>
        <v>-58.883457285717029</v>
      </c>
      <c r="AB261">
        <f t="shared" ca="1" si="115"/>
        <v>-223.28714433539034</v>
      </c>
    </row>
    <row r="262" spans="1:28" x14ac:dyDescent="0.2">
      <c r="A262">
        <v>710000</v>
      </c>
      <c r="B262" t="str">
        <f t="shared" si="116"/>
        <v>710000i</v>
      </c>
      <c r="C262" t="str">
        <f t="shared" ca="1" si="102"/>
        <v>1+18.575699829679i</v>
      </c>
      <c r="D262" t="str">
        <f t="shared" ca="1" si="103"/>
        <v>1+2.46673006723927i</v>
      </c>
      <c r="E262" t="str">
        <f t="shared" ca="1" si="104"/>
        <v>1+1848.26262732195i</v>
      </c>
      <c r="F262">
        <f t="shared" ca="1" si="105"/>
        <v>39.000923110829653</v>
      </c>
      <c r="G262" t="str">
        <f t="shared" ca="1" si="117"/>
        <v>0.44351281451102+0.94603067564208i</v>
      </c>
      <c r="H262">
        <f t="shared" ca="1" si="118"/>
        <v>0.38094421396471656</v>
      </c>
      <c r="I262">
        <f t="shared" ca="1" si="119"/>
        <v>64.88213950235891</v>
      </c>
      <c r="K262" t="str">
        <f t="shared" ca="1" si="106"/>
        <v>1+18.575699829679i</v>
      </c>
      <c r="L262" t="str">
        <f t="shared" ca="1" si="107"/>
        <v>1-1.38493953622071i</v>
      </c>
      <c r="M262" t="str">
        <f t="shared" ca="1" si="108"/>
        <v>1+1857.5699829679i</v>
      </c>
      <c r="N262" t="str">
        <f t="shared" si="109"/>
        <v>1+8.85298439916701i</v>
      </c>
      <c r="O262">
        <f t="shared" ca="1" si="110"/>
        <v>22.224473826228223</v>
      </c>
      <c r="P262" t="str">
        <f t="shared" ca="1" si="100"/>
        <v>-0.033058134536489-0.026985832896076i</v>
      </c>
      <c r="Q262">
        <f t="shared" ca="1" si="120"/>
        <v>-27.396720636420021</v>
      </c>
      <c r="R262">
        <f t="shared" ca="1" si="101"/>
        <v>-140.77474129192802</v>
      </c>
      <c r="T262" t="str">
        <f t="shared" si="111"/>
        <v>1+53.96i</v>
      </c>
      <c r="U262" t="str">
        <f t="shared" si="112"/>
        <v>1+7.1i</v>
      </c>
      <c r="V262" t="str">
        <f t="shared" si="113"/>
        <v>-0.00347479614529281i</v>
      </c>
      <c r="W262" t="str">
        <f t="shared" si="121"/>
        <v>0.00316726215460846-0.0259623574430129i</v>
      </c>
      <c r="X262">
        <f t="shared" si="122"/>
        <v>-31.648959294496851</v>
      </c>
      <c r="Y262">
        <f t="shared" si="123"/>
        <v>-83.044604879724673</v>
      </c>
      <c r="Z262">
        <f t="shared" si="124"/>
        <v>113000.00959524569</v>
      </c>
      <c r="AA262">
        <f t="shared" ca="1" si="114"/>
        <v>-59.045679930916876</v>
      </c>
      <c r="AB262">
        <f t="shared" ca="1" si="115"/>
        <v>-223.81934617165268</v>
      </c>
    </row>
    <row r="263" spans="1:28" x14ac:dyDescent="0.2">
      <c r="A263">
        <v>720000</v>
      </c>
      <c r="B263" t="str">
        <f t="shared" si="116"/>
        <v>720000i</v>
      </c>
      <c r="C263" t="str">
        <f t="shared" ca="1" si="102"/>
        <v>1+18.8373294047449i</v>
      </c>
      <c r="D263" t="str">
        <f t="shared" ca="1" si="103"/>
        <v>1+2.50147274424264i</v>
      </c>
      <c r="E263" t="str">
        <f t="shared" ca="1" si="104"/>
        <v>1+1874.2944953124i</v>
      </c>
      <c r="F263">
        <f t="shared" ca="1" si="105"/>
        <v>39.000923110829653</v>
      </c>
      <c r="G263" t="str">
        <f t="shared" ca="1" si="117"/>
        <v>0.443512503159196+0.959938616364636i</v>
      </c>
      <c r="H263">
        <f t="shared" ca="1" si="118"/>
        <v>0.48513851474875846</v>
      </c>
      <c r="I263">
        <f t="shared" ca="1" si="119"/>
        <v>65.202036742717198</v>
      </c>
      <c r="K263" t="str">
        <f t="shared" ca="1" si="106"/>
        <v>1+18.8373294047449i</v>
      </c>
      <c r="L263" t="str">
        <f t="shared" ca="1" si="107"/>
        <v>1-1.4044457268717i</v>
      </c>
      <c r="M263" t="str">
        <f t="shared" ca="1" si="108"/>
        <v>1+1883.73294047449i</v>
      </c>
      <c r="N263" t="str">
        <f t="shared" si="109"/>
        <v>1+8.97767432028204i</v>
      </c>
      <c r="O263">
        <f t="shared" ca="1" si="110"/>
        <v>22.224473826228223</v>
      </c>
      <c r="P263" t="str">
        <f t="shared" ca="1" si="100"/>
        <v>-0.0331047096001456-0.0266161979308785i</v>
      </c>
      <c r="Q263">
        <f t="shared" ca="1" si="120"/>
        <v>-27.436807107644196</v>
      </c>
      <c r="R263">
        <f t="shared" ca="1" si="101"/>
        <v>-141.20070636454685</v>
      </c>
      <c r="T263" t="str">
        <f t="shared" si="111"/>
        <v>1+54.72i</v>
      </c>
      <c r="U263" t="str">
        <f t="shared" si="112"/>
        <v>1+7.2i</v>
      </c>
      <c r="V263" t="str">
        <f t="shared" si="113"/>
        <v>-0.0034265350877193i</v>
      </c>
      <c r="W263" t="str">
        <f t="shared" si="121"/>
        <v>0.00308154707358859-0.0256136740175571i</v>
      </c>
      <c r="X263">
        <f t="shared" si="122"/>
        <v>-31.768152475790359</v>
      </c>
      <c r="Y263">
        <f t="shared" si="123"/>
        <v>-83.139792750776024</v>
      </c>
      <c r="Z263">
        <f t="shared" si="124"/>
        <v>114591.55902616464</v>
      </c>
      <c r="AA263">
        <f t="shared" ca="1" si="114"/>
        <v>-59.204959583434558</v>
      </c>
      <c r="AB263">
        <f t="shared" ca="1" si="115"/>
        <v>-224.34049911532287</v>
      </c>
    </row>
    <row r="264" spans="1:28" x14ac:dyDescent="0.2">
      <c r="A264">
        <v>730000</v>
      </c>
      <c r="B264" t="str">
        <f t="shared" si="116"/>
        <v>730000i</v>
      </c>
      <c r="C264" t="str">
        <f t="shared" ca="1" si="102"/>
        <v>1+19.0989589798108i</v>
      </c>
      <c r="D264" t="str">
        <f t="shared" ca="1" si="103"/>
        <v>1+2.53621542124601i</v>
      </c>
      <c r="E264" t="str">
        <f t="shared" ca="1" si="104"/>
        <v>1+1900.32636330285i</v>
      </c>
      <c r="F264">
        <f t="shared" ca="1" si="105"/>
        <v>39.000923110829653</v>
      </c>
      <c r="G264" t="str">
        <f t="shared" ca="1" si="117"/>
        <v>0.443512204514805+0.973838618957326i</v>
      </c>
      <c r="H264">
        <f t="shared" ca="1" si="118"/>
        <v>0.58830038346817004</v>
      </c>
      <c r="I264">
        <f t="shared" ca="1" si="119"/>
        <v>65.514208623133584</v>
      </c>
      <c r="K264" t="str">
        <f t="shared" ca="1" si="106"/>
        <v>1+19.0989589798108i</v>
      </c>
      <c r="L264" t="str">
        <f t="shared" ca="1" si="107"/>
        <v>1-1.4239519175227i</v>
      </c>
      <c r="M264" t="str">
        <f t="shared" ca="1" si="108"/>
        <v>1+1909.89589798108i</v>
      </c>
      <c r="N264" t="str">
        <f t="shared" si="109"/>
        <v>1+9.10236424139706i</v>
      </c>
      <c r="O264">
        <f t="shared" ca="1" si="110"/>
        <v>22.224473826228223</v>
      </c>
      <c r="P264" t="str">
        <f t="shared" ca="1" si="100"/>
        <v>-0.0331494140827651-0.02625648523533i</v>
      </c>
      <c r="Q264">
        <f t="shared" ca="1" si="120"/>
        <v>-27.4756286046767</v>
      </c>
      <c r="R264">
        <f t="shared" ca="1" si="101"/>
        <v>-141.61849327943634</v>
      </c>
      <c r="T264" t="str">
        <f t="shared" si="111"/>
        <v>1+55.48i</v>
      </c>
      <c r="U264" t="str">
        <f t="shared" si="112"/>
        <v>1+7.3i</v>
      </c>
      <c r="V264" t="str">
        <f t="shared" si="113"/>
        <v>-0.00337959625090123i</v>
      </c>
      <c r="W264" t="str">
        <f t="shared" si="121"/>
        <v>0.00299924382701089-0.0252740761880807i</v>
      </c>
      <c r="X264">
        <f t="shared" si="122"/>
        <v>-31.885762255135436</v>
      </c>
      <c r="Y264">
        <f t="shared" si="123"/>
        <v>-83.232428840989726</v>
      </c>
      <c r="Z264">
        <f t="shared" si="124"/>
        <v>116183.1084570836</v>
      </c>
      <c r="AA264">
        <f t="shared" ca="1" si="114"/>
        <v>-59.361390859812133</v>
      </c>
      <c r="AB264">
        <f t="shared" ca="1" si="115"/>
        <v>-224.85092212042605</v>
      </c>
    </row>
    <row r="265" spans="1:28" x14ac:dyDescent="0.2">
      <c r="A265">
        <v>740000</v>
      </c>
      <c r="B265" t="str">
        <f t="shared" si="116"/>
        <v>740000i</v>
      </c>
      <c r="C265" t="str">
        <f t="shared" ca="1" si="102"/>
        <v>1+19.3605885548767i</v>
      </c>
      <c r="D265" t="str">
        <f t="shared" ca="1" si="103"/>
        <v>1+2.57095809824938i</v>
      </c>
      <c r="E265" t="str">
        <f t="shared" ca="1" si="104"/>
        <v>1+1926.3582312933i</v>
      </c>
      <c r="F265">
        <f t="shared" ca="1" si="105"/>
        <v>39.000923110829653</v>
      </c>
      <c r="G265" t="str">
        <f t="shared" ca="1" si="117"/>
        <v>0.443511917895621+0.987731005235881i</v>
      </c>
      <c r="H265">
        <f t="shared" ca="1" si="118"/>
        <v>0.69044455277047279</v>
      </c>
      <c r="I265">
        <f t="shared" ca="1" si="119"/>
        <v>65.818920605122031</v>
      </c>
      <c r="K265" t="str">
        <f t="shared" ca="1" si="106"/>
        <v>1+19.3605885548767i</v>
      </c>
      <c r="L265" t="str">
        <f t="shared" ca="1" si="107"/>
        <v>1-1.44345810817369i</v>
      </c>
      <c r="M265" t="str">
        <f t="shared" ca="1" si="108"/>
        <v>1+1936.05885548767i</v>
      </c>
      <c r="N265" t="str">
        <f t="shared" si="109"/>
        <v>1+9.22705416251209i</v>
      </c>
      <c r="O265">
        <f t="shared" ca="1" si="110"/>
        <v>22.224473826228223</v>
      </c>
      <c r="P265" t="str">
        <f t="shared" ca="1" si="100"/>
        <v>-0.0331923464445276-0.0259063031842688i</v>
      </c>
      <c r="Q265">
        <f t="shared" ca="1" si="120"/>
        <v>-27.513234991206858</v>
      </c>
      <c r="R265">
        <f t="shared" ca="1" si="101"/>
        <v>-142.02830873857954</v>
      </c>
      <c r="T265" t="str">
        <f t="shared" si="111"/>
        <v>1+56.24i</v>
      </c>
      <c r="U265" t="str">
        <f t="shared" si="112"/>
        <v>1+7.4i</v>
      </c>
      <c r="V265" t="str">
        <f t="shared" si="113"/>
        <v>-0.00333392603129445i</v>
      </c>
      <c r="W265" t="str">
        <f t="shared" si="121"/>
        <v>0.00292017480933323-0.0249432196203604i</v>
      </c>
      <c r="X265">
        <f t="shared" si="122"/>
        <v>-32.001829353446034</v>
      </c>
      <c r="Y265">
        <f t="shared" si="123"/>
        <v>-83.322613683618897</v>
      </c>
      <c r="Z265">
        <f t="shared" si="124"/>
        <v>117774.65788800255</v>
      </c>
      <c r="AA265">
        <f t="shared" ca="1" si="114"/>
        <v>-59.515064344652892</v>
      </c>
      <c r="AB265">
        <f t="shared" ca="1" si="115"/>
        <v>-225.35092242219844</v>
      </c>
    </row>
    <row r="266" spans="1:28" x14ac:dyDescent="0.2">
      <c r="A266">
        <v>750000</v>
      </c>
      <c r="B266" t="str">
        <f t="shared" si="116"/>
        <v>750000i</v>
      </c>
      <c r="C266" t="str">
        <f t="shared" ca="1" si="102"/>
        <v>1+19.6222181299426i</v>
      </c>
      <c r="D266" t="str">
        <f t="shared" ca="1" si="103"/>
        <v>1+2.60570077525275i</v>
      </c>
      <c r="E266" t="str">
        <f t="shared" ca="1" si="104"/>
        <v>1+1952.39009928375i</v>
      </c>
      <c r="F266">
        <f t="shared" ca="1" si="105"/>
        <v>39.000923110829653</v>
      </c>
      <c r="G266" t="str">
        <f t="shared" ca="1" si="117"/>
        <v>0.443511642664595+1.00161607985254i</v>
      </c>
      <c r="H266">
        <f t="shared" ca="1" si="118"/>
        <v>0.79158571157299185</v>
      </c>
      <c r="I266">
        <f t="shared" ca="1" si="119"/>
        <v>66.116426622869639</v>
      </c>
      <c r="K266" t="str">
        <f t="shared" ca="1" si="106"/>
        <v>1+19.6222181299426i</v>
      </c>
      <c r="L266" t="str">
        <f t="shared" ca="1" si="107"/>
        <v>1-1.46296429882469i</v>
      </c>
      <c r="M266" t="str">
        <f t="shared" ca="1" si="108"/>
        <v>1+1962.22181299426i</v>
      </c>
      <c r="N266" t="str">
        <f t="shared" si="109"/>
        <v>1+9.35174408362712i</v>
      </c>
      <c r="O266">
        <f t="shared" ca="1" si="110"/>
        <v>22.224473826228223</v>
      </c>
      <c r="P266" t="str">
        <f t="shared" ca="1" si="100"/>
        <v>-0.0332335987763198-0.0255652803608591i</v>
      </c>
      <c r="Q266">
        <f t="shared" ca="1" si="120"/>
        <v>-27.549673823660786</v>
      </c>
      <c r="R266">
        <f t="shared" ca="1" si="101"/>
        <v>-142.43035344225831</v>
      </c>
      <c r="T266" t="str">
        <f t="shared" si="111"/>
        <v>1+57i</v>
      </c>
      <c r="U266" t="str">
        <f t="shared" si="112"/>
        <v>1+7.5i</v>
      </c>
      <c r="V266" t="str">
        <f t="shared" si="113"/>
        <v>-0.00328947368421053i</v>
      </c>
      <c r="W266" t="str">
        <f t="shared" si="121"/>
        <v>0.00284417375316019-0.024620776832912i</v>
      </c>
      <c r="X266">
        <f t="shared" si="122"/>
        <v>-32.116392972505572</v>
      </c>
      <c r="Y266">
        <f t="shared" si="123"/>
        <v>-83.410442636662765</v>
      </c>
      <c r="Z266">
        <f t="shared" si="124"/>
        <v>119366.2073189215</v>
      </c>
      <c r="AA266">
        <f t="shared" ca="1" si="114"/>
        <v>-59.666066796166362</v>
      </c>
      <c r="AB266">
        <f t="shared" ca="1" si="115"/>
        <v>-225.84079607892107</v>
      </c>
    </row>
    <row r="267" spans="1:28" x14ac:dyDescent="0.2">
      <c r="A267">
        <v>760000</v>
      </c>
      <c r="B267" t="str">
        <f t="shared" si="116"/>
        <v>760000i</v>
      </c>
      <c r="C267" t="str">
        <f t="shared" ca="1" si="102"/>
        <v>1+19.8838477050085i</v>
      </c>
      <c r="D267" t="str">
        <f t="shared" ca="1" si="103"/>
        <v>1+2.64044345225612i</v>
      </c>
      <c r="E267" t="str">
        <f t="shared" ca="1" si="104"/>
        <v>1+1978.4219672742i</v>
      </c>
      <c r="F267">
        <f t="shared" ca="1" si="105"/>
        <v>39.000923110829653</v>
      </c>
      <c r="G267" t="str">
        <f t="shared" ca="1" si="117"/>
        <v>0.443511378226312+1.01549413142523i</v>
      </c>
      <c r="H267">
        <f t="shared" ca="1" si="118"/>
        <v>0.89173848129572286</v>
      </c>
      <c r="I267">
        <f t="shared" ca="1" si="119"/>
        <v>66.406969674897539</v>
      </c>
      <c r="K267" t="str">
        <f t="shared" ca="1" si="106"/>
        <v>1+19.8838477050085i</v>
      </c>
      <c r="L267" t="str">
        <f t="shared" ca="1" si="107"/>
        <v>1-1.48247048947568i</v>
      </c>
      <c r="M267" t="str">
        <f t="shared" ca="1" si="108"/>
        <v>1+1988.38477050085i</v>
      </c>
      <c r="N267" t="str">
        <f t="shared" si="109"/>
        <v>1+9.47643400474215i</v>
      </c>
      <c r="O267">
        <f t="shared" ca="1" si="110"/>
        <v>22.224473826228223</v>
      </c>
      <c r="P267" t="str">
        <f t="shared" ca="1" si="100"/>
        <v>-0.0332732572859644-0.0252330642781932i</v>
      </c>
      <c r="Q267">
        <f t="shared" ca="1" si="120"/>
        <v>-27.584990471855825</v>
      </c>
      <c r="R267">
        <f t="shared" ca="1" si="101"/>
        <v>-142.82482227193125</v>
      </c>
      <c r="T267" t="str">
        <f t="shared" si="111"/>
        <v>1+57.76i</v>
      </c>
      <c r="U267" t="str">
        <f t="shared" si="112"/>
        <v>1+7.6i</v>
      </c>
      <c r="V267" t="str">
        <f t="shared" si="113"/>
        <v>-0.00324619113573407i</v>
      </c>
      <c r="W267" t="str">
        <f t="shared" si="121"/>
        <v>0.00277108487693024-0.0243064362004039i</v>
      </c>
      <c r="X267">
        <f t="shared" si="122"/>
        <v>-32.229490867901852</v>
      </c>
      <c r="Y267">
        <f t="shared" si="123"/>
        <v>-83.496006209263484</v>
      </c>
      <c r="Z267">
        <f t="shared" si="124"/>
        <v>120957.75674984045</v>
      </c>
      <c r="AA267">
        <f t="shared" ca="1" si="114"/>
        <v>-59.814481339757677</v>
      </c>
      <c r="AB267">
        <f t="shared" ca="1" si="115"/>
        <v>-226.32082848119472</v>
      </c>
    </row>
    <row r="268" spans="1:28" x14ac:dyDescent="0.2">
      <c r="A268">
        <v>770000</v>
      </c>
      <c r="B268" t="str">
        <f t="shared" si="116"/>
        <v>770000i</v>
      </c>
      <c r="C268" t="str">
        <f t="shared" ca="1" si="102"/>
        <v>1+20.1454772800744i</v>
      </c>
      <c r="D268" t="str">
        <f t="shared" ca="1" si="103"/>
        <v>1+2.67518612925949i</v>
      </c>
      <c r="E268" t="str">
        <f t="shared" ca="1" si="104"/>
        <v>1+2004.45383526465i</v>
      </c>
      <c r="F268">
        <f t="shared" ca="1" si="105"/>
        <v>39.000923110829653</v>
      </c>
      <c r="G268" t="str">
        <f t="shared" ca="1" si="117"/>
        <v>0.443511124023767+1.02936543357877i</v>
      </c>
      <c r="H268">
        <f t="shared" ca="1" si="118"/>
        <v>0.99091739498580422</v>
      </c>
      <c r="I268">
        <f t="shared" ca="1" si="119"/>
        <v>66.690782381394982</v>
      </c>
      <c r="K268" t="str">
        <f t="shared" ca="1" si="106"/>
        <v>1+20.1454772800744i</v>
      </c>
      <c r="L268" t="str">
        <f t="shared" ca="1" si="107"/>
        <v>1-1.50197668012668i</v>
      </c>
      <c r="M268" t="str">
        <f t="shared" ca="1" si="108"/>
        <v>1+2014.54772800744i</v>
      </c>
      <c r="N268" t="str">
        <f t="shared" si="109"/>
        <v>1+9.60112392585718i</v>
      </c>
      <c r="O268">
        <f t="shared" ca="1" si="110"/>
        <v>22.224473826228223</v>
      </c>
      <c r="P268" t="str">
        <f t="shared" ca="1" si="100"/>
        <v>-0.0333114027418554-0.0249093201960928i</v>
      </c>
      <c r="Q268">
        <f t="shared" ca="1" si="120"/>
        <v>-27.619228232684094</v>
      </c>
      <c r="R268">
        <f t="shared" ca="1" si="101"/>
        <v>-143.21190446735443</v>
      </c>
      <c r="T268" t="str">
        <f t="shared" si="111"/>
        <v>1+58.52i</v>
      </c>
      <c r="U268" t="str">
        <f t="shared" si="112"/>
        <v>1+7.7i</v>
      </c>
      <c r="V268" t="str">
        <f t="shared" si="113"/>
        <v>-0.00320403280929597i</v>
      </c>
      <c r="W268" t="str">
        <f t="shared" si="121"/>
        <v>0.00270076210596154-0.0239999010251998i</v>
      </c>
      <c r="X268">
        <f t="shared" si="122"/>
        <v>-32.341159417751172</v>
      </c>
      <c r="Y268">
        <f t="shared" si="123"/>
        <v>-83.579390363890042</v>
      </c>
      <c r="Z268">
        <f t="shared" si="124"/>
        <v>122549.30618075942</v>
      </c>
      <c r="AA268">
        <f t="shared" ca="1" si="114"/>
        <v>-59.960387650435266</v>
      </c>
      <c r="AB268">
        <f t="shared" ca="1" si="115"/>
        <v>-226.79129483124447</v>
      </c>
    </row>
    <row r="269" spans="1:28" x14ac:dyDescent="0.2">
      <c r="A269">
        <v>780000</v>
      </c>
      <c r="B269" t="str">
        <f t="shared" si="116"/>
        <v>780000i</v>
      </c>
      <c r="C269" t="str">
        <f t="shared" ca="1" si="102"/>
        <v>1+20.4071068551403i</v>
      </c>
      <c r="D269" t="str">
        <f t="shared" ca="1" si="103"/>
        <v>1+2.70992880626286i</v>
      </c>
      <c r="E269" t="str">
        <f t="shared" ca="1" si="104"/>
        <v>1+2030.4857032551i</v>
      </c>
      <c r="F269">
        <f t="shared" ca="1" si="105"/>
        <v>39.000923110829653</v>
      </c>
      <c r="G269" t="str">
        <f t="shared" ca="1" si="117"/>
        <v>0.44351087953543+1.04323024590594i</v>
      </c>
      <c r="H269">
        <f t="shared" ca="1" si="118"/>
        <v>1.0891368790412819</v>
      </c>
      <c r="I269">
        <f t="shared" ca="1" si="119"/>
        <v>66.968087509402054</v>
      </c>
      <c r="K269" t="str">
        <f t="shared" ca="1" si="106"/>
        <v>1+20.4071068551403i</v>
      </c>
      <c r="L269" t="str">
        <f t="shared" ca="1" si="107"/>
        <v>1-1.52148287077768i</v>
      </c>
      <c r="M269" t="str">
        <f t="shared" ca="1" si="108"/>
        <v>1+2040.71068551403i</v>
      </c>
      <c r="N269" t="str">
        <f t="shared" si="109"/>
        <v>1+9.7258138469722i</v>
      </c>
      <c r="O269">
        <f t="shared" ca="1" si="110"/>
        <v>22.224473826228223</v>
      </c>
      <c r="P269" t="str">
        <f t="shared" ca="1" si="100"/>
        <v>-0.0333481108781918-0.0245937300249928i</v>
      </c>
      <c r="Q269">
        <f t="shared" ca="1" si="120"/>
        <v>-27.652428437266817</v>
      </c>
      <c r="R269">
        <f t="shared" ca="1" si="101"/>
        <v>-143.59178379821969</v>
      </c>
      <c r="T269" t="str">
        <f t="shared" si="111"/>
        <v>1+59.28i</v>
      </c>
      <c r="U269" t="str">
        <f t="shared" si="112"/>
        <v>1+7.8i</v>
      </c>
      <c r="V269" t="str">
        <f t="shared" si="113"/>
        <v>-0.00316295546558704i</v>
      </c>
      <c r="W269" t="str">
        <f t="shared" si="121"/>
        <v>0.00263306835977395-0.0237008886718239i</v>
      </c>
      <c r="X269">
        <f t="shared" si="122"/>
        <v>-32.451433687491082</v>
      </c>
      <c r="Y269">
        <f t="shared" si="123"/>
        <v>-83.660676796362793</v>
      </c>
      <c r="Z269">
        <f t="shared" si="124"/>
        <v>124140.85561167837</v>
      </c>
      <c r="AA269">
        <f t="shared" ca="1" si="114"/>
        <v>-60.103862124757896</v>
      </c>
      <c r="AB269">
        <f t="shared" ca="1" si="115"/>
        <v>-227.25246059458249</v>
      </c>
    </row>
    <row r="270" spans="1:28" x14ac:dyDescent="0.2">
      <c r="A270">
        <v>790000</v>
      </c>
      <c r="B270" t="str">
        <f t="shared" si="116"/>
        <v>790000i</v>
      </c>
      <c r="C270" t="str">
        <f t="shared" ca="1" si="102"/>
        <v>1+20.6687364302062i</v>
      </c>
      <c r="D270" t="str">
        <f t="shared" ca="1" si="103"/>
        <v>1+2.74467148326623i</v>
      </c>
      <c r="E270" t="str">
        <f t="shared" ca="1" si="104"/>
        <v>1+2056.51757124555i</v>
      </c>
      <c r="F270">
        <f t="shared" ca="1" si="105"/>
        <v>39.000923110829653</v>
      </c>
      <c r="G270" t="str">
        <f t="shared" ca="1" si="117"/>
        <v>0.443510644272569+1.05708881485561i</v>
      </c>
      <c r="H270">
        <f t="shared" ca="1" si="118"/>
        <v>1.1864112372718159</v>
      </c>
      <c r="I270">
        <f t="shared" ca="1" si="119"/>
        <v>67.239098467873276</v>
      </c>
      <c r="K270" t="str">
        <f t="shared" ca="1" si="106"/>
        <v>1+20.6687364302062i</v>
      </c>
      <c r="L270" t="str">
        <f t="shared" ca="1" si="107"/>
        <v>1-1.54098906142867i</v>
      </c>
      <c r="M270" t="str">
        <f t="shared" ca="1" si="108"/>
        <v>1+2066.87364302062i</v>
      </c>
      <c r="N270" t="str">
        <f t="shared" si="109"/>
        <v>1+9.85050376808723i</v>
      </c>
      <c r="O270">
        <f t="shared" ca="1" si="110"/>
        <v>22.224473826228223</v>
      </c>
      <c r="P270" t="str">
        <f t="shared" ca="1" si="100"/>
        <v>-0.033383452765549-0.0242859913095713i</v>
      </c>
      <c r="Q270">
        <f t="shared" ca="1" si="120"/>
        <v>-27.684630551989372</v>
      </c>
      <c r="R270">
        <f t="shared" ca="1" si="101"/>
        <v>-143.96463873054884</v>
      </c>
      <c r="T270" t="str">
        <f t="shared" si="111"/>
        <v>1+60.04i</v>
      </c>
      <c r="U270" t="str">
        <f t="shared" si="112"/>
        <v>1+7.9i</v>
      </c>
      <c r="V270" t="str">
        <f t="shared" si="113"/>
        <v>-0.00312291805463025i</v>
      </c>
      <c r="W270" t="str">
        <f t="shared" si="121"/>
        <v>0.00256787489936005-0.0234091297595747i</v>
      </c>
      <c r="X270">
        <f t="shared" si="122"/>
        <v>-32.560347490999945</v>
      </c>
      <c r="Y270">
        <f t="shared" si="123"/>
        <v>-83.739943195577808</v>
      </c>
      <c r="Z270">
        <f t="shared" si="124"/>
        <v>125732.40504259733</v>
      </c>
      <c r="AA270">
        <f t="shared" ca="1" si="114"/>
        <v>-60.244978042989317</v>
      </c>
      <c r="AB270">
        <f t="shared" ca="1" si="115"/>
        <v>-227.70458192612665</v>
      </c>
    </row>
    <row r="271" spans="1:28" x14ac:dyDescent="0.2">
      <c r="A271">
        <v>800000</v>
      </c>
      <c r="B271" t="str">
        <f t="shared" si="116"/>
        <v>800000i</v>
      </c>
      <c r="C271" t="str">
        <f t="shared" ca="1" si="102"/>
        <v>1+20.9303660052721i</v>
      </c>
      <c r="D271" t="str">
        <f t="shared" ca="1" si="103"/>
        <v>1+2.7794141602696i</v>
      </c>
      <c r="E271" t="str">
        <f t="shared" ca="1" si="104"/>
        <v>1+2082.549439236i</v>
      </c>
      <c r="F271">
        <f t="shared" ca="1" si="105"/>
        <v>39.000923110829653</v>
      </c>
      <c r="G271" t="str">
        <f t="shared" ca="1" si="117"/>
        <v>0.443510417776806+1.07094137455421i</v>
      </c>
      <c r="H271">
        <f t="shared" ca="1" si="118"/>
        <v>1.2827546370583227</v>
      </c>
      <c r="I271">
        <f t="shared" ca="1" si="119"/>
        <v>67.504019774513466</v>
      </c>
      <c r="K271" t="str">
        <f t="shared" ca="1" si="106"/>
        <v>1+20.9303660052721i</v>
      </c>
      <c r="L271" t="str">
        <f t="shared" ca="1" si="107"/>
        <v>1-1.56049525207967i</v>
      </c>
      <c r="M271" t="str">
        <f t="shared" ca="1" si="108"/>
        <v>1+2093.03660052721i</v>
      </c>
      <c r="N271" t="str">
        <f t="shared" si="109"/>
        <v>1+9.97519368920226i</v>
      </c>
      <c r="O271">
        <f t="shared" ca="1" si="110"/>
        <v>22.224473826228223</v>
      </c>
      <c r="P271" t="str">
        <f t="shared" ca="1" si="100"/>
        <v>-0.0334174951501248-0.0239858162854795i</v>
      </c>
      <c r="Q271">
        <f t="shared" ca="1" si="120"/>
        <v>-27.715872273798496</v>
      </c>
      <c r="R271">
        <f t="shared" ca="1" si="101"/>
        <v>-144.33064258805933</v>
      </c>
      <c r="T271" t="str">
        <f t="shared" si="111"/>
        <v>1+60.8i</v>
      </c>
      <c r="U271" t="str">
        <f t="shared" si="112"/>
        <v>1+8i</v>
      </c>
      <c r="V271" t="str">
        <f t="shared" si="113"/>
        <v>-0.00308388157894737i</v>
      </c>
      <c r="W271" t="str">
        <f t="shared" si="121"/>
        <v>0.00250506072874494-0.0231243674089069i</v>
      </c>
      <c r="X271">
        <f t="shared" si="122"/>
        <v>-32.667933448283158</v>
      </c>
      <c r="Y271">
        <f t="shared" si="123"/>
        <v>-83.817263484615211</v>
      </c>
      <c r="Z271">
        <f t="shared" si="124"/>
        <v>127323.95447351628</v>
      </c>
      <c r="AA271">
        <f t="shared" ca="1" si="114"/>
        <v>-60.383805722081654</v>
      </c>
      <c r="AB271">
        <f t="shared" ca="1" si="115"/>
        <v>-228.14790607267454</v>
      </c>
    </row>
    <row r="272" spans="1:28" x14ac:dyDescent="0.2">
      <c r="A272">
        <v>810000</v>
      </c>
      <c r="B272" t="str">
        <f t="shared" si="116"/>
        <v>810000i</v>
      </c>
      <c r="C272" t="str">
        <f t="shared" ca="1" si="102"/>
        <v>1+21.191995580338i</v>
      </c>
      <c r="D272" t="str">
        <f t="shared" ca="1" si="103"/>
        <v>1+2.81415683727297i</v>
      </c>
      <c r="E272" t="str">
        <f t="shared" ca="1" si="104"/>
        <v>1+2108.58130722645i</v>
      </c>
      <c r="F272">
        <f t="shared" ca="1" si="105"/>
        <v>39.000923110829653</v>
      </c>
      <c r="G272" t="str">
        <f t="shared" ca="1" si="117"/>
        <v>0.443510199617882+1.0847881475664i</v>
      </c>
      <c r="H272">
        <f t="shared" ca="1" si="118"/>
        <v>1.3781810973984363</v>
      </c>
      <c r="I272">
        <f t="shared" ca="1" si="119"/>
        <v>67.763047496154314</v>
      </c>
      <c r="K272" t="str">
        <f t="shared" ca="1" si="106"/>
        <v>1+21.191995580338i</v>
      </c>
      <c r="L272" t="str">
        <f t="shared" ca="1" si="107"/>
        <v>1-1.58000144273066i</v>
      </c>
      <c r="M272" t="str">
        <f t="shared" ca="1" si="108"/>
        <v>1+2119.1995580338i</v>
      </c>
      <c r="N272" t="str">
        <f t="shared" si="109"/>
        <v>1+10.0998836103173i</v>
      </c>
      <c r="O272">
        <f t="shared" ca="1" si="110"/>
        <v>22.224473826228223</v>
      </c>
      <c r="P272" t="str">
        <f t="shared" ca="1" si="100"/>
        <v>-0.0334503007646353-0.023692931003149i</v>
      </c>
      <c r="Q272">
        <f t="shared" ca="1" si="120"/>
        <v>-27.746189620118216</v>
      </c>
      <c r="R272">
        <f t="shared" ca="1" si="101"/>
        <v>-144.68996370868555</v>
      </c>
      <c r="T272" t="str">
        <f t="shared" si="111"/>
        <v>1+61.56i</v>
      </c>
      <c r="U272" t="str">
        <f t="shared" si="112"/>
        <v>1+8.1i</v>
      </c>
      <c r="V272" t="str">
        <f t="shared" si="113"/>
        <v>-0.0030458089668616i</v>
      </c>
      <c r="W272" t="str">
        <f t="shared" si="121"/>
        <v>0.00244451204576522-0.0228463565375598i</v>
      </c>
      <c r="X272">
        <f t="shared" si="122"/>
        <v>-32.774223039948744</v>
      </c>
      <c r="Y272">
        <f t="shared" si="123"/>
        <v>-83.892708044758677</v>
      </c>
      <c r="Z272">
        <f t="shared" si="124"/>
        <v>128915.50390443523</v>
      </c>
      <c r="AA272">
        <f t="shared" ca="1" si="114"/>
        <v>-60.52041266006696</v>
      </c>
      <c r="AB272">
        <f t="shared" ca="1" si="115"/>
        <v>-228.58267175344423</v>
      </c>
    </row>
    <row r="273" spans="1:28" x14ac:dyDescent="0.2">
      <c r="A273">
        <v>820000</v>
      </c>
      <c r="B273" t="str">
        <f t="shared" si="116"/>
        <v>820000i</v>
      </c>
      <c r="C273" t="str">
        <f t="shared" ca="1" si="102"/>
        <v>1+21.4536251554039i</v>
      </c>
      <c r="D273" t="str">
        <f t="shared" ca="1" si="103"/>
        <v>1+2.84889951427634i</v>
      </c>
      <c r="E273" t="str">
        <f t="shared" ca="1" si="104"/>
        <v>1+2134.6131752169i</v>
      </c>
      <c r="F273">
        <f t="shared" ca="1" si="105"/>
        <v>39.000923110829653</v>
      </c>
      <c r="G273" t="str">
        <f t="shared" ca="1" si="117"/>
        <v>0.443509989391611+1.09862934560002i</v>
      </c>
      <c r="H273">
        <f t="shared" ca="1" si="118"/>
        <v>1.4727044786441701</v>
      </c>
      <c r="I273">
        <f t="shared" ca="1" si="119"/>
        <v>68.016369664318219</v>
      </c>
      <c r="K273" t="str">
        <f t="shared" ca="1" si="106"/>
        <v>1+21.4536251554039i</v>
      </c>
      <c r="L273" t="str">
        <f t="shared" ca="1" si="107"/>
        <v>1-1.59950763338166i</v>
      </c>
      <c r="M273" t="str">
        <f t="shared" ca="1" si="108"/>
        <v>1+2145.36251554039i</v>
      </c>
      <c r="N273" t="str">
        <f t="shared" si="109"/>
        <v>1+10.2245735314323i</v>
      </c>
      <c r="O273">
        <f t="shared" ca="1" si="110"/>
        <v>22.224473826228223</v>
      </c>
      <c r="P273" t="str">
        <f t="shared" ca="1" si="100"/>
        <v>-0.0334819286135324-0.0234070745132087i</v>
      </c>
      <c r="Q273">
        <f t="shared" ca="1" si="120"/>
        <v>-27.775617013715109</v>
      </c>
      <c r="R273">
        <f t="shared" ca="1" si="101"/>
        <v>-145.04276559643171</v>
      </c>
      <c r="T273" t="str">
        <f t="shared" si="111"/>
        <v>1+62.32i</v>
      </c>
      <c r="U273" t="str">
        <f t="shared" si="112"/>
        <v>1+8.2i</v>
      </c>
      <c r="V273" t="str">
        <f t="shared" si="113"/>
        <v>-0.0030086649550706i</v>
      </c>
      <c r="W273" t="str">
        <f t="shared" si="121"/>
        <v>0.00238612173752083-0.0225748632027414i</v>
      </c>
      <c r="X273">
        <f t="shared" si="122"/>
        <v>-32.879246658678092</v>
      </c>
      <c r="Y273">
        <f t="shared" si="123"/>
        <v>-83.96634392381327</v>
      </c>
      <c r="Z273">
        <f t="shared" si="124"/>
        <v>130507.05333535418</v>
      </c>
      <c r="AA273">
        <f t="shared" ca="1" si="114"/>
        <v>-60.654863672393205</v>
      </c>
      <c r="AB273">
        <f t="shared" ca="1" si="115"/>
        <v>-229.00910952024498</v>
      </c>
    </row>
    <row r="274" spans="1:28" x14ac:dyDescent="0.2">
      <c r="A274">
        <v>830000</v>
      </c>
      <c r="B274" t="str">
        <f t="shared" si="116"/>
        <v>830000i</v>
      </c>
      <c r="C274" t="str">
        <f t="shared" ca="1" si="102"/>
        <v>1+21.7152547304698i</v>
      </c>
      <c r="D274" t="str">
        <f t="shared" ca="1" si="103"/>
        <v>1+2.88364219127971i</v>
      </c>
      <c r="E274" t="str">
        <f t="shared" ca="1" si="104"/>
        <v>1+2160.64504320735i</v>
      </c>
      <c r="F274">
        <f t="shared" ca="1" si="105"/>
        <v>39.000923110829653</v>
      </c>
      <c r="G274" t="str">
        <f t="shared" ca="1" si="117"/>
        <v>0.44350978671801+1.11246517016015i</v>
      </c>
      <c r="H274">
        <f t="shared" ca="1" si="118"/>
        <v>1.5663384737587953</v>
      </c>
      <c r="I274">
        <f t="shared" ca="1" si="119"/>
        <v>68.264166667509841</v>
      </c>
      <c r="K274" t="str">
        <f t="shared" ca="1" si="106"/>
        <v>1+21.7152547304698i</v>
      </c>
      <c r="L274" t="str">
        <f t="shared" ca="1" si="107"/>
        <v>1-1.61901382403266i</v>
      </c>
      <c r="M274" t="str">
        <f t="shared" ca="1" si="108"/>
        <v>1+2171.52547304698i</v>
      </c>
      <c r="N274" t="str">
        <f t="shared" si="109"/>
        <v>1+10.3492634525473i</v>
      </c>
      <c r="O274">
        <f t="shared" ca="1" si="110"/>
        <v>22.224473826228223</v>
      </c>
      <c r="P274" t="str">
        <f t="shared" ref="P274:P337" ca="1" si="125">IMDIV(IMPRODUCT(O274,K274,L274,),IMPRODUCT(M274,N274,))</f>
        <v>-0.0335124342349251-0.0231279981085471i</v>
      </c>
      <c r="Q274">
        <f t="shared" ca="1" si="120"/>
        <v>-27.804187362822859</v>
      </c>
      <c r="R274">
        <f t="shared" ref="R274:R337" ca="1" si="126">IMARGUMENT(P274)*180/PI()</f>
        <v>-145.38920706870405</v>
      </c>
      <c r="T274" t="str">
        <f t="shared" si="111"/>
        <v>1+63.08i</v>
      </c>
      <c r="U274" t="str">
        <f t="shared" si="112"/>
        <v>1+8.3i</v>
      </c>
      <c r="V274" t="str">
        <f t="shared" si="113"/>
        <v>-0.00297241597970831i</v>
      </c>
      <c r="W274" t="str">
        <f t="shared" si="121"/>
        <v>0.00232978891641753-0.0223096639859738i</v>
      </c>
      <c r="X274">
        <f t="shared" si="122"/>
        <v>-32.983033657884121</v>
      </c>
      <c r="Y274">
        <f t="shared" si="123"/>
        <v>-84.038235029982118</v>
      </c>
      <c r="Z274">
        <f t="shared" si="124"/>
        <v>132098.60276627314</v>
      </c>
      <c r="AA274">
        <f t="shared" ca="1" si="114"/>
        <v>-60.78722102070698</v>
      </c>
      <c r="AB274">
        <f t="shared" ca="1" si="115"/>
        <v>-229.42744209868619</v>
      </c>
    </row>
    <row r="275" spans="1:28" x14ac:dyDescent="0.2">
      <c r="A275">
        <v>840000</v>
      </c>
      <c r="B275" t="str">
        <f t="shared" si="116"/>
        <v>840000i</v>
      </c>
      <c r="C275" t="str">
        <f t="shared" ca="1" si="102"/>
        <v>1+21.9768843055357i</v>
      </c>
      <c r="D275" t="str">
        <f t="shared" ca="1" si="103"/>
        <v>1+2.91838486828308i</v>
      </c>
      <c r="E275" t="str">
        <f t="shared" ca="1" si="104"/>
        <v>1+2186.6769111978i</v>
      </c>
      <c r="F275">
        <f t="shared" ca="1" si="105"/>
        <v>39.000923110829653</v>
      </c>
      <c r="G275" t="str">
        <f t="shared" ca="1" si="117"/>
        <v>0.443509591239577+1.12629581315639i</v>
      </c>
      <c r="H275">
        <f t="shared" ca="1" si="118"/>
        <v>1.6590966009351551</v>
      </c>
      <c r="I275">
        <f t="shared" ca="1" si="119"/>
        <v>68.506611621670245</v>
      </c>
      <c r="K275" t="str">
        <f t="shared" ca="1" si="106"/>
        <v>1+21.9768843055357i</v>
      </c>
      <c r="L275" t="str">
        <f t="shared" ca="1" si="107"/>
        <v>1-1.63852001468365i</v>
      </c>
      <c r="M275" t="str">
        <f t="shared" ca="1" si="108"/>
        <v>1+2197.68843055357i</v>
      </c>
      <c r="N275" t="str">
        <f t="shared" si="109"/>
        <v>1+10.4739533736624i</v>
      </c>
      <c r="O275">
        <f t="shared" ca="1" si="110"/>
        <v>22.224473826228223</v>
      </c>
      <c r="P275" t="str">
        <f t="shared" ca="1" si="125"/>
        <v>-0.0335418699413518-0.0228554646185003i</v>
      </c>
      <c r="Q275">
        <f t="shared" ca="1" si="120"/>
        <v>-27.831932136814252</v>
      </c>
      <c r="R275">
        <f t="shared" ca="1" si="126"/>
        <v>-145.72944239927128</v>
      </c>
      <c r="T275" t="str">
        <f t="shared" si="111"/>
        <v>1+63.84i</v>
      </c>
      <c r="U275" t="str">
        <f t="shared" si="112"/>
        <v>1+8.4i</v>
      </c>
      <c r="V275" t="str">
        <f t="shared" si="113"/>
        <v>-0.00293703007518797i</v>
      </c>
      <c r="W275" t="str">
        <f t="shared" si="121"/>
        <v>0.00227541849313053-0.0220505454174845i</v>
      </c>
      <c r="X275">
        <f t="shared" si="122"/>
        <v>-33.085612397733797</v>
      </c>
      <c r="Y275">
        <f t="shared" si="123"/>
        <v>-84.108442312449526</v>
      </c>
      <c r="Z275">
        <f t="shared" si="124"/>
        <v>133690.15219719207</v>
      </c>
      <c r="AA275">
        <f t="shared" ca="1" si="114"/>
        <v>-60.91754453454805</v>
      </c>
      <c r="AB275">
        <f t="shared" ca="1" si="115"/>
        <v>-229.83788471172079</v>
      </c>
    </row>
    <row r="276" spans="1:28" x14ac:dyDescent="0.2">
      <c r="A276">
        <v>850000</v>
      </c>
      <c r="B276" t="str">
        <f t="shared" si="116"/>
        <v>850000i</v>
      </c>
      <c r="C276" t="str">
        <f t="shared" ca="1" si="102"/>
        <v>1+22.2385138806016i</v>
      </c>
      <c r="D276" t="str">
        <f t="shared" ca="1" si="103"/>
        <v>1+2.95312754528645i</v>
      </c>
      <c r="E276" t="str">
        <f t="shared" ca="1" si="104"/>
        <v>1+2212.70877918825i</v>
      </c>
      <c r="F276">
        <f t="shared" ca="1" si="105"/>
        <v>39.000923110829653</v>
      </c>
      <c r="G276" t="str">
        <f t="shared" ca="1" si="117"/>
        <v>0.443509402619717+1.14012145746732i</v>
      </c>
      <c r="H276">
        <f t="shared" ca="1" si="118"/>
        <v>1.750992197434724</v>
      </c>
      <c r="I276">
        <f t="shared" ca="1" si="119"/>
        <v>68.743870720136087</v>
      </c>
      <c r="K276" t="str">
        <f t="shared" ca="1" si="106"/>
        <v>1+22.2385138806016i</v>
      </c>
      <c r="L276" t="str">
        <f t="shared" ca="1" si="107"/>
        <v>1-1.65802620533465i</v>
      </c>
      <c r="M276" t="str">
        <f t="shared" ca="1" si="108"/>
        <v>1+2223.85138806016i</v>
      </c>
      <c r="N276" t="str">
        <f t="shared" si="109"/>
        <v>1+10.5986432947774i</v>
      </c>
      <c r="O276">
        <f t="shared" ca="1" si="110"/>
        <v>22.224473826228223</v>
      </c>
      <c r="P276" t="str">
        <f t="shared" ca="1" si="125"/>
        <v>-0.0335702850413252-0.0225892477510578i</v>
      </c>
      <c r="Q276">
        <f t="shared" ca="1" si="120"/>
        <v>-27.858881437689938</v>
      </c>
      <c r="R276">
        <f t="shared" ca="1" si="126"/>
        <v>-146.06362145697787</v>
      </c>
      <c r="T276" t="str">
        <f t="shared" si="111"/>
        <v>1+64.6i</v>
      </c>
      <c r="U276" t="str">
        <f t="shared" si="112"/>
        <v>1+8.5i</v>
      </c>
      <c r="V276" t="str">
        <f t="shared" si="113"/>
        <v>-0.00290247678018576i</v>
      </c>
      <c r="W276" t="str">
        <f t="shared" si="121"/>
        <v>0.00222292078318664-0.0217973034372722i</v>
      </c>
      <c r="X276">
        <f t="shared" si="122"/>
        <v>-33.187010288701522</v>
      </c>
      <c r="Y276">
        <f t="shared" si="123"/>
        <v>-84.177023929714721</v>
      </c>
      <c r="Z276">
        <f t="shared" si="124"/>
        <v>135281.70162811104</v>
      </c>
      <c r="AA276">
        <f t="shared" ca="1" si="114"/>
        <v>-61.04589172639146</v>
      </c>
      <c r="AB276">
        <f t="shared" ca="1" si="115"/>
        <v>-230.24064538669259</v>
      </c>
    </row>
    <row r="277" spans="1:28" x14ac:dyDescent="0.2">
      <c r="A277">
        <v>860000</v>
      </c>
      <c r="B277" t="str">
        <f t="shared" si="116"/>
        <v>860000i</v>
      </c>
      <c r="C277" t="str">
        <f t="shared" ca="1" si="102"/>
        <v>1+22.5001434556675i</v>
      </c>
      <c r="D277" t="str">
        <f t="shared" ca="1" si="103"/>
        <v>1+2.98787022228982i</v>
      </c>
      <c r="E277" t="str">
        <f t="shared" ca="1" si="104"/>
        <v>1+2238.7406471787i</v>
      </c>
      <c r="F277">
        <f t="shared" ca="1" si="105"/>
        <v>39.000923110829653</v>
      </c>
      <c r="G277" t="str">
        <f t="shared" ca="1" si="117"/>
        <v>0.443509220541287+1.15394227746554i</v>
      </c>
      <c r="H277">
        <f t="shared" ca="1" si="118"/>
        <v>1.8420384145191848</v>
      </c>
      <c r="I277">
        <f t="shared" ca="1" si="119"/>
        <v>68.976103564355768</v>
      </c>
      <c r="K277" t="str">
        <f t="shared" ca="1" si="106"/>
        <v>1+22.5001434556675i</v>
      </c>
      <c r="L277" t="str">
        <f t="shared" ca="1" si="107"/>
        <v>1-1.67753239598564i</v>
      </c>
      <c r="M277" t="str">
        <f t="shared" ca="1" si="108"/>
        <v>1+2250.01434556675i</v>
      </c>
      <c r="N277" t="str">
        <f t="shared" si="109"/>
        <v>1+10.7233332158924i</v>
      </c>
      <c r="O277">
        <f t="shared" ca="1" si="110"/>
        <v>22.224473826228223</v>
      </c>
      <c r="P277" t="str">
        <f t="shared" ca="1" si="125"/>
        <v>-0.0335977260433749-0.0223291314793326i</v>
      </c>
      <c r="Q277">
        <f t="shared" ca="1" si="120"/>
        <v>-27.885064067637209</v>
      </c>
      <c r="R277">
        <f t="shared" ca="1" si="126"/>
        <v>-146.39188984033572</v>
      </c>
      <c r="T277" t="str">
        <f t="shared" si="111"/>
        <v>1+65.36i</v>
      </c>
      <c r="U277" t="str">
        <f t="shared" si="112"/>
        <v>1+8.6i</v>
      </c>
      <c r="V277" t="str">
        <f t="shared" si="113"/>
        <v>-0.0028687270501836i</v>
      </c>
      <c r="W277" t="str">
        <f t="shared" si="121"/>
        <v>0.00217221114418918-0.0215497428902106i</v>
      </c>
      <c r="X277">
        <f t="shared" si="122"/>
        <v>-33.287253832806051</v>
      </c>
      <c r="Y277">
        <f t="shared" si="123"/>
        <v>-84.244035406629521</v>
      </c>
      <c r="Z277">
        <f t="shared" si="124"/>
        <v>136873.25105903001</v>
      </c>
      <c r="AA277">
        <f t="shared" ca="1" si="114"/>
        <v>-61.172317900443261</v>
      </c>
      <c r="AB277">
        <f t="shared" ca="1" si="115"/>
        <v>-230.63592524696526</v>
      </c>
    </row>
    <row r="278" spans="1:28" x14ac:dyDescent="0.2">
      <c r="A278">
        <v>870000</v>
      </c>
      <c r="B278" t="str">
        <f t="shared" si="116"/>
        <v>870000i</v>
      </c>
      <c r="C278" t="str">
        <f t="shared" ca="1" si="102"/>
        <v>1+22.7617730307334i</v>
      </c>
      <c r="D278" t="str">
        <f t="shared" ca="1" si="103"/>
        <v>1+3.02261289929319i</v>
      </c>
      <c r="E278" t="str">
        <f t="shared" ca="1" si="104"/>
        <v>1+2264.77251516915i</v>
      </c>
      <c r="F278">
        <f t="shared" ca="1" si="105"/>
        <v>39.000923110829653</v>
      </c>
      <c r="G278" t="str">
        <f t="shared" ca="1" si="117"/>
        <v>0.443509044705271+1.16775843950652i</v>
      </c>
      <c r="H278">
        <f t="shared" ca="1" si="118"/>
        <v>1.9322482133598782</v>
      </c>
      <c r="I278">
        <f t="shared" ca="1" si="119"/>
        <v>69.203463476533429</v>
      </c>
      <c r="K278" t="str">
        <f t="shared" ca="1" si="106"/>
        <v>1+22.7617730307334i</v>
      </c>
      <c r="L278" t="str">
        <f t="shared" ca="1" si="107"/>
        <v>1-1.69703858663664i</v>
      </c>
      <c r="M278" t="str">
        <f t="shared" ca="1" si="108"/>
        <v>1+2276.17730307334i</v>
      </c>
      <c r="N278" t="str">
        <f t="shared" si="109"/>
        <v>1+10.8480231370075i</v>
      </c>
      <c r="O278">
        <f t="shared" ca="1" si="110"/>
        <v>22.224473826228223</v>
      </c>
      <c r="P278" t="str">
        <f t="shared" ca="1" si="125"/>
        <v>-0.0336242368441547-0.0220749094688832i</v>
      </c>
      <c r="Q278">
        <f t="shared" ca="1" si="120"/>
        <v>-27.910507592891722</v>
      </c>
      <c r="R278">
        <f t="shared" ca="1" si="126"/>
        <v>-146.71438900811003</v>
      </c>
      <c r="T278" t="str">
        <f t="shared" si="111"/>
        <v>1+66.12i</v>
      </c>
      <c r="U278" t="str">
        <f t="shared" si="112"/>
        <v>1+8.7i</v>
      </c>
      <c r="V278" t="str">
        <f t="shared" si="113"/>
        <v>-0.00283575317604356i</v>
      </c>
      <c r="W278" t="str">
        <f t="shared" si="121"/>
        <v>0.00212320964100171-0.0213076770527584i</v>
      </c>
      <c r="X278">
        <f t="shared" si="122"/>
        <v>-33.386368662674599</v>
      </c>
      <c r="Y278">
        <f t="shared" si="123"/>
        <v>-84.309529781008607</v>
      </c>
      <c r="Z278">
        <f t="shared" si="124"/>
        <v>138464.80048994895</v>
      </c>
      <c r="AA278">
        <f t="shared" ca="1" si="114"/>
        <v>-61.296876255566318</v>
      </c>
      <c r="AB278">
        <f t="shared" ca="1" si="115"/>
        <v>-231.02391878911862</v>
      </c>
    </row>
    <row r="279" spans="1:28" x14ac:dyDescent="0.2">
      <c r="A279">
        <v>880000</v>
      </c>
      <c r="B279" t="str">
        <f t="shared" si="116"/>
        <v>880000i</v>
      </c>
      <c r="C279" t="str">
        <f t="shared" ca="1" si="102"/>
        <v>1+23.0234026057993i</v>
      </c>
      <c r="D279" t="str">
        <f t="shared" ca="1" si="103"/>
        <v>1+3.05735557629656i</v>
      </c>
      <c r="E279" t="str">
        <f t="shared" ca="1" si="104"/>
        <v>1+2290.8043831596i</v>
      </c>
      <c r="F279">
        <f t="shared" ca="1" si="105"/>
        <v>39.000923110829653</v>
      </c>
      <c r="G279" t="str">
        <f t="shared" ca="1" si="117"/>
        <v>0.443508874829533+1.18157010238414i</v>
      </c>
      <c r="H279">
        <f t="shared" ca="1" si="118"/>
        <v>2.0216343618211634</v>
      </c>
      <c r="I279">
        <f t="shared" ca="1" si="119"/>
        <v>69.426097795295803</v>
      </c>
      <c r="K279" t="str">
        <f t="shared" ca="1" si="106"/>
        <v>1+23.0234026057993i</v>
      </c>
      <c r="L279" t="str">
        <f t="shared" ca="1" si="107"/>
        <v>1-1.71654477728763i</v>
      </c>
      <c r="M279" t="str">
        <f t="shared" ca="1" si="108"/>
        <v>1+2302.34026057993i</v>
      </c>
      <c r="N279" t="str">
        <f t="shared" si="109"/>
        <v>1+10.9727130581225i</v>
      </c>
      <c r="O279">
        <f t="shared" ca="1" si="110"/>
        <v>22.224473826228223</v>
      </c>
      <c r="P279" t="str">
        <f t="shared" ca="1" si="125"/>
        <v>-0.0336498589020087-0.0218263845427614i</v>
      </c>
      <c r="Q279">
        <f t="shared" ca="1" si="120"/>
        <v>-27.935238404124387</v>
      </c>
      <c r="R279">
        <f t="shared" ca="1" si="126"/>
        <v>-147.03125640600598</v>
      </c>
      <c r="T279" t="str">
        <f t="shared" si="111"/>
        <v>1+66.88i</v>
      </c>
      <c r="U279" t="str">
        <f t="shared" si="112"/>
        <v>1+8.8i</v>
      </c>
      <c r="V279" t="str">
        <f t="shared" si="113"/>
        <v>-0.00280352870813397i</v>
      </c>
      <c r="W279" t="str">
        <f t="shared" si="121"/>
        <v>0.00207584073646636-0.0210709271890379i</v>
      </c>
      <c r="X279">
        <f t="shared" si="122"/>
        <v>-33.484379578566795</v>
      </c>
      <c r="Y279">
        <f t="shared" si="123"/>
        <v>-84.373557740607623</v>
      </c>
      <c r="Z279">
        <f t="shared" si="124"/>
        <v>140056.34992086791</v>
      </c>
      <c r="AA279">
        <f t="shared" ca="1" si="114"/>
        <v>-61.419617982691179</v>
      </c>
      <c r="AB279">
        <f t="shared" ca="1" si="115"/>
        <v>-231.4048141466136</v>
      </c>
    </row>
    <row r="280" spans="1:28" x14ac:dyDescent="0.2">
      <c r="A280">
        <v>890000</v>
      </c>
      <c r="B280" t="str">
        <f t="shared" si="116"/>
        <v>890000i</v>
      </c>
      <c r="C280" t="str">
        <f t="shared" ca="1" si="102"/>
        <v>1+23.2850321808652i</v>
      </c>
      <c r="D280" t="str">
        <f t="shared" ca="1" si="103"/>
        <v>1+3.09209825329993i</v>
      </c>
      <c r="E280" t="str">
        <f t="shared" ca="1" si="104"/>
        <v>1+2316.83625115005i</v>
      </c>
      <c r="F280">
        <f t="shared" ca="1" si="105"/>
        <v>39.000923110829653</v>
      </c>
      <c r="G280" t="str">
        <f t="shared" ca="1" si="117"/>
        <v>0.443508710647715+1.19537741775548i</v>
      </c>
      <c r="H280">
        <f t="shared" ca="1" si="118"/>
        <v>2.1102094320238147</v>
      </c>
      <c r="I280">
        <f t="shared" ca="1" si="119"/>
        <v>69.644148155400444</v>
      </c>
      <c r="K280" t="str">
        <f t="shared" ca="1" si="106"/>
        <v>1+23.2850321808652i</v>
      </c>
      <c r="L280" t="str">
        <f t="shared" ca="1" si="107"/>
        <v>1-1.73605096793863i</v>
      </c>
      <c r="M280" t="str">
        <f t="shared" ca="1" si="108"/>
        <v>1+2328.50321808652i</v>
      </c>
      <c r="N280" t="str">
        <f t="shared" si="109"/>
        <v>1+11.0974029792375i</v>
      </c>
      <c r="O280">
        <f t="shared" ca="1" si="110"/>
        <v>22.224473826228223</v>
      </c>
      <c r="P280" t="str">
        <f t="shared" ca="1" si="125"/>
        <v>-0.0336746313972669-0.0215833681814323i</v>
      </c>
      <c r="Q280">
        <f t="shared" ca="1" si="120"/>
        <v>-27.95928177355848</v>
      </c>
      <c r="R280">
        <f t="shared" ca="1" si="126"/>
        <v>-147.34262558956448</v>
      </c>
      <c r="T280" t="str">
        <f t="shared" si="111"/>
        <v>1+67.64i</v>
      </c>
      <c r="U280" t="str">
        <f t="shared" si="112"/>
        <v>1+8.9i</v>
      </c>
      <c r="V280" t="str">
        <f t="shared" si="113"/>
        <v>-0.00277202838557067i</v>
      </c>
      <c r="W280" t="str">
        <f t="shared" si="121"/>
        <v>0.00203003300546591-0.0208393221342173i</v>
      </c>
      <c r="X280">
        <f t="shared" si="122"/>
        <v>-33.58131058348274</v>
      </c>
      <c r="Y280">
        <f t="shared" si="123"/>
        <v>-84.43616775119429</v>
      </c>
      <c r="Z280">
        <f t="shared" si="124"/>
        <v>141647.89935178685</v>
      </c>
      <c r="AA280">
        <f t="shared" ca="1" si="114"/>
        <v>-61.54059235704122</v>
      </c>
      <c r="AB280">
        <f t="shared" ca="1" si="115"/>
        <v>-231.77879334075877</v>
      </c>
    </row>
    <row r="281" spans="1:28" x14ac:dyDescent="0.2">
      <c r="A281">
        <v>900000</v>
      </c>
      <c r="B281" t="str">
        <f t="shared" si="116"/>
        <v>900000i</v>
      </c>
      <c r="C281" t="str">
        <f t="shared" ca="1" si="102"/>
        <v>1+23.5466617559311i</v>
      </c>
      <c r="D281" t="str">
        <f t="shared" ca="1" si="103"/>
        <v>1+3.1268409303033i</v>
      </c>
      <c r="E281" t="str">
        <f t="shared" ca="1" si="104"/>
        <v>1+2342.8681191405i</v>
      </c>
      <c r="F281">
        <f t="shared" ca="1" si="105"/>
        <v>39.000923110829653</v>
      </c>
      <c r="G281" t="str">
        <f t="shared" ca="1" si="117"/>
        <v>0.443508551908162+1.2091805305373i</v>
      </c>
      <c r="H281">
        <f t="shared" ca="1" si="118"/>
        <v>2.1979857986040416</v>
      </c>
      <c r="I281">
        <f t="shared" ca="1" si="119"/>
        <v>69.857750752446663</v>
      </c>
      <c r="K281" t="str">
        <f t="shared" ca="1" si="106"/>
        <v>1+23.5466617559311i</v>
      </c>
      <c r="L281" t="str">
        <f t="shared" ca="1" si="107"/>
        <v>1-1.75555715858963i</v>
      </c>
      <c r="M281" t="str">
        <f t="shared" ca="1" si="108"/>
        <v>1+2354.66617559311i</v>
      </c>
      <c r="N281" t="str">
        <f t="shared" si="109"/>
        <v>1+11.2220929003525i</v>
      </c>
      <c r="O281">
        <f t="shared" ca="1" si="110"/>
        <v>22.224473826228223</v>
      </c>
      <c r="P281" t="str">
        <f t="shared" ca="1" si="125"/>
        <v>-0.0336985913804133-0.0213456800549579i</v>
      </c>
      <c r="Q281">
        <f t="shared" ca="1" si="120"/>
        <v>-27.982661909009821</v>
      </c>
      <c r="R281">
        <f t="shared" ca="1" si="126"/>
        <v>-147.64862634336413</v>
      </c>
      <c r="T281" t="str">
        <f t="shared" si="111"/>
        <v>1+68.4i</v>
      </c>
      <c r="U281" t="str">
        <f t="shared" si="112"/>
        <v>1+9i</v>
      </c>
      <c r="V281" t="str">
        <f t="shared" si="113"/>
        <v>-0.00274122807017544i</v>
      </c>
      <c r="W281" t="str">
        <f t="shared" si="121"/>
        <v>0.0019857188703466-0.0206126979032948i</v>
      </c>
      <c r="X281">
        <f t="shared" si="122"/>
        <v>-33.677184916470175</v>
      </c>
      <c r="Y281">
        <f t="shared" si="123"/>
        <v>-84.497406176377993</v>
      </c>
      <c r="Z281">
        <f t="shared" si="124"/>
        <v>143239.44878270582</v>
      </c>
      <c r="AA281">
        <f t="shared" ca="1" si="114"/>
        <v>-61.659846825479995</v>
      </c>
      <c r="AB281">
        <f t="shared" ca="1" si="115"/>
        <v>-232.14603251974211</v>
      </c>
    </row>
    <row r="282" spans="1:28" x14ac:dyDescent="0.2">
      <c r="A282">
        <v>910000</v>
      </c>
      <c r="B282" t="str">
        <f t="shared" si="116"/>
        <v>910000i</v>
      </c>
      <c r="C282" t="str">
        <f t="shared" ca="1" si="102"/>
        <v>1+23.808291330997i</v>
      </c>
      <c r="D282" t="str">
        <f t="shared" ca="1" si="103"/>
        <v>1+3.16158360730667i</v>
      </c>
      <c r="E282" t="str">
        <f t="shared" ca="1" si="104"/>
        <v>1+2368.89998713095i</v>
      </c>
      <c r="F282">
        <f t="shared" ca="1" si="105"/>
        <v>39.000923110829653</v>
      </c>
      <c r="G282" t="str">
        <f t="shared" ca="1" si="117"/>
        <v>0.443508398372969+1.22297957927642i</v>
      </c>
      <c r="H282">
        <f t="shared" ca="1" si="118"/>
        <v>2.2849756375922934</v>
      </c>
      <c r="I282">
        <f t="shared" ca="1" si="119"/>
        <v>70.067036593478832</v>
      </c>
      <c r="K282" t="str">
        <f t="shared" ca="1" si="106"/>
        <v>1+23.808291330997i</v>
      </c>
      <c r="L282" t="str">
        <f t="shared" ca="1" si="107"/>
        <v>1-1.77506334924062i</v>
      </c>
      <c r="M282" t="str">
        <f t="shared" ca="1" si="108"/>
        <v>1+2380.8291330997i</v>
      </c>
      <c r="N282" t="str">
        <f t="shared" si="109"/>
        <v>1+11.3467828214676i</v>
      </c>
      <c r="O282">
        <f t="shared" ca="1" si="110"/>
        <v>22.224473826228223</v>
      </c>
      <c r="P282" t="str">
        <f t="shared" ca="1" si="125"/>
        <v>-0.0337217739091614-0.0211131475850515i</v>
      </c>
      <c r="Q282">
        <f t="shared" ca="1" si="120"/>
        <v>-28.005402005030437</v>
      </c>
      <c r="R282">
        <f t="shared" ca="1" si="126"/>
        <v>-147.94938479662912</v>
      </c>
      <c r="T282" t="str">
        <f t="shared" si="111"/>
        <v>1+69.16i</v>
      </c>
      <c r="U282" t="str">
        <f t="shared" si="112"/>
        <v>1+9.1i</v>
      </c>
      <c r="V282" t="str">
        <f t="shared" si="113"/>
        <v>-0.0027111046847889i</v>
      </c>
      <c r="W282" t="str">
        <f t="shared" si="121"/>
        <v>0.00194283435590527-0.0203908973235269i</v>
      </c>
      <c r="X282">
        <f t="shared" si="122"/>
        <v>-33.772025084238649</v>
      </c>
      <c r="Y282">
        <f t="shared" si="123"/>
        <v>-84.557317389806798</v>
      </c>
      <c r="Z282">
        <f t="shared" si="124"/>
        <v>144830.99821362476</v>
      </c>
      <c r="AA282">
        <f t="shared" ca="1" si="114"/>
        <v>-61.777427089269082</v>
      </c>
      <c r="AB282">
        <f t="shared" ca="1" si="115"/>
        <v>-232.50670218643592</v>
      </c>
    </row>
    <row r="283" spans="1:28" x14ac:dyDescent="0.2">
      <c r="A283">
        <v>920000</v>
      </c>
      <c r="B283" t="str">
        <f t="shared" si="116"/>
        <v>920000i</v>
      </c>
      <c r="C283" t="str">
        <f t="shared" ca="1" si="102"/>
        <v>1+24.0699209060629i</v>
      </c>
      <c r="D283" t="str">
        <f t="shared" ca="1" si="103"/>
        <v>1+3.19632628431004i</v>
      </c>
      <c r="E283" t="str">
        <f t="shared" ca="1" si="104"/>
        <v>1+2394.9318551214i</v>
      </c>
      <c r="F283">
        <f t="shared" ca="1" si="105"/>
        <v>39.000923110829653</v>
      </c>
      <c r="G283" t="str">
        <f t="shared" ca="1" si="117"/>
        <v>0.443508249817101+1.23677469649586i</v>
      </c>
      <c r="H283">
        <f t="shared" ca="1" si="118"/>
        <v>2.3711909258422557</v>
      </c>
      <c r="I283">
        <f t="shared" ca="1" si="119"/>
        <v>70.272131734318862</v>
      </c>
      <c r="K283" t="str">
        <f t="shared" ca="1" si="106"/>
        <v>1+24.0699209060629i</v>
      </c>
      <c r="L283" t="str">
        <f t="shared" ca="1" si="107"/>
        <v>1-1.79456953989162i</v>
      </c>
      <c r="M283" t="str">
        <f t="shared" ca="1" si="108"/>
        <v>1+2406.99209060629i</v>
      </c>
      <c r="N283" t="str">
        <f t="shared" si="109"/>
        <v>1+11.4714727425826i</v>
      </c>
      <c r="O283">
        <f t="shared" ca="1" si="110"/>
        <v>22.224473826228223</v>
      </c>
      <c r="P283" t="str">
        <f t="shared" ca="1" si="125"/>
        <v>-0.0337442121753754-0.0208856055348134i</v>
      </c>
      <c r="Q283">
        <f t="shared" ca="1" si="120"/>
        <v>-28.027524291324358</v>
      </c>
      <c r="R283">
        <f t="shared" ca="1" si="126"/>
        <v>-148.24502353533632</v>
      </c>
      <c r="T283" t="str">
        <f t="shared" si="111"/>
        <v>1+69.92i</v>
      </c>
      <c r="U283" t="str">
        <f t="shared" si="112"/>
        <v>1+9.2i</v>
      </c>
      <c r="V283" t="str">
        <f t="shared" si="113"/>
        <v>-0.00268163615560641i</v>
      </c>
      <c r="W283" t="str">
        <f t="shared" si="121"/>
        <v>0.00190131886231225-0.0201737696888791i</v>
      </c>
      <c r="X283">
        <f t="shared" si="122"/>
        <v>-33.865852891180957</v>
      </c>
      <c r="Y283">
        <f t="shared" si="123"/>
        <v>-84.615943880289421</v>
      </c>
      <c r="Z283">
        <f t="shared" si="124"/>
        <v>146422.54764454372</v>
      </c>
      <c r="AA283">
        <f t="shared" ca="1" si="114"/>
        <v>-61.893377182505319</v>
      </c>
      <c r="AB283">
        <f t="shared" ca="1" si="115"/>
        <v>-232.86096741562574</v>
      </c>
    </row>
    <row r="284" spans="1:28" x14ac:dyDescent="0.2">
      <c r="A284">
        <v>930000</v>
      </c>
      <c r="B284" t="str">
        <f t="shared" si="116"/>
        <v>930000i</v>
      </c>
      <c r="C284" t="str">
        <f t="shared" ca="1" si="102"/>
        <v>1+24.3315504811288i</v>
      </c>
      <c r="D284" t="str">
        <f t="shared" ca="1" si="103"/>
        <v>1+3.23106896131341i</v>
      </c>
      <c r="E284" t="str">
        <f t="shared" ca="1" si="104"/>
        <v>1+2420.96372311185i</v>
      </c>
      <c r="F284">
        <f t="shared" ca="1" si="105"/>
        <v>39.000923110829653</v>
      </c>
      <c r="G284" t="str">
        <f t="shared" ca="1" si="117"/>
        <v>0.443508106027545+1.25056600901877i</v>
      </c>
      <c r="H284">
        <f t="shared" ca="1" si="118"/>
        <v>2.4566434409492084</v>
      </c>
      <c r="I284">
        <f t="shared" ca="1" si="119"/>
        <v>70.473157504414175</v>
      </c>
      <c r="K284" t="str">
        <f t="shared" ca="1" si="106"/>
        <v>1+24.3315504811288i</v>
      </c>
      <c r="L284" t="str">
        <f t="shared" ca="1" si="107"/>
        <v>1-1.81407573054261i</v>
      </c>
      <c r="M284" t="str">
        <f t="shared" ca="1" si="108"/>
        <v>1+2433.15504811288i</v>
      </c>
      <c r="N284" t="str">
        <f t="shared" si="109"/>
        <v>1+11.5961626636976i</v>
      </c>
      <c r="O284">
        <f t="shared" ca="1" si="110"/>
        <v>22.224473826228223</v>
      </c>
      <c r="P284" t="str">
        <f t="shared" ca="1" si="125"/>
        <v>-0.0337659376226788-0.0206628956241332i</v>
      </c>
      <c r="Q284">
        <f t="shared" ca="1" si="120"/>
        <v>-28.049050078595684</v>
      </c>
      <c r="R284">
        <f t="shared" ca="1" si="126"/>
        <v>-148.53566171091356</v>
      </c>
      <c r="T284" t="str">
        <f t="shared" si="111"/>
        <v>1+70.68i</v>
      </c>
      <c r="U284" t="str">
        <f t="shared" si="112"/>
        <v>1+9.3i</v>
      </c>
      <c r="V284" t="str">
        <f t="shared" si="113"/>
        <v>-0.0026528013582343i</v>
      </c>
      <c r="W284" t="str">
        <f t="shared" si="121"/>
        <v>0.00186111495449104-0.019961170435001i</v>
      </c>
      <c r="X284">
        <f t="shared" si="122"/>
        <v>-33.958689467895184</v>
      </c>
      <c r="Y284">
        <f t="shared" si="123"/>
        <v>-84.673326350355808</v>
      </c>
      <c r="Z284">
        <f t="shared" si="124"/>
        <v>148014.09707546266</v>
      </c>
      <c r="AA284">
        <f t="shared" ca="1" si="114"/>
        <v>-62.007739546490868</v>
      </c>
      <c r="AB284">
        <f t="shared" ca="1" si="115"/>
        <v>-233.20898806126937</v>
      </c>
    </row>
    <row r="285" spans="1:28" x14ac:dyDescent="0.2">
      <c r="A285">
        <v>940000</v>
      </c>
      <c r="B285" t="str">
        <f t="shared" si="116"/>
        <v>940000i</v>
      </c>
      <c r="C285" t="str">
        <f t="shared" ca="1" si="102"/>
        <v>1+24.5931800561947i</v>
      </c>
      <c r="D285" t="str">
        <f t="shared" ca="1" si="103"/>
        <v>1+3.26581163831678i</v>
      </c>
      <c r="E285" t="str">
        <f t="shared" ca="1" si="104"/>
        <v>1+2446.9955911023i</v>
      </c>
      <c r="F285">
        <f t="shared" ca="1" si="105"/>
        <v>39.000923110829653</v>
      </c>
      <c r="G285" t="str">
        <f t="shared" ca="1" si="117"/>
        <v>0.44350796680256+1.26435363827152i</v>
      </c>
      <c r="H285">
        <f t="shared" ca="1" si="118"/>
        <v>2.5413447616002145</v>
      </c>
      <c r="I285">
        <f t="shared" ca="1" si="119"/>
        <v>70.670230719927005</v>
      </c>
      <c r="K285" t="str">
        <f t="shared" ca="1" si="106"/>
        <v>1+24.5931800561947i</v>
      </c>
      <c r="L285" t="str">
        <f t="shared" ca="1" si="107"/>
        <v>1-1.83358192119361i</v>
      </c>
      <c r="M285" t="str">
        <f t="shared" ca="1" si="108"/>
        <v>1+2459.31800561947i</v>
      </c>
      <c r="N285" t="str">
        <f t="shared" si="109"/>
        <v>1+11.7208525848127i</v>
      </c>
      <c r="O285">
        <f t="shared" ca="1" si="110"/>
        <v>22.224473826228223</v>
      </c>
      <c r="P285" t="str">
        <f t="shared" ca="1" si="125"/>
        <v>-0.0337869800555301-0.0204448661689172i</v>
      </c>
      <c r="Q285">
        <f t="shared" ca="1" si="120"/>
        <v>-28.06999980197515</v>
      </c>
      <c r="R285">
        <f t="shared" ca="1" si="126"/>
        <v>-148.82141514562002</v>
      </c>
      <c r="T285" t="str">
        <f t="shared" si="111"/>
        <v>1+71.44i</v>
      </c>
      <c r="U285" t="str">
        <f t="shared" si="112"/>
        <v>1+9.4i</v>
      </c>
      <c r="V285" t="str">
        <f t="shared" si="113"/>
        <v>-0.00262458006718925i</v>
      </c>
      <c r="W285" t="str">
        <f t="shared" si="121"/>
        <v>0.0018221681666117-0.0197529608333392i</v>
      </c>
      <c r="X285">
        <f t="shared" si="122"/>
        <v>-34.0505552982954</v>
      </c>
      <c r="Y285">
        <f t="shared" si="123"/>
        <v>-84.729503808725511</v>
      </c>
      <c r="Z285">
        <f t="shared" si="124"/>
        <v>149605.64650638163</v>
      </c>
      <c r="AA285">
        <f t="shared" ca="1" si="114"/>
        <v>-62.12055510027055</v>
      </c>
      <c r="AB285">
        <f t="shared" ca="1" si="115"/>
        <v>-233.55091895434555</v>
      </c>
    </row>
    <row r="286" spans="1:28" x14ac:dyDescent="0.2">
      <c r="A286">
        <v>950000</v>
      </c>
      <c r="B286" t="str">
        <f t="shared" si="116"/>
        <v>950000i</v>
      </c>
      <c r="C286" t="str">
        <f t="shared" ca="1" si="102"/>
        <v>1+24.8548096312606i</v>
      </c>
      <c r="D286" t="str">
        <f t="shared" ca="1" si="103"/>
        <v>1+3.30055431532015i</v>
      </c>
      <c r="E286" t="str">
        <f t="shared" ca="1" si="104"/>
        <v>1+2473.02745909275i</v>
      </c>
      <c r="F286">
        <f t="shared" ca="1" si="105"/>
        <v>39.000923110829653</v>
      </c>
      <c r="G286" t="str">
        <f t="shared" ca="1" si="117"/>
        <v>0.443507831950974+1.27813770056786i</v>
      </c>
      <c r="H286">
        <f t="shared" ca="1" si="118"/>
        <v>2.6253062683079955</v>
      </c>
      <c r="I286">
        <f t="shared" ca="1" si="119"/>
        <v>70.863463885757682</v>
      </c>
      <c r="K286" t="str">
        <f t="shared" ca="1" si="106"/>
        <v>1+24.8548096312606i</v>
      </c>
      <c r="L286" t="str">
        <f t="shared" ca="1" si="107"/>
        <v>1-1.85308811184461i</v>
      </c>
      <c r="M286" t="str">
        <f t="shared" ca="1" si="108"/>
        <v>1+2485.48096312606i</v>
      </c>
      <c r="N286" t="str">
        <f t="shared" si="109"/>
        <v>1+11.8455425059277i</v>
      </c>
      <c r="O286">
        <f t="shared" ca="1" si="110"/>
        <v>22.224473826228223</v>
      </c>
      <c r="P286" t="str">
        <f t="shared" ca="1" si="125"/>
        <v>-0.0338073677404593-0.0202313717424437i</v>
      </c>
      <c r="Q286">
        <f t="shared" ca="1" si="120"/>
        <v>-28.090393062165468</v>
      </c>
      <c r="R286">
        <f t="shared" ca="1" si="126"/>
        <v>-149.10239643469404</v>
      </c>
      <c r="T286" t="str">
        <f t="shared" si="111"/>
        <v>1+72.2i</v>
      </c>
      <c r="U286" t="str">
        <f t="shared" si="112"/>
        <v>1+9.5i</v>
      </c>
      <c r="V286" t="str">
        <f t="shared" si="113"/>
        <v>-0.00259695290858726i</v>
      </c>
      <c r="W286" t="str">
        <f t="shared" si="121"/>
        <v>0.00178442682047585-0.0195490077031078i</v>
      </c>
      <c r="X286">
        <f t="shared" si="122"/>
        <v>-34.141470245391687</v>
      </c>
      <c r="Y286">
        <f t="shared" si="123"/>
        <v>-84.784513657117856</v>
      </c>
      <c r="Z286">
        <f t="shared" si="124"/>
        <v>151197.19593730057</v>
      </c>
      <c r="AA286">
        <f t="shared" ca="1" si="114"/>
        <v>-62.231863307557155</v>
      </c>
      <c r="AB286">
        <f t="shared" ca="1" si="115"/>
        <v>-233.8869100918119</v>
      </c>
    </row>
    <row r="287" spans="1:28" x14ac:dyDescent="0.2">
      <c r="A287">
        <v>960000</v>
      </c>
      <c r="B287" t="str">
        <f t="shared" si="116"/>
        <v>960000i</v>
      </c>
      <c r="C287" t="str">
        <f t="shared" ca="1" si="102"/>
        <v>1+25.1164392063265i</v>
      </c>
      <c r="D287" t="str">
        <f t="shared" ca="1" si="103"/>
        <v>1+3.33529699232352i</v>
      </c>
      <c r="E287" t="str">
        <f t="shared" ca="1" si="104"/>
        <v>1+2499.0593270832i</v>
      </c>
      <c r="F287">
        <f t="shared" ca="1" si="105"/>
        <v>39.000923110829653</v>
      </c>
      <c r="G287" t="str">
        <f t="shared" ca="1" si="117"/>
        <v>0.443507701291513+1.29191830737509i</v>
      </c>
      <c r="H287">
        <f t="shared" ca="1" si="118"/>
        <v>2.7085391444801732</v>
      </c>
      <c r="I287">
        <f t="shared" ca="1" si="119"/>
        <v>71.052965387138372</v>
      </c>
      <c r="K287" t="str">
        <f t="shared" ca="1" si="106"/>
        <v>1+25.1164392063265i</v>
      </c>
      <c r="L287" t="str">
        <f t="shared" ca="1" si="107"/>
        <v>1-1.8725943024956i</v>
      </c>
      <c r="M287" t="str">
        <f t="shared" ca="1" si="108"/>
        <v>1+2511.64392063265i</v>
      </c>
      <c r="N287" t="str">
        <f t="shared" si="109"/>
        <v>1+11.9702324270427i</v>
      </c>
      <c r="O287">
        <f t="shared" ca="1" si="110"/>
        <v>22.224473826228223</v>
      </c>
      <c r="P287" t="str">
        <f t="shared" ca="1" si="125"/>
        <v>-0.0338271275000994-0.0200222728572808i</v>
      </c>
      <c r="Q287">
        <f t="shared" ca="1" si="120"/>
        <v>-28.110248664436966</v>
      </c>
      <c r="R287">
        <f t="shared" ca="1" si="126"/>
        <v>-149.37871504535843</v>
      </c>
      <c r="T287" t="str">
        <f t="shared" si="111"/>
        <v>1+72.96i</v>
      </c>
      <c r="U287" t="str">
        <f t="shared" si="112"/>
        <v>1+9.6i</v>
      </c>
      <c r="V287" t="str">
        <f t="shared" si="113"/>
        <v>-0.00256990131578947i</v>
      </c>
      <c r="W287" t="str">
        <f t="shared" si="121"/>
        <v>0.00174784185668121-0.019349183139929i</v>
      </c>
      <c r="X287">
        <f t="shared" si="122"/>
        <v>-34.231453575816701</v>
      </c>
      <c r="Y287">
        <f t="shared" si="123"/>
        <v>-84.838391771800929</v>
      </c>
      <c r="Z287">
        <f t="shared" si="124"/>
        <v>152788.74536821953</v>
      </c>
      <c r="AA287">
        <f t="shared" ca="1" si="114"/>
        <v>-62.341702240253667</v>
      </c>
      <c r="AB287">
        <f t="shared" ca="1" si="115"/>
        <v>-234.21710681715936</v>
      </c>
    </row>
    <row r="288" spans="1:28" x14ac:dyDescent="0.2">
      <c r="A288">
        <v>970000</v>
      </c>
      <c r="B288" t="str">
        <f t="shared" si="116"/>
        <v>970000i</v>
      </c>
      <c r="C288" t="str">
        <f t="shared" ca="1" si="102"/>
        <v>1+25.3780687813924i</v>
      </c>
      <c r="D288" t="str">
        <f t="shared" ca="1" si="103"/>
        <v>1+3.37003966932689i</v>
      </c>
      <c r="E288" t="str">
        <f t="shared" ca="1" si="104"/>
        <v>1+2525.09119507365i</v>
      </c>
      <c r="F288">
        <f t="shared" ca="1" si="105"/>
        <v>39.000923110829653</v>
      </c>
      <c r="G288" t="str">
        <f t="shared" ca="1" si="117"/>
        <v>0.443507574652199+1.30569556556395i</v>
      </c>
      <c r="H288">
        <f t="shared" ca="1" si="118"/>
        <v>2.7910543777857244</v>
      </c>
      <c r="I288">
        <f t="shared" ca="1" si="119"/>
        <v>71.238839671403241</v>
      </c>
      <c r="K288" t="str">
        <f t="shared" ca="1" si="106"/>
        <v>1+25.3780687813924i</v>
      </c>
      <c r="L288" t="str">
        <f t="shared" ca="1" si="107"/>
        <v>1-1.8921004931466i</v>
      </c>
      <c r="M288" t="str">
        <f t="shared" ca="1" si="108"/>
        <v>1+2537.80687813924i</v>
      </c>
      <c r="N288" t="str">
        <f t="shared" si="109"/>
        <v>1+12.0949223481577i</v>
      </c>
      <c r="O288">
        <f t="shared" ca="1" si="110"/>
        <v>22.224473826228223</v>
      </c>
      <c r="P288" t="str">
        <f t="shared" ca="1" si="125"/>
        <v>-0.0338462848005966-0.0198174356663368i</v>
      </c>
      <c r="Q288">
        <f t="shared" ca="1" si="120"/>
        <v>-28.129584655594364</v>
      </c>
      <c r="R288">
        <f t="shared" ca="1" si="126"/>
        <v>-149.65047741276484</v>
      </c>
      <c r="T288" t="str">
        <f t="shared" si="111"/>
        <v>1+73.72i</v>
      </c>
      <c r="U288" t="str">
        <f t="shared" si="112"/>
        <v>1+9.7i</v>
      </c>
      <c r="V288" t="str">
        <f t="shared" si="113"/>
        <v>-0.00254340748779164i</v>
      </c>
      <c r="W288" t="str">
        <f t="shared" si="121"/>
        <v>0.00171236667755202-0.0191533642600462i</v>
      </c>
      <c r="X288">
        <f t="shared" si="122"/>
        <v>-34.320523983169437</v>
      </c>
      <c r="Y288">
        <f t="shared" si="123"/>
        <v>-84.891172580246575</v>
      </c>
      <c r="Z288">
        <f t="shared" si="124"/>
        <v>154380.29479913847</v>
      </c>
      <c r="AA288">
        <f t="shared" ca="1" si="114"/>
        <v>-62.450108638763801</v>
      </c>
      <c r="AB288">
        <f t="shared" ca="1" si="115"/>
        <v>-234.54164999301142</v>
      </c>
    </row>
    <row r="289" spans="1:28" x14ac:dyDescent="0.2">
      <c r="A289">
        <v>980000</v>
      </c>
      <c r="B289" t="str">
        <f t="shared" si="116"/>
        <v>980000i</v>
      </c>
      <c r="C289" t="str">
        <f t="shared" ca="1" si="102"/>
        <v>1+25.6396983564583i</v>
      </c>
      <c r="D289" t="str">
        <f t="shared" ca="1" si="103"/>
        <v>1+3.40478234633026i</v>
      </c>
      <c r="E289" t="str">
        <f t="shared" ca="1" si="104"/>
        <v>1+2551.1230630641i</v>
      </c>
      <c r="F289">
        <f t="shared" ca="1" si="105"/>
        <v>39.000923110829653</v>
      </c>
      <c r="G289" t="str">
        <f t="shared" ca="1" si="117"/>
        <v>0.44350745186978+1.31946957764308i</v>
      </c>
      <c r="H289">
        <f t="shared" ca="1" si="118"/>
        <v>2.8728627617795914</v>
      </c>
      <c r="I289">
        <f t="shared" ca="1" si="119"/>
        <v>71.421187420495244</v>
      </c>
      <c r="K289" t="str">
        <f t="shared" ca="1" si="106"/>
        <v>1+25.6396983564583i</v>
      </c>
      <c r="L289" t="str">
        <f t="shared" ca="1" si="107"/>
        <v>1-1.91160668379759i</v>
      </c>
      <c r="M289" t="str">
        <f t="shared" ca="1" si="108"/>
        <v>1+2563.96983564583i</v>
      </c>
      <c r="N289" t="str">
        <f t="shared" si="109"/>
        <v>1+12.2196122692728i</v>
      </c>
      <c r="O289">
        <f t="shared" ca="1" si="110"/>
        <v>22.224473826228223</v>
      </c>
      <c r="P289" t="str">
        <f t="shared" ca="1" si="125"/>
        <v>-0.0338648638329198-0.0196167316817156i</v>
      </c>
      <c r="Q289">
        <f t="shared" ca="1" si="120"/>
        <v>-28.148418359031307</v>
      </c>
      <c r="R289">
        <f t="shared" ca="1" si="126"/>
        <v>-149.91778703295992</v>
      </c>
      <c r="T289" t="str">
        <f t="shared" si="111"/>
        <v>1+74.48i</v>
      </c>
      <c r="U289" t="str">
        <f t="shared" si="112"/>
        <v>1+9.8i</v>
      </c>
      <c r="V289" t="str">
        <f t="shared" si="113"/>
        <v>-0.00251745435016112i</v>
      </c>
      <c r="W289" t="str">
        <f t="shared" si="121"/>
        <v>0.00167795700091118-0.0189614329590907i</v>
      </c>
      <c r="X289">
        <f t="shared" si="122"/>
        <v>-34.408699610243374</v>
      </c>
      <c r="Y289">
        <f t="shared" si="123"/>
        <v>-84.942889133228675</v>
      </c>
      <c r="Z289">
        <f t="shared" si="124"/>
        <v>155971.84423005744</v>
      </c>
      <c r="AA289">
        <f t="shared" ca="1" si="114"/>
        <v>-62.557117969274685</v>
      </c>
      <c r="AB289">
        <f t="shared" ca="1" si="115"/>
        <v>-234.8606761661886</v>
      </c>
    </row>
    <row r="290" spans="1:28" x14ac:dyDescent="0.2">
      <c r="A290">
        <v>990000</v>
      </c>
      <c r="B290" t="str">
        <f t="shared" si="116"/>
        <v>990000i</v>
      </c>
      <c r="C290" t="str">
        <f t="shared" ca="1" si="102"/>
        <v>1+25.9013279315242i</v>
      </c>
      <c r="D290" t="str">
        <f t="shared" ca="1" si="103"/>
        <v>1+3.43952502333363i</v>
      </c>
      <c r="E290" t="str">
        <f t="shared" ca="1" si="104"/>
        <v>1+2577.15493105455i</v>
      </c>
      <c r="F290">
        <f t="shared" ca="1" si="105"/>
        <v>39.000923110829653</v>
      </c>
      <c r="G290" t="str">
        <f t="shared" ca="1" si="117"/>
        <v>0.44350733278922+1.3332404419794i</v>
      </c>
      <c r="H290">
        <f t="shared" ca="1" si="118"/>
        <v>2.9539748977539477</v>
      </c>
      <c r="I290">
        <f t="shared" ca="1" si="119"/>
        <v>71.600105714741048</v>
      </c>
      <c r="K290" t="str">
        <f t="shared" ca="1" si="106"/>
        <v>1+25.9013279315242i</v>
      </c>
      <c r="L290" t="str">
        <f t="shared" ca="1" si="107"/>
        <v>1-1.93111287444859i</v>
      </c>
      <c r="M290" t="str">
        <f t="shared" ca="1" si="108"/>
        <v>1+2590.13279315242i</v>
      </c>
      <c r="N290" t="str">
        <f t="shared" si="109"/>
        <v>1+12.3443021903878i</v>
      </c>
      <c r="O290">
        <f t="shared" ca="1" si="110"/>
        <v>22.224473826228223</v>
      </c>
      <c r="P290" t="str">
        <f t="shared" ca="1" si="125"/>
        <v>-0.0338828875885575-0.0194200375101583i</v>
      </c>
      <c r="Q290">
        <f t="shared" ca="1" si="120"/>
        <v>-28.166766407979011</v>
      </c>
      <c r="R290">
        <f t="shared" ca="1" si="126"/>
        <v>-150.18074455295928</v>
      </c>
      <c r="T290" t="str">
        <f t="shared" si="111"/>
        <v>1+75.24i</v>
      </c>
      <c r="U290" t="str">
        <f t="shared" si="112"/>
        <v>1+9.9i</v>
      </c>
      <c r="V290" t="str">
        <f t="shared" si="113"/>
        <v>-0.00249202551834131i</v>
      </c>
      <c r="W290" t="str">
        <f t="shared" si="121"/>
        <v>0.00164457072385033-0.0187732756844596i</v>
      </c>
      <c r="X290">
        <f t="shared" si="122"/>
        <v>-34.49599807020094</v>
      </c>
      <c r="Y290">
        <f t="shared" si="123"/>
        <v>-84.993573172676591</v>
      </c>
      <c r="Z290">
        <f t="shared" si="124"/>
        <v>157563.39366097638</v>
      </c>
      <c r="AA290">
        <f t="shared" ca="1" si="114"/>
        <v>-62.662764478179952</v>
      </c>
      <c r="AB290">
        <f t="shared" ca="1" si="115"/>
        <v>-235.17431772563589</v>
      </c>
    </row>
    <row r="291" spans="1:28" x14ac:dyDescent="0.2">
      <c r="A291">
        <v>1000000</v>
      </c>
      <c r="B291" t="str">
        <f t="shared" si="116"/>
        <v>1000000i</v>
      </c>
      <c r="C291" t="str">
        <f t="shared" ca="1" si="102"/>
        <v>1+26.1629575065901i</v>
      </c>
      <c r="D291" t="str">
        <f t="shared" ca="1" si="103"/>
        <v>1+3.474267700337i</v>
      </c>
      <c r="E291" t="str">
        <f t="shared" ca="1" si="104"/>
        <v>1+2603.186799045i</v>
      </c>
      <c r="F291">
        <f t="shared" ca="1" si="105"/>
        <v>39.000923110829653</v>
      </c>
      <c r="G291" t="str">
        <f t="shared" ca="1" si="117"/>
        <v>0.443507217263185+1.34700825300513i</v>
      </c>
      <c r="H291">
        <f t="shared" ca="1" si="118"/>
        <v>3.0344011967844171</v>
      </c>
      <c r="I291">
        <f t="shared" ca="1" si="119"/>
        <v>71.77568818838742</v>
      </c>
      <c r="K291" t="str">
        <f t="shared" ca="1" si="106"/>
        <v>1+26.1629575065901i</v>
      </c>
      <c r="L291" t="str">
        <f t="shared" ca="1" si="107"/>
        <v>1-1.95061906509958i</v>
      </c>
      <c r="M291" t="str">
        <f t="shared" ca="1" si="108"/>
        <v>1+2616.29575065901i</v>
      </c>
      <c r="N291" t="str">
        <f t="shared" si="109"/>
        <v>1+12.4689921115028i</v>
      </c>
      <c r="O291">
        <f t="shared" ca="1" si="110"/>
        <v>22.224473826228223</v>
      </c>
      <c r="P291" t="str">
        <f t="shared" ca="1" si="125"/>
        <v>-0.0339003779300295-0.0192272346039439i</v>
      </c>
      <c r="Q291">
        <f t="shared" ca="1" si="120"/>
        <v>-28.184644777052775</v>
      </c>
      <c r="R291">
        <f t="shared" ca="1" si="126"/>
        <v>-150.43944785800309</v>
      </c>
      <c r="T291" t="str">
        <f t="shared" si="111"/>
        <v>1+76i</v>
      </c>
      <c r="U291" t="str">
        <f t="shared" si="112"/>
        <v>1+10i</v>
      </c>
      <c r="V291" t="str">
        <f t="shared" si="113"/>
        <v>-0.00246710526315789i</v>
      </c>
      <c r="W291" t="str">
        <f t="shared" si="121"/>
        <v>0.00161216779572694-0.0185887832204273i</v>
      </c>
      <c r="X291">
        <f t="shared" si="122"/>
        <v>-34.582436466753371</v>
      </c>
      <c r="Y291">
        <f t="shared" si="123"/>
        <v>-85.04325519557112</v>
      </c>
      <c r="Z291">
        <f t="shared" si="124"/>
        <v>159154.94309189534</v>
      </c>
      <c r="AA291">
        <f t="shared" ca="1" si="114"/>
        <v>-62.767081243806146</v>
      </c>
      <c r="AB291">
        <f t="shared" ca="1" si="115"/>
        <v>-235.4827030535742</v>
      </c>
    </row>
    <row r="292" spans="1:28" x14ac:dyDescent="0.2">
      <c r="A292">
        <v>1100000</v>
      </c>
      <c r="B292" t="str">
        <f t="shared" si="116"/>
        <v>1100000i</v>
      </c>
      <c r="C292" t="str">
        <f t="shared" ca="1" si="102"/>
        <v>1+28.7792532572491i</v>
      </c>
      <c r="D292" t="str">
        <f t="shared" ca="1" si="103"/>
        <v>1+3.8216944703707i</v>
      </c>
      <c r="E292" t="str">
        <f t="shared" ca="1" si="104"/>
        <v>1+2863.5054789495i</v>
      </c>
      <c r="F292">
        <f t="shared" ca="1" si="105"/>
        <v>39.000923110829653</v>
      </c>
      <c r="G292" t="str">
        <f t="shared" ca="1" si="117"/>
        <v>0.44350622977678+1.48453675103394i</v>
      </c>
      <c r="H292">
        <f t="shared" ca="1" si="118"/>
        <v>3.8031023889687985</v>
      </c>
      <c r="I292">
        <f t="shared" ca="1" si="119"/>
        <v>73.366453501534963</v>
      </c>
      <c r="K292" t="str">
        <f t="shared" ca="1" si="106"/>
        <v>1+28.7792532572491i</v>
      </c>
      <c r="L292" t="str">
        <f t="shared" ca="1" si="107"/>
        <v>1-2.14568097160954i</v>
      </c>
      <c r="M292" t="str">
        <f t="shared" ca="1" si="108"/>
        <v>1+2877.92532572491i</v>
      </c>
      <c r="N292" t="str">
        <f t="shared" si="109"/>
        <v>1+13.7158913226531i</v>
      </c>
      <c r="O292">
        <f t="shared" ca="1" si="110"/>
        <v>22.224473826228223</v>
      </c>
      <c r="P292" t="str">
        <f t="shared" ca="1" si="125"/>
        <v>-0.034050065527587-0.0174901769253572i</v>
      </c>
      <c r="Q292">
        <f t="shared" ca="1" si="120"/>
        <v>-28.340695229042403</v>
      </c>
      <c r="R292">
        <f t="shared" ca="1" si="126"/>
        <v>-152.8122206532467</v>
      </c>
      <c r="T292" t="str">
        <f t="shared" si="111"/>
        <v>1+83.6i</v>
      </c>
      <c r="U292" t="str">
        <f t="shared" si="112"/>
        <v>1+11i</v>
      </c>
      <c r="V292" t="str">
        <f t="shared" si="113"/>
        <v>-0.00224282296650718i</v>
      </c>
      <c r="W292" t="str">
        <f t="shared" si="121"/>
        <v>0.00133466350301984-0.0169241214997255i</v>
      </c>
      <c r="X292">
        <f t="shared" si="122"/>
        <v>-35.402951509198196</v>
      </c>
      <c r="Y292">
        <f t="shared" si="123"/>
        <v>-85.490894621779304</v>
      </c>
      <c r="Z292">
        <f t="shared" si="124"/>
        <v>175070.43740108487</v>
      </c>
      <c r="AA292">
        <f t="shared" ca="1" si="114"/>
        <v>-63.743646738240599</v>
      </c>
      <c r="AB292">
        <f t="shared" ca="1" si="115"/>
        <v>-238.30311527502602</v>
      </c>
    </row>
    <row r="293" spans="1:28" x14ac:dyDescent="0.2">
      <c r="A293">
        <v>1200000</v>
      </c>
      <c r="B293" t="str">
        <f t="shared" si="116"/>
        <v>1200000i</v>
      </c>
      <c r="C293" t="str">
        <f t="shared" ca="1" si="102"/>
        <v>1+31.3955490079081i</v>
      </c>
      <c r="D293" t="str">
        <f t="shared" ca="1" si="103"/>
        <v>1+4.1691212404044i</v>
      </c>
      <c r="E293" t="str">
        <f t="shared" ca="1" si="104"/>
        <v>1+3123.824158854i</v>
      </c>
      <c r="F293">
        <f t="shared" ca="1" si="105"/>
        <v>39.000923110829653</v>
      </c>
      <c r="G293" t="str">
        <f t="shared" ca="1" si="117"/>
        <v>0.443505478712351+1.62184083069804i</v>
      </c>
      <c r="H293">
        <f t="shared" ca="1" si="118"/>
        <v>4.5133576162568536</v>
      </c>
      <c r="I293">
        <f t="shared" ca="1" si="119"/>
        <v>74.705915232097098</v>
      </c>
      <c r="K293" t="str">
        <f t="shared" ca="1" si="106"/>
        <v>1+31.3955490079081i</v>
      </c>
      <c r="L293" t="str">
        <f t="shared" ca="1" si="107"/>
        <v>1-2.3407428781195i</v>
      </c>
      <c r="M293" t="str">
        <f t="shared" ca="1" si="108"/>
        <v>1+3139.55490079081i</v>
      </c>
      <c r="N293" t="str">
        <f t="shared" si="109"/>
        <v>1+14.9627905338034i</v>
      </c>
      <c r="O293">
        <f t="shared" ca="1" si="110"/>
        <v>22.224473826228223</v>
      </c>
      <c r="P293" t="str">
        <f t="shared" ca="1" si="125"/>
        <v>-0.0341641371399056-0.0160402574891412i</v>
      </c>
      <c r="Q293">
        <f t="shared" ca="1" si="120"/>
        <v>-28.46344215058409</v>
      </c>
      <c r="R293">
        <f t="shared" ca="1" si="126"/>
        <v>-154.84967645653924</v>
      </c>
      <c r="T293" t="str">
        <f t="shared" si="111"/>
        <v>1+91.2i</v>
      </c>
      <c r="U293" t="str">
        <f t="shared" si="112"/>
        <v>1+12i</v>
      </c>
      <c r="V293" t="str">
        <f t="shared" si="113"/>
        <v>-0.00205592105263158i</v>
      </c>
      <c r="W293" t="str">
        <f t="shared" si="121"/>
        <v>0.00112295825771325-0.0155314201451906i</v>
      </c>
      <c r="X293">
        <f t="shared" si="122"/>
        <v>-36.153132463239992</v>
      </c>
      <c r="Y293">
        <f t="shared" si="123"/>
        <v>-85.864576329758449</v>
      </c>
      <c r="Z293">
        <f t="shared" si="124"/>
        <v>190985.93171027442</v>
      </c>
      <c r="AA293">
        <f t="shared" ca="1" si="114"/>
        <v>-64.616574613824085</v>
      </c>
      <c r="AB293">
        <f t="shared" ca="1" si="115"/>
        <v>-240.71425278629769</v>
      </c>
    </row>
    <row r="294" spans="1:28" x14ac:dyDescent="0.2">
      <c r="A294">
        <v>1300000</v>
      </c>
      <c r="B294" t="str">
        <f t="shared" si="116"/>
        <v>1300000i</v>
      </c>
      <c r="C294" t="str">
        <f t="shared" ca="1" si="102"/>
        <v>1+34.0118447585671i</v>
      </c>
      <c r="D294" t="str">
        <f t="shared" ca="1" si="103"/>
        <v>1+4.5165480104381i</v>
      </c>
      <c r="E294" t="str">
        <f t="shared" ca="1" si="104"/>
        <v>1+3384.1428387585i</v>
      </c>
      <c r="F294">
        <f t="shared" ca="1" si="105"/>
        <v>39.000923110829653</v>
      </c>
      <c r="G294" t="str">
        <f t="shared" ca="1" si="117"/>
        <v>0.443504894207598+1.75897228083019i</v>
      </c>
      <c r="H294">
        <f t="shared" ca="1" si="118"/>
        <v>5.172856616871039</v>
      </c>
      <c r="I294">
        <f t="shared" ca="1" si="119"/>
        <v>75.848487114697463</v>
      </c>
      <c r="K294" t="str">
        <f t="shared" ca="1" si="106"/>
        <v>1+34.0118447585671i</v>
      </c>
      <c r="L294" t="str">
        <f t="shared" ca="1" si="107"/>
        <v>1-2.53580478462946i</v>
      </c>
      <c r="M294" t="str">
        <f t="shared" ca="1" si="108"/>
        <v>1+3401.18447585671i</v>
      </c>
      <c r="N294" t="str">
        <f t="shared" si="109"/>
        <v>1+16.2096897449537i</v>
      </c>
      <c r="O294">
        <f t="shared" ca="1" si="110"/>
        <v>22.224473826228223</v>
      </c>
      <c r="P294" t="str">
        <f t="shared" ca="1" si="125"/>
        <v>-0.0342530446976714-0.0148118559825946i</v>
      </c>
      <c r="Q294">
        <f t="shared" ca="1" si="120"/>
        <v>-28.561542279745492</v>
      </c>
      <c r="R294">
        <f t="shared" ca="1" si="126"/>
        <v>-156.61516147799267</v>
      </c>
      <c r="T294" t="str">
        <f t="shared" si="111"/>
        <v>1+98.8i</v>
      </c>
      <c r="U294" t="str">
        <f t="shared" si="112"/>
        <v>1+13i</v>
      </c>
      <c r="V294" t="str">
        <f t="shared" si="113"/>
        <v>-0.00189777327935223i</v>
      </c>
      <c r="W294" t="str">
        <f t="shared" si="121"/>
        <v>0.0009578173374613-0.0143493986663491i</v>
      </c>
      <c r="X294">
        <f t="shared" si="122"/>
        <v>-36.844018887083301</v>
      </c>
      <c r="Y294">
        <f t="shared" si="123"/>
        <v>-86.181191639932919</v>
      </c>
      <c r="Z294">
        <f t="shared" si="124"/>
        <v>206901.42601946395</v>
      </c>
      <c r="AA294">
        <f t="shared" ca="1" si="114"/>
        <v>-65.40556116682879</v>
      </c>
      <c r="AB294">
        <f t="shared" ca="1" si="115"/>
        <v>-242.79635311792561</v>
      </c>
    </row>
    <row r="295" spans="1:28" x14ac:dyDescent="0.2">
      <c r="A295">
        <v>1400000</v>
      </c>
      <c r="B295" t="str">
        <f t="shared" si="116"/>
        <v>1400000i</v>
      </c>
      <c r="C295" t="str">
        <f t="shared" ca="1" si="102"/>
        <v>1+36.6281405092261i</v>
      </c>
      <c r="D295" t="str">
        <f t="shared" ca="1" si="103"/>
        <v>1+4.8639747804718i</v>
      </c>
      <c r="E295" t="str">
        <f t="shared" ca="1" si="104"/>
        <v>1+3644.461518663i</v>
      </c>
      <c r="F295">
        <f t="shared" ca="1" si="105"/>
        <v>39.000923110829653</v>
      </c>
      <c r="G295" t="str">
        <f t="shared" ca="1" si="117"/>
        <v>0.443504430420957+1.89596809346035i</v>
      </c>
      <c r="H295">
        <f t="shared" ca="1" si="118"/>
        <v>5.787985967251541</v>
      </c>
      <c r="I295">
        <f t="shared" ca="1" si="119"/>
        <v>76.834116093695272</v>
      </c>
      <c r="K295" t="str">
        <f t="shared" ca="1" si="106"/>
        <v>1+36.6281405092261i</v>
      </c>
      <c r="L295" t="str">
        <f t="shared" ca="1" si="107"/>
        <v>1-2.73086669113942i</v>
      </c>
      <c r="M295" t="str">
        <f t="shared" ca="1" si="108"/>
        <v>1+3662.81405092261i</v>
      </c>
      <c r="N295" t="str">
        <f t="shared" si="109"/>
        <v>1+17.456588956104i</v>
      </c>
      <c r="O295">
        <f t="shared" ca="1" si="110"/>
        <v>22.224473826228223</v>
      </c>
      <c r="P295" t="str">
        <f t="shared" ca="1" si="125"/>
        <v>-0.0343236731355408-0.0137578971965034i</v>
      </c>
      <c r="Q295">
        <f t="shared" ca="1" si="120"/>
        <v>-28.641062434377936</v>
      </c>
      <c r="R295">
        <f t="shared" ca="1" si="126"/>
        <v>-158.1576934411396</v>
      </c>
      <c r="T295" t="str">
        <f t="shared" si="111"/>
        <v>1+106.4i</v>
      </c>
      <c r="U295" t="str">
        <f t="shared" si="112"/>
        <v>1+14i</v>
      </c>
      <c r="V295" t="str">
        <f t="shared" si="113"/>
        <v>-0.00176221804511278i</v>
      </c>
      <c r="W295" t="str">
        <f t="shared" si="121"/>
        <v>0.000826542880042747-0.0133338183657112i</v>
      </c>
      <c r="X295">
        <f t="shared" si="122"/>
        <v>-37.484253217447055</v>
      </c>
      <c r="Y295">
        <f t="shared" si="123"/>
        <v>-86.452861533847312</v>
      </c>
      <c r="Z295">
        <f t="shared" si="124"/>
        <v>222816.92032865348</v>
      </c>
      <c r="AA295">
        <f t="shared" ca="1" si="114"/>
        <v>-66.125315651824991</v>
      </c>
      <c r="AB295">
        <f t="shared" ca="1" si="115"/>
        <v>-244.61055497498691</v>
      </c>
    </row>
    <row r="296" spans="1:28" x14ac:dyDescent="0.2">
      <c r="A296">
        <v>1500000</v>
      </c>
      <c r="B296" t="str">
        <f t="shared" si="116"/>
        <v>1500000i</v>
      </c>
      <c r="C296" t="str">
        <f t="shared" ca="1" si="102"/>
        <v>1+39.2444362598851i</v>
      </c>
      <c r="D296" t="str">
        <f t="shared" ca="1" si="103"/>
        <v>1+5.2114015505055i</v>
      </c>
      <c r="E296" t="str">
        <f t="shared" ca="1" si="104"/>
        <v>1+3904.78019856751i</v>
      </c>
      <c r="F296">
        <f t="shared" ca="1" si="105"/>
        <v>39.000923110829653</v>
      </c>
      <c r="G296" t="str">
        <f t="shared" ca="1" si="117"/>
        <v>0.443504056261552+2.03285539608097i</v>
      </c>
      <c r="H296">
        <f t="shared" ca="1" si="118"/>
        <v>6.3640733972302588</v>
      </c>
      <c r="I296">
        <f t="shared" ca="1" si="119"/>
        <v>77.692738312279062</v>
      </c>
      <c r="K296" t="str">
        <f t="shared" ca="1" si="106"/>
        <v>1+39.2444362598851i</v>
      </c>
      <c r="L296" t="str">
        <f t="shared" ca="1" si="107"/>
        <v>1-2.92592859764938i</v>
      </c>
      <c r="M296" t="str">
        <f t="shared" ca="1" si="108"/>
        <v>1+3924.44362598851i</v>
      </c>
      <c r="N296" t="str">
        <f t="shared" si="109"/>
        <v>1+18.7034881672542i</v>
      </c>
      <c r="O296">
        <f t="shared" ca="1" si="110"/>
        <v>22.224473826228223</v>
      </c>
      <c r="P296" t="str">
        <f t="shared" ca="1" si="125"/>
        <v>-0.0343807061732287-0.0128437420665726i</v>
      </c>
      <c r="Q296">
        <f t="shared" ca="1" si="120"/>
        <v>-28.706341236472635</v>
      </c>
      <c r="R296">
        <f t="shared" ca="1" si="126"/>
        <v>-159.51561300108196</v>
      </c>
      <c r="T296" t="str">
        <f t="shared" si="111"/>
        <v>1+114i</v>
      </c>
      <c r="U296" t="str">
        <f t="shared" si="112"/>
        <v>1+15i</v>
      </c>
      <c r="V296" t="str">
        <f t="shared" si="113"/>
        <v>-0.00164473684210526i</v>
      </c>
      <c r="W296" t="str">
        <f t="shared" si="121"/>
        <v>0.000720482068001863-0.0124519678621332i</v>
      </c>
      <c r="X296">
        <f t="shared" si="122"/>
        <v>-38.080724787553841</v>
      </c>
      <c r="Y296">
        <f t="shared" si="123"/>
        <v>-86.688506832430676</v>
      </c>
      <c r="Z296">
        <f t="shared" si="124"/>
        <v>238732.414637843</v>
      </c>
      <c r="AA296">
        <f t="shared" ca="1" si="114"/>
        <v>-66.787066024026473</v>
      </c>
      <c r="AB296">
        <f t="shared" ca="1" si="115"/>
        <v>-246.20411983351264</v>
      </c>
    </row>
    <row r="297" spans="1:28" x14ac:dyDescent="0.2">
      <c r="A297">
        <v>1600000</v>
      </c>
      <c r="B297" t="str">
        <f t="shared" si="116"/>
        <v>1600000i</v>
      </c>
      <c r="C297" t="str">
        <f t="shared" ca="1" si="102"/>
        <v>1+41.8607320105442i</v>
      </c>
      <c r="D297" t="str">
        <f t="shared" ca="1" si="103"/>
        <v>1+5.5588283205392i</v>
      </c>
      <c r="E297" t="str">
        <f t="shared" ca="1" si="104"/>
        <v>1+4165.09887847201i</v>
      </c>
      <c r="F297">
        <f t="shared" ca="1" si="105"/>
        <v>39.000923110829653</v>
      </c>
      <c r="G297" t="str">
        <f t="shared" ca="1" si="117"/>
        <v>0.443503750039491+2.16965453431364i</v>
      </c>
      <c r="H297">
        <f t="shared" ca="1" si="118"/>
        <v>6.905589962842785</v>
      </c>
      <c r="I297">
        <f t="shared" ca="1" si="119"/>
        <v>78.447200413448925</v>
      </c>
      <c r="K297" t="str">
        <f t="shared" ca="1" si="106"/>
        <v>1+41.8607320105442i</v>
      </c>
      <c r="L297" t="str">
        <f t="shared" ca="1" si="107"/>
        <v>1-3.12099050415934i</v>
      </c>
      <c r="M297" t="str">
        <f t="shared" ca="1" si="108"/>
        <v>1+4186.07320105442i</v>
      </c>
      <c r="N297" t="str">
        <f t="shared" si="109"/>
        <v>1+19.9503873784045i</v>
      </c>
      <c r="O297">
        <f t="shared" ca="1" si="110"/>
        <v>22.224473826228223</v>
      </c>
      <c r="P297" t="str">
        <f t="shared" ca="1" si="125"/>
        <v>-0.0344274192123693-0.0120433409699703i</v>
      </c>
      <c r="Q297">
        <f t="shared" ca="1" si="120"/>
        <v>-28.760539166713194</v>
      </c>
      <c r="R297">
        <f t="shared" ca="1" si="126"/>
        <v>-160.71922925465347</v>
      </c>
      <c r="T297" t="str">
        <f t="shared" si="111"/>
        <v>1+121.6i</v>
      </c>
      <c r="U297" t="str">
        <f t="shared" si="112"/>
        <v>1+16i</v>
      </c>
      <c r="V297" t="str">
        <f t="shared" si="113"/>
        <v>-0.00154194078947368i</v>
      </c>
      <c r="W297" t="str">
        <f t="shared" si="121"/>
        <v>0.000633575670694242-0.0116791515205815i</v>
      </c>
      <c r="X297">
        <f t="shared" si="122"/>
        <v>-38.63901209303247</v>
      </c>
      <c r="Y297">
        <f t="shared" si="123"/>
        <v>-86.894837400883191</v>
      </c>
      <c r="Z297">
        <f t="shared" si="124"/>
        <v>254647.90894703256</v>
      </c>
      <c r="AA297">
        <f t="shared" ca="1" si="114"/>
        <v>-67.399551259745664</v>
      </c>
      <c r="AB297">
        <f t="shared" ca="1" si="115"/>
        <v>-247.61406665553665</v>
      </c>
    </row>
    <row r="298" spans="1:28" x14ac:dyDescent="0.2">
      <c r="A298">
        <v>1700000</v>
      </c>
      <c r="B298" t="str">
        <f t="shared" si="116"/>
        <v>1700000i</v>
      </c>
      <c r="C298" t="str">
        <f t="shared" ca="1" si="102"/>
        <v>1+44.4770277612032i</v>
      </c>
      <c r="D298" t="str">
        <f t="shared" ca="1" si="103"/>
        <v>1+5.9062550905729i</v>
      </c>
      <c r="E298" t="str">
        <f t="shared" ca="1" si="104"/>
        <v>1+4425.41755837651i</v>
      </c>
      <c r="F298">
        <f t="shared" ca="1" si="105"/>
        <v>39.000923110829653</v>
      </c>
      <c r="G298" t="str">
        <f t="shared" ca="1" si="117"/>
        <v>0.443503496250136+2.30638106657624i</v>
      </c>
      <c r="H298">
        <f t="shared" ca="1" si="118"/>
        <v>7.4163126280370388</v>
      </c>
      <c r="I298">
        <f t="shared" ca="1" si="119"/>
        <v>79.115223361118225</v>
      </c>
      <c r="K298" t="str">
        <f t="shared" ca="1" si="106"/>
        <v>1+44.4770277612032i</v>
      </c>
      <c r="L298" t="str">
        <f t="shared" ca="1" si="107"/>
        <v>1-3.31605241066929i</v>
      </c>
      <c r="M298" t="str">
        <f t="shared" ca="1" si="108"/>
        <v>1+4447.70277612032i</v>
      </c>
      <c r="N298" t="str">
        <f t="shared" si="109"/>
        <v>1+21.1972865895548i</v>
      </c>
      <c r="O298">
        <f t="shared" ca="1" si="110"/>
        <v>22.224473826228223</v>
      </c>
      <c r="P298" t="str">
        <f t="shared" ca="1" si="125"/>
        <v>-0.0344661581990269-0.0113367299239954i</v>
      </c>
      <c r="Q298">
        <f t="shared" ca="1" si="120"/>
        <v>-28.805997528001281</v>
      </c>
      <c r="R298">
        <f t="shared" ca="1" si="126"/>
        <v>-161.79274876158397</v>
      </c>
      <c r="T298" t="str">
        <f t="shared" si="111"/>
        <v>1+129.2i</v>
      </c>
      <c r="U298" t="str">
        <f t="shared" si="112"/>
        <v>1+17i</v>
      </c>
      <c r="V298" t="str">
        <f t="shared" si="113"/>
        <v>-0.00145123839009288i</v>
      </c>
      <c r="W298" t="str">
        <f t="shared" si="121"/>
        <v>0.000561479128856624-0.0109963835806555i</v>
      </c>
      <c r="X298">
        <f t="shared" si="122"/>
        <v>-39.163694374269198</v>
      </c>
      <c r="Y298">
        <f t="shared" si="123"/>
        <v>-87.076996267078187</v>
      </c>
      <c r="Z298">
        <f t="shared" si="124"/>
        <v>270563.40325622208</v>
      </c>
      <c r="AA298">
        <f t="shared" ca="1" si="114"/>
        <v>-67.969691902270483</v>
      </c>
      <c r="AB298">
        <f t="shared" ca="1" si="115"/>
        <v>-248.86974502866215</v>
      </c>
    </row>
    <row r="299" spans="1:28" x14ac:dyDescent="0.2">
      <c r="A299">
        <v>1800000</v>
      </c>
      <c r="B299" t="str">
        <f t="shared" si="116"/>
        <v>1800000i</v>
      </c>
      <c r="C299" t="str">
        <f t="shared" ca="1" si="102"/>
        <v>1+47.0933235118622i</v>
      </c>
      <c r="D299" t="str">
        <f t="shared" ca="1" si="103"/>
        <v>1+6.2536818606066i</v>
      </c>
      <c r="E299" t="str">
        <f t="shared" ca="1" si="104"/>
        <v>1+4685.73623828101i</v>
      </c>
      <c r="F299">
        <f t="shared" ca="1" si="105"/>
        <v>39.000923110829653</v>
      </c>
      <c r="G299" t="str">
        <f t="shared" ca="1" si="117"/>
        <v>0.443503283572185+2.44304709386138i</v>
      </c>
      <c r="H299">
        <f t="shared" ca="1" si="118"/>
        <v>7.8994535691168082</v>
      </c>
      <c r="I299">
        <f t="shared" ca="1" si="119"/>
        <v>79.71075285501415</v>
      </c>
      <c r="K299" t="str">
        <f t="shared" ca="1" si="106"/>
        <v>1+47.0933235118622i</v>
      </c>
      <c r="L299" t="str">
        <f t="shared" ca="1" si="107"/>
        <v>1-3.51111431717925i</v>
      </c>
      <c r="M299" t="str">
        <f t="shared" ca="1" si="108"/>
        <v>1+4709.33235118622i</v>
      </c>
      <c r="N299" t="str">
        <f t="shared" si="109"/>
        <v>1+22.4441858007051i</v>
      </c>
      <c r="O299">
        <f t="shared" ca="1" si="110"/>
        <v>22.224473826228223</v>
      </c>
      <c r="P299" t="str">
        <f t="shared" ca="1" si="125"/>
        <v>-0.0344986388673814-0.010708353412851i</v>
      </c>
      <c r="Q299">
        <f t="shared" ca="1" si="120"/>
        <v>-28.844477587409926</v>
      </c>
      <c r="R299">
        <f t="shared" ca="1" si="126"/>
        <v>-162.75569370959951</v>
      </c>
      <c r="T299" t="str">
        <f t="shared" si="111"/>
        <v>1+136.8i</v>
      </c>
      <c r="U299" t="str">
        <f t="shared" si="112"/>
        <v>1+18i</v>
      </c>
      <c r="V299" t="str">
        <f t="shared" si="113"/>
        <v>-0.00137061403508772i</v>
      </c>
      <c r="W299" t="str">
        <f t="shared" si="121"/>
        <v>0.000501012145748988-0.0103888326585695i</v>
      </c>
      <c r="X299">
        <f t="shared" si="122"/>
        <v>-39.658576108393461</v>
      </c>
      <c r="Y299">
        <f t="shared" si="123"/>
        <v>-87.238991217912044</v>
      </c>
      <c r="Z299">
        <f t="shared" si="124"/>
        <v>286478.89756541164</v>
      </c>
      <c r="AA299">
        <f t="shared" ca="1" si="114"/>
        <v>-68.503053695803388</v>
      </c>
      <c r="AB299">
        <f t="shared" ca="1" si="115"/>
        <v>-249.99468492751157</v>
      </c>
    </row>
    <row r="300" spans="1:28" x14ac:dyDescent="0.2">
      <c r="A300">
        <v>1900000</v>
      </c>
      <c r="B300" t="str">
        <f t="shared" si="116"/>
        <v>1900000i</v>
      </c>
      <c r="C300" t="str">
        <f t="shared" ca="1" si="102"/>
        <v>1+49.7096192625212i</v>
      </c>
      <c r="D300" t="str">
        <f t="shared" ca="1" si="103"/>
        <v>1+6.6011086306403i</v>
      </c>
      <c r="E300" t="str">
        <f t="shared" ca="1" si="104"/>
        <v>1+4946.05491818551i</v>
      </c>
      <c r="F300">
        <f t="shared" ca="1" si="105"/>
        <v>39.000923110829653</v>
      </c>
      <c r="G300" t="str">
        <f t="shared" ca="1" si="117"/>
        <v>0.443503103582842+2.57966216958486i</v>
      </c>
      <c r="H300">
        <f t="shared" ca="1" si="118"/>
        <v>8.3577627514558515</v>
      </c>
      <c r="I300">
        <f t="shared" ca="1" si="119"/>
        <v>80.244907151527642</v>
      </c>
      <c r="K300" t="str">
        <f t="shared" ca="1" si="106"/>
        <v>1+49.7096192625212i</v>
      </c>
      <c r="L300" t="str">
        <f t="shared" ca="1" si="107"/>
        <v>1-3.70617622368921i</v>
      </c>
      <c r="M300" t="str">
        <f t="shared" ca="1" si="108"/>
        <v>1+4970.96192625212i</v>
      </c>
      <c r="N300" t="str">
        <f t="shared" si="109"/>
        <v>1+23.6910850118554i</v>
      </c>
      <c r="O300">
        <f t="shared" ca="1" si="110"/>
        <v>22.224473826228223</v>
      </c>
      <c r="P300" t="str">
        <f t="shared" ca="1" si="125"/>
        <v>-0.0345261393902442-0.0101459123658872i</v>
      </c>
      <c r="Q300">
        <f t="shared" ca="1" si="120"/>
        <v>-28.877322977794133</v>
      </c>
      <c r="R300">
        <f t="shared" ca="1" si="126"/>
        <v>-163.6239541264558</v>
      </c>
      <c r="T300" t="str">
        <f t="shared" si="111"/>
        <v>1+144.4i</v>
      </c>
      <c r="U300" t="str">
        <f t="shared" si="112"/>
        <v>1+19i</v>
      </c>
      <c r="V300" t="str">
        <f t="shared" si="113"/>
        <v>-0.00129847645429363i</v>
      </c>
      <c r="W300" t="str">
        <f t="shared" si="121"/>
        <v>0.000449803722012213-0.00984474717252567i</v>
      </c>
      <c r="X300">
        <f t="shared" si="122"/>
        <v>-40.126851987921349</v>
      </c>
      <c r="Y300">
        <f t="shared" si="123"/>
        <v>-87.383991329608264</v>
      </c>
      <c r="Z300">
        <f t="shared" si="124"/>
        <v>302394.39187460113</v>
      </c>
      <c r="AA300">
        <f t="shared" ca="1" si="114"/>
        <v>-69.004174965715478</v>
      </c>
      <c r="AB300">
        <f t="shared" ca="1" si="115"/>
        <v>-251.00794545606408</v>
      </c>
    </row>
    <row r="301" spans="1:28" x14ac:dyDescent="0.2">
      <c r="A301">
        <v>2000000</v>
      </c>
      <c r="B301" t="str">
        <f t="shared" si="116"/>
        <v>2000000i</v>
      </c>
      <c r="C301" t="str">
        <f t="shared" ca="1" si="102"/>
        <v>1+52.3259150131802i</v>
      </c>
      <c r="D301" t="str">
        <f t="shared" ca="1" si="103"/>
        <v>1+6.948535400674i</v>
      </c>
      <c r="E301" t="str">
        <f t="shared" ca="1" si="104"/>
        <v>1+5206.37359809001i</v>
      </c>
      <c r="F301">
        <f t="shared" ca="1" si="105"/>
        <v>39.000923110829653</v>
      </c>
      <c r="G301" t="str">
        <f t="shared" ca="1" si="117"/>
        <v>0.443502949910859+2.71623393647966i</v>
      </c>
      <c r="H301">
        <f t="shared" ca="1" si="118"/>
        <v>8.7936094565934919</v>
      </c>
      <c r="I301">
        <f t="shared" ca="1" si="119"/>
        <v>80.726654766218658</v>
      </c>
      <c r="K301" t="str">
        <f t="shared" ca="1" si="106"/>
        <v>1+52.3259150131802i</v>
      </c>
      <c r="L301" t="str">
        <f t="shared" ca="1" si="107"/>
        <v>1-3.90123813019917i</v>
      </c>
      <c r="M301" t="str">
        <f t="shared" ca="1" si="108"/>
        <v>1+5232.59150131802i</v>
      </c>
      <c r="N301" t="str">
        <f t="shared" si="109"/>
        <v>1+24.9379842230057i</v>
      </c>
      <c r="O301">
        <f t="shared" ca="1" si="110"/>
        <v>22.224473826228223</v>
      </c>
      <c r="P301" t="str">
        <f t="shared" ca="1" si="125"/>
        <v>-0.0345496276995622-0.00963955513259854i</v>
      </c>
      <c r="Q301">
        <f t="shared" ca="1" si="120"/>
        <v>-28.905571964511534</v>
      </c>
      <c r="R301">
        <f t="shared" ca="1" si="126"/>
        <v>-164.41057611261502</v>
      </c>
      <c r="T301" t="str">
        <f t="shared" si="111"/>
        <v>1+152i</v>
      </c>
      <c r="U301" t="str">
        <f t="shared" si="112"/>
        <v>1+20i</v>
      </c>
      <c r="V301" t="str">
        <f t="shared" si="113"/>
        <v>-0.00123355263157895i</v>
      </c>
      <c r="W301" t="str">
        <f t="shared" si="121"/>
        <v>0.000406057225357658-0.00935469713873212i</v>
      </c>
      <c r="X301">
        <f t="shared" si="122"/>
        <v>-40.57123031527528</v>
      </c>
      <c r="Y301">
        <f t="shared" si="123"/>
        <v>-87.514535253485391</v>
      </c>
      <c r="Z301">
        <f t="shared" si="124"/>
        <v>318309.88618379069</v>
      </c>
      <c r="AA301">
        <f t="shared" ca="1" si="114"/>
        <v>-69.47680227978681</v>
      </c>
      <c r="AB301">
        <f t="shared" ca="1" si="115"/>
        <v>-251.9251113661004</v>
      </c>
    </row>
    <row r="302" spans="1:28" x14ac:dyDescent="0.2">
      <c r="A302">
        <v>2100000</v>
      </c>
      <c r="B302" t="str">
        <f t="shared" si="116"/>
        <v>2100000i</v>
      </c>
      <c r="C302" t="str">
        <f t="shared" ca="1" si="102"/>
        <v>1+54.9422107638392i</v>
      </c>
      <c r="D302" t="str">
        <f t="shared" ca="1" si="103"/>
        <v>1+7.2959621707077i</v>
      </c>
      <c r="E302" t="str">
        <f t="shared" ca="1" si="104"/>
        <v>1+5466.69227799451i</v>
      </c>
      <c r="F302">
        <f t="shared" ca="1" si="105"/>
        <v>39.000923110829653</v>
      </c>
      <c r="G302" t="str">
        <f t="shared" ca="1" si="117"/>
        <v>0.443502817664853+2.85276858152046i</v>
      </c>
      <c r="H302">
        <f t="shared" ca="1" si="118"/>
        <v>9.2090473552140502</v>
      </c>
      <c r="I302">
        <f t="shared" ca="1" si="119"/>
        <v>81.163307265729827</v>
      </c>
      <c r="K302" t="str">
        <f t="shared" ca="1" si="106"/>
        <v>1+54.9422107638392i</v>
      </c>
      <c r="L302" t="str">
        <f t="shared" ca="1" si="107"/>
        <v>1-4.09630003670913i</v>
      </c>
      <c r="M302" t="str">
        <f t="shared" ca="1" si="108"/>
        <v>1+5494.22107638392i</v>
      </c>
      <c r="N302" t="str">
        <f t="shared" si="109"/>
        <v>1+26.1848834341559i</v>
      </c>
      <c r="O302">
        <f t="shared" ca="1" si="110"/>
        <v>22.224473826228223</v>
      </c>
      <c r="P302" t="str">
        <f t="shared" ca="1" si="125"/>
        <v>-0.0345698476105365-0.00918129804027673i</v>
      </c>
      <c r="Q302">
        <f t="shared" ca="1" si="120"/>
        <v>-28.930036344543979</v>
      </c>
      <c r="R302">
        <f t="shared" ca="1" si="126"/>
        <v>-165.1263580749754</v>
      </c>
      <c r="T302" t="str">
        <f t="shared" si="111"/>
        <v>1+159.6i</v>
      </c>
      <c r="U302" t="str">
        <f t="shared" si="112"/>
        <v>1+21i</v>
      </c>
      <c r="V302" t="str">
        <f t="shared" si="113"/>
        <v>-0.00117481203007519i</v>
      </c>
      <c r="W302" t="str">
        <f t="shared" si="121"/>
        <v>0.000368391283638962-0.00891102898649338i</v>
      </c>
      <c r="X302">
        <f t="shared" si="122"/>
        <v>-40.99402675785791</v>
      </c>
      <c r="Y302">
        <f t="shared" si="123"/>
        <v>-87.632680420553129</v>
      </c>
      <c r="Z302">
        <f t="shared" si="124"/>
        <v>334225.38049298024</v>
      </c>
      <c r="AA302">
        <f t="shared" ca="1" si="114"/>
        <v>-69.924063102401888</v>
      </c>
      <c r="AB302">
        <f t="shared" ca="1" si="115"/>
        <v>-252.75903849552853</v>
      </c>
    </row>
    <row r="303" spans="1:28" x14ac:dyDescent="0.2">
      <c r="A303">
        <v>2200000</v>
      </c>
      <c r="B303" t="str">
        <f t="shared" si="116"/>
        <v>2200000i</v>
      </c>
      <c r="C303" t="str">
        <f t="shared" ca="1" si="102"/>
        <v>1+57.5585065144982i</v>
      </c>
      <c r="D303" t="str">
        <f t="shared" ca="1" si="103"/>
        <v>1+7.6433889407414i</v>
      </c>
      <c r="E303" t="str">
        <f t="shared" ca="1" si="104"/>
        <v>1+5727.01095789901i</v>
      </c>
      <c r="F303">
        <f t="shared" ca="1" si="105"/>
        <v>39.000923110829653</v>
      </c>
      <c r="G303" t="str">
        <f t="shared" ca="1" si="117"/>
        <v>0.443502703039208+2.98927116677758i</v>
      </c>
      <c r="H303">
        <f t="shared" ca="1" si="118"/>
        <v>9.6058667332211698</v>
      </c>
      <c r="I303">
        <f t="shared" ca="1" si="119"/>
        <v>81.560883136690535</v>
      </c>
      <c r="K303" t="str">
        <f t="shared" ca="1" si="106"/>
        <v>1+57.5585065144982i</v>
      </c>
      <c r="L303" t="str">
        <f t="shared" ca="1" si="107"/>
        <v>1-4.29136194321909i</v>
      </c>
      <c r="M303" t="str">
        <f t="shared" ca="1" si="108"/>
        <v>1+5755.85065144982i</v>
      </c>
      <c r="N303" t="str">
        <f t="shared" si="109"/>
        <v>1+27.4317826453062i</v>
      </c>
      <c r="O303">
        <f t="shared" ca="1" si="110"/>
        <v>22.224473826228223</v>
      </c>
      <c r="P303" t="str">
        <f t="shared" ca="1" si="125"/>
        <v>-0.0345873783016811-0.00876460301376993i</v>
      </c>
      <c r="Q303">
        <f t="shared" ca="1" si="120"/>
        <v>-28.951357749179497</v>
      </c>
      <c r="R303">
        <f t="shared" ca="1" si="126"/>
        <v>-165.78030606146714</v>
      </c>
      <c r="T303" t="str">
        <f t="shared" si="111"/>
        <v>1+167.2i</v>
      </c>
      <c r="U303" t="str">
        <f t="shared" si="112"/>
        <v>1+22i</v>
      </c>
      <c r="V303" t="str">
        <f t="shared" si="113"/>
        <v>-0.00112141148325359i</v>
      </c>
      <c r="W303" t="str">
        <f t="shared" si="121"/>
        <v>0.000335729788388497-0.00850746682780052i</v>
      </c>
      <c r="X303">
        <f t="shared" si="122"/>
        <v>-41.397236597344772</v>
      </c>
      <c r="Y303">
        <f t="shared" si="123"/>
        <v>-87.740111818778146</v>
      </c>
      <c r="Z303">
        <f t="shared" si="124"/>
        <v>350140.87480216974</v>
      </c>
      <c r="AA303">
        <f t="shared" ca="1" si="114"/>
        <v>-70.348594346524266</v>
      </c>
      <c r="AB303">
        <f t="shared" ca="1" si="115"/>
        <v>-253.5204178802453</v>
      </c>
    </row>
    <row r="304" spans="1:28" x14ac:dyDescent="0.2">
      <c r="A304">
        <v>2300000</v>
      </c>
      <c r="B304" t="str">
        <f t="shared" si="116"/>
        <v>2300000i</v>
      </c>
      <c r="C304" t="str">
        <f t="shared" ca="1" si="102"/>
        <v>1+60.1748022651572i</v>
      </c>
      <c r="D304" t="str">
        <f t="shared" ca="1" si="103"/>
        <v>1+7.9908157107751i</v>
      </c>
      <c r="E304" t="str">
        <f t="shared" ca="1" si="104"/>
        <v>1+5987.32963780351i</v>
      </c>
      <c r="F304">
        <f t="shared" ca="1" si="105"/>
        <v>39.000923110829653</v>
      </c>
      <c r="G304" t="str">
        <f t="shared" ca="1" si="117"/>
        <v>0.443502603037188+3.12574587396142i</v>
      </c>
      <c r="H304">
        <f t="shared" ca="1" si="118"/>
        <v>9.9856366642497782</v>
      </c>
      <c r="I304">
        <f t="shared" ca="1" si="119"/>
        <v>81.924380247285072</v>
      </c>
      <c r="K304" t="str">
        <f t="shared" ca="1" si="106"/>
        <v>1+60.1748022651572i</v>
      </c>
      <c r="L304" t="str">
        <f t="shared" ca="1" si="107"/>
        <v>1-4.48642384972904i</v>
      </c>
      <c r="M304" t="str">
        <f t="shared" ca="1" si="108"/>
        <v>1+6017.48022651572i</v>
      </c>
      <c r="N304" t="str">
        <f t="shared" si="109"/>
        <v>1+28.6786818564565i</v>
      </c>
      <c r="O304">
        <f t="shared" ca="1" si="110"/>
        <v>22.224473826228223</v>
      </c>
      <c r="P304" t="str">
        <f t="shared" ca="1" si="125"/>
        <v>-0.0346026761676252-0.00838406476905589i</v>
      </c>
      <c r="Q304">
        <f t="shared" ca="1" si="120"/>
        <v>-28.970048395073611</v>
      </c>
      <c r="R304">
        <f t="shared" ca="1" si="126"/>
        <v>-166.37998473912387</v>
      </c>
      <c r="T304" t="str">
        <f t="shared" si="111"/>
        <v>1+174.8i</v>
      </c>
      <c r="U304" t="str">
        <f t="shared" si="112"/>
        <v>1+23i</v>
      </c>
      <c r="V304" t="str">
        <f t="shared" si="113"/>
        <v>-0.00107265446224256i</v>
      </c>
      <c r="W304" t="str">
        <f t="shared" si="121"/>
        <v>0.000307224428997019-0.008138816329174i</v>
      </c>
      <c r="X304">
        <f t="shared" si="122"/>
        <v>-41.782591121921271</v>
      </c>
      <c r="Y304">
        <f t="shared" si="123"/>
        <v>-87.83822256123851</v>
      </c>
      <c r="Z304">
        <f t="shared" si="124"/>
        <v>366056.36911135929</v>
      </c>
      <c r="AA304">
        <f t="shared" ca="1" si="114"/>
        <v>-70.75263951699489</v>
      </c>
      <c r="AB304">
        <f t="shared" ca="1" si="115"/>
        <v>-254.21820730036239</v>
      </c>
    </row>
    <row r="305" spans="1:28" x14ac:dyDescent="0.2">
      <c r="A305">
        <v>2400000</v>
      </c>
      <c r="B305" t="str">
        <f t="shared" si="116"/>
        <v>2400000i</v>
      </c>
      <c r="C305" t="str">
        <f t="shared" ca="1" si="102"/>
        <v>1+62.7910980158162i</v>
      </c>
      <c r="D305" t="str">
        <f t="shared" ca="1" si="103"/>
        <v>1+8.3382424808088i</v>
      </c>
      <c r="E305" t="str">
        <f t="shared" ca="1" si="104"/>
        <v>1+6247.64831770801i</v>
      </c>
      <c r="F305">
        <f t="shared" ca="1" si="105"/>
        <v>39.000923110829653</v>
      </c>
      <c r="G305" t="str">
        <f t="shared" ca="1" si="117"/>
        <v>0.443502515273069+3.26219618783078i</v>
      </c>
      <c r="H305">
        <f t="shared" ca="1" si="118"/>
        <v>10.349739281216475</v>
      </c>
      <c r="I305">
        <f t="shared" ca="1" si="119"/>
        <v>82.257982496325923</v>
      </c>
      <c r="K305" t="str">
        <f t="shared" ca="1" si="106"/>
        <v>1+62.7910980158162i</v>
      </c>
      <c r="L305" t="str">
        <f t="shared" ca="1" si="107"/>
        <v>1-4.681485756239i</v>
      </c>
      <c r="M305" t="str">
        <f t="shared" ca="1" si="108"/>
        <v>1+6279.10980158162i</v>
      </c>
      <c r="N305" t="str">
        <f t="shared" si="109"/>
        <v>1+29.9255810676068i</v>
      </c>
      <c r="O305">
        <f t="shared" ca="1" si="110"/>
        <v>22.224473826228223</v>
      </c>
      <c r="P305" t="str">
        <f t="shared" ca="1" si="125"/>
        <v>-0.0346161047695498-0.00803517581218223i</v>
      </c>
      <c r="Q305">
        <f t="shared" ca="1" si="120"/>
        <v>-28.986520969676274</v>
      </c>
      <c r="R305">
        <f t="shared" ca="1" si="126"/>
        <v>-166.93179036372638</v>
      </c>
      <c r="T305" t="str">
        <f t="shared" si="111"/>
        <v>1+182.4i</v>
      </c>
      <c r="U305" t="str">
        <f t="shared" si="112"/>
        <v>1+24i</v>
      </c>
      <c r="V305" t="str">
        <f t="shared" si="113"/>
        <v>-0.00102796052631579i</v>
      </c>
      <c r="W305" t="str">
        <f t="shared" si="121"/>
        <v>0.000282199215543191-0.00780074169935237i</v>
      </c>
      <c r="X305">
        <f t="shared" si="122"/>
        <v>-42.151602154938992</v>
      </c>
      <c r="Y305">
        <f t="shared" si="123"/>
        <v>-87.928174420657285</v>
      </c>
      <c r="Z305">
        <f t="shared" si="124"/>
        <v>381971.86342054885</v>
      </c>
      <c r="AA305">
        <f t="shared" ca="1" si="114"/>
        <v>-71.138123124615262</v>
      </c>
      <c r="AB305">
        <f t="shared" ca="1" si="115"/>
        <v>-254.85996478438366</v>
      </c>
    </row>
    <row r="306" spans="1:28" x14ac:dyDescent="0.2">
      <c r="A306">
        <v>2500000</v>
      </c>
      <c r="B306" t="str">
        <f t="shared" si="116"/>
        <v>2500000i</v>
      </c>
      <c r="C306" t="str">
        <f t="shared" ca="1" si="102"/>
        <v>1+65.4073937664752i</v>
      </c>
      <c r="D306" t="str">
        <f t="shared" ca="1" si="103"/>
        <v>1+8.6856692508425i</v>
      </c>
      <c r="E306" t="str">
        <f t="shared" ca="1" si="104"/>
        <v>1+6507.96699761251i</v>
      </c>
      <c r="F306">
        <f t="shared" ca="1" si="105"/>
        <v>39.000923110829653</v>
      </c>
      <c r="G306" t="str">
        <f t="shared" ca="1" si="117"/>
        <v>0.443502437828516+3.3986250355831i</v>
      </c>
      <c r="H306">
        <f t="shared" ca="1" si="118"/>
        <v>10.69939780559492</v>
      </c>
      <c r="I306">
        <f t="shared" ca="1" si="119"/>
        <v>82.565218403555704</v>
      </c>
      <c r="K306" t="str">
        <f t="shared" ca="1" si="106"/>
        <v>1+65.4073937664752i</v>
      </c>
      <c r="L306" t="str">
        <f t="shared" ca="1" si="107"/>
        <v>1-4.87654766274896i</v>
      </c>
      <c r="M306" t="str">
        <f t="shared" ca="1" si="108"/>
        <v>1+6540.73937664752i</v>
      </c>
      <c r="N306" t="str">
        <f t="shared" si="109"/>
        <v>1+31.1724802787571i</v>
      </c>
      <c r="O306">
        <f t="shared" ca="1" si="110"/>
        <v>22.224473826228223</v>
      </c>
      <c r="P306" t="str">
        <f t="shared" ca="1" si="125"/>
        <v>-0.0346279565989578-0.00771414757682066i</v>
      </c>
      <c r="Q306">
        <f t="shared" ca="1" si="120"/>
        <v>-29.001110817632973</v>
      </c>
      <c r="R306">
        <f t="shared" ca="1" si="126"/>
        <v>-167.44116490415951</v>
      </c>
      <c r="T306" t="str">
        <f t="shared" si="111"/>
        <v>1+190i</v>
      </c>
      <c r="U306" t="str">
        <f t="shared" si="112"/>
        <v>1+25i</v>
      </c>
      <c r="V306" t="str">
        <f t="shared" si="113"/>
        <v>-0.000986842105263158i</v>
      </c>
      <c r="W306" t="str">
        <f t="shared" si="121"/>
        <v>0.000260110139566168-0.00748959559441735i</v>
      </c>
      <c r="X306">
        <f t="shared" si="122"/>
        <v>-42.505597589315187</v>
      </c>
      <c r="Y306">
        <f t="shared" si="123"/>
        <v>-88.010943907229759</v>
      </c>
      <c r="Z306">
        <f t="shared" si="124"/>
        <v>397887.35772973835</v>
      </c>
      <c r="AA306">
        <f t="shared" ca="1" si="114"/>
        <v>-71.506708406948164</v>
      </c>
      <c r="AB306">
        <f t="shared" ca="1" si="115"/>
        <v>-255.45210881138928</v>
      </c>
    </row>
    <row r="307" spans="1:28" x14ac:dyDescent="0.2">
      <c r="A307">
        <v>2600000</v>
      </c>
      <c r="B307" t="str">
        <f t="shared" si="116"/>
        <v>2600000i</v>
      </c>
      <c r="C307" t="str">
        <f t="shared" ca="1" si="102"/>
        <v>1+68.0236895171342i</v>
      </c>
      <c r="D307" t="str">
        <f t="shared" ca="1" si="103"/>
        <v>1+9.0330960208762i</v>
      </c>
      <c r="E307" t="str">
        <f t="shared" ca="1" si="104"/>
        <v>1+6768.28567751701i</v>
      </c>
      <c r="F307">
        <f t="shared" ca="1" si="105"/>
        <v>39.000923110829653</v>
      </c>
      <c r="G307" t="str">
        <f t="shared" ca="1" si="117"/>
        <v>0.44350236914686+3.53503489407779i</v>
      </c>
      <c r="H307">
        <f t="shared" ca="1" si="118"/>
        <v>11.035699615897133</v>
      </c>
      <c r="I307">
        <f t="shared" ca="1" si="119"/>
        <v>82.849084145631707</v>
      </c>
      <c r="K307" t="str">
        <f t="shared" ca="1" si="106"/>
        <v>1+68.0236895171342i</v>
      </c>
      <c r="L307" t="str">
        <f t="shared" ca="1" si="107"/>
        <v>1-5.07160956925892i</v>
      </c>
      <c r="M307" t="str">
        <f t="shared" ca="1" si="108"/>
        <v>1+6802.36895171342i</v>
      </c>
      <c r="N307" t="str">
        <f t="shared" si="109"/>
        <v>1+32.4193794899073i</v>
      </c>
      <c r="O307">
        <f t="shared" ca="1" si="110"/>
        <v>22.224473826228223</v>
      </c>
      <c r="P307" t="str">
        <f t="shared" ca="1" si="125"/>
        <v>-0.0346384691150528-0.00741777266179553i</v>
      </c>
      <c r="Q307">
        <f t="shared" ca="1" si="120"/>
        <v>-29.014092599934472</v>
      </c>
      <c r="R307">
        <f t="shared" ca="1" si="126"/>
        <v>-167.9127653826902</v>
      </c>
      <c r="T307" t="str">
        <f t="shared" si="111"/>
        <v>1+197.6i</v>
      </c>
      <c r="U307" t="str">
        <f t="shared" si="112"/>
        <v>1+26i</v>
      </c>
      <c r="V307" t="str">
        <f t="shared" si="113"/>
        <v>-0.000948886639676113i</v>
      </c>
      <c r="W307" t="str">
        <f t="shared" si="121"/>
        <v>0.00024051543185882-0.00720228786800543i</v>
      </c>
      <c r="X307">
        <f t="shared" si="122"/>
        <v>-42.845750019947928</v>
      </c>
      <c r="Y307">
        <f t="shared" si="123"/>
        <v>-88.087357761245315</v>
      </c>
      <c r="Z307">
        <f t="shared" si="124"/>
        <v>413802.8520389279</v>
      </c>
      <c r="AA307">
        <f t="shared" ca="1" si="114"/>
        <v>-71.8598426198824</v>
      </c>
      <c r="AB307">
        <f t="shared" ca="1" si="115"/>
        <v>-256.00012314393553</v>
      </c>
    </row>
    <row r="308" spans="1:28" x14ac:dyDescent="0.2">
      <c r="A308">
        <v>2700000</v>
      </c>
      <c r="B308" t="str">
        <f t="shared" si="116"/>
        <v>2700000i</v>
      </c>
      <c r="C308" t="str">
        <f t="shared" ca="1" si="102"/>
        <v>1+70.6399852677933i</v>
      </c>
      <c r="D308" t="str">
        <f t="shared" ca="1" si="103"/>
        <v>1+9.3805227909099i</v>
      </c>
      <c r="E308" t="str">
        <f t="shared" ca="1" si="104"/>
        <v>1+7028.60435742151i</v>
      </c>
      <c r="F308">
        <f t="shared" ca="1" si="105"/>
        <v>39.000923110829653</v>
      </c>
      <c r="G308" t="str">
        <f t="shared" ca="1" si="117"/>
        <v>0.443502307954256+3.67142787323219i</v>
      </c>
      <c r="H308">
        <f t="shared" ca="1" si="118"/>
        <v>11.359615349608575</v>
      </c>
      <c r="I308">
        <f t="shared" ca="1" si="119"/>
        <v>83.112139970349531</v>
      </c>
      <c r="K308" t="str">
        <f t="shared" ca="1" si="106"/>
        <v>1+70.6399852677933i</v>
      </c>
      <c r="L308" t="str">
        <f t="shared" ca="1" si="107"/>
        <v>1-5.26667147576888i</v>
      </c>
      <c r="M308" t="str">
        <f t="shared" ca="1" si="108"/>
        <v>1+7063.99852677932i</v>
      </c>
      <c r="N308" t="str">
        <f t="shared" si="109"/>
        <v>1+33.6662787010576i</v>
      </c>
      <c r="O308">
        <f t="shared" ca="1" si="110"/>
        <v>22.224473826228223</v>
      </c>
      <c r="P308" t="str">
        <f t="shared" ca="1" si="125"/>
        <v>-0.0346478367146415-0.00714331756212921i</v>
      </c>
      <c r="Q308">
        <f t="shared" ca="1" si="120"/>
        <v>-29.025692936090653</v>
      </c>
      <c r="R308">
        <f t="shared" ca="1" si="126"/>
        <v>-168.35059884006139</v>
      </c>
      <c r="T308" t="str">
        <f t="shared" si="111"/>
        <v>1+205.2i</v>
      </c>
      <c r="U308" t="str">
        <f t="shared" si="112"/>
        <v>1+27i</v>
      </c>
      <c r="V308" t="str">
        <f t="shared" si="113"/>
        <v>-0.000913742690058479i</v>
      </c>
      <c r="W308" t="str">
        <f t="shared" si="121"/>
        <v>0.000223053352559481-0.00693618320916446i</v>
      </c>
      <c r="X308">
        <f t="shared" si="122"/>
        <v>-43.17310002056761</v>
      </c>
      <c r="Y308">
        <f t="shared" si="123"/>
        <v>-88.158120591384829</v>
      </c>
      <c r="Z308">
        <f t="shared" si="124"/>
        <v>429718.3463481174</v>
      </c>
      <c r="AA308">
        <f t="shared" ca="1" si="114"/>
        <v>-72.198792956658266</v>
      </c>
      <c r="AB308">
        <f t="shared" ca="1" si="115"/>
        <v>-256.50871943144625</v>
      </c>
    </row>
    <row r="309" spans="1:28" x14ac:dyDescent="0.2">
      <c r="A309">
        <v>2800000</v>
      </c>
      <c r="B309" t="str">
        <f t="shared" si="116"/>
        <v>2800000i</v>
      </c>
      <c r="C309" t="str">
        <f t="shared" ca="1" si="102"/>
        <v>1+73.2562810184523i</v>
      </c>
      <c r="D309" t="str">
        <f t="shared" ca="1" si="103"/>
        <v>1+9.7279495609436i</v>
      </c>
      <c r="E309" t="str">
        <f t="shared" ca="1" si="104"/>
        <v>1+7288.92303732601i</v>
      </c>
      <c r="F309">
        <f t="shared" ca="1" si="105"/>
        <v>39.000923110829653</v>
      </c>
      <c r="G309" t="str">
        <f t="shared" ca="1" si="117"/>
        <v>0.443502253200187+3.80780578154692i</v>
      </c>
      <c r="H309">
        <f t="shared" ca="1" si="118"/>
        <v>11.672014813944035</v>
      </c>
      <c r="I309">
        <f t="shared" ca="1" si="119"/>
        <v>83.356586454138707</v>
      </c>
      <c r="K309" t="str">
        <f t="shared" ca="1" si="106"/>
        <v>1+73.2562810184523i</v>
      </c>
      <c r="L309" t="str">
        <f t="shared" ca="1" si="107"/>
        <v>1-5.46173338227884i</v>
      </c>
      <c r="M309" t="str">
        <f t="shared" ca="1" si="108"/>
        <v>1+7325.62810184523i</v>
      </c>
      <c r="N309" t="str">
        <f t="shared" si="109"/>
        <v>1+34.9131779122079i</v>
      </c>
      <c r="O309">
        <f t="shared" ca="1" si="110"/>
        <v>22.224473826228223</v>
      </c>
      <c r="P309" t="str">
        <f t="shared" ca="1" si="125"/>
        <v>-0.034656219771908-0.00688843830267944i</v>
      </c>
      <c r="Q309">
        <f t="shared" ca="1" si="120"/>
        <v>-29.036100093324563</v>
      </c>
      <c r="R309">
        <f t="shared" ca="1" si="126"/>
        <v>-168.75813069766798</v>
      </c>
      <c r="T309" t="str">
        <f t="shared" si="111"/>
        <v>1+212.8i</v>
      </c>
      <c r="U309" t="str">
        <f t="shared" si="112"/>
        <v>1+28i</v>
      </c>
      <c r="V309" t="str">
        <f t="shared" si="113"/>
        <v>-0.000881109022556391i</v>
      </c>
      <c r="W309" t="str">
        <f t="shared" si="121"/>
        <v>0.000207425410660409-0.00668902052104784i</v>
      </c>
      <c r="X309">
        <f t="shared" si="122"/>
        <v>-43.488575222277682</v>
      </c>
      <c r="Y309">
        <f t="shared" si="123"/>
        <v>-88.223836613395292</v>
      </c>
      <c r="Z309">
        <f t="shared" si="124"/>
        <v>445633.84065730695</v>
      </c>
      <c r="AA309">
        <f t="shared" ca="1" si="114"/>
        <v>-72.524675315602252</v>
      </c>
      <c r="AB309">
        <f t="shared" ca="1" si="115"/>
        <v>-256.98196731106327</v>
      </c>
    </row>
    <row r="310" spans="1:28" x14ac:dyDescent="0.2">
      <c r="A310">
        <v>2900000</v>
      </c>
      <c r="B310" t="str">
        <f t="shared" si="116"/>
        <v>2900000i</v>
      </c>
      <c r="C310" t="str">
        <f t="shared" ca="1" si="102"/>
        <v>1+75.8725767691113i</v>
      </c>
      <c r="D310" t="str">
        <f t="shared" ca="1" si="103"/>
        <v>1+10.0753763309773i</v>
      </c>
      <c r="E310" t="str">
        <f t="shared" ca="1" si="104"/>
        <v>1+7549.24171723051i</v>
      </c>
      <c r="F310">
        <f t="shared" ca="1" si="105"/>
        <v>39.000923110829653</v>
      </c>
      <c r="G310" t="str">
        <f t="shared" ca="1" si="117"/>
        <v>0.443502204012081+3.94417017807421i</v>
      </c>
      <c r="H310">
        <f t="shared" ca="1" si="118"/>
        <v>11.973680313509982</v>
      </c>
      <c r="I310">
        <f t="shared" ca="1" si="119"/>
        <v>83.584325339162675</v>
      </c>
      <c r="K310" t="str">
        <f t="shared" ca="1" si="106"/>
        <v>1+75.8725767691113i</v>
      </c>
      <c r="L310" t="str">
        <f t="shared" ca="1" si="107"/>
        <v>1-5.6567952887888i</v>
      </c>
      <c r="M310" t="str">
        <f t="shared" ca="1" si="108"/>
        <v>1+7587.25767691113i</v>
      </c>
      <c r="N310" t="str">
        <f t="shared" si="109"/>
        <v>1+36.1600771233582i</v>
      </c>
      <c r="O310">
        <f t="shared" ca="1" si="110"/>
        <v>22.224473826228223</v>
      </c>
      <c r="P310" t="str">
        <f t="shared" ca="1" si="125"/>
        <v>-0.0346637515398268-0.00665111346797027i</v>
      </c>
      <c r="Q310">
        <f t="shared" ca="1" si="120"/>
        <v>-29.045471481569418</v>
      </c>
      <c r="R310">
        <f t="shared" ca="1" si="126"/>
        <v>-169.13837236946821</v>
      </c>
      <c r="T310" t="str">
        <f t="shared" si="111"/>
        <v>1+220.4i</v>
      </c>
      <c r="U310" t="str">
        <f t="shared" si="112"/>
        <v>1+29i</v>
      </c>
      <c r="V310" t="str">
        <f t="shared" si="113"/>
        <v>-0.000850725952813067i</v>
      </c>
      <c r="W310" t="str">
        <f t="shared" si="121"/>
        <v>0.000193383547943493-0.00645884884317436i</v>
      </c>
      <c r="X310">
        <f t="shared" si="122"/>
        <v>-43.793006069781271</v>
      </c>
      <c r="Y310">
        <f t="shared" si="123"/>
        <v>-88.285026907221052</v>
      </c>
      <c r="Z310">
        <f t="shared" si="124"/>
        <v>461549.33496649651</v>
      </c>
      <c r="AA310">
        <f t="shared" ca="1" si="114"/>
        <v>-72.838477551350692</v>
      </c>
      <c r="AB310">
        <f t="shared" ca="1" si="115"/>
        <v>-257.42339927668928</v>
      </c>
    </row>
    <row r="311" spans="1:28" x14ac:dyDescent="0.2">
      <c r="A311">
        <v>3000000</v>
      </c>
      <c r="B311" t="str">
        <f t="shared" si="116"/>
        <v>3000000i</v>
      </c>
      <c r="C311" t="str">
        <f t="shared" ca="1" si="102"/>
        <v>1+78.4888725197703i</v>
      </c>
      <c r="D311" t="str">
        <f t="shared" ca="1" si="103"/>
        <v>1+10.422803101011i</v>
      </c>
      <c r="E311" t="str">
        <f t="shared" ca="1" si="104"/>
        <v>1+7809.56039713501i</v>
      </c>
      <c r="F311">
        <f t="shared" ca="1" si="105"/>
        <v>39.000923110829653</v>
      </c>
      <c r="G311" t="str">
        <f t="shared" ca="1" si="117"/>
        <v>0.443502159660326+4.08052241399274i</v>
      </c>
      <c r="H311">
        <f t="shared" ca="1" si="118"/>
        <v>12.2653178745731</v>
      </c>
      <c r="I311">
        <f t="shared" ca="1" si="119"/>
        <v>83.797008459345207</v>
      </c>
      <c r="K311" t="str">
        <f t="shared" ca="1" si="106"/>
        <v>1+78.4888725197703i</v>
      </c>
      <c r="L311" t="str">
        <f t="shared" ca="1" si="107"/>
        <v>1-5.85185719529875i</v>
      </c>
      <c r="M311" t="str">
        <f t="shared" ca="1" si="108"/>
        <v>1+7848.88725197703i</v>
      </c>
      <c r="N311" t="str">
        <f t="shared" si="109"/>
        <v>1+37.4069763345085i</v>
      </c>
      <c r="O311">
        <f t="shared" ca="1" si="110"/>
        <v>22.224473826228223</v>
      </c>
      <c r="P311" t="str">
        <f t="shared" ca="1" si="125"/>
        <v>-0.0346705434722334-0.00642959058399394i</v>
      </c>
      <c r="Q311">
        <f t="shared" ca="1" si="120"/>
        <v>-29.053939501615183</v>
      </c>
      <c r="R311">
        <f t="shared" ca="1" si="126"/>
        <v>-169.49395256688598</v>
      </c>
      <c r="T311" t="str">
        <f t="shared" si="111"/>
        <v>1+228i</v>
      </c>
      <c r="U311" t="str">
        <f t="shared" si="112"/>
        <v>1+30i</v>
      </c>
      <c r="V311" t="str">
        <f t="shared" si="113"/>
        <v>-0.000822368421052632i</v>
      </c>
      <c r="W311" t="str">
        <f t="shared" si="121"/>
        <v>0.000180720252351189-0.00624397599158829i</v>
      </c>
      <c r="X311">
        <f t="shared" si="122"/>
        <v>-44.087138925444016</v>
      </c>
      <c r="Y311">
        <f t="shared" si="123"/>
        <v>-88.342143234212571</v>
      </c>
      <c r="Z311">
        <f t="shared" si="124"/>
        <v>477464.829275686</v>
      </c>
      <c r="AA311">
        <f t="shared" ca="1" si="114"/>
        <v>-73.141078427059199</v>
      </c>
      <c r="AB311">
        <f t="shared" ca="1" si="115"/>
        <v>-257.83609580109857</v>
      </c>
    </row>
    <row r="312" spans="1:28" x14ac:dyDescent="0.2">
      <c r="A312">
        <v>3100000</v>
      </c>
      <c r="B312" t="str">
        <f t="shared" si="116"/>
        <v>3100000i</v>
      </c>
      <c r="C312" t="str">
        <f t="shared" ca="1" si="102"/>
        <v>1+81.1051682704293i</v>
      </c>
      <c r="D312" t="str">
        <f t="shared" ca="1" si="103"/>
        <v>1+10.7702298710447i</v>
      </c>
      <c r="E312" t="str">
        <f t="shared" ca="1" si="104"/>
        <v>1+8069.87907703951i</v>
      </c>
      <c r="F312">
        <f t="shared" ca="1" si="105"/>
        <v>39.000923110829653</v>
      </c>
      <c r="G312" t="str">
        <f t="shared" ca="1" si="117"/>
        <v>0.443502119531057+4.21686366613554i</v>
      </c>
      <c r="H312">
        <f t="shared" ca="1" si="118"/>
        <v>12.547566746605641</v>
      </c>
      <c r="I312">
        <f t="shared" ca="1" si="119"/>
        <v>83.99607738305285</v>
      </c>
      <c r="K312" t="str">
        <f t="shared" ca="1" si="106"/>
        <v>1+81.1051682704293i</v>
      </c>
      <c r="L312" t="str">
        <f t="shared" ca="1" si="107"/>
        <v>1-6.04691910180871i</v>
      </c>
      <c r="M312" t="str">
        <f t="shared" ca="1" si="108"/>
        <v>1+8110.51682704293i</v>
      </c>
      <c r="N312" t="str">
        <f t="shared" si="109"/>
        <v>1+38.6538755456588i</v>
      </c>
      <c r="O312">
        <f t="shared" ca="1" si="110"/>
        <v>22.224473826228223</v>
      </c>
      <c r="P312" t="str">
        <f t="shared" ca="1" si="125"/>
        <v>-0.0346766893664081-0.00622234284732779i</v>
      </c>
      <c r="Q312">
        <f t="shared" ca="1" si="120"/>
        <v>-29.06161614550324</v>
      </c>
      <c r="R312">
        <f t="shared" ca="1" si="126"/>
        <v>-169.82717569657751</v>
      </c>
      <c r="T312" t="str">
        <f t="shared" si="111"/>
        <v>1+235.6i</v>
      </c>
      <c r="U312" t="str">
        <f t="shared" si="112"/>
        <v>1+31i</v>
      </c>
      <c r="V312" t="str">
        <f t="shared" si="113"/>
        <v>-0.000795840407470289i</v>
      </c>
      <c r="W312" t="str">
        <f t="shared" si="121"/>
        <v>0.000169260860050334-0.00604292706903063i</v>
      </c>
      <c r="X312">
        <f t="shared" si="122"/>
        <v>-44.371647038925879</v>
      </c>
      <c r="Y312">
        <f t="shared" si="123"/>
        <v>-88.395579188350212</v>
      </c>
      <c r="Z312">
        <f t="shared" si="124"/>
        <v>493380.32358487556</v>
      </c>
      <c r="AA312">
        <f t="shared" ca="1" si="114"/>
        <v>-73.433263184429123</v>
      </c>
      <c r="AB312">
        <f t="shared" ca="1" si="115"/>
        <v>-258.22275488492772</v>
      </c>
    </row>
    <row r="313" spans="1:28" x14ac:dyDescent="0.2">
      <c r="A313">
        <v>3200000</v>
      </c>
      <c r="B313" t="str">
        <f t="shared" si="116"/>
        <v>3200000i</v>
      </c>
      <c r="C313" t="str">
        <f t="shared" ca="1" si="102"/>
        <v>1+83.7214640210883i</v>
      </c>
      <c r="D313" t="str">
        <f t="shared" ca="1" si="103"/>
        <v>1+11.1176566410784i</v>
      </c>
      <c r="E313" t="str">
        <f t="shared" ca="1" si="104"/>
        <v>1+8330.19775694401i</v>
      </c>
      <c r="F313">
        <f t="shared" ca="1" si="105"/>
        <v>39.000923110829653</v>
      </c>
      <c r="G313" t="str">
        <f t="shared" ca="1" si="117"/>
        <v>0.443502083104803+4.3531949642315i</v>
      </c>
      <c r="H313">
        <f t="shared" ca="1" si="118"/>
        <v>12.821007484982704</v>
      </c>
      <c r="I313">
        <f t="shared" ca="1" si="119"/>
        <v>84.182795759510853</v>
      </c>
      <c r="K313" t="str">
        <f t="shared" ca="1" si="106"/>
        <v>1+83.7214640210883i</v>
      </c>
      <c r="L313" t="str">
        <f t="shared" ca="1" si="107"/>
        <v>1-6.24198100831867i</v>
      </c>
      <c r="M313" t="str">
        <f t="shared" ca="1" si="108"/>
        <v>1+8372.14640210883i</v>
      </c>
      <c r="N313" t="str">
        <f t="shared" si="109"/>
        <v>1+39.900774756809i</v>
      </c>
      <c r="O313">
        <f t="shared" ca="1" si="110"/>
        <v>22.224473826228223</v>
      </c>
      <c r="P313" t="str">
        <f t="shared" ca="1" si="125"/>
        <v>-0.0346822686156681-0.00602803394532002i</v>
      </c>
      <c r="Q313">
        <f t="shared" ca="1" si="120"/>
        <v>-29.068596643129645</v>
      </c>
      <c r="R313">
        <f t="shared" ca="1" si="126"/>
        <v>-170.14006997227673</v>
      </c>
      <c r="T313" t="str">
        <f t="shared" si="111"/>
        <v>1+243.2i</v>
      </c>
      <c r="U313" t="str">
        <f t="shared" si="112"/>
        <v>1+32i</v>
      </c>
      <c r="V313" t="str">
        <f t="shared" si="113"/>
        <v>-0.000770970394736842i</v>
      </c>
      <c r="W313" t="str">
        <f t="shared" si="121"/>
        <v>0.000158857509627728-0.00585441070282413i</v>
      </c>
      <c r="X313">
        <f t="shared" si="122"/>
        <v>-44.647139786029456</v>
      </c>
      <c r="Y313">
        <f t="shared" si="123"/>
        <v>-88.445679262690419</v>
      </c>
      <c r="Z313">
        <f t="shared" si="124"/>
        <v>509295.81789406511</v>
      </c>
      <c r="AA313">
        <f t="shared" ca="1" si="114"/>
        <v>-73.715736429159108</v>
      </c>
      <c r="AB313">
        <f t="shared" ca="1" si="115"/>
        <v>-258.58574923496712</v>
      </c>
    </row>
    <row r="314" spans="1:28" x14ac:dyDescent="0.2">
      <c r="A314">
        <v>3300000</v>
      </c>
      <c r="B314" t="str">
        <f t="shared" si="116"/>
        <v>3300000i</v>
      </c>
      <c r="C314" t="str">
        <f t="shared" ca="1" si="102"/>
        <v>1+86.3377597717473i</v>
      </c>
      <c r="D314" t="str">
        <f t="shared" ca="1" si="103"/>
        <v>1+11.4650834111121i</v>
      </c>
      <c r="E314" t="str">
        <f t="shared" ca="1" si="104"/>
        <v>1+8590.51643684851i</v>
      </c>
      <c r="F314">
        <f t="shared" ca="1" si="105"/>
        <v>39.000923110829653</v>
      </c>
      <c r="G314" t="str">
        <f t="shared" ca="1" si="117"/>
        <v>0.443502049939588+4.48951721319394i</v>
      </c>
      <c r="H314">
        <f t="shared" ca="1" si="118"/>
        <v>13.086168858811318</v>
      </c>
      <c r="I314">
        <f t="shared" ca="1" si="119"/>
        <v>84.358275885482598</v>
      </c>
      <c r="K314" t="str">
        <f t="shared" ca="1" si="106"/>
        <v>1+86.3377597717473i</v>
      </c>
      <c r="L314" t="str">
        <f t="shared" ca="1" si="107"/>
        <v>1-6.43704291482863i</v>
      </c>
      <c r="M314" t="str">
        <f t="shared" ca="1" si="108"/>
        <v>1+8633.77597717473i</v>
      </c>
      <c r="N314" t="str">
        <f t="shared" si="109"/>
        <v>1+41.1476739679593i</v>
      </c>
      <c r="O314">
        <f t="shared" ca="1" si="110"/>
        <v>22.224473826228223</v>
      </c>
      <c r="P314" t="str">
        <f t="shared" ca="1" si="125"/>
        <v>-0.0346873487839231-0.00584548925618789i</v>
      </c>
      <c r="Q314">
        <f t="shared" ca="1" si="120"/>
        <v>-29.074962373652827</v>
      </c>
      <c r="R314">
        <f t="shared" ca="1" si="126"/>
        <v>-170.43442727628036</v>
      </c>
      <c r="T314" t="str">
        <f t="shared" si="111"/>
        <v>1+250.8i</v>
      </c>
      <c r="U314" t="str">
        <f t="shared" si="112"/>
        <v>1+33i</v>
      </c>
      <c r="V314" t="str">
        <f t="shared" si="113"/>
        <v>-0.000747607655502392i</v>
      </c>
      <c r="W314" t="str">
        <f t="shared" si="121"/>
        <v>0.000149384355383873-0.00567729138317018i</v>
      </c>
      <c r="X314">
        <f t="shared" si="122"/>
        <v>-44.914170494155201</v>
      </c>
      <c r="Y314">
        <f t="shared" si="123"/>
        <v>-88.492746271856447</v>
      </c>
      <c r="Z314">
        <f t="shared" si="124"/>
        <v>525211.31220325467</v>
      </c>
      <c r="AA314">
        <f t="shared" ca="1" si="114"/>
        <v>-73.989132867808024</v>
      </c>
      <c r="AB314">
        <f t="shared" ca="1" si="115"/>
        <v>-258.92717354813681</v>
      </c>
    </row>
    <row r="315" spans="1:28" x14ac:dyDescent="0.2">
      <c r="A315">
        <v>3400000</v>
      </c>
      <c r="B315" t="str">
        <f t="shared" si="116"/>
        <v>3400000i</v>
      </c>
      <c r="C315" t="str">
        <f t="shared" ca="1" si="102"/>
        <v>1+88.9540555224063i</v>
      </c>
      <c r="D315" t="str">
        <f t="shared" ca="1" si="103"/>
        <v>1+11.8125101811458i</v>
      </c>
      <c r="E315" t="str">
        <f t="shared" ca="1" si="104"/>
        <v>1+8850.83511675301i</v>
      </c>
      <c r="F315">
        <f t="shared" ca="1" si="105"/>
        <v>39.000923110829653</v>
      </c>
      <c r="G315" t="str">
        <f t="shared" ca="1" si="117"/>
        <v>0.443502019657459+4.62583121147576i</v>
      </c>
      <c r="H315">
        <f t="shared" ca="1" si="118"/>
        <v>13.343533780892274</v>
      </c>
      <c r="I315">
        <f t="shared" ca="1" si="119"/>
        <v>84.523500659668343</v>
      </c>
      <c r="K315" t="str">
        <f t="shared" ca="1" si="106"/>
        <v>1+88.9540555224063i</v>
      </c>
      <c r="L315" t="str">
        <f t="shared" ca="1" si="107"/>
        <v>1-6.63210482133859i</v>
      </c>
      <c r="M315" t="str">
        <f t="shared" ca="1" si="108"/>
        <v>1+8895.40555224063i</v>
      </c>
      <c r="N315" t="str">
        <f t="shared" si="109"/>
        <v>1+42.3945731791096i</v>
      </c>
      <c r="O315">
        <f t="shared" ca="1" si="110"/>
        <v>22.224473826228223</v>
      </c>
      <c r="P315" t="str">
        <f t="shared" ca="1" si="125"/>
        <v>-0.034691987659025-0.00567367211920362i</v>
      </c>
      <c r="Q315">
        <f t="shared" ca="1" si="120"/>
        <v>-29.080783205723417</v>
      </c>
      <c r="R315">
        <f t="shared" ca="1" si="126"/>
        <v>-170.71183636231456</v>
      </c>
      <c r="T315" t="str">
        <f t="shared" si="111"/>
        <v>1+258.4i</v>
      </c>
      <c r="U315" t="str">
        <f t="shared" si="112"/>
        <v>1+34i</v>
      </c>
      <c r="V315" t="str">
        <f t="shared" si="113"/>
        <v>-0.00072561919504644i</v>
      </c>
      <c r="W315" t="str">
        <f t="shared" si="121"/>
        <v>0.000140733748805895-0.00551056665444689i</v>
      </c>
      <c r="X315">
        <f t="shared" si="122"/>
        <v>-45.173243105920221</v>
      </c>
      <c r="Y315">
        <f t="shared" si="123"/>
        <v>-88.537047468026742</v>
      </c>
      <c r="Z315">
        <f t="shared" si="124"/>
        <v>541126.80651244416</v>
      </c>
      <c r="AA315">
        <f t="shared" ca="1" si="114"/>
        <v>-74.254026311643642</v>
      </c>
      <c r="AB315">
        <f t="shared" ca="1" si="115"/>
        <v>-259.2488838303413</v>
      </c>
    </row>
    <row r="316" spans="1:28" x14ac:dyDescent="0.2">
      <c r="A316">
        <v>3500000</v>
      </c>
      <c r="B316" t="str">
        <f t="shared" si="116"/>
        <v>3500000i</v>
      </c>
      <c r="C316" t="str">
        <f t="shared" ca="1" si="102"/>
        <v>1+91.5703512730653i</v>
      </c>
      <c r="D316" t="str">
        <f t="shared" ca="1" si="103"/>
        <v>1+12.1599369511795i</v>
      </c>
      <c r="E316" t="str">
        <f t="shared" ca="1" si="104"/>
        <v>1+9111.15379665751i</v>
      </c>
      <c r="F316">
        <f t="shared" ca="1" si="105"/>
        <v>39.000923110829653</v>
      </c>
      <c r="G316" t="str">
        <f t="shared" ca="1" si="117"/>
        <v>0.443501991933677+4.76213766627812i</v>
      </c>
      <c r="H316">
        <f t="shared" ca="1" si="118"/>
        <v>13.593544419757615</v>
      </c>
      <c r="I316">
        <f t="shared" ca="1" si="119"/>
        <v>84.679341830884553</v>
      </c>
      <c r="K316" t="str">
        <f t="shared" ca="1" si="106"/>
        <v>1+91.5703512730653i</v>
      </c>
      <c r="L316" t="str">
        <f t="shared" ca="1" si="107"/>
        <v>1-6.82716672784855i</v>
      </c>
      <c r="M316" t="str">
        <f t="shared" ca="1" si="108"/>
        <v>1+9157.03512730653i</v>
      </c>
      <c r="N316" t="str">
        <f t="shared" si="109"/>
        <v>1+43.6414723902599i</v>
      </c>
      <c r="O316">
        <f t="shared" ca="1" si="110"/>
        <v>22.224473826228223</v>
      </c>
      <c r="P316" t="str">
        <f t="shared" ca="1" si="125"/>
        <v>-0.0346962349020761-0.00551166416362422i</v>
      </c>
      <c r="Q316">
        <f t="shared" ca="1" si="120"/>
        <v>-29.086119390657636</v>
      </c>
      <c r="R316">
        <f t="shared" ca="1" si="126"/>
        <v>-170.97371065274027</v>
      </c>
      <c r="T316" t="str">
        <f t="shared" si="111"/>
        <v>1+266i</v>
      </c>
      <c r="U316" t="str">
        <f t="shared" si="112"/>
        <v>1+35i</v>
      </c>
      <c r="V316" t="str">
        <f t="shared" si="113"/>
        <v>-0.000704887218045113i</v>
      </c>
      <c r="W316" t="str">
        <f t="shared" si="121"/>
        <v>0.00013281317077359-0.00535334819512075i</v>
      </c>
      <c r="X316">
        <f t="shared" si="122"/>
        <v>-45.424817881809183</v>
      </c>
      <c r="Y316">
        <f t="shared" si="123"/>
        <v>-88.578819610990351</v>
      </c>
      <c r="Z316">
        <f t="shared" si="124"/>
        <v>557042.30082163366</v>
      </c>
      <c r="AA316">
        <f t="shared" ca="1" si="114"/>
        <v>-74.510937272466819</v>
      </c>
      <c r="AB316">
        <f t="shared" ca="1" si="115"/>
        <v>-259.5525302637306</v>
      </c>
    </row>
    <row r="317" spans="1:28" x14ac:dyDescent="0.2">
      <c r="A317">
        <v>3600000</v>
      </c>
      <c r="B317" t="str">
        <f t="shared" si="116"/>
        <v>3600000i</v>
      </c>
      <c r="C317" t="str">
        <f t="shared" ca="1" si="102"/>
        <v>1+94.1866470237243i</v>
      </c>
      <c r="D317" t="str">
        <f t="shared" ca="1" si="103"/>
        <v>1+12.5073637212132i</v>
      </c>
      <c r="E317" t="str">
        <f t="shared" ca="1" si="104"/>
        <v>1+9371.47247656201i</v>
      </c>
      <c r="F317">
        <f t="shared" ca="1" si="105"/>
        <v>39.000923110829653</v>
      </c>
      <c r="G317" t="str">
        <f t="shared" ca="1" si="117"/>
        <v>0.443501966487968+4.89843720622428i</v>
      </c>
      <c r="H317">
        <f t="shared" ca="1" si="118"/>
        <v>13.836606624327541</v>
      </c>
      <c r="I317">
        <f t="shared" ca="1" si="119"/>
        <v>84.826575248608719</v>
      </c>
      <c r="K317" t="str">
        <f t="shared" ca="1" si="106"/>
        <v>1+94.1866470237243i</v>
      </c>
      <c r="L317" t="str">
        <f t="shared" ca="1" si="107"/>
        <v>1-7.0222286343585i</v>
      </c>
      <c r="M317" t="str">
        <f t="shared" ca="1" si="108"/>
        <v>1+9418.66470237243i</v>
      </c>
      <c r="N317" t="str">
        <f t="shared" si="109"/>
        <v>1+44.8883716014102i</v>
      </c>
      <c r="O317">
        <f t="shared" ca="1" si="110"/>
        <v>22.224473826228223</v>
      </c>
      <c r="P317" t="str">
        <f t="shared" ca="1" si="125"/>
        <v>-0.0347001333810596-0.00535864890912686i</v>
      </c>
      <c r="Q317">
        <f t="shared" ca="1" si="120"/>
        <v>-29.091023103233951</v>
      </c>
      <c r="R317">
        <f t="shared" ca="1" si="126"/>
        <v>-171.22131162264429</v>
      </c>
      <c r="T317" t="str">
        <f t="shared" si="111"/>
        <v>1+273.6i</v>
      </c>
      <c r="U317" t="str">
        <f t="shared" si="112"/>
        <v>1+36i</v>
      </c>
      <c r="V317" t="str">
        <f t="shared" si="113"/>
        <v>-0.00068530701754386i</v>
      </c>
      <c r="W317" t="str">
        <f t="shared" si="121"/>
        <v>0.000125542750476809-0.00520484603470898i</v>
      </c>
      <c r="X317">
        <f t="shared" si="122"/>
        <v>-45.669316303373407</v>
      </c>
      <c r="Y317">
        <f t="shared" si="123"/>
        <v>-88.618273195108884</v>
      </c>
      <c r="Z317">
        <f t="shared" si="124"/>
        <v>572957.79513082327</v>
      </c>
      <c r="AA317">
        <f t="shared" ca="1" si="114"/>
        <v>-74.760339406607358</v>
      </c>
      <c r="AB317">
        <f t="shared" ca="1" si="115"/>
        <v>-259.83958481775318</v>
      </c>
    </row>
    <row r="318" spans="1:28" x14ac:dyDescent="0.2">
      <c r="A318">
        <v>3700000</v>
      </c>
      <c r="B318" t="str">
        <f t="shared" si="116"/>
        <v>3700000i</v>
      </c>
      <c r="C318" t="str">
        <f t="shared" ca="1" si="102"/>
        <v>1+96.8029427743834i</v>
      </c>
      <c r="D318" t="str">
        <f t="shared" ca="1" si="103"/>
        <v>1+12.8547904912469i</v>
      </c>
      <c r="E318" t="str">
        <f t="shared" ca="1" si="104"/>
        <v>1+9631.79115646651i</v>
      </c>
      <c r="F318">
        <f t="shared" ca="1" si="105"/>
        <v>39.000923110829653</v>
      </c>
      <c r="G318" t="str">
        <f t="shared" ca="1" si="117"/>
        <v>0.443501943077412+5.03473039197825i</v>
      </c>
      <c r="H318">
        <f t="shared" ca="1" si="118"/>
        <v>14.073093768281579</v>
      </c>
      <c r="I318">
        <f t="shared" ca="1" si="119"/>
        <v>84.965893674045986</v>
      </c>
      <c r="K318" t="str">
        <f t="shared" ca="1" si="106"/>
        <v>1+96.8029427743834i</v>
      </c>
      <c r="L318" t="str">
        <f t="shared" ca="1" si="107"/>
        <v>1-7.21729054086846i</v>
      </c>
      <c r="M318" t="str">
        <f t="shared" ca="1" si="108"/>
        <v>1+9680.29427743833i</v>
      </c>
      <c r="N318" t="str">
        <f t="shared" si="109"/>
        <v>1+46.1352708125605i</v>
      </c>
      <c r="O318">
        <f t="shared" ca="1" si="110"/>
        <v>22.224473826228223</v>
      </c>
      <c r="P318" t="str">
        <f t="shared" ca="1" si="125"/>
        <v>-0.0347037202559908-0.00521389802026701i</v>
      </c>
      <c r="Q318">
        <f t="shared" ca="1" si="120"/>
        <v>-29.095539702891365</v>
      </c>
      <c r="R318">
        <f t="shared" ca="1" si="126"/>
        <v>-171.45576856184172</v>
      </c>
      <c r="T318" t="str">
        <f t="shared" si="111"/>
        <v>1+281.2i</v>
      </c>
      <c r="U318" t="str">
        <f t="shared" si="112"/>
        <v>1+37i</v>
      </c>
      <c r="V318" t="str">
        <f t="shared" si="113"/>
        <v>-0.00066678520625889i</v>
      </c>
      <c r="W318" t="str">
        <f t="shared" si="121"/>
        <v>0.000118853246254322-0.0050643553176688i</v>
      </c>
      <c r="X318">
        <f t="shared" si="122"/>
        <v>-45.907125307709016</v>
      </c>
      <c r="Y318">
        <f t="shared" si="123"/>
        <v>-88.655595992291964</v>
      </c>
      <c r="Z318">
        <f t="shared" si="124"/>
        <v>588873.28944001277</v>
      </c>
      <c r="AA318">
        <f t="shared" ca="1" si="114"/>
        <v>-75.002665010600381</v>
      </c>
      <c r="AB318">
        <f t="shared" ca="1" si="115"/>
        <v>-260.11136455413367</v>
      </c>
    </row>
    <row r="319" spans="1:28" x14ac:dyDescent="0.2">
      <c r="A319">
        <v>3800000</v>
      </c>
      <c r="B319" t="str">
        <f t="shared" si="116"/>
        <v>3800000i</v>
      </c>
      <c r="C319" t="str">
        <f t="shared" ca="1" si="102"/>
        <v>1+99.4192385250424i</v>
      </c>
      <c r="D319" t="str">
        <f t="shared" ca="1" si="103"/>
        <v>1+13.2022172612806i</v>
      </c>
      <c r="E319" t="str">
        <f t="shared" ca="1" si="104"/>
        <v>1+9892.10983637101i</v>
      </c>
      <c r="F319">
        <f t="shared" ca="1" si="105"/>
        <v>39.000923110829653</v>
      </c>
      <c r="G319" t="str">
        <f t="shared" ca="1" si="117"/>
        <v>0.443501921490629+5.17101772518674i</v>
      </c>
      <c r="H319">
        <f t="shared" ca="1" si="118"/>
        <v>14.303350102433676</v>
      </c>
      <c r="I319">
        <f t="shared" ca="1" si="119"/>
        <v>85.09791759438049</v>
      </c>
      <c r="K319" t="str">
        <f t="shared" ca="1" si="106"/>
        <v>1+99.4192385250424i</v>
      </c>
      <c r="L319" t="str">
        <f t="shared" ca="1" si="107"/>
        <v>1-7.41235244737842i</v>
      </c>
      <c r="M319" t="str">
        <f t="shared" ca="1" si="108"/>
        <v>1+9941.92385250423i</v>
      </c>
      <c r="N319" t="str">
        <f t="shared" si="109"/>
        <v>1+47.3821700237107i</v>
      </c>
      <c r="O319">
        <f t="shared" ca="1" si="110"/>
        <v>22.224473826228223</v>
      </c>
      <c r="P319" t="str">
        <f t="shared" ca="1" si="125"/>
        <v>-0.0347070278671148-0.00507675972714416i</v>
      </c>
      <c r="Q319">
        <f t="shared" ca="1" si="120"/>
        <v>-29.099708771674525</v>
      </c>
      <c r="R319">
        <f t="shared" ca="1" si="126"/>
        <v>-171.67809534886632</v>
      </c>
      <c r="T319" t="str">
        <f t="shared" si="111"/>
        <v>1+288.8i</v>
      </c>
      <c r="U319" t="str">
        <f t="shared" si="112"/>
        <v>1+38i</v>
      </c>
      <c r="V319" t="str">
        <f t="shared" si="113"/>
        <v>-0.000649238227146814i</v>
      </c>
      <c r="W319" t="str">
        <f t="shared" si="121"/>
        <v>0.000112684392642506-0.00493124514756204i</v>
      </c>
      <c r="X319">
        <f t="shared" si="122"/>
        <v>-46.138600959680609</v>
      </c>
      <c r="Y319">
        <f t="shared" si="123"/>
        <v>-88.690956036688149</v>
      </c>
      <c r="Z319">
        <f t="shared" si="124"/>
        <v>604788.78374920227</v>
      </c>
      <c r="AA319">
        <f t="shared" ca="1" si="114"/>
        <v>-75.23830973135513</v>
      </c>
      <c r="AB319">
        <f t="shared" ca="1" si="115"/>
        <v>-260.36905138555449</v>
      </c>
    </row>
    <row r="320" spans="1:28" x14ac:dyDescent="0.2">
      <c r="A320">
        <v>3900000</v>
      </c>
      <c r="B320" t="str">
        <f t="shared" si="116"/>
        <v>3900000i</v>
      </c>
      <c r="C320" t="str">
        <f t="shared" ca="1" si="102"/>
        <v>1+102.035534275701i</v>
      </c>
      <c r="D320" t="str">
        <f t="shared" ca="1" si="103"/>
        <v>1+13.5496440313143i</v>
      </c>
      <c r="E320" t="str">
        <f t="shared" ca="1" si="104"/>
        <v>1+10152.4285162755i</v>
      </c>
      <c r="F320">
        <f t="shared" ca="1" si="105"/>
        <v>39.000923110829653</v>
      </c>
      <c r="G320" t="str">
        <f t="shared" ca="1" si="117"/>
        <v>0.443501901542983+5.30729965604553i</v>
      </c>
      <c r="H320">
        <f t="shared" ca="1" si="118"/>
        <v>14.527693688242781</v>
      </c>
      <c r="I320">
        <f t="shared" ca="1" si="119"/>
        <v>85.22320439354354</v>
      </c>
      <c r="K320" t="str">
        <f t="shared" ca="1" si="106"/>
        <v>1+102.035534275701i</v>
      </c>
      <c r="L320" t="str">
        <f t="shared" ca="1" si="107"/>
        <v>1-7.60741435388838i</v>
      </c>
      <c r="M320" t="str">
        <f t="shared" ca="1" si="108"/>
        <v>1+10203.5534275701i</v>
      </c>
      <c r="N320" t="str">
        <f t="shared" si="109"/>
        <v>1+48.629069234861i</v>
      </c>
      <c r="O320">
        <f t="shared" ca="1" si="110"/>
        <v>22.224473826228223</v>
      </c>
      <c r="P320" t="str">
        <f t="shared" ca="1" si="125"/>
        <v>-0.0347100844659674-0.00494664902428416i</v>
      </c>
      <c r="Q320">
        <f t="shared" ca="1" si="120"/>
        <v>-29.103564972846851</v>
      </c>
      <c r="R320">
        <f t="shared" ca="1" si="126"/>
        <v>-171.88920474803632</v>
      </c>
      <c r="T320" t="str">
        <f t="shared" si="111"/>
        <v>1+296.4i</v>
      </c>
      <c r="U320" t="str">
        <f t="shared" si="112"/>
        <v>1+39i</v>
      </c>
      <c r="V320" t="str">
        <f t="shared" si="113"/>
        <v>-0.000632591093117409i</v>
      </c>
      <c r="W320" t="str">
        <f t="shared" si="121"/>
        <v>0.000106983539663877-0.00480494914000862i</v>
      </c>
      <c r="X320">
        <f t="shared" si="122"/>
        <v>-46.364071649106322</v>
      </c>
      <c r="Y320">
        <f t="shared" si="123"/>
        <v>-88.724504151072523</v>
      </c>
      <c r="Z320">
        <f t="shared" si="124"/>
        <v>620704.27805839188</v>
      </c>
      <c r="AA320">
        <f t="shared" ca="1" si="114"/>
        <v>-75.467636621953176</v>
      </c>
      <c r="AB320">
        <f t="shared" ca="1" si="115"/>
        <v>-260.61370889910881</v>
      </c>
    </row>
    <row r="321" spans="1:28" x14ac:dyDescent="0.2">
      <c r="A321">
        <v>4000000</v>
      </c>
      <c r="B321" t="str">
        <f t="shared" si="116"/>
        <v>4000000i</v>
      </c>
      <c r="C321" t="str">
        <f t="shared" ca="1" si="102"/>
        <v>1+104.65183002636i</v>
      </c>
      <c r="D321" t="str">
        <f t="shared" ca="1" si="103"/>
        <v>1+13.897070801348i</v>
      </c>
      <c r="E321" t="str">
        <f t="shared" ca="1" si="104"/>
        <v>1+10412.74719618i</v>
      </c>
      <c r="F321">
        <f t="shared" ca="1" si="105"/>
        <v>39.000923110829653</v>
      </c>
      <c r="G321" t="str">
        <f t="shared" ca="1" si="117"/>
        <v>0.44350188307263+5.44357658973085i</v>
      </c>
      <c r="H321">
        <f t="shared" ca="1" si="118"/>
        <v>14.746418973309046</v>
      </c>
      <c r="I321">
        <f t="shared" ca="1" si="119"/>
        <v>85.342256163249615</v>
      </c>
      <c r="K321" t="str">
        <f t="shared" ca="1" si="106"/>
        <v>1+104.65183002636i</v>
      </c>
      <c r="L321" t="str">
        <f t="shared" ca="1" si="107"/>
        <v>1-7.80247626039834i</v>
      </c>
      <c r="M321" t="str">
        <f t="shared" ca="1" si="108"/>
        <v>1+10465.183002636i</v>
      </c>
      <c r="N321" t="str">
        <f t="shared" si="109"/>
        <v>1+49.8759684460113i</v>
      </c>
      <c r="O321">
        <f t="shared" ca="1" si="110"/>
        <v>22.224473826228223</v>
      </c>
      <c r="P321" t="str">
        <f t="shared" ca="1" si="125"/>
        <v>-0.0347129148202806-0.00482303933716922i</v>
      </c>
      <c r="Q321">
        <f t="shared" ca="1" si="120"/>
        <v>-29.107138764632793</v>
      </c>
      <c r="R321">
        <f t="shared" ca="1" si="126"/>
        <v>-172.08992064373066</v>
      </c>
      <c r="T321" t="str">
        <f t="shared" si="111"/>
        <v>1+304i</v>
      </c>
      <c r="U321" t="str">
        <f t="shared" si="112"/>
        <v>1+40i</v>
      </c>
      <c r="V321" t="str">
        <f t="shared" si="113"/>
        <v>-0.000616776315789474i</v>
      </c>
      <c r="W321" t="str">
        <f t="shared" si="121"/>
        <v>0.000101704526776028-0.0046849573868306i</v>
      </c>
      <c r="X321">
        <f t="shared" si="122"/>
        <v>-46.583840884742571</v>
      </c>
      <c r="Y321">
        <f t="shared" si="123"/>
        <v>-88.756376094965205</v>
      </c>
      <c r="Z321">
        <f t="shared" si="124"/>
        <v>636619.77236758138</v>
      </c>
      <c r="AA321">
        <f t="shared" ca="1" si="114"/>
        <v>-75.690979649375365</v>
      </c>
      <c r="AB321">
        <f t="shared" ca="1" si="115"/>
        <v>-260.84629673869586</v>
      </c>
    </row>
    <row r="322" spans="1:28" x14ac:dyDescent="0.2">
      <c r="A322">
        <v>4100000</v>
      </c>
      <c r="B322" t="str">
        <f t="shared" si="116"/>
        <v>4100000i</v>
      </c>
      <c r="C322" t="str">
        <f t="shared" ref="C322:C381" ca="1" si="127">IMSUM(1,IMDIV(B322,CcmWz1))</f>
        <v>1+107.268125777019i</v>
      </c>
      <c r="D322" t="str">
        <f t="shared" ref="D322:D381" ca="1" si="128">IMSUM(1,IMDIV(B322,CcmWz2))</f>
        <v>1+14.2444975713817i</v>
      </c>
      <c r="E322" t="str">
        <f t="shared" ref="E322:E381" ca="1" si="129">IMSUM(1,IMDIV(B322,CcmWp1))</f>
        <v>1+10673.0658760845i</v>
      </c>
      <c r="F322">
        <f t="shared" ref="F322:F381" ca="1" si="130">CcmGo</f>
        <v>39.000923110829653</v>
      </c>
      <c r="G322" t="str">
        <f t="shared" ca="1" si="117"/>
        <v>0.443501865937215+5.57984889188953i</v>
      </c>
      <c r="H322">
        <f t="shared" ca="1" si="118"/>
        <v>14.959799059708255</v>
      </c>
      <c r="I322">
        <f t="shared" ca="1" si="119"/>
        <v>85.45552638349281</v>
      </c>
      <c r="K322" t="str">
        <f t="shared" ref="K322:K381" ca="1" si="131">IMSUM(1,IMDIV(B322,DcmWz1))</f>
        <v>1+107.268125777019i</v>
      </c>
      <c r="L322" t="str">
        <f t="shared" ref="L322:L381" ca="1" si="132">IMSUB(1,IMDIV($B322,DcmWz2))</f>
        <v>1-7.9975381669083i</v>
      </c>
      <c r="M322" t="str">
        <f t="shared" ref="M322:M381" ca="1" si="133">IMSUM(1,IMDIV($B322,DcmWp1))</f>
        <v>1+10726.8125777019i</v>
      </c>
      <c r="N322" t="str">
        <f t="shared" ref="N322:N381" si="134">IMSUM(1,IMDIV($B322,DcmWp2))</f>
        <v>1+51.1228676571616i</v>
      </c>
      <c r="O322">
        <f t="shared" ref="O322:O381" ca="1" si="135">DcmGo</f>
        <v>22.224473826228223</v>
      </c>
      <c r="P322" t="str">
        <f t="shared" ca="1" si="125"/>
        <v>-0.0347155407170075-0.00470545540631465i</v>
      </c>
      <c r="Q322">
        <f t="shared" ca="1" si="120"/>
        <v>-29.110456996295511</v>
      </c>
      <c r="R322">
        <f t="shared" ca="1" si="126"/>
        <v>-172.28098854914981</v>
      </c>
      <c r="T322" t="str">
        <f t="shared" ref="T322:T381" si="136">IMSUM(1,IMPRODUCT($B322,1/CompWz1))</f>
        <v>1+311.6i</v>
      </c>
      <c r="U322" t="str">
        <f t="shared" ref="U322:U381" si="137">IMSUM(1,IMPRODUCT($B322,1/CompWp1))</f>
        <v>1+41i</v>
      </c>
      <c r="V322" t="str">
        <f t="shared" ref="V322:V381" si="138">IMDIV(CompA,$B322)</f>
        <v>-0.000601732991014121i</v>
      </c>
      <c r="W322" t="str">
        <f t="shared" si="121"/>
        <v>0.0000968067463545904-0.00457080959155233i</v>
      </c>
      <c r="X322">
        <f t="shared" si="122"/>
        <v>-46.798189744551387</v>
      </c>
      <c r="Y322">
        <f t="shared" si="123"/>
        <v>-88.786694398933847</v>
      </c>
      <c r="Z322">
        <f t="shared" si="124"/>
        <v>652535.26667677087</v>
      </c>
      <c r="AA322">
        <f t="shared" ref="AA322:AA381" ca="1" si="139">IF(IsDcmBode, X322+Q322,X322+H322)</f>
        <v>-75.908646740846905</v>
      </c>
      <c r="AB322">
        <f t="shared" ref="AB322:AB381" ca="1" si="140">IF(IsDcmBode, Y322+R322,Y322+I322)</f>
        <v>-261.06768294808364</v>
      </c>
    </row>
    <row r="323" spans="1:28" x14ac:dyDescent="0.2">
      <c r="A323">
        <v>4200000</v>
      </c>
      <c r="B323" t="str">
        <f t="shared" ref="B323:B381" si="141">COMPLEX(0,A323)</f>
        <v>4200000i</v>
      </c>
      <c r="C323" t="str">
        <f t="shared" ca="1" si="127"/>
        <v>1+109.884421527678i</v>
      </c>
      <c r="D323" t="str">
        <f t="shared" ca="1" si="128"/>
        <v>1+14.5919243414154i</v>
      </c>
      <c r="E323" t="str">
        <f t="shared" ca="1" si="129"/>
        <v>1+10933.384555989i</v>
      </c>
      <c r="F323">
        <f t="shared" ca="1" si="130"/>
        <v>39.000923110829653</v>
      </c>
      <c r="G323" t="str">
        <f t="shared" ref="G323:G381" ca="1" si="142">IMDIV(IMPRODUCT(F323,C323,D323),E323)</f>
        <v>0.443501850011127+5.71611689334488i</v>
      </c>
      <c r="H323">
        <f t="shared" ref="H323:H381" ca="1" si="143">20*LOG(IMABS(G323),10)</f>
        <v>15.16808770784009</v>
      </c>
      <c r="I323">
        <f t="shared" ref="I323:I381" ca="1" si="144">IMARGUMENT(G323)*180/PI()</f>
        <v>85.563425658644562</v>
      </c>
      <c r="K323" t="str">
        <f t="shared" ca="1" si="131"/>
        <v>1+109.884421527678i</v>
      </c>
      <c r="L323" t="str">
        <f t="shared" ca="1" si="132"/>
        <v>1-8.19260007341826i</v>
      </c>
      <c r="M323" t="str">
        <f t="shared" ca="1" si="133"/>
        <v>1+10988.4421527678i</v>
      </c>
      <c r="N323" t="str">
        <f t="shared" si="134"/>
        <v>1+52.3697668683119i</v>
      </c>
      <c r="O323">
        <f t="shared" ca="1" si="135"/>
        <v>22.224473826228223</v>
      </c>
      <c r="P323" t="str">
        <f t="shared" ca="1" si="125"/>
        <v>-0.0347179813826181-0.00459346718633216i</v>
      </c>
      <c r="Q323">
        <f t="shared" ref="Q323:Q381" ca="1" si="145">20*LOG(IMABS(P323),10)</f>
        <v>-29.113543408152434</v>
      </c>
      <c r="R323">
        <f t="shared" ca="1" si="126"/>
        <v>-172.46308466557556</v>
      </c>
      <c r="T323" t="str">
        <f t="shared" si="136"/>
        <v>1+319.2i</v>
      </c>
      <c r="U323" t="str">
        <f t="shared" si="137"/>
        <v>1+42i</v>
      </c>
      <c r="V323" t="str">
        <f t="shared" si="138"/>
        <v>-0.000587406015037594i</v>
      </c>
      <c r="W323" t="str">
        <f t="shared" ref="W323:W381" si="146">IMDIV(IMPRODUCT(V323,T323),U323)</f>
        <v>0.0000922543611152527-0.00446208918187821i</v>
      </c>
      <c r="X323">
        <f t="shared" ref="X323:X381" si="147">20*LOG(IMABS(W323),10)</f>
        <v>-47.007379031746595</v>
      </c>
      <c r="Y323">
        <f t="shared" ref="Y323:Y381" si="148">IMARGUMENT(W323)*180/PI()</f>
        <v>-88.815569937283129</v>
      </c>
      <c r="Z323">
        <f t="shared" ref="Z323:Z381" si="149">A323/(2*PI())</f>
        <v>668450.76098596049</v>
      </c>
      <c r="AA323">
        <f t="shared" ca="1" si="139"/>
        <v>-76.120922439899033</v>
      </c>
      <c r="AB323">
        <f t="shared" ca="1" si="140"/>
        <v>-261.27865460285869</v>
      </c>
    </row>
    <row r="324" spans="1:28" x14ac:dyDescent="0.2">
      <c r="A324">
        <v>4300000</v>
      </c>
      <c r="B324" t="str">
        <f t="shared" si="141"/>
        <v>4300000i</v>
      </c>
      <c r="C324" t="str">
        <f t="shared" ca="1" si="127"/>
        <v>1+112.500717278337i</v>
      </c>
      <c r="D324" t="str">
        <f t="shared" ca="1" si="128"/>
        <v>1+14.9393511114491i</v>
      </c>
      <c r="E324" t="str">
        <f t="shared" ca="1" si="129"/>
        <v>1+11193.7032358935i</v>
      </c>
      <c r="F324">
        <f t="shared" ca="1" si="130"/>
        <v>39.000923110829653</v>
      </c>
      <c r="G324" t="str">
        <f t="shared" ca="1" si="142"/>
        <v>0.44350183518319+5.85238089414596i</v>
      </c>
      <c r="H324">
        <f t="shared" ca="1" si="143"/>
        <v>15.371521111747038</v>
      </c>
      <c r="I324">
        <f t="shared" ca="1" si="144"/>
        <v>85.66632666111974</v>
      </c>
      <c r="K324" t="str">
        <f t="shared" ca="1" si="131"/>
        <v>1+112.500717278337i</v>
      </c>
      <c r="L324" t="str">
        <f t="shared" ca="1" si="132"/>
        <v>1-8.38766197992821i</v>
      </c>
      <c r="M324" t="str">
        <f t="shared" ca="1" si="133"/>
        <v>1+11250.0717278337i</v>
      </c>
      <c r="N324" t="str">
        <f t="shared" si="134"/>
        <v>1+53.6166660794622i</v>
      </c>
      <c r="O324">
        <f t="shared" ca="1" si="135"/>
        <v>22.224473826228223</v>
      </c>
      <c r="P324" t="str">
        <f t="shared" ca="1" si="125"/>
        <v>-0.0347202538358516-0.00448668459503161i</v>
      </c>
      <c r="Q324">
        <f t="shared" ca="1" si="145"/>
        <v>-29.11641905278254</v>
      </c>
      <c r="R324">
        <f t="shared" ca="1" si="126"/>
        <v>-172.63682371905651</v>
      </c>
      <c r="T324" t="str">
        <f t="shared" si="136"/>
        <v>1+326.8i</v>
      </c>
      <c r="U324" t="str">
        <f t="shared" si="137"/>
        <v>1+43i</v>
      </c>
      <c r="V324" t="str">
        <f t="shared" si="138"/>
        <v>-0.00057374541003672i</v>
      </c>
      <c r="W324" t="str">
        <f t="shared" si="146"/>
        <v>0.0000880156472261735-0.00435841824076218i</v>
      </c>
      <c r="X324">
        <f t="shared" si="147"/>
        <v>-47.211651177998291</v>
      </c>
      <c r="Y324">
        <f t="shared" si="148"/>
        <v>-88.84310328164247</v>
      </c>
      <c r="Z324">
        <f t="shared" si="149"/>
        <v>684366.25529514998</v>
      </c>
      <c r="AA324">
        <f t="shared" ca="1" si="139"/>
        <v>-76.328070230780838</v>
      </c>
      <c r="AB324">
        <f t="shared" ca="1" si="140"/>
        <v>-261.47992700069898</v>
      </c>
    </row>
    <row r="325" spans="1:28" x14ac:dyDescent="0.2">
      <c r="A325">
        <v>4400000</v>
      </c>
      <c r="B325" t="str">
        <f t="shared" si="141"/>
        <v>4400000i</v>
      </c>
      <c r="C325" t="str">
        <f t="shared" ca="1" si="127"/>
        <v>1+115.117013028996i</v>
      </c>
      <c r="D325" t="str">
        <f t="shared" ca="1" si="128"/>
        <v>1+15.2867778814828i</v>
      </c>
      <c r="E325" t="str">
        <f t="shared" ca="1" si="129"/>
        <v>1+11454.021915798i</v>
      </c>
      <c r="F325">
        <f t="shared" ca="1" si="130"/>
        <v>39.000923110829653</v>
      </c>
      <c r="G325" t="str">
        <f t="shared" ca="1" si="142"/>
        <v>0.443501821354714+5.98864116706464i</v>
      </c>
      <c r="H325">
        <f t="shared" ca="1" si="143"/>
        <v>15.570319476316739</v>
      </c>
      <c r="I325">
        <f t="shared" ca="1" si="144"/>
        <v>85.764568407294362</v>
      </c>
      <c r="K325" t="str">
        <f t="shared" ca="1" si="131"/>
        <v>1+115.117013028996i</v>
      </c>
      <c r="L325" t="str">
        <f t="shared" ca="1" si="132"/>
        <v>1-8.58272388643817i</v>
      </c>
      <c r="M325" t="str">
        <f t="shared" ca="1" si="133"/>
        <v>1+11511.7013028996i</v>
      </c>
      <c r="N325" t="str">
        <f t="shared" si="134"/>
        <v>1+54.8635652906124i</v>
      </c>
      <c r="O325">
        <f t="shared" ca="1" si="135"/>
        <v>22.224473826228223</v>
      </c>
      <c r="P325" t="str">
        <f t="shared" ca="1" si="125"/>
        <v>-0.0347223731850527-0.00438475297754804i</v>
      </c>
      <c r="Q325">
        <f t="shared" ca="1" si="145"/>
        <v>-29.119102651275721</v>
      </c>
      <c r="R325">
        <f t="shared" ca="1" si="126"/>
        <v>-172.80276576191861</v>
      </c>
      <c r="T325" t="str">
        <f t="shared" si="136"/>
        <v>1+334.4i</v>
      </c>
      <c r="U325" t="str">
        <f t="shared" si="137"/>
        <v>1+44i</v>
      </c>
      <c r="V325" t="str">
        <f t="shared" si="138"/>
        <v>-0.000560705741626794i</v>
      </c>
      <c r="W325" t="str">
        <f t="shared" si="146"/>
        <v>0.0000840624405619107-0.00425945312635087i</v>
      </c>
      <c r="X325">
        <f t="shared" si="147"/>
        <v>-47.411231928544609</v>
      </c>
      <c r="Y325">
        <f t="shared" si="148"/>
        <v>-88.869385870248536</v>
      </c>
      <c r="Z325">
        <f t="shared" si="149"/>
        <v>700281.74960433948</v>
      </c>
      <c r="AA325">
        <f t="shared" ca="1" si="139"/>
        <v>-76.530334579820334</v>
      </c>
      <c r="AB325">
        <f t="shared" ca="1" si="140"/>
        <v>-261.67215163216713</v>
      </c>
    </row>
    <row r="326" spans="1:28" x14ac:dyDescent="0.2">
      <c r="A326">
        <v>4500000</v>
      </c>
      <c r="B326" t="str">
        <f t="shared" si="141"/>
        <v>4500000i</v>
      </c>
      <c r="C326" t="str">
        <f t="shared" ca="1" si="127"/>
        <v>1+117.733308779655i</v>
      </c>
      <c r="D326" t="str">
        <f t="shared" ca="1" si="128"/>
        <v>1+15.6342046515165i</v>
      </c>
      <c r="E326" t="str">
        <f t="shared" ca="1" si="129"/>
        <v>1+11714.3405957025i</v>
      </c>
      <c r="F326">
        <f t="shared" ca="1" si="130"/>
        <v>39.000923110829653</v>
      </c>
      <c r="G326" t="str">
        <f t="shared" ca="1" si="142"/>
        <v>0.443501808437855+6.1248979606264i</v>
      </c>
      <c r="H326">
        <f t="shared" ca="1" si="143"/>
        <v>15.764688422186863</v>
      </c>
      <c r="I326">
        <f t="shared" ca="1" si="144"/>
        <v>85.858459968457652</v>
      </c>
      <c r="K326" t="str">
        <f t="shared" ca="1" si="131"/>
        <v>1+117.733308779655i</v>
      </c>
      <c r="L326" t="str">
        <f t="shared" ca="1" si="132"/>
        <v>1-8.77778579294813i</v>
      </c>
      <c r="M326" t="str">
        <f t="shared" ca="1" si="133"/>
        <v>1+11773.3308779655i</v>
      </c>
      <c r="N326" t="str">
        <f t="shared" si="134"/>
        <v>1+56.1104645017627i</v>
      </c>
      <c r="O326">
        <f t="shared" ca="1" si="135"/>
        <v>22.224473826228223</v>
      </c>
      <c r="P326" t="str">
        <f t="shared" ca="1" si="125"/>
        <v>-0.0347243528798208-0.00428734917444044i</v>
      </c>
      <c r="Q326">
        <f t="shared" ca="1" si="145"/>
        <v>-29.121610895701508</v>
      </c>
      <c r="R326">
        <f t="shared" ca="1" si="126"/>
        <v>-172.96142209452225</v>
      </c>
      <c r="T326" t="str">
        <f t="shared" si="136"/>
        <v>1+342i</v>
      </c>
      <c r="U326" t="str">
        <f t="shared" si="137"/>
        <v>1+45i</v>
      </c>
      <c r="V326" t="str">
        <f t="shared" si="138"/>
        <v>-0.000548245614035088i</v>
      </c>
      <c r="W326" t="str">
        <f t="shared" si="146"/>
        <v>0.0000803696680002078-0.00416488067404444i</v>
      </c>
      <c r="X326">
        <f t="shared" si="147"/>
        <v>-47.606331838515302</v>
      </c>
      <c r="Y326">
        <f t="shared" si="148"/>
        <v>-88.894501021545153</v>
      </c>
      <c r="Z326">
        <f t="shared" si="149"/>
        <v>716197.24391352909</v>
      </c>
      <c r="AA326">
        <f t="shared" ca="1" si="139"/>
        <v>-76.727942734216811</v>
      </c>
      <c r="AB326">
        <f t="shared" ca="1" si="140"/>
        <v>-261.8559231160674</v>
      </c>
    </row>
    <row r="327" spans="1:28" x14ac:dyDescent="0.2">
      <c r="A327">
        <v>4600000</v>
      </c>
      <c r="B327" t="str">
        <f t="shared" si="141"/>
        <v>4600000i</v>
      </c>
      <c r="C327" t="str">
        <f t="shared" ca="1" si="127"/>
        <v>1+120.349604530314i</v>
      </c>
      <c r="D327" t="str">
        <f t="shared" ca="1" si="128"/>
        <v>1+15.9816314215502i</v>
      </c>
      <c r="E327" t="str">
        <f t="shared" ca="1" si="129"/>
        <v>1+11974.659275607i</v>
      </c>
      <c r="F327">
        <f t="shared" ca="1" si="130"/>
        <v>39.000923110829653</v>
      </c>
      <c r="G327" t="str">
        <f t="shared" ca="1" si="142"/>
        <v>0.443501796354208+6.26115150174584i</v>
      </c>
      <c r="H327">
        <f t="shared" ca="1" si="143"/>
        <v>15.954820240349363</v>
      </c>
      <c r="I327">
        <f t="shared" ca="1" si="144"/>
        <v>85.948283701910938</v>
      </c>
      <c r="K327" t="str">
        <f t="shared" ca="1" si="131"/>
        <v>1+120.349604530314i</v>
      </c>
      <c r="L327" t="str">
        <f t="shared" ca="1" si="132"/>
        <v>1-8.97284769945809i</v>
      </c>
      <c r="M327" t="str">
        <f t="shared" ca="1" si="133"/>
        <v>1+12034.9604530314i</v>
      </c>
      <c r="N327" t="str">
        <f t="shared" si="134"/>
        <v>1+57.357363712913i</v>
      </c>
      <c r="O327">
        <f t="shared" ca="1" si="135"/>
        <v>22.224473826228223</v>
      </c>
      <c r="P327" t="str">
        <f t="shared" ca="1" si="125"/>
        <v>-0.0347262049248214-0.00419417810199011i</v>
      </c>
      <c r="Q327">
        <f t="shared" ca="1" si="145"/>
        <v>-29.123958706861011</v>
      </c>
      <c r="R327">
        <f t="shared" ca="1" si="126"/>
        <v>-173.11326043668544</v>
      </c>
      <c r="T327" t="str">
        <f t="shared" si="136"/>
        <v>1+349.6i</v>
      </c>
      <c r="U327" t="str">
        <f t="shared" si="137"/>
        <v>1+46i</v>
      </c>
      <c r="V327" t="str">
        <f t="shared" si="138"/>
        <v>-0.000536327231121281i</v>
      </c>
      <c r="W327" t="str">
        <f t="shared" si="146"/>
        <v>0.0000769149491584417-0.0040744148924096i</v>
      </c>
      <c r="X327">
        <f t="shared" si="147"/>
        <v>-47.797147605280294</v>
      </c>
      <c r="Y327">
        <f t="shared" si="148"/>
        <v>-88.918524815754523</v>
      </c>
      <c r="Z327">
        <f t="shared" si="149"/>
        <v>732112.73822271859</v>
      </c>
      <c r="AA327">
        <f t="shared" ca="1" si="139"/>
        <v>-76.921106312141305</v>
      </c>
      <c r="AB327">
        <f t="shared" ca="1" si="140"/>
        <v>-262.03178525243993</v>
      </c>
    </row>
    <row r="328" spans="1:28" x14ac:dyDescent="0.2">
      <c r="A328">
        <v>4700000</v>
      </c>
      <c r="B328" t="str">
        <f t="shared" si="141"/>
        <v>4700000i</v>
      </c>
      <c r="C328" t="str">
        <f t="shared" ca="1" si="127"/>
        <v>1+122.965900280973i</v>
      </c>
      <c r="D328" t="str">
        <f t="shared" ca="1" si="128"/>
        <v>1+16.3290581915839i</v>
      </c>
      <c r="E328" t="str">
        <f t="shared" ca="1" si="129"/>
        <v>1+12234.9779555115i</v>
      </c>
      <c r="F328">
        <f t="shared" ca="1" si="130"/>
        <v>39.000923110829653</v>
      </c>
      <c r="G328" t="str">
        <f t="shared" ca="1" si="142"/>
        <v>0.443501785033623+6.39740199802564i</v>
      </c>
      <c r="H328">
        <f t="shared" ca="1" si="143"/>
        <v>16.140895015258508</v>
      </c>
      <c r="I328">
        <f t="shared" ca="1" si="144"/>
        <v>86.034298072995554</v>
      </c>
      <c r="K328" t="str">
        <f t="shared" ca="1" si="131"/>
        <v>1+122.965900280973i</v>
      </c>
      <c r="L328" t="str">
        <f t="shared" ca="1" si="132"/>
        <v>1-9.16790960596805i</v>
      </c>
      <c r="M328" t="str">
        <f t="shared" ca="1" si="133"/>
        <v>1+12296.5900280973i</v>
      </c>
      <c r="N328" t="str">
        <f t="shared" si="134"/>
        <v>1+58.6042629240633i</v>
      </c>
      <c r="O328">
        <f t="shared" ca="1" si="135"/>
        <v>22.224473826228223</v>
      </c>
      <c r="P328" t="str">
        <f t="shared" ca="1" si="125"/>
        <v>-0.0347279400621246-0.00410496976852147i</v>
      </c>
      <c r="Q328">
        <f t="shared" ca="1" si="145"/>
        <v>-29.126159454705942</v>
      </c>
      <c r="R328">
        <f t="shared" ca="1" si="126"/>
        <v>-173.25870945697324</v>
      </c>
      <c r="T328" t="str">
        <f t="shared" si="136"/>
        <v>1+357.2i</v>
      </c>
      <c r="U328" t="str">
        <f t="shared" si="137"/>
        <v>1+47i</v>
      </c>
      <c r="V328" t="str">
        <f t="shared" si="138"/>
        <v>-0.00052491601343785i</v>
      </c>
      <c r="W328" t="str">
        <f t="shared" si="146"/>
        <v>0.0000736782567277923-0.00398779407964409i</v>
      </c>
      <c r="X328">
        <f t="shared" si="147"/>
        <v>-47.983863257915324</v>
      </c>
      <c r="Y328">
        <f t="shared" si="148"/>
        <v>-88.941526864053245</v>
      </c>
      <c r="Z328">
        <f t="shared" si="149"/>
        <v>748028.23253190808</v>
      </c>
      <c r="AA328">
        <f t="shared" ca="1" si="139"/>
        <v>-77.110022712621259</v>
      </c>
      <c r="AB328">
        <f t="shared" ca="1" si="140"/>
        <v>-262.20023632102647</v>
      </c>
    </row>
    <row r="329" spans="1:28" x14ac:dyDescent="0.2">
      <c r="A329">
        <v>4800000</v>
      </c>
      <c r="B329" t="str">
        <f t="shared" si="141"/>
        <v>4800000i</v>
      </c>
      <c r="C329" t="str">
        <f t="shared" ca="1" si="127"/>
        <v>1+125.582196031632i</v>
      </c>
      <c r="D329" t="str">
        <f t="shared" ca="1" si="128"/>
        <v>1+16.6764849616176i</v>
      </c>
      <c r="E329" t="str">
        <f t="shared" ca="1" si="129"/>
        <v>1+12495.296635416i</v>
      </c>
      <c r="F329">
        <f t="shared" ca="1" si="130"/>
        <v>39.000923110829653</v>
      </c>
      <c r="G329" t="str">
        <f t="shared" ca="1" si="142"/>
        <v>0.443501774413177+6.53364963976827i</v>
      </c>
      <c r="H329">
        <f t="shared" ca="1" si="143"/>
        <v>16.323081632571508</v>
      </c>
      <c r="I329">
        <f t="shared" ca="1" si="144"/>
        <v>86.116740127160213</v>
      </c>
      <c r="K329" t="str">
        <f t="shared" ca="1" si="131"/>
        <v>1+125.582196031632i</v>
      </c>
      <c r="L329" t="str">
        <f t="shared" ca="1" si="132"/>
        <v>1-9.36297151247801i</v>
      </c>
      <c r="M329" t="str">
        <f t="shared" ca="1" si="133"/>
        <v>1+12558.2196031632i</v>
      </c>
      <c r="N329" t="str">
        <f t="shared" si="134"/>
        <v>1+59.8511621352136i</v>
      </c>
      <c r="O329">
        <f t="shared" ca="1" si="135"/>
        <v>22.224473826228223</v>
      </c>
      <c r="P329" t="str">
        <f t="shared" ca="1" si="125"/>
        <v>-0.0347295679272555-0.00401947666324525i</v>
      </c>
      <c r="Q329">
        <f t="shared" ca="1" si="145"/>
        <v>-29.128225147467568</v>
      </c>
      <c r="R329">
        <f t="shared" ca="1" si="126"/>
        <v>-173.39816275064604</v>
      </c>
      <c r="T329" t="str">
        <f t="shared" si="136"/>
        <v>1+364.8i</v>
      </c>
      <c r="U329" t="str">
        <f t="shared" si="137"/>
        <v>1+48i</v>
      </c>
      <c r="V329" t="str">
        <f t="shared" si="138"/>
        <v>-0.000513980263157895i</v>
      </c>
      <c r="W329" t="str">
        <f t="shared" si="146"/>
        <v>0.0000706416257563649-0.00390477829946341i</v>
      </c>
      <c r="X329">
        <f t="shared" si="147"/>
        <v>-48.166651221778196</v>
      </c>
      <c r="Y329">
        <f t="shared" si="148"/>
        <v>-88.963570981721276</v>
      </c>
      <c r="Z329">
        <f t="shared" si="149"/>
        <v>763943.7268410977</v>
      </c>
      <c r="AA329">
        <f t="shared" ca="1" si="139"/>
        <v>-77.29487636924577</v>
      </c>
      <c r="AB329">
        <f t="shared" ca="1" si="140"/>
        <v>-262.36173373236733</v>
      </c>
    </row>
    <row r="330" spans="1:28" x14ac:dyDescent="0.2">
      <c r="A330">
        <v>4900000</v>
      </c>
      <c r="B330" t="str">
        <f t="shared" si="141"/>
        <v>4900000i</v>
      </c>
      <c r="C330" t="str">
        <f t="shared" ca="1" si="127"/>
        <v>1+128.198491782291i</v>
      </c>
      <c r="D330" t="str">
        <f t="shared" ca="1" si="128"/>
        <v>1+17.0239117316513i</v>
      </c>
      <c r="E330" t="str">
        <f t="shared" ca="1" si="129"/>
        <v>1+12755.6153153205i</v>
      </c>
      <c r="F330">
        <f t="shared" ca="1" si="130"/>
        <v>39.000923110829653</v>
      </c>
      <c r="G330" t="str">
        <f t="shared" ca="1" si="142"/>
        <v>0.443501764436305+6.66989460174131i</v>
      </c>
      <c r="H330">
        <f t="shared" ca="1" si="143"/>
        <v>16.501538685398081</v>
      </c>
      <c r="I330">
        <f t="shared" ca="1" si="144"/>
        <v>86.195827661622232</v>
      </c>
      <c r="K330" t="str">
        <f t="shared" ca="1" si="131"/>
        <v>1+128.198491782291i</v>
      </c>
      <c r="L330" t="str">
        <f t="shared" ca="1" si="132"/>
        <v>1-9.55803341898796i</v>
      </c>
      <c r="M330" t="str">
        <f t="shared" ca="1" si="133"/>
        <v>1+12819.8491782291i</v>
      </c>
      <c r="N330" t="str">
        <f t="shared" si="134"/>
        <v>1+61.0980613463639i</v>
      </c>
      <c r="O330">
        <f t="shared" ca="1" si="135"/>
        <v>22.224473826228223</v>
      </c>
      <c r="P330" t="str">
        <f t="shared" ca="1" si="125"/>
        <v>-0.0347310971831988-0.00393747146447567i</v>
      </c>
      <c r="Q330">
        <f t="shared" ca="1" si="145"/>
        <v>-29.130166594462036</v>
      </c>
      <c r="R330">
        <f t="shared" ca="1" si="126"/>
        <v>-173.53198234273313</v>
      </c>
      <c r="T330" t="str">
        <f t="shared" si="136"/>
        <v>1+372.4i</v>
      </c>
      <c r="U330" t="str">
        <f t="shared" si="137"/>
        <v>1+49i</v>
      </c>
      <c r="V330" t="str">
        <f t="shared" si="138"/>
        <v>-0.000503490870032223i</v>
      </c>
      <c r="W330" t="str">
        <f t="shared" si="146"/>
        <v>0.0000677889039835225-0.00382514716522483i</v>
      </c>
      <c r="X330">
        <f t="shared" si="147"/>
        <v>-48.345673273602031</v>
      </c>
      <c r="Y330">
        <f t="shared" si="148"/>
        <v>-88.984715778962695</v>
      </c>
      <c r="Z330">
        <f t="shared" si="149"/>
        <v>779859.22115028719</v>
      </c>
      <c r="AA330">
        <f t="shared" ca="1" si="139"/>
        <v>-77.475839868064071</v>
      </c>
      <c r="AB330">
        <f t="shared" ca="1" si="140"/>
        <v>-262.51669812169581</v>
      </c>
    </row>
    <row r="331" spans="1:28" x14ac:dyDescent="0.2">
      <c r="A331">
        <v>5000000</v>
      </c>
      <c r="B331" t="str">
        <f t="shared" si="141"/>
        <v>5000000i</v>
      </c>
      <c r="C331" t="str">
        <f t="shared" ca="1" si="127"/>
        <v>1+130.81478753295i</v>
      </c>
      <c r="D331" t="str">
        <f t="shared" ca="1" si="128"/>
        <v>1+17.371338501685i</v>
      </c>
      <c r="E331" t="str">
        <f t="shared" ca="1" si="129"/>
        <v>1+13015.933995225i</v>
      </c>
      <c r="F331">
        <f t="shared" ca="1" si="130"/>
        <v>39.000923110829653</v>
      </c>
      <c r="G331" t="str">
        <f t="shared" ca="1" si="142"/>
        <v>0.443501755052039+6.80613704473093i</v>
      </c>
      <c r="H331">
        <f t="shared" ca="1" si="143"/>
        <v>16.676415291034978</v>
      </c>
      <c r="I331">
        <f t="shared" ca="1" si="144"/>
        <v>86.271761138325999</v>
      </c>
      <c r="K331" t="str">
        <f t="shared" ca="1" si="131"/>
        <v>1+130.81478753295i</v>
      </c>
      <c r="L331" t="str">
        <f t="shared" ca="1" si="132"/>
        <v>1-9.75309532549792i</v>
      </c>
      <c r="M331" t="str">
        <f t="shared" ca="1" si="133"/>
        <v>1+13081.478753295i</v>
      </c>
      <c r="N331" t="str">
        <f t="shared" si="134"/>
        <v>1+62.3449605575141i</v>
      </c>
      <c r="O331">
        <f t="shared" ca="1" si="135"/>
        <v>22.224473826228223</v>
      </c>
      <c r="P331" t="str">
        <f t="shared" ca="1" si="125"/>
        <v>-0.0347325356358491-0.00385874502256506i</v>
      </c>
      <c r="Q331">
        <f t="shared" ca="1" si="145"/>
        <v>-29.13199354666968</v>
      </c>
      <c r="R331">
        <f t="shared" ca="1" si="126"/>
        <v>-173.66050178085629</v>
      </c>
      <c r="T331" t="str">
        <f t="shared" si="136"/>
        <v>1+380i</v>
      </c>
      <c r="U331" t="str">
        <f t="shared" si="137"/>
        <v>1+50i</v>
      </c>
      <c r="V331" t="str">
        <f t="shared" si="138"/>
        <v>-0.000493421052631579i</v>
      </c>
      <c r="W331" t="str">
        <f t="shared" si="146"/>
        <v>0.0000651055367326753-0.00374869788926535i</v>
      </c>
      <c r="X331">
        <f t="shared" si="147"/>
        <v>-48.521081400339256</v>
      </c>
      <c r="Y331">
        <f t="shared" si="148"/>
        <v>-89.005015180908856</v>
      </c>
      <c r="Z331">
        <f t="shared" si="149"/>
        <v>795774.71545947669</v>
      </c>
      <c r="AA331">
        <f t="shared" ca="1" si="139"/>
        <v>-77.653074947008932</v>
      </c>
      <c r="AB331">
        <f t="shared" ca="1" si="140"/>
        <v>-262.66551696176515</v>
      </c>
    </row>
    <row r="332" spans="1:28" x14ac:dyDescent="0.2">
      <c r="A332">
        <v>5100000</v>
      </c>
      <c r="B332" t="str">
        <f t="shared" si="141"/>
        <v>5100000i</v>
      </c>
      <c r="C332" t="str">
        <f t="shared" ca="1" si="127"/>
        <v>1+133.431083283609i</v>
      </c>
      <c r="D332" t="str">
        <f t="shared" ca="1" si="128"/>
        <v>1+17.7187652717187i</v>
      </c>
      <c r="E332" t="str">
        <f t="shared" ca="1" si="129"/>
        <v>1+13276.2526751295i</v>
      </c>
      <c r="F332">
        <f t="shared" ca="1" si="130"/>
        <v>39.000923110829653</v>
      </c>
      <c r="G332" t="str">
        <f t="shared" ca="1" si="142"/>
        <v>0.443501746214357+6.94237711691263i</v>
      </c>
      <c r="H332">
        <f t="shared" ca="1" si="143"/>
        <v>16.847851828550702</v>
      </c>
      <c r="I332">
        <f t="shared" ca="1" si="144"/>
        <v>86.344725373419593</v>
      </c>
      <c r="K332" t="str">
        <f t="shared" ca="1" si="131"/>
        <v>1+133.431083283609i</v>
      </c>
      <c r="L332" t="str">
        <f t="shared" ca="1" si="132"/>
        <v>1-9.94815723200788i</v>
      </c>
      <c r="M332" t="str">
        <f t="shared" ca="1" si="133"/>
        <v>1+13343.1083283609i</v>
      </c>
      <c r="N332" t="str">
        <f t="shared" si="134"/>
        <v>1+63.5918597686644i</v>
      </c>
      <c r="O332">
        <f t="shared" ca="1" si="135"/>
        <v>22.224473826228223</v>
      </c>
      <c r="P332" t="str">
        <f t="shared" ca="1" si="125"/>
        <v>-0.0347338903337822-0.00378310457989461i</v>
      </c>
      <c r="Q332">
        <f t="shared" ca="1" si="145"/>
        <v>-29.133714818484648</v>
      </c>
      <c r="R332">
        <f t="shared" ca="1" si="126"/>
        <v>-173.78402887259978</v>
      </c>
      <c r="T332" t="str">
        <f t="shared" si="136"/>
        <v>1+387.6i</v>
      </c>
      <c r="U332" t="str">
        <f t="shared" si="137"/>
        <v>1+51i</v>
      </c>
      <c r="V332" t="str">
        <f t="shared" si="138"/>
        <v>-0.00048374613003096i</v>
      </c>
      <c r="W332" t="str">
        <f t="shared" si="146"/>
        <v>0.0000625783810024677-0.00367524356115681i</v>
      </c>
      <c r="X332">
        <f t="shared" si="147"/>
        <v>-48.693018573161773</v>
      </c>
      <c r="Y332">
        <f t="shared" si="148"/>
        <v>-89.024518886512155</v>
      </c>
      <c r="Z332">
        <f t="shared" si="149"/>
        <v>811690.20976866619</v>
      </c>
      <c r="AA332">
        <f t="shared" ca="1" si="139"/>
        <v>-77.826733391646428</v>
      </c>
      <c r="AB332">
        <f t="shared" ca="1" si="140"/>
        <v>-262.80854775911195</v>
      </c>
    </row>
    <row r="333" spans="1:28" x14ac:dyDescent="0.2">
      <c r="A333">
        <v>5200000</v>
      </c>
      <c r="B333" t="str">
        <f t="shared" si="141"/>
        <v>5200000i</v>
      </c>
      <c r="C333" t="str">
        <f t="shared" ca="1" si="127"/>
        <v>1+136.047379034268i</v>
      </c>
      <c r="D333" t="str">
        <f t="shared" ca="1" si="128"/>
        <v>1+18.0661920417524i</v>
      </c>
      <c r="E333" t="str">
        <f t="shared" ca="1" si="129"/>
        <v>1+13536.571355034i</v>
      </c>
      <c r="F333">
        <f t="shared" ca="1" si="130"/>
        <v>39.000923110829653</v>
      </c>
      <c r="G333" t="str">
        <f t="shared" ca="1" si="142"/>
        <v>0.443501737881624+7.07861495506377i</v>
      </c>
      <c r="H333">
        <f t="shared" ca="1" si="143"/>
        <v>17.015980606217386</v>
      </c>
      <c r="I333">
        <f t="shared" ca="1" si="144"/>
        <v>86.414891033100147</v>
      </c>
      <c r="K333" t="str">
        <f t="shared" ca="1" si="131"/>
        <v>1+136.047379034268i</v>
      </c>
      <c r="L333" t="str">
        <f t="shared" ca="1" si="132"/>
        <v>1-10.1432191385178i</v>
      </c>
      <c r="M333" t="str">
        <f t="shared" ca="1" si="133"/>
        <v>1+13604.7379034268i</v>
      </c>
      <c r="N333" t="str">
        <f t="shared" si="134"/>
        <v>1+64.8387589798147i</v>
      </c>
      <c r="O333">
        <f t="shared" ca="1" si="135"/>
        <v>22.224473826228223</v>
      </c>
      <c r="P333" t="str">
        <f t="shared" ca="1" si="125"/>
        <v>-0.0347351676547361-0.0037103721960466i</v>
      </c>
      <c r="Q333">
        <f t="shared" ca="1" si="145"/>
        <v>-29.135338393458078</v>
      </c>
      <c r="R333">
        <f t="shared" ca="1" si="126"/>
        <v>-173.90284811404436</v>
      </c>
      <c r="T333" t="str">
        <f t="shared" si="136"/>
        <v>1+395.2i</v>
      </c>
      <c r="U333" t="str">
        <f t="shared" si="137"/>
        <v>1+52i</v>
      </c>
      <c r="V333" t="str">
        <f t="shared" si="138"/>
        <v>-0.000474443319838057i</v>
      </c>
      <c r="W333" t="str">
        <f t="shared" si="146"/>
        <v>0.0000601955443136492-0.00360461162414781i</v>
      </c>
      <c r="X333">
        <f t="shared" si="147"/>
        <v>-48.861619446476894</v>
      </c>
      <c r="Y333">
        <f t="shared" si="148"/>
        <v>-89.043272774546026</v>
      </c>
      <c r="Z333">
        <f t="shared" si="149"/>
        <v>827605.7040778558</v>
      </c>
      <c r="AA333">
        <f t="shared" ca="1" si="139"/>
        <v>-77.996957839934964</v>
      </c>
      <c r="AB333">
        <f t="shared" ca="1" si="140"/>
        <v>-262.94612088859037</v>
      </c>
    </row>
    <row r="334" spans="1:28" x14ac:dyDescent="0.2">
      <c r="A334">
        <v>5300000</v>
      </c>
      <c r="B334" t="str">
        <f t="shared" si="141"/>
        <v>5300000i</v>
      </c>
      <c r="C334" t="str">
        <f t="shared" ca="1" si="127"/>
        <v>1+138.663674784928i</v>
      </c>
      <c r="D334" t="str">
        <f t="shared" ca="1" si="128"/>
        <v>1+18.4136188117861i</v>
      </c>
      <c r="E334" t="str">
        <f t="shared" ca="1" si="129"/>
        <v>1+13796.8900349385i</v>
      </c>
      <c r="F334">
        <f t="shared" ca="1" si="130"/>
        <v>39.000923110829653</v>
      </c>
      <c r="G334" t="str">
        <f t="shared" ca="1" si="142"/>
        <v>0.443501730016093+7.21485068563898i</v>
      </c>
      <c r="H334">
        <f t="shared" ca="1" si="143"/>
        <v>17.180926466620072</v>
      </c>
      <c r="I334">
        <f t="shared" ca="1" si="144"/>
        <v>86.482415961211402</v>
      </c>
      <c r="K334" t="str">
        <f t="shared" ca="1" si="131"/>
        <v>1+138.663674784928i</v>
      </c>
      <c r="L334" t="str">
        <f t="shared" ca="1" si="132"/>
        <v>1-10.3382810450278i</v>
      </c>
      <c r="M334" t="str">
        <f t="shared" ca="1" si="133"/>
        <v>1+13866.3674784927i</v>
      </c>
      <c r="N334" t="str">
        <f t="shared" si="134"/>
        <v>1+66.085658190965i</v>
      </c>
      <c r="O334">
        <f t="shared" ca="1" si="135"/>
        <v>22.224473826228223</v>
      </c>
      <c r="P334" t="str">
        <f t="shared" ca="1" si="125"/>
        <v>-0.0347363733807892-0.00364038335108868i</v>
      </c>
      <c r="Q334">
        <f t="shared" ca="1" si="145"/>
        <v>-29.136871516391089</v>
      </c>
      <c r="R334">
        <f t="shared" ca="1" si="126"/>
        <v>-174.01722284924409</v>
      </c>
      <c r="T334" t="str">
        <f t="shared" si="136"/>
        <v>1+402.8i</v>
      </c>
      <c r="U334" t="str">
        <f t="shared" si="137"/>
        <v>1+53i</v>
      </c>
      <c r="V334" t="str">
        <f t="shared" si="138"/>
        <v>-0.000465491559086395i</v>
      </c>
      <c r="W334" t="str">
        <f t="shared" si="146"/>
        <v>0.0000579462446150965-0.00353664252368651i</v>
      </c>
      <c r="X334">
        <f t="shared" si="147"/>
        <v>-49.027010990507911</v>
      </c>
      <c r="Y334">
        <f t="shared" si="148"/>
        <v>-89.061319263689498</v>
      </c>
      <c r="Z334">
        <f t="shared" si="149"/>
        <v>843521.1983870453</v>
      </c>
      <c r="AA334">
        <f t="shared" ca="1" si="139"/>
        <v>-78.163882506899</v>
      </c>
      <c r="AB334">
        <f t="shared" ca="1" si="140"/>
        <v>-263.07854211293358</v>
      </c>
    </row>
    <row r="335" spans="1:28" x14ac:dyDescent="0.2">
      <c r="A335">
        <v>5400000</v>
      </c>
      <c r="B335" t="str">
        <f t="shared" si="141"/>
        <v>5400000i</v>
      </c>
      <c r="C335" t="str">
        <f t="shared" ca="1" si="127"/>
        <v>1+141.279970535587i</v>
      </c>
      <c r="D335" t="str">
        <f t="shared" ca="1" si="128"/>
        <v>1+18.7610455818198i</v>
      </c>
      <c r="E335" t="str">
        <f t="shared" ca="1" si="129"/>
        <v>1+14057.208714843i</v>
      </c>
      <c r="F335">
        <f t="shared" ca="1" si="130"/>
        <v>39.000923110829653</v>
      </c>
      <c r="G335" t="str">
        <f t="shared" ca="1" si="142"/>
        <v>0.443501722583475+7.35108442572567i</v>
      </c>
      <c r="H335">
        <f t="shared" ca="1" si="143"/>
        <v>17.34280733627552</v>
      </c>
      <c r="I335">
        <f t="shared" ca="1" si="144"/>
        <v>86.547446360246184</v>
      </c>
      <c r="K335" t="str">
        <f t="shared" ca="1" si="131"/>
        <v>1+141.279970535587i</v>
      </c>
      <c r="L335" t="str">
        <f t="shared" ca="1" si="132"/>
        <v>1-10.5333429515378i</v>
      </c>
      <c r="M335" t="str">
        <f t="shared" ca="1" si="133"/>
        <v>1+14127.9970535586i</v>
      </c>
      <c r="N335" t="str">
        <f t="shared" si="134"/>
        <v>1+67.3325574021153i</v>
      </c>
      <c r="O335">
        <f t="shared" ca="1" si="135"/>
        <v>22.224473826228223</v>
      </c>
      <c r="P335" t="str">
        <f t="shared" ca="1" si="125"/>
        <v>-0.034737512763886-0.00357298570390578i</v>
      </c>
      <c r="Q335">
        <f t="shared" ca="1" si="145"/>
        <v>-29.138320773753719</v>
      </c>
      <c r="R335">
        <f t="shared" ca="1" si="126"/>
        <v>-174.12739719469201</v>
      </c>
      <c r="T335" t="str">
        <f t="shared" si="136"/>
        <v>1+410.4i</v>
      </c>
      <c r="U335" t="str">
        <f t="shared" si="137"/>
        <v>1+54i</v>
      </c>
      <c r="V335" t="str">
        <f t="shared" si="138"/>
        <v>-0.00045687134502924i</v>
      </c>
      <c r="W335" t="str">
        <f t="shared" si="146"/>
        <v>0.0000558206881619544-0.00347118850577478i</v>
      </c>
      <c r="X335">
        <f t="shared" si="147"/>
        <v>-49.18931306487238</v>
      </c>
      <c r="Y335">
        <f t="shared" si="148"/>
        <v>-89.078697632641166</v>
      </c>
      <c r="Z335">
        <f t="shared" si="149"/>
        <v>859436.69269623479</v>
      </c>
      <c r="AA335">
        <f t="shared" ca="1" si="139"/>
        <v>-78.327633838626099</v>
      </c>
      <c r="AB335">
        <f t="shared" ca="1" si="140"/>
        <v>-263.20609482733317</v>
      </c>
    </row>
    <row r="336" spans="1:28" x14ac:dyDescent="0.2">
      <c r="A336">
        <v>5500000</v>
      </c>
      <c r="B336" t="str">
        <f t="shared" si="141"/>
        <v>5500000i</v>
      </c>
      <c r="C336" t="str">
        <f t="shared" ca="1" si="127"/>
        <v>1+143.896266286246i</v>
      </c>
      <c r="D336" t="str">
        <f t="shared" ca="1" si="128"/>
        <v>1+19.1084723518535i</v>
      </c>
      <c r="E336" t="str">
        <f t="shared" ca="1" si="129"/>
        <v>1+14317.5273947475i</v>
      </c>
      <c r="F336">
        <f t="shared" ca="1" si="130"/>
        <v>39.000923110829653</v>
      </c>
      <c r="G336" t="str">
        <f t="shared" ca="1" si="142"/>
        <v>0.443501715552575+7.48731628389604i</v>
      </c>
      <c r="H336">
        <f t="shared" ca="1" si="143"/>
        <v>17.501734725739201</v>
      </c>
      <c r="I336">
        <f t="shared" ca="1" si="144"/>
        <v>86.610117844283153</v>
      </c>
      <c r="K336" t="str">
        <f t="shared" ca="1" si="131"/>
        <v>1+143.896266286246i</v>
      </c>
      <c r="L336" t="str">
        <f t="shared" ca="1" si="132"/>
        <v>1-10.7284048580477i</v>
      </c>
      <c r="M336" t="str">
        <f t="shared" ca="1" si="133"/>
        <v>1+14389.6266286245i</v>
      </c>
      <c r="N336" t="str">
        <f t="shared" si="134"/>
        <v>1+68.5794566132655i</v>
      </c>
      <c r="O336">
        <f t="shared" ca="1" si="135"/>
        <v>22.224473826228223</v>
      </c>
      <c r="P336" t="str">
        <f t="shared" ca="1" si="125"/>
        <v>-0.0347385905831097-0.0035080379858671i</v>
      </c>
      <c r="Q336">
        <f t="shared" ca="1" si="145"/>
        <v>-29.139692164086238</v>
      </c>
      <c r="R336">
        <f t="shared" ca="1" si="126"/>
        <v>-174.23359775799963</v>
      </c>
      <c r="T336" t="str">
        <f t="shared" si="136"/>
        <v>1+418i</v>
      </c>
      <c r="U336" t="str">
        <f t="shared" si="137"/>
        <v>1+55i</v>
      </c>
      <c r="V336" t="str">
        <f t="shared" si="138"/>
        <v>-0.000448564593301435i</v>
      </c>
      <c r="W336" t="str">
        <f t="shared" si="146"/>
        <v>0.0000538099627787247-0.0034081125461313i</v>
      </c>
      <c r="X336">
        <f t="shared" si="147"/>
        <v>-49.348638939638995</v>
      </c>
      <c r="Y336">
        <f t="shared" si="148"/>
        <v>-89.095444305344685</v>
      </c>
      <c r="Z336">
        <f t="shared" si="149"/>
        <v>875352.18700542441</v>
      </c>
      <c r="AA336">
        <f t="shared" ca="1" si="139"/>
        <v>-78.48833110372523</v>
      </c>
      <c r="AB336">
        <f t="shared" ca="1" si="140"/>
        <v>-263.32904206334433</v>
      </c>
    </row>
    <row r="337" spans="1:28" x14ac:dyDescent="0.2">
      <c r="A337">
        <v>5600000</v>
      </c>
      <c r="B337" t="str">
        <f t="shared" si="141"/>
        <v>5600000i</v>
      </c>
      <c r="C337" t="str">
        <f t="shared" ca="1" si="127"/>
        <v>1+146.512562036905i</v>
      </c>
      <c r="D337" t="str">
        <f t="shared" ca="1" si="128"/>
        <v>1+19.4558991218872i</v>
      </c>
      <c r="E337" t="str">
        <f t="shared" ca="1" si="129"/>
        <v>1+14577.846074652i</v>
      </c>
      <c r="F337">
        <f t="shared" ca="1" si="130"/>
        <v>39.000923110829653</v>
      </c>
      <c r="G337" t="str">
        <f t="shared" ca="1" si="142"/>
        <v>0.443501708894957+7.62354636096704i</v>
      </c>
      <c r="H337">
        <f t="shared" ca="1" si="143"/>
        <v>17.657814185440291</v>
      </c>
      <c r="I337">
        <f t="shared" ca="1" si="144"/>
        <v>86.670556379758708</v>
      </c>
      <c r="K337" t="str">
        <f t="shared" ca="1" si="131"/>
        <v>1+146.512562036905i</v>
      </c>
      <c r="L337" t="str">
        <f t="shared" ca="1" si="132"/>
        <v>1-10.9234667645577i</v>
      </c>
      <c r="M337" t="str">
        <f t="shared" ca="1" si="133"/>
        <v>1+14651.2562036905i</v>
      </c>
      <c r="N337" t="str">
        <f t="shared" si="134"/>
        <v>1+69.8263558244158i</v>
      </c>
      <c r="O337">
        <f t="shared" ca="1" si="135"/>
        <v>22.224473826228223</v>
      </c>
      <c r="P337" t="str">
        <f t="shared" ca="1" si="125"/>
        <v>-0.0347396111948638-0.00344540901292732i</v>
      </c>
      <c r="Q337">
        <f t="shared" ca="1" si="145"/>
        <v>-29.140991159783308</v>
      </c>
      <c r="R337">
        <f t="shared" ca="1" si="126"/>
        <v>-174.33603517594523</v>
      </c>
      <c r="T337" t="str">
        <f t="shared" si="136"/>
        <v>1+425.6i</v>
      </c>
      <c r="U337" t="str">
        <f t="shared" si="137"/>
        <v>1+56i</v>
      </c>
      <c r="V337" t="str">
        <f t="shared" si="138"/>
        <v>-0.000440554511278195i</v>
      </c>
      <c r="W337" t="str">
        <f t="shared" si="146"/>
        <v>0.0000519059443316612-0.00334728739385122i</v>
      </c>
      <c r="X337">
        <f t="shared" si="147"/>
        <v>-49.50509576952912</v>
      </c>
      <c r="Y337">
        <f t="shared" si="148"/>
        <v>-89.111593105681777</v>
      </c>
      <c r="Z337">
        <f t="shared" si="149"/>
        <v>891267.6813146139</v>
      </c>
      <c r="AA337">
        <f t="shared" ca="1" si="139"/>
        <v>-78.646086929312432</v>
      </c>
      <c r="AB337">
        <f t="shared" ca="1" si="140"/>
        <v>-263.44762828162698</v>
      </c>
    </row>
    <row r="338" spans="1:28" x14ac:dyDescent="0.2">
      <c r="A338">
        <v>5700000</v>
      </c>
      <c r="B338" t="str">
        <f t="shared" si="141"/>
        <v>5700000i</v>
      </c>
      <c r="C338" t="str">
        <f t="shared" ca="1" si="127"/>
        <v>1+149.128857787564i</v>
      </c>
      <c r="D338" t="str">
        <f t="shared" ca="1" si="128"/>
        <v>1+19.8033258919209i</v>
      </c>
      <c r="E338" t="str">
        <f t="shared" ca="1" si="129"/>
        <v>1+14838.1647545565i</v>
      </c>
      <c r="F338">
        <f t="shared" ca="1" si="130"/>
        <v>39.000923110829653</v>
      </c>
      <c r="G338" t="str">
        <f t="shared" ca="1" si="142"/>
        <v>0.443501702584657+7.75977475068068i</v>
      </c>
      <c r="H338">
        <f t="shared" ca="1" si="143"/>
        <v>17.81114572185356</v>
      </c>
      <c r="I338">
        <f t="shared" ca="1" si="144"/>
        <v>86.728879127760834</v>
      </c>
      <c r="K338" t="str">
        <f t="shared" ca="1" si="131"/>
        <v>1+149.128857787564i</v>
      </c>
      <c r="L338" t="str">
        <f t="shared" ca="1" si="132"/>
        <v>1-11.1185286710676i</v>
      </c>
      <c r="M338" t="str">
        <f t="shared" ca="1" si="133"/>
        <v>1+14912.8857787564i</v>
      </c>
      <c r="N338" t="str">
        <f t="shared" si="134"/>
        <v>1+71.0732550355661i</v>
      </c>
      <c r="O338">
        <f t="shared" ca="1" si="135"/>
        <v>22.224473826228223</v>
      </c>
      <c r="P338" t="str">
        <f t="shared" ref="P338:P381" ca="1" si="150">IMDIV(IMPRODUCT(O338,K338,L338,),IMPRODUCT(M338,N338,))</f>
        <v>-0.0347405785769467-0.00338497680163178i</v>
      </c>
      <c r="Q338">
        <f t="shared" ca="1" si="145"/>
        <v>-29.142222761444515</v>
      </c>
      <c r="R338">
        <f t="shared" ref="R338:R381" ca="1" si="151">IMARGUMENT(P338)*180/PI()</f>
        <v>-174.43490549359964</v>
      </c>
      <c r="T338" t="str">
        <f t="shared" si="136"/>
        <v>1+433.2i</v>
      </c>
      <c r="U338" t="str">
        <f t="shared" si="137"/>
        <v>1+57i</v>
      </c>
      <c r="V338" t="str">
        <f t="shared" si="138"/>
        <v>-0.000432825484764543i</v>
      </c>
      <c r="W338" t="str">
        <f t="shared" si="146"/>
        <v>0.0000501012145748988-0.00328859471553377i</v>
      </c>
      <c r="X338">
        <f t="shared" si="147"/>
        <v>-49.658785026227896</v>
      </c>
      <c r="Y338">
        <f t="shared" si="148"/>
        <v>-89.127175485379027</v>
      </c>
      <c r="Z338">
        <f t="shared" si="149"/>
        <v>907183.1756238034</v>
      </c>
      <c r="AA338">
        <f t="shared" ca="1" si="139"/>
        <v>-78.801007787672404</v>
      </c>
      <c r="AB338">
        <f t="shared" ca="1" si="140"/>
        <v>-263.56208097897866</v>
      </c>
    </row>
    <row r="339" spans="1:28" x14ac:dyDescent="0.2">
      <c r="A339">
        <v>5800000</v>
      </c>
      <c r="B339" t="str">
        <f t="shared" si="141"/>
        <v>5800000i</v>
      </c>
      <c r="C339" t="str">
        <f t="shared" ca="1" si="127"/>
        <v>1+151.745153538223i</v>
      </c>
      <c r="D339" t="str">
        <f t="shared" ca="1" si="128"/>
        <v>1+20.1507526619546i</v>
      </c>
      <c r="E339" t="str">
        <f t="shared" ca="1" si="129"/>
        <v>1+15098.483434461i</v>
      </c>
      <c r="F339">
        <f t="shared" ca="1" si="130"/>
        <v>39.000923110829653</v>
      </c>
      <c r="G339" t="str">
        <f t="shared" ca="1" si="142"/>
        <v>0.44350169659793+7.89600154031407i</v>
      </c>
      <c r="H339">
        <f t="shared" ca="1" si="143"/>
        <v>17.961824178067069</v>
      </c>
      <c r="I339">
        <f t="shared" ca="1" si="144"/>
        <v>86.785195199656243</v>
      </c>
      <c r="K339" t="str">
        <f t="shared" ca="1" si="131"/>
        <v>1+151.745153538223i</v>
      </c>
      <c r="L339" t="str">
        <f t="shared" ca="1" si="132"/>
        <v>1-11.3135905775776i</v>
      </c>
      <c r="M339" t="str">
        <f t="shared" ca="1" si="133"/>
        <v>1+15174.5153538223i</v>
      </c>
      <c r="N339" t="str">
        <f t="shared" si="134"/>
        <v>1+72.3201542467164i</v>
      </c>
      <c r="O339">
        <f t="shared" ca="1" si="135"/>
        <v>22.224473826228223</v>
      </c>
      <c r="P339" t="str">
        <f t="shared" ca="1" si="150"/>
        <v>-0.0347414963673596-0.00332662777649667i</v>
      </c>
      <c r="Q339">
        <f t="shared" ca="1" si="145"/>
        <v>-29.143391545793417</v>
      </c>
      <c r="R339">
        <f t="shared" ca="1" si="151"/>
        <v>-174.53039140331725</v>
      </c>
      <c r="T339" t="str">
        <f t="shared" si="136"/>
        <v>1+440.8i</v>
      </c>
      <c r="U339" t="str">
        <f t="shared" si="137"/>
        <v>1+58i</v>
      </c>
      <c r="V339" t="str">
        <f t="shared" si="138"/>
        <v>-0.000425362976406534i</v>
      </c>
      <c r="W339" t="str">
        <f t="shared" si="146"/>
        <v>0.000048388988816767-0.00323192432777902i</v>
      </c>
      <c r="X339">
        <f t="shared" si="147"/>
        <v>-49.809802893167536</v>
      </c>
      <c r="Y339">
        <f t="shared" si="148"/>
        <v>-89.142220728357884</v>
      </c>
      <c r="Z339">
        <f t="shared" si="149"/>
        <v>923098.66993299301</v>
      </c>
      <c r="AA339">
        <f t="shared" ca="1" si="139"/>
        <v>-78.953194438960949</v>
      </c>
      <c r="AB339">
        <f t="shared" ca="1" si="140"/>
        <v>-263.67261213167512</v>
      </c>
    </row>
    <row r="340" spans="1:28" x14ac:dyDescent="0.2">
      <c r="A340">
        <v>5900000</v>
      </c>
      <c r="B340" t="str">
        <f t="shared" si="141"/>
        <v>5900000i</v>
      </c>
      <c r="C340" t="str">
        <f t="shared" ca="1" si="127"/>
        <v>1+154.361449288882i</v>
      </c>
      <c r="D340" t="str">
        <f t="shared" ca="1" si="128"/>
        <v>1+20.4981794319883i</v>
      </c>
      <c r="E340" t="str">
        <f t="shared" ca="1" si="129"/>
        <v>1+15358.8021143655i</v>
      </c>
      <c r="F340">
        <f t="shared" ca="1" si="130"/>
        <v>39.000923110829653</v>
      </c>
      <c r="G340" t="str">
        <f t="shared" ca="1" si="142"/>
        <v>0.443501690913026+8.03222681122729i</v>
      </c>
      <c r="H340">
        <f t="shared" ca="1" si="143"/>
        <v>18.109939582329279</v>
      </c>
      <c r="I340">
        <f t="shared" ca="1" si="144"/>
        <v>86.839606336272126</v>
      </c>
      <c r="K340" t="str">
        <f t="shared" ca="1" si="131"/>
        <v>1+154.361449288882i</v>
      </c>
      <c r="L340" t="str">
        <f t="shared" ca="1" si="132"/>
        <v>1-11.5086524840876i</v>
      </c>
      <c r="M340" t="str">
        <f t="shared" ca="1" si="133"/>
        <v>1+15436.1449288882i</v>
      </c>
      <c r="N340" t="str">
        <f t="shared" si="134"/>
        <v>1+73.5670534578667i</v>
      </c>
      <c r="O340">
        <f t="shared" ca="1" si="135"/>
        <v>22.224473826228223</v>
      </c>
      <c r="P340" t="str">
        <f t="shared" ca="1" si="150"/>
        <v>-0.0347423678985495-0.00327025605793294i</v>
      </c>
      <c r="Q340">
        <f t="shared" ca="1" si="145"/>
        <v>-29.14450170802067</v>
      </c>
      <c r="R340">
        <f t="shared" ca="1" si="151"/>
        <v>-174.62266335988721</v>
      </c>
      <c r="T340" t="str">
        <f t="shared" si="136"/>
        <v>1+448.4i</v>
      </c>
      <c r="U340" t="str">
        <f t="shared" si="137"/>
        <v>1+59i</v>
      </c>
      <c r="V340" t="str">
        <f t="shared" si="138"/>
        <v>-0.000418153434433541i</v>
      </c>
      <c r="W340" t="str">
        <f t="shared" si="146"/>
        <v>0.0000467630520874271-0.00317717350759174i</v>
      </c>
      <c r="X340">
        <f t="shared" si="147"/>
        <v>-49.958240626624288</v>
      </c>
      <c r="Y340">
        <f t="shared" si="148"/>
        <v>-89.156756134320148</v>
      </c>
      <c r="Z340">
        <f t="shared" si="149"/>
        <v>939014.16424218251</v>
      </c>
      <c r="AA340">
        <f t="shared" ca="1" si="139"/>
        <v>-79.102742334644958</v>
      </c>
      <c r="AB340">
        <f t="shared" ca="1" si="140"/>
        <v>-263.77941949420733</v>
      </c>
    </row>
    <row r="341" spans="1:28" x14ac:dyDescent="0.2">
      <c r="A341">
        <v>6000000</v>
      </c>
      <c r="B341" t="str">
        <f t="shared" si="141"/>
        <v>6000000i</v>
      </c>
      <c r="C341" t="str">
        <f t="shared" ca="1" si="127"/>
        <v>1+156.977745039541i</v>
      </c>
      <c r="D341" t="str">
        <f t="shared" ca="1" si="128"/>
        <v>1+20.845606202022i</v>
      </c>
      <c r="E341" t="str">
        <f t="shared" ca="1" si="129"/>
        <v>1+15619.12079427i</v>
      </c>
      <c r="F341">
        <f t="shared" ca="1" si="130"/>
        <v>39.000923110829653</v>
      </c>
      <c r="G341" t="str">
        <f t="shared" ca="1" si="142"/>
        <v>0.443501685509991+8.16845063935626i</v>
      </c>
      <c r="H341">
        <f t="shared" ca="1" si="143"/>
        <v>18.255577467746868</v>
      </c>
      <c r="I341">
        <f t="shared" ca="1" si="144"/>
        <v>86.892207519499209</v>
      </c>
      <c r="K341" t="str">
        <f t="shared" ca="1" si="131"/>
        <v>1+156.977745039541i</v>
      </c>
      <c r="L341" t="str">
        <f t="shared" ca="1" si="132"/>
        <v>1-11.7037143905975i</v>
      </c>
      <c r="M341" t="str">
        <f t="shared" ca="1" si="133"/>
        <v>1+15697.7745039541i</v>
      </c>
      <c r="N341" t="str">
        <f t="shared" si="134"/>
        <v>1+74.813952669017i</v>
      </c>
      <c r="O341">
        <f t="shared" ca="1" si="135"/>
        <v>22.224473826228223</v>
      </c>
      <c r="P341" t="str">
        <f t="shared" ca="1" si="150"/>
        <v>-0.0347431962276942-0.00321576282132498i</v>
      </c>
      <c r="Q341">
        <f t="shared" ca="1" si="145"/>
        <v>-29.145557099278861</v>
      </c>
      <c r="R341">
        <f t="shared" ca="1" si="151"/>
        <v>-174.7118805860166</v>
      </c>
      <c r="T341" t="str">
        <f t="shared" si="136"/>
        <v>1+456i</v>
      </c>
      <c r="U341" t="str">
        <f t="shared" si="137"/>
        <v>1+60i</v>
      </c>
      <c r="V341" t="str">
        <f t="shared" si="138"/>
        <v>-0.000411184210526316i</v>
      </c>
      <c r="W341" t="str">
        <f t="shared" si="146"/>
        <v>0.0000452177026849267-0.00312424637162192i</v>
      </c>
      <c r="X341">
        <f t="shared" si="147"/>
        <v>-50.104184886519462</v>
      </c>
      <c r="Y341">
        <f t="shared" si="148"/>
        <v>-89.170807183989496</v>
      </c>
      <c r="Z341">
        <f t="shared" si="149"/>
        <v>954929.65855137201</v>
      </c>
      <c r="AA341">
        <f t="shared" ca="1" si="139"/>
        <v>-79.249741985798323</v>
      </c>
      <c r="AB341">
        <f t="shared" ca="1" si="140"/>
        <v>-263.8826877700061</v>
      </c>
    </row>
    <row r="342" spans="1:28" x14ac:dyDescent="0.2">
      <c r="A342">
        <v>6100000</v>
      </c>
      <c r="B342" t="str">
        <f t="shared" si="141"/>
        <v>6100000i</v>
      </c>
      <c r="C342" t="str">
        <f t="shared" ca="1" si="127"/>
        <v>1+159.5940407902i</v>
      </c>
      <c r="D342" t="str">
        <f t="shared" ca="1" si="128"/>
        <v>1+21.1930329720557i</v>
      </c>
      <c r="E342" t="str">
        <f t="shared" ca="1" si="129"/>
        <v>1+15879.4394741745i</v>
      </c>
      <c r="F342">
        <f t="shared" ca="1" si="130"/>
        <v>39.000923110829653</v>
      </c>
      <c r="G342" t="str">
        <f t="shared" ca="1" si="142"/>
        <v>0.443501680370495+8.30467309565767i</v>
      </c>
      <c r="H342">
        <f t="shared" ca="1" si="143"/>
        <v>18.398819165945529</v>
      </c>
      <c r="I342">
        <f t="shared" ca="1" si="144"/>
        <v>86.943087524028186</v>
      </c>
      <c r="K342" t="str">
        <f t="shared" ca="1" si="131"/>
        <v>1+159.5940407902i</v>
      </c>
      <c r="L342" t="str">
        <f t="shared" ca="1" si="132"/>
        <v>1-11.8987762971075i</v>
      </c>
      <c r="M342" t="str">
        <f t="shared" ca="1" si="133"/>
        <v>1+15959.40407902i</v>
      </c>
      <c r="N342" t="str">
        <f t="shared" si="134"/>
        <v>1+76.0608518801672i</v>
      </c>
      <c r="O342">
        <f t="shared" ca="1" si="135"/>
        <v>22.224473826228223</v>
      </c>
      <c r="P342" t="str">
        <f t="shared" ca="1" si="150"/>
        <v>-0.0347439841635429-0.00316305571910567i</v>
      </c>
      <c r="Q342">
        <f t="shared" ca="1" si="145"/>
        <v>-29.146561259952701</v>
      </c>
      <c r="R342">
        <f t="shared" ca="1" si="151"/>
        <v>-174.79819198049736</v>
      </c>
      <c r="T342" t="str">
        <f t="shared" si="136"/>
        <v>1+463.6i</v>
      </c>
      <c r="U342" t="str">
        <f t="shared" si="137"/>
        <v>1+61i</v>
      </c>
      <c r="V342" t="str">
        <f t="shared" si="138"/>
        <v>-0.000404443485763589i</v>
      </c>
      <c r="W342" t="str">
        <f t="shared" si="146"/>
        <v>0.0000437477021408977-0.00307305331635835i</v>
      </c>
      <c r="X342">
        <f t="shared" si="147"/>
        <v>-50.247718039923733</v>
      </c>
      <c r="Y342">
        <f t="shared" si="148"/>
        <v>-89.184397688111815</v>
      </c>
      <c r="Z342">
        <f t="shared" si="149"/>
        <v>970845.15286056162</v>
      </c>
      <c r="AA342">
        <f t="shared" ca="1" si="139"/>
        <v>-79.39427929987643</v>
      </c>
      <c r="AB342">
        <f t="shared" ca="1" si="140"/>
        <v>-263.98258966860919</v>
      </c>
    </row>
    <row r="343" spans="1:28" x14ac:dyDescent="0.2">
      <c r="A343">
        <v>6200000</v>
      </c>
      <c r="B343" t="str">
        <f t="shared" si="141"/>
        <v>6200000i</v>
      </c>
      <c r="C343" t="str">
        <f t="shared" ca="1" si="127"/>
        <v>1+162.210336540859i</v>
      </c>
      <c r="D343" t="str">
        <f t="shared" ca="1" si="128"/>
        <v>1+21.5404597420894i</v>
      </c>
      <c r="E343" t="str">
        <f t="shared" ca="1" si="129"/>
        <v>1+16139.758154079i</v>
      </c>
      <c r="F343">
        <f t="shared" ca="1" si="130"/>
        <v>39.000923110829653</v>
      </c>
      <c r="G343" t="str">
        <f t="shared" ca="1" si="142"/>
        <v>0.443501675477674+8.4408942465102i</v>
      </c>
      <c r="H343">
        <f t="shared" ca="1" si="143"/>
        <v>18.539742077190503</v>
      </c>
      <c r="I343">
        <f t="shared" ca="1" si="144"/>
        <v>86.992329415942052</v>
      </c>
      <c r="K343" t="str">
        <f t="shared" ca="1" si="131"/>
        <v>1+162.210336540859i</v>
      </c>
      <c r="L343" t="str">
        <f t="shared" ca="1" si="132"/>
        <v>1-12.0938382036174i</v>
      </c>
      <c r="M343" t="str">
        <f t="shared" ca="1" si="133"/>
        <v>1+16221.0336540859i</v>
      </c>
      <c r="N343" t="str">
        <f t="shared" si="134"/>
        <v>1+77.3077510913175i</v>
      </c>
      <c r="O343">
        <f t="shared" ca="1" si="135"/>
        <v>22.224473826228223</v>
      </c>
      <c r="P343" t="str">
        <f t="shared" ca="1" si="150"/>
        <v>-0.0347447342902514-0.00311204835872107i</v>
      </c>
      <c r="Q343">
        <f t="shared" ca="1" si="145"/>
        <v>-29.147517449239682</v>
      </c>
      <c r="R343">
        <f t="shared" ca="1" si="151"/>
        <v>-174.88173693984669</v>
      </c>
      <c r="T343" t="str">
        <f t="shared" si="136"/>
        <v>1+471.2i</v>
      </c>
      <c r="U343" t="str">
        <f t="shared" si="137"/>
        <v>1+62i</v>
      </c>
      <c r="V343" t="str">
        <f t="shared" si="138"/>
        <v>-0.000397920203735144i</v>
      </c>
      <c r="W343" t="str">
        <f t="shared" si="146"/>
        <v>0.000042348230785025-0.00302351051240669i</v>
      </c>
      <c r="X343">
        <f t="shared" si="147"/>
        <v>-50.388918439923231</v>
      </c>
      <c r="Y343">
        <f t="shared" si="148"/>
        <v>-89.197549922046946</v>
      </c>
      <c r="Z343">
        <f t="shared" si="149"/>
        <v>986760.64716975112</v>
      </c>
      <c r="AA343">
        <f t="shared" ca="1" si="139"/>
        <v>-79.536435889162917</v>
      </c>
      <c r="AB343">
        <f t="shared" ca="1" si="140"/>
        <v>-264.07928686189365</v>
      </c>
    </row>
    <row r="344" spans="1:28" x14ac:dyDescent="0.2">
      <c r="A344">
        <v>6300000</v>
      </c>
      <c r="B344" t="str">
        <f t="shared" si="141"/>
        <v>6300000i</v>
      </c>
      <c r="C344" t="str">
        <f t="shared" ca="1" si="127"/>
        <v>1+164.826632291518i</v>
      </c>
      <c r="D344" t="str">
        <f t="shared" ca="1" si="128"/>
        <v>1+21.8878865121231i</v>
      </c>
      <c r="E344" t="str">
        <f t="shared" ca="1" si="129"/>
        <v>1+16400.0768339835i</v>
      </c>
      <c r="F344">
        <f t="shared" ca="1" si="130"/>
        <v>39.000923110829653</v>
      </c>
      <c r="G344" t="str">
        <f t="shared" ca="1" si="142"/>
        <v>0.443501670815989+8.57711415407807i</v>
      </c>
      <c r="H344">
        <f t="shared" ca="1" si="143"/>
        <v>18.678419919191377</v>
      </c>
      <c r="I344">
        <f t="shared" ca="1" si="144"/>
        <v>87.040011004038249</v>
      </c>
      <c r="K344" t="str">
        <f t="shared" ca="1" si="131"/>
        <v>1+164.826632291518i</v>
      </c>
      <c r="L344" t="str">
        <f t="shared" ca="1" si="132"/>
        <v>1-12.2889001101274i</v>
      </c>
      <c r="M344" t="str">
        <f t="shared" ca="1" si="133"/>
        <v>1+16482.6632291518i</v>
      </c>
      <c r="N344" t="str">
        <f t="shared" si="134"/>
        <v>1+78.5546503024678i</v>
      </c>
      <c r="O344">
        <f t="shared" ca="1" si="135"/>
        <v>22.224473826228223</v>
      </c>
      <c r="P344" t="str">
        <f t="shared" ca="1" si="150"/>
        <v>-0.0347454489885931-0.00306265983027922i</v>
      </c>
      <c r="Q344">
        <f t="shared" ca="1" si="145"/>
        <v>-29.148428671500387</v>
      </c>
      <c r="R344">
        <f t="shared" ca="1" si="151"/>
        <v>-174.96264610286929</v>
      </c>
      <c r="T344" t="str">
        <f t="shared" si="136"/>
        <v>1+478.8i</v>
      </c>
      <c r="U344" t="str">
        <f t="shared" si="137"/>
        <v>1+63i</v>
      </c>
      <c r="V344" t="str">
        <f t="shared" si="138"/>
        <v>-0.000391604010025063i</v>
      </c>
      <c r="W344" t="str">
        <f t="shared" si="146"/>
        <v>0.0000410148482036325-0.00297553944685391i</v>
      </c>
      <c r="X344">
        <f t="shared" si="147"/>
        <v>-50.527860682208271</v>
      </c>
      <c r="Y344">
        <f t="shared" si="148"/>
        <v>-89.210284747551228</v>
      </c>
      <c r="Z344">
        <f t="shared" si="149"/>
        <v>1002676.1414789406</v>
      </c>
      <c r="AA344">
        <f t="shared" ca="1" si="139"/>
        <v>-79.676289353708654</v>
      </c>
      <c r="AB344">
        <f t="shared" ca="1" si="140"/>
        <v>-264.17293085042053</v>
      </c>
    </row>
    <row r="345" spans="1:28" x14ac:dyDescent="0.2">
      <c r="A345">
        <v>6400000</v>
      </c>
      <c r="B345" t="str">
        <f t="shared" si="141"/>
        <v>6400000i</v>
      </c>
      <c r="C345" t="str">
        <f t="shared" ca="1" si="127"/>
        <v>1+167.442928042177i</v>
      </c>
      <c r="D345" t="str">
        <f t="shared" ca="1" si="128"/>
        <v>1+22.2353132821568i</v>
      </c>
      <c r="E345" t="str">
        <f t="shared" ca="1" si="129"/>
        <v>1+16660.395513888i</v>
      </c>
      <c r="F345">
        <f t="shared" ca="1" si="130"/>
        <v>39.000923110829653</v>
      </c>
      <c r="G345" t="str">
        <f t="shared" ca="1" si="142"/>
        <v>0.44350166637111+8.71333287664033i</v>
      </c>
      <c r="H345">
        <f t="shared" ca="1" si="143"/>
        <v>18.814922956573138</v>
      </c>
      <c r="I345">
        <f t="shared" ca="1" si="144"/>
        <v>87.086205249024886</v>
      </c>
      <c r="K345" t="str">
        <f t="shared" ca="1" si="131"/>
        <v>1+167.442928042177i</v>
      </c>
      <c r="L345" t="str">
        <f t="shared" ca="1" si="132"/>
        <v>1-12.4839620166373i</v>
      </c>
      <c r="M345" t="str">
        <f t="shared" ca="1" si="133"/>
        <v>1+16744.2928042177i</v>
      </c>
      <c r="N345" t="str">
        <f t="shared" si="134"/>
        <v>1+79.8015495136181i</v>
      </c>
      <c r="O345">
        <f t="shared" ca="1" si="135"/>
        <v>22.224473826228223</v>
      </c>
      <c r="P345" t="str">
        <f t="shared" ca="1" si="150"/>
        <v>-0.0347461304548657-0.00301481427845322i</v>
      </c>
      <c r="Q345">
        <f t="shared" ca="1" si="145"/>
        <v>-29.149297699776177</v>
      </c>
      <c r="R345">
        <f t="shared" ca="1" si="151"/>
        <v>-175.04104202642975</v>
      </c>
      <c r="T345" t="str">
        <f t="shared" si="136"/>
        <v>1+486.4i</v>
      </c>
      <c r="U345" t="str">
        <f t="shared" si="137"/>
        <v>1+64i</v>
      </c>
      <c r="V345" t="str">
        <f t="shared" si="138"/>
        <v>-0.000385485197368421i</v>
      </c>
      <c r="W345" t="str">
        <f t="shared" si="146"/>
        <v>0.0000397434579859461-0.00292906650846897i</v>
      </c>
      <c r="X345">
        <f t="shared" si="147"/>
        <v>-50.664615841486899</v>
      </c>
      <c r="Y345">
        <f t="shared" si="148"/>
        <v>-89.222621723150638</v>
      </c>
      <c r="Z345">
        <f t="shared" si="149"/>
        <v>1018591.6357881302</v>
      </c>
      <c r="AA345">
        <f t="shared" ca="1" si="139"/>
        <v>-79.813913541263076</v>
      </c>
      <c r="AB345">
        <f t="shared" ca="1" si="140"/>
        <v>-264.26366374958036</v>
      </c>
    </row>
    <row r="346" spans="1:28" x14ac:dyDescent="0.2">
      <c r="A346">
        <v>6500000</v>
      </c>
      <c r="B346" t="str">
        <f t="shared" si="141"/>
        <v>6500000i</v>
      </c>
      <c r="C346" t="str">
        <f t="shared" ca="1" si="127"/>
        <v>1+170.059223792836i</v>
      </c>
      <c r="D346" t="str">
        <f t="shared" ca="1" si="128"/>
        <v>1+22.5827400521905i</v>
      </c>
      <c r="E346" t="str">
        <f t="shared" ca="1" si="129"/>
        <v>1+16920.7141937925i</v>
      </c>
      <c r="F346">
        <f t="shared" ca="1" si="130"/>
        <v>39.000923110829653</v>
      </c>
      <c r="G346" t="str">
        <f t="shared" ca="1" si="142"/>
        <v>0.443501662129797+8.84955046888953i</v>
      </c>
      <c r="H346">
        <f t="shared" ca="1" si="143"/>
        <v>18.949318212784803</v>
      </c>
      <c r="I346">
        <f t="shared" ca="1" si="144"/>
        <v>87.130980635105402</v>
      </c>
      <c r="K346" t="str">
        <f t="shared" ca="1" si="131"/>
        <v>1+170.059223792836i</v>
      </c>
      <c r="L346" t="str">
        <f t="shared" ca="1" si="132"/>
        <v>1-12.6790239231473i</v>
      </c>
      <c r="M346" t="str">
        <f t="shared" ca="1" si="133"/>
        <v>1+17005.9223792836i</v>
      </c>
      <c r="N346" t="str">
        <f t="shared" si="134"/>
        <v>1+81.0484487247684i</v>
      </c>
      <c r="O346">
        <f t="shared" ca="1" si="135"/>
        <v>22.224473826228223</v>
      </c>
      <c r="P346" t="str">
        <f t="shared" ca="1" si="150"/>
        <v>-0.0347467807177852-0.00296844051387631i</v>
      </c>
      <c r="Q346">
        <f t="shared" ca="1" si="145"/>
        <v>-29.150127096814277</v>
      </c>
      <c r="R346">
        <f t="shared" ca="1" si="151"/>
        <v>-175.11703979972353</v>
      </c>
      <c r="T346" t="str">
        <f t="shared" si="136"/>
        <v>1+494i</v>
      </c>
      <c r="U346" t="str">
        <f t="shared" si="137"/>
        <v>1+65i</v>
      </c>
      <c r="V346" t="str">
        <f t="shared" si="138"/>
        <v>-0.000379554655870445i</v>
      </c>
      <c r="W346" t="str">
        <f t="shared" si="146"/>
        <v>0.000038530276234837-0.00288402261113485i</v>
      </c>
      <c r="X346">
        <f t="shared" si="147"/>
        <v>-50.799251689596154</v>
      </c>
      <c r="Y346">
        <f t="shared" si="148"/>
        <v>-89.234579204332633</v>
      </c>
      <c r="Z346">
        <f t="shared" si="149"/>
        <v>1034507.1300973197</v>
      </c>
      <c r="AA346">
        <f t="shared" ca="1" si="139"/>
        <v>-79.949378786410435</v>
      </c>
      <c r="AB346">
        <f t="shared" ca="1" si="140"/>
        <v>-264.35161900405615</v>
      </c>
    </row>
    <row r="347" spans="1:28" x14ac:dyDescent="0.2">
      <c r="A347">
        <v>6600000</v>
      </c>
      <c r="B347" t="str">
        <f t="shared" si="141"/>
        <v>6600000i</v>
      </c>
      <c r="C347" t="str">
        <f t="shared" ca="1" si="127"/>
        <v>1+172.675519543495i</v>
      </c>
      <c r="D347" t="str">
        <f t="shared" ca="1" si="128"/>
        <v>1+22.9301668222242i</v>
      </c>
      <c r="E347" t="str">
        <f t="shared" ca="1" si="129"/>
        <v>1+17181.032873697i</v>
      </c>
      <c r="F347">
        <f t="shared" ca="1" si="130"/>
        <v>39.000923110829653</v>
      </c>
      <c r="G347" t="str">
        <f t="shared" ca="1" si="142"/>
        <v>0.443501658079806+8.98576698220342i</v>
      </c>
      <c r="H347">
        <f t="shared" ca="1" si="143"/>
        <v>19.081669666031239</v>
      </c>
      <c r="I347">
        <f t="shared" ca="1" si="144"/>
        <v>87.174401507921587</v>
      </c>
      <c r="K347" t="str">
        <f t="shared" ca="1" si="131"/>
        <v>1+172.675519543495i</v>
      </c>
      <c r="L347" t="str">
        <f t="shared" ca="1" si="132"/>
        <v>1-12.8740858296573i</v>
      </c>
      <c r="M347" t="str">
        <f t="shared" ca="1" si="133"/>
        <v>1+17267.5519543495i</v>
      </c>
      <c r="N347" t="str">
        <f t="shared" si="134"/>
        <v>1+82.2953479359187i</v>
      </c>
      <c r="O347">
        <f t="shared" ca="1" si="135"/>
        <v>22.224473826228223</v>
      </c>
      <c r="P347" t="str">
        <f t="shared" ca="1" si="150"/>
        <v>-0.0347474016535952-0.00292347165984288i</v>
      </c>
      <c r="Q347">
        <f t="shared" ca="1" si="145"/>
        <v>-29.150919233900574</v>
      </c>
      <c r="R347">
        <f t="shared" ca="1" si="151"/>
        <v>-175.19074760346572</v>
      </c>
      <c r="T347" t="str">
        <f t="shared" si="136"/>
        <v>1+501.6i</v>
      </c>
      <c r="U347" t="str">
        <f t="shared" si="137"/>
        <v>1+66i</v>
      </c>
      <c r="V347" t="str">
        <f t="shared" si="138"/>
        <v>-0.000373803827751196i</v>
      </c>
      <c r="W347" t="str">
        <f t="shared" si="146"/>
        <v>0.0000373718033895848-0.00284034285146379i</v>
      </c>
      <c r="X347">
        <f t="shared" si="147"/>
        <v>-50.93183289698581</v>
      </c>
      <c r="Y347">
        <f t="shared" si="148"/>
        <v>-89.246174434635407</v>
      </c>
      <c r="Z347">
        <f t="shared" si="149"/>
        <v>1050422.6244065093</v>
      </c>
      <c r="AA347">
        <f t="shared" ca="1" si="139"/>
        <v>-80.082752130886377</v>
      </c>
      <c r="AB347">
        <f t="shared" ca="1" si="140"/>
        <v>-264.4369220381011</v>
      </c>
    </row>
    <row r="348" spans="1:28" x14ac:dyDescent="0.2">
      <c r="A348">
        <v>6700000</v>
      </c>
      <c r="B348" t="str">
        <f t="shared" si="141"/>
        <v>6700000i</v>
      </c>
      <c r="C348" t="str">
        <f t="shared" ca="1" si="127"/>
        <v>1+175.291815294154i</v>
      </c>
      <c r="D348" t="str">
        <f t="shared" ca="1" si="128"/>
        <v>1+23.2775935922579i</v>
      </c>
      <c r="E348" t="str">
        <f t="shared" ca="1" si="129"/>
        <v>1+17441.3515536015i</v>
      </c>
      <c r="F348">
        <f t="shared" ca="1" si="130"/>
        <v>39.000923110829653</v>
      </c>
      <c r="G348" t="str">
        <f t="shared" ca="1" si="142"/>
        <v>0.443501654209801+9.12198246489272i</v>
      </c>
      <c r="H348">
        <f t="shared" ca="1" si="143"/>
        <v>19.212038430649553</v>
      </c>
      <c r="I348">
        <f t="shared" ca="1" si="144"/>
        <v>87.216528382354241</v>
      </c>
      <c r="K348" t="str">
        <f t="shared" ca="1" si="131"/>
        <v>1+175.291815294154i</v>
      </c>
      <c r="L348" t="str">
        <f t="shared" ca="1" si="132"/>
        <v>1-13.0691477361672i</v>
      </c>
      <c r="M348" t="str">
        <f t="shared" ca="1" si="133"/>
        <v>1+17529.1815294154i</v>
      </c>
      <c r="N348" t="str">
        <f t="shared" si="134"/>
        <v>1+83.5422471470689i</v>
      </c>
      <c r="O348">
        <f t="shared" ca="1" si="135"/>
        <v>22.224473826228223</v>
      </c>
      <c r="P348" t="str">
        <f t="shared" ca="1" si="150"/>
        <v>-0.034747994999614-0.00287984483062962i</v>
      </c>
      <c r="Q348">
        <f t="shared" ca="1" si="145"/>
        <v>-29.151676307754769</v>
      </c>
      <c r="R348">
        <f t="shared" ca="1" si="151"/>
        <v>-175.26226721966523</v>
      </c>
      <c r="T348" t="str">
        <f t="shared" si="136"/>
        <v>1+509.2i</v>
      </c>
      <c r="U348" t="str">
        <f t="shared" si="137"/>
        <v>1+67i</v>
      </c>
      <c r="V348" t="str">
        <f t="shared" si="138"/>
        <v>-0.000368224666142969i</v>
      </c>
      <c r="W348" t="str">
        <f t="shared" si="146"/>
        <v>0.0000362647989684679-0.00279796619703032i</v>
      </c>
      <c r="X348">
        <f t="shared" si="147"/>
        <v>-51.062421219071936</v>
      </c>
      <c r="Y348">
        <f t="shared" si="148"/>
        <v>-89.257423628584945</v>
      </c>
      <c r="Z348">
        <f t="shared" si="149"/>
        <v>1066338.1187156988</v>
      </c>
      <c r="AA348">
        <f t="shared" ca="1" si="139"/>
        <v>-80.214097526826706</v>
      </c>
      <c r="AB348">
        <f t="shared" ca="1" si="140"/>
        <v>-264.51969084825021</v>
      </c>
    </row>
    <row r="349" spans="1:28" x14ac:dyDescent="0.2">
      <c r="A349">
        <v>6800000</v>
      </c>
      <c r="B349" t="str">
        <f t="shared" si="141"/>
        <v>6800000i</v>
      </c>
      <c r="C349" t="str">
        <f t="shared" ca="1" si="127"/>
        <v>1+177.908111044813i</v>
      </c>
      <c r="D349" t="str">
        <f t="shared" ca="1" si="128"/>
        <v>1+23.6250203622916i</v>
      </c>
      <c r="E349" t="str">
        <f t="shared" ca="1" si="129"/>
        <v>1+17701.670233506i</v>
      </c>
      <c r="F349">
        <f t="shared" ca="1" si="130"/>
        <v>39.000923110829653</v>
      </c>
      <c r="G349" t="str">
        <f t="shared" ca="1" si="142"/>
        <v>0.443501650509274+9.25819696242597i</v>
      </c>
      <c r="H349">
        <f t="shared" ca="1" si="143"/>
        <v>19.340482925204679</v>
      </c>
      <c r="I349">
        <f t="shared" ca="1" si="144"/>
        <v>87.257418223269553</v>
      </c>
      <c r="K349" t="str">
        <f t="shared" ca="1" si="131"/>
        <v>1+177.908111044813i</v>
      </c>
      <c r="L349" t="str">
        <f t="shared" ca="1" si="132"/>
        <v>1-13.2642096426772i</v>
      </c>
      <c r="M349" t="str">
        <f t="shared" ca="1" si="133"/>
        <v>1+17790.8111044813i</v>
      </c>
      <c r="N349" t="str">
        <f t="shared" si="134"/>
        <v>1+84.7891463582192i</v>
      </c>
      <c r="O349">
        <f t="shared" ca="1" si="135"/>
        <v>22.224473826228223</v>
      </c>
      <c r="P349" t="str">
        <f t="shared" ca="1" si="150"/>
        <v>-0.0347485623664003-0.00283750083818398i</v>
      </c>
      <c r="Q349">
        <f t="shared" ca="1" si="145"/>
        <v>-29.152400355712462</v>
      </c>
      <c r="R349">
        <f t="shared" ca="1" si="151"/>
        <v>-175.33169449699636</v>
      </c>
      <c r="T349" t="str">
        <f t="shared" si="136"/>
        <v>1+516.8i</v>
      </c>
      <c r="U349" t="str">
        <f t="shared" si="137"/>
        <v>1+68i</v>
      </c>
      <c r="V349" t="str">
        <f t="shared" si="138"/>
        <v>-0.00036280959752322i</v>
      </c>
      <c r="W349" t="str">
        <f t="shared" si="146"/>
        <v>0.0000352062588904694-0.00275683520207514i</v>
      </c>
      <c r="X349">
        <f t="shared" si="147"/>
        <v>-51.191075668803805</v>
      </c>
      <c r="Y349">
        <f t="shared" si="148"/>
        <v>-89.268342047318711</v>
      </c>
      <c r="Z349">
        <f t="shared" si="149"/>
        <v>1082253.6130248883</v>
      </c>
      <c r="AA349">
        <f t="shared" ca="1" si="139"/>
        <v>-80.343476024516264</v>
      </c>
      <c r="AB349">
        <f t="shared" ca="1" si="140"/>
        <v>-264.60003654431506</v>
      </c>
    </row>
    <row r="350" spans="1:28" x14ac:dyDescent="0.2">
      <c r="A350">
        <v>6900000</v>
      </c>
      <c r="B350" t="str">
        <f t="shared" si="141"/>
        <v>6900000i</v>
      </c>
      <c r="C350" t="str">
        <f t="shared" ca="1" si="127"/>
        <v>1+180.524406795472i</v>
      </c>
      <c r="D350" t="str">
        <f t="shared" ca="1" si="128"/>
        <v>1+23.9724471323253i</v>
      </c>
      <c r="E350" t="str">
        <f t="shared" ca="1" si="129"/>
        <v>1+17961.9889134105i</v>
      </c>
      <c r="F350">
        <f t="shared" ca="1" si="130"/>
        <v>39.000923110829653</v>
      </c>
      <c r="G350" t="str">
        <f t="shared" ca="1" si="142"/>
        <v>0.44350164696847+9.39441051763617i</v>
      </c>
      <c r="H350">
        <f t="shared" ca="1" si="143"/>
        <v>19.467059028454262</v>
      </c>
      <c r="I350">
        <f t="shared" ca="1" si="144"/>
        <v>87.297124701944981</v>
      </c>
      <c r="K350" t="str">
        <f t="shared" ca="1" si="131"/>
        <v>1+180.524406795472i</v>
      </c>
      <c r="L350" t="str">
        <f t="shared" ca="1" si="132"/>
        <v>1-13.4592715491871i</v>
      </c>
      <c r="M350" t="str">
        <f t="shared" ca="1" si="133"/>
        <v>1+18052.4406795472i</v>
      </c>
      <c r="N350" t="str">
        <f t="shared" si="134"/>
        <v>1+86.0360455693695i</v>
      </c>
      <c r="O350">
        <f t="shared" ca="1" si="135"/>
        <v>22.224473826228223</v>
      </c>
      <c r="P350" t="str">
        <f t="shared" ca="1" si="150"/>
        <v>-0.034749105248688-0.00279638392430361i</v>
      </c>
      <c r="Q350">
        <f t="shared" ca="1" si="145"/>
        <v>-29.153093269391729</v>
      </c>
      <c r="R350">
        <f t="shared" ca="1" si="151"/>
        <v>-175.39911977620562</v>
      </c>
      <c r="T350" t="str">
        <f t="shared" si="136"/>
        <v>1+524.4i</v>
      </c>
      <c r="U350" t="str">
        <f t="shared" si="137"/>
        <v>1+69i</v>
      </c>
      <c r="V350" t="str">
        <f t="shared" si="138"/>
        <v>-0.000357551487414188i</v>
      </c>
      <c r="W350" t="str">
        <f t="shared" si="146"/>
        <v>0.0000341933950794668-0.0027168957478974i</v>
      </c>
      <c r="X350">
        <f t="shared" si="147"/>
        <v>-51.31785267664948</v>
      </c>
      <c r="Y350">
        <f t="shared" si="148"/>
        <v>-89.27894406763717</v>
      </c>
      <c r="Z350">
        <f t="shared" si="149"/>
        <v>1098169.1073340778</v>
      </c>
      <c r="AA350">
        <f t="shared" ca="1" si="139"/>
        <v>-80.470945946041212</v>
      </c>
      <c r="AB350">
        <f t="shared" ca="1" si="140"/>
        <v>-264.67806384384278</v>
      </c>
    </row>
    <row r="351" spans="1:28" x14ac:dyDescent="0.2">
      <c r="A351">
        <v>7000000</v>
      </c>
      <c r="B351" t="str">
        <f t="shared" si="141"/>
        <v>7000000i</v>
      </c>
      <c r="C351" t="str">
        <f t="shared" ca="1" si="127"/>
        <v>1+183.140702546131i</v>
      </c>
      <c r="D351" t="str">
        <f t="shared" ca="1" si="128"/>
        <v>1+24.319873902359i</v>
      </c>
      <c r="E351" t="str">
        <f t="shared" ca="1" si="129"/>
        <v>1+18222.307593315i</v>
      </c>
      <c r="F351">
        <f t="shared" ca="1" si="130"/>
        <v>39.000923110829653</v>
      </c>
      <c r="G351" t="str">
        <f t="shared" ca="1" si="142"/>
        <v>0.443501643578328+9.53062317090859i</v>
      </c>
      <c r="H351">
        <f t="shared" ca="1" si="143"/>
        <v>19.591820224214292</v>
      </c>
      <c r="I351">
        <f t="shared" ca="1" si="144"/>
        <v>87.335698430595571</v>
      </c>
      <c r="K351" t="str">
        <f t="shared" ca="1" si="131"/>
        <v>1+183.140702546131i</v>
      </c>
      <c r="L351" t="str">
        <f t="shared" ca="1" si="132"/>
        <v>1-13.6543334556971i</v>
      </c>
      <c r="M351" t="str">
        <f t="shared" ca="1" si="133"/>
        <v>1+18314.0702546131i</v>
      </c>
      <c r="N351" t="str">
        <f t="shared" si="134"/>
        <v>1+87.2829447805198i</v>
      </c>
      <c r="O351">
        <f t="shared" ca="1" si="135"/>
        <v>22.224473826228223</v>
      </c>
      <c r="P351" t="str">
        <f t="shared" ca="1" si="150"/>
        <v>-0.0347496250352415-0.00275644151575945i</v>
      </c>
      <c r="Q351">
        <f t="shared" ca="1" si="145"/>
        <v>-29.153756807011636</v>
      </c>
      <c r="R351">
        <f t="shared" ca="1" si="151"/>
        <v>-175.46462827949756</v>
      </c>
      <c r="T351" t="str">
        <f t="shared" si="136"/>
        <v>1+532i</v>
      </c>
      <c r="U351" t="str">
        <f t="shared" si="137"/>
        <v>1+70i</v>
      </c>
      <c r="V351" t="str">
        <f t="shared" si="138"/>
        <v>-0.000352443609022556i</v>
      </c>
      <c r="W351" t="str">
        <f t="shared" si="146"/>
        <v>0.000033223617092108-0.00267809680547011i</v>
      </c>
      <c r="X351">
        <f t="shared" si="147"/>
        <v>-51.442806239085215</v>
      </c>
      <c r="Y351">
        <f t="shared" si="148"/>
        <v>-89.289243245139872</v>
      </c>
      <c r="Z351">
        <f t="shared" si="149"/>
        <v>1114084.6016432673</v>
      </c>
      <c r="AA351">
        <f t="shared" ca="1" si="139"/>
        <v>-80.596563046096847</v>
      </c>
      <c r="AB351">
        <f t="shared" ca="1" si="140"/>
        <v>-264.75387152463742</v>
      </c>
    </row>
    <row r="352" spans="1:28" x14ac:dyDescent="0.2">
      <c r="A352">
        <v>7100000</v>
      </c>
      <c r="B352" t="str">
        <f t="shared" si="141"/>
        <v>7100000i</v>
      </c>
      <c r="C352" t="str">
        <f t="shared" ca="1" si="127"/>
        <v>1+185.75699829679i</v>
      </c>
      <c r="D352" t="str">
        <f t="shared" ca="1" si="128"/>
        <v>1+24.6673006723927i</v>
      </c>
      <c r="E352" t="str">
        <f t="shared" ca="1" si="129"/>
        <v>1+18482.6262732195i</v>
      </c>
      <c r="F352">
        <f t="shared" ca="1" si="130"/>
        <v>39.000923110829653</v>
      </c>
      <c r="G352" t="str">
        <f t="shared" ca="1" si="142"/>
        <v>0.44350164033042+9.66683496035317i</v>
      </c>
      <c r="H352">
        <f t="shared" ca="1" si="143"/>
        <v>19.714817736059665</v>
      </c>
      <c r="I352">
        <f t="shared" ca="1" si="144"/>
        <v>87.373187177151664</v>
      </c>
      <c r="K352" t="str">
        <f t="shared" ca="1" si="131"/>
        <v>1+185.75699829679i</v>
      </c>
      <c r="L352" t="str">
        <f t="shared" ca="1" si="132"/>
        <v>1-13.8493953622071i</v>
      </c>
      <c r="M352" t="str">
        <f t="shared" ca="1" si="133"/>
        <v>1+18575.699829679i</v>
      </c>
      <c r="N352" t="str">
        <f t="shared" si="134"/>
        <v>1+88.5298439916701i</v>
      </c>
      <c r="O352">
        <f t="shared" ca="1" si="135"/>
        <v>22.224473826228223</v>
      </c>
      <c r="P352" t="str">
        <f t="shared" ca="1" si="150"/>
        <v>-0.0347501230177443-0.00271762400010208i</v>
      </c>
      <c r="Q352">
        <f t="shared" ca="1" si="145"/>
        <v>-29.154392604514364</v>
      </c>
      <c r="R352">
        <f t="shared" ca="1" si="151"/>
        <v>-175.5283004673997</v>
      </c>
      <c r="T352" t="str">
        <f t="shared" si="136"/>
        <v>1+539.6i</v>
      </c>
      <c r="U352" t="str">
        <f t="shared" si="137"/>
        <v>1+71i</v>
      </c>
      <c r="V352" t="str">
        <f t="shared" si="138"/>
        <v>-0.000347479614529281i</v>
      </c>
      <c r="W352" t="str">
        <f t="shared" si="146"/>
        <v>0.000032294515543122-0.00264039021809094i</v>
      </c>
      <c r="X352">
        <f t="shared" si="147"/>
        <v>-51.565988056565395</v>
      </c>
      <c r="Y352">
        <f t="shared" si="148"/>
        <v>-89.29925237202923</v>
      </c>
      <c r="Z352">
        <f t="shared" si="149"/>
        <v>1130000.0959524568</v>
      </c>
      <c r="AA352">
        <f t="shared" ca="1" si="139"/>
        <v>-80.720380661079759</v>
      </c>
      <c r="AB352">
        <f t="shared" ca="1" si="140"/>
        <v>-264.8275528394289</v>
      </c>
    </row>
    <row r="353" spans="1:28" x14ac:dyDescent="0.2">
      <c r="A353">
        <v>7200000</v>
      </c>
      <c r="B353" t="str">
        <f t="shared" si="141"/>
        <v>7200000i</v>
      </c>
      <c r="C353" t="str">
        <f t="shared" ca="1" si="127"/>
        <v>1+188.373294047449i</v>
      </c>
      <c r="D353" t="str">
        <f t="shared" ca="1" si="128"/>
        <v>1+25.0147274424264i</v>
      </c>
      <c r="E353" t="str">
        <f t="shared" ca="1" si="129"/>
        <v>1+18742.944953124i</v>
      </c>
      <c r="F353">
        <f t="shared" ca="1" si="130"/>
        <v>39.000923110829653</v>
      </c>
      <c r="G353" t="str">
        <f t="shared" ca="1" si="142"/>
        <v>0.443501637216901+9.80304592196289i</v>
      </c>
      <c r="H353">
        <f t="shared" ca="1" si="143"/>
        <v>19.836100652702321</v>
      </c>
      <c r="I353">
        <f t="shared" ca="1" si="144"/>
        <v>87.40963606220005</v>
      </c>
      <c r="K353" t="str">
        <f t="shared" ca="1" si="131"/>
        <v>1+188.373294047449i</v>
      </c>
      <c r="L353" t="str">
        <f t="shared" ca="1" si="132"/>
        <v>1-14.044457268717i</v>
      </c>
      <c r="M353" t="str">
        <f t="shared" ca="1" si="133"/>
        <v>1+18837.3294047449i</v>
      </c>
      <c r="N353" t="str">
        <f t="shared" si="134"/>
        <v>1+89.7767432028204i</v>
      </c>
      <c r="O353">
        <f t="shared" ca="1" si="135"/>
        <v>22.224473826228223</v>
      </c>
      <c r="P353" t="str">
        <f t="shared" ca="1" si="150"/>
        <v>-0.0347506003988282-0.00267988452014089i</v>
      </c>
      <c r="Q353">
        <f t="shared" ca="1" si="145"/>
        <v>-29.155002185621587</v>
      </c>
      <c r="R353">
        <f t="shared" ca="1" si="151"/>
        <v>-175.590212366229</v>
      </c>
      <c r="T353" t="str">
        <f t="shared" si="136"/>
        <v>1+547.2i</v>
      </c>
      <c r="U353" t="str">
        <f t="shared" si="137"/>
        <v>1+72i</v>
      </c>
      <c r="V353" t="str">
        <f t="shared" si="138"/>
        <v>-0.00034265350877193i</v>
      </c>
      <c r="W353" t="str">
        <f t="shared" si="146"/>
        <v>0.0000314038471298787-0.0026037305021232i</v>
      </c>
      <c r="X353">
        <f t="shared" si="147"/>
        <v>-51.68744766185501</v>
      </c>
      <c r="Y353">
        <f t="shared" si="148"/>
        <v>-89.30898353009988</v>
      </c>
      <c r="Z353">
        <f t="shared" si="149"/>
        <v>1145915.5902616465</v>
      </c>
      <c r="AA353">
        <f t="shared" ca="1" si="139"/>
        <v>-80.842449847476601</v>
      </c>
      <c r="AB353">
        <f t="shared" ca="1" si="140"/>
        <v>-264.89919589632888</v>
      </c>
    </row>
    <row r="354" spans="1:28" x14ac:dyDescent="0.2">
      <c r="A354">
        <v>7300000</v>
      </c>
      <c r="B354" t="str">
        <f t="shared" si="141"/>
        <v>7300000i</v>
      </c>
      <c r="C354" t="str">
        <f t="shared" ca="1" si="127"/>
        <v>1+190.989589798108i</v>
      </c>
      <c r="D354" t="str">
        <f t="shared" ca="1" si="128"/>
        <v>1+25.3621542124601i</v>
      </c>
      <c r="E354" t="str">
        <f t="shared" ca="1" si="129"/>
        <v>1+19003.2636330285i</v>
      </c>
      <c r="F354">
        <f t="shared" ca="1" si="130"/>
        <v>39.000923110829653</v>
      </c>
      <c r="G354" t="str">
        <f t="shared" ca="1" si="142"/>
        <v>0.443501634230455+9.93925608975821i</v>
      </c>
      <c r="H354">
        <f t="shared" ca="1" si="143"/>
        <v>19.955716044808053</v>
      </c>
      <c r="I354">
        <f t="shared" ca="1" si="144"/>
        <v>87.445087739792157</v>
      </c>
      <c r="K354" t="str">
        <f t="shared" ca="1" si="131"/>
        <v>1+190.989589798108i</v>
      </c>
      <c r="L354" t="str">
        <f t="shared" ca="1" si="132"/>
        <v>1-14.239519175227i</v>
      </c>
      <c r="M354" t="str">
        <f t="shared" ca="1" si="133"/>
        <v>1+19098.9589798108i</v>
      </c>
      <c r="N354" t="str">
        <f t="shared" si="134"/>
        <v>1+91.0236424139706i</v>
      </c>
      <c r="O354">
        <f t="shared" ca="1" si="135"/>
        <v>22.224473826228223</v>
      </c>
      <c r="P354" t="str">
        <f t="shared" ca="1" si="150"/>
        <v>-0.0347510582993428-0.0026431787853075i</v>
      </c>
      <c r="Q354">
        <f t="shared" ca="1" si="145"/>
        <v>-29.155586970938664</v>
      </c>
      <c r="R354">
        <f t="shared" ca="1" si="151"/>
        <v>-175.65043586894143</v>
      </c>
      <c r="T354" t="str">
        <f t="shared" si="136"/>
        <v>1+554.8i</v>
      </c>
      <c r="U354" t="str">
        <f t="shared" si="137"/>
        <v>1+73i</v>
      </c>
      <c r="V354" t="str">
        <f t="shared" si="138"/>
        <v>-0.000337959625090123i</v>
      </c>
      <c r="W354" t="str">
        <f t="shared" si="146"/>
        <v>0.0000305495210822553-0.00256807466409476i</v>
      </c>
      <c r="X354">
        <f t="shared" si="147"/>
        <v>-51.80723253952096</v>
      </c>
      <c r="Y354">
        <f t="shared" si="148"/>
        <v>-89.318448139374908</v>
      </c>
      <c r="Z354">
        <f t="shared" si="149"/>
        <v>1161831.084570836</v>
      </c>
      <c r="AA354">
        <f t="shared" ca="1" si="139"/>
        <v>-80.962819510459624</v>
      </c>
      <c r="AB354">
        <f t="shared" ca="1" si="140"/>
        <v>-264.96888400831631</v>
      </c>
    </row>
    <row r="355" spans="1:28" x14ac:dyDescent="0.2">
      <c r="A355">
        <v>7400000</v>
      </c>
      <c r="B355" t="str">
        <f t="shared" si="141"/>
        <v>7400000i</v>
      </c>
      <c r="C355" t="str">
        <f t="shared" ca="1" si="127"/>
        <v>1+193.605885548767i</v>
      </c>
      <c r="D355" t="str">
        <f t="shared" ca="1" si="128"/>
        <v>1+25.7095809824938i</v>
      </c>
      <c r="E355" t="str">
        <f t="shared" ca="1" si="129"/>
        <v>1+19263.582312933i</v>
      </c>
      <c r="F355">
        <f t="shared" ca="1" si="130"/>
        <v>39.000923110829653</v>
      </c>
      <c r="G355" t="str">
        <f t="shared" ca="1" si="142"/>
        <v>0.443501631364261+10.0754654959209i</v>
      </c>
      <c r="H355">
        <f t="shared" ca="1" si="143"/>
        <v>20.07370907394483</v>
      </c>
      <c r="I355">
        <f t="shared" ca="1" si="144"/>
        <v>87.479582563640363</v>
      </c>
      <c r="K355" t="str">
        <f t="shared" ca="1" si="131"/>
        <v>1+193.605885548767i</v>
      </c>
      <c r="L355" t="str">
        <f t="shared" ca="1" si="132"/>
        <v>1-14.4345810817369i</v>
      </c>
      <c r="M355" t="str">
        <f t="shared" ca="1" si="133"/>
        <v>1+19360.5885548767i</v>
      </c>
      <c r="N355" t="str">
        <f t="shared" si="134"/>
        <v>1+92.2705416251209i</v>
      </c>
      <c r="O355">
        <f t="shared" ca="1" si="135"/>
        <v>22.224473826228223</v>
      </c>
      <c r="P355" t="str">
        <f t="shared" ca="1" si="150"/>
        <v>-0.0347514977649368-0.00260746489830623i</v>
      </c>
      <c r="Q355">
        <f t="shared" ca="1" si="145"/>
        <v>-29.15614828621068</v>
      </c>
      <c r="R355">
        <f t="shared" ca="1" si="151"/>
        <v>-175.70903901185213</v>
      </c>
      <c r="T355" t="str">
        <f t="shared" si="136"/>
        <v>1+562.4i</v>
      </c>
      <c r="U355" t="str">
        <f t="shared" si="137"/>
        <v>1+74i</v>
      </c>
      <c r="V355" t="str">
        <f t="shared" si="138"/>
        <v>-0.000333392603129445i</v>
      </c>
      <c r="W355" t="str">
        <f t="shared" si="146"/>
        <v>0.0000297295868848678-0.00253338203260966i</v>
      </c>
      <c r="X355">
        <f t="shared" si="147"/>
        <v>-51.925388237302919</v>
      </c>
      <c r="Y355">
        <f t="shared" si="148"/>
        <v>-89.327657002800862</v>
      </c>
      <c r="Z355">
        <f t="shared" si="149"/>
        <v>1177746.5788800255</v>
      </c>
      <c r="AA355">
        <f t="shared" ca="1" si="139"/>
        <v>-81.081536523513591</v>
      </c>
      <c r="AB355">
        <f t="shared" ca="1" si="140"/>
        <v>-265.03669601465299</v>
      </c>
    </row>
    <row r="356" spans="1:28" x14ac:dyDescent="0.2">
      <c r="A356">
        <v>7500000</v>
      </c>
      <c r="B356" t="str">
        <f t="shared" si="141"/>
        <v>7500000i</v>
      </c>
      <c r="C356" t="str">
        <f t="shared" ca="1" si="127"/>
        <v>1+196.222181299426i</v>
      </c>
      <c r="D356" t="str">
        <f t="shared" ca="1" si="128"/>
        <v>1+26.0570077525275i</v>
      </c>
      <c r="E356" t="str">
        <f t="shared" ca="1" si="129"/>
        <v>1+19523.9009928375i</v>
      </c>
      <c r="F356">
        <f t="shared" ca="1" si="130"/>
        <v>39.000923110829653</v>
      </c>
      <c r="G356" t="str">
        <f t="shared" ca="1" si="142"/>
        <v>0.44350162861195+10.2116741709162i</v>
      </c>
      <c r="H356">
        <f t="shared" ca="1" si="143"/>
        <v>20.190123094287266</v>
      </c>
      <c r="I356">
        <f t="shared" ca="1" si="144"/>
        <v>87.513158740060092</v>
      </c>
      <c r="K356" t="str">
        <f t="shared" ca="1" si="131"/>
        <v>1+196.222181299426i</v>
      </c>
      <c r="L356" t="str">
        <f t="shared" ca="1" si="132"/>
        <v>1-14.6296429882469i</v>
      </c>
      <c r="M356" t="str">
        <f t="shared" ca="1" si="133"/>
        <v>1+19622.2181299426i</v>
      </c>
      <c r="N356" t="str">
        <f t="shared" si="134"/>
        <v>1+93.5174408362712i</v>
      </c>
      <c r="O356">
        <f t="shared" ca="1" si="135"/>
        <v>22.224473826228223</v>
      </c>
      <c r="P356" t="str">
        <f t="shared" ca="1" si="150"/>
        <v>-0.0347519197720338-0.00257270319562639i</v>
      </c>
      <c r="Q356">
        <f t="shared" ca="1" si="145"/>
        <v>-29.156687369816922</v>
      </c>
      <c r="R356">
        <f t="shared" ca="1" si="151"/>
        <v>-175.76608622944977</v>
      </c>
      <c r="T356" t="str">
        <f t="shared" si="136"/>
        <v>1+570i</v>
      </c>
      <c r="U356" t="str">
        <f t="shared" si="137"/>
        <v>1+75i</v>
      </c>
      <c r="V356" t="str">
        <f t="shared" si="138"/>
        <v>-0.000328947368421053i</v>
      </c>
      <c r="W356" t="str">
        <f t="shared" si="146"/>
        <v>0.0000289422231369394-0.00249961410369151i</v>
      </c>
      <c r="X356">
        <f t="shared" si="147"/>
        <v>-52.041958470017562</v>
      </c>
      <c r="Y356">
        <f t="shared" si="148"/>
        <v>-89.336620347368623</v>
      </c>
      <c r="Z356">
        <f t="shared" si="149"/>
        <v>1193662.073189215</v>
      </c>
      <c r="AA356">
        <f t="shared" ca="1" si="139"/>
        <v>-81.198645839834484</v>
      </c>
      <c r="AB356">
        <f t="shared" ca="1" si="140"/>
        <v>-265.10270657681838</v>
      </c>
    </row>
    <row r="357" spans="1:28" x14ac:dyDescent="0.2">
      <c r="A357">
        <v>7600000</v>
      </c>
      <c r="B357" t="str">
        <f t="shared" si="141"/>
        <v>7600000i</v>
      </c>
      <c r="C357" t="str">
        <f t="shared" ca="1" si="127"/>
        <v>1+198.838477050085i</v>
      </c>
      <c r="D357" t="str">
        <f t="shared" ca="1" si="128"/>
        <v>1+26.4044345225612i</v>
      </c>
      <c r="E357" t="str">
        <f t="shared" ca="1" si="129"/>
        <v>1+19784.219672742i</v>
      </c>
      <c r="F357">
        <f t="shared" ca="1" si="130"/>
        <v>39.000923110829653</v>
      </c>
      <c r="G357" t="str">
        <f t="shared" ca="1" si="142"/>
        <v>0.443501625967565+10.3478821436061i</v>
      </c>
      <c r="H357">
        <f t="shared" ca="1" si="143"/>
        <v>20.304999747648317</v>
      </c>
      <c r="I357">
        <f t="shared" ca="1" si="144"/>
        <v>87.545852468875424</v>
      </c>
      <c r="K357" t="str">
        <f t="shared" ca="1" si="131"/>
        <v>1+198.838477050085i</v>
      </c>
      <c r="L357" t="str">
        <f t="shared" ca="1" si="132"/>
        <v>1-14.8247048947568i</v>
      </c>
      <c r="M357" t="str">
        <f t="shared" ca="1" si="133"/>
        <v>1+19883.8477050085i</v>
      </c>
      <c r="N357" t="str">
        <f t="shared" si="134"/>
        <v>1+94.7643400474215i</v>
      </c>
      <c r="O357">
        <f t="shared" ca="1" si="135"/>
        <v>22.224473826228223</v>
      </c>
      <c r="P357" t="str">
        <f t="shared" ca="1" si="150"/>
        <v>-0.0347523252332583-0.00253885610063971i</v>
      </c>
      <c r="Q357">
        <f t="shared" ca="1" si="145"/>
        <v>-29.157205379584905</v>
      </c>
      <c r="R357">
        <f t="shared" ca="1" si="151"/>
        <v>-175.82163858930002</v>
      </c>
      <c r="T357" t="str">
        <f t="shared" si="136"/>
        <v>1+577.6i</v>
      </c>
      <c r="U357" t="str">
        <f t="shared" si="137"/>
        <v>1+76i</v>
      </c>
      <c r="V357" t="str">
        <f t="shared" si="138"/>
        <v>-0.000324619113573407i</v>
      </c>
      <c r="W357" t="str">
        <f t="shared" si="146"/>
        <v>0.0000281857274309193-0.00246673439832328i</v>
      </c>
      <c r="X357">
        <f t="shared" si="147"/>
        <v>-52.156985216588261</v>
      </c>
      <c r="Y357">
        <f t="shared" si="148"/>
        <v>-89.345347861989737</v>
      </c>
      <c r="Z357">
        <f t="shared" si="149"/>
        <v>1209577.5674984045</v>
      </c>
      <c r="AA357">
        <f t="shared" ca="1" si="139"/>
        <v>-81.314190596173162</v>
      </c>
      <c r="AB357">
        <f t="shared" ca="1" si="140"/>
        <v>-265.16698645128974</v>
      </c>
    </row>
    <row r="358" spans="1:28" x14ac:dyDescent="0.2">
      <c r="A358">
        <v>7700000</v>
      </c>
      <c r="B358" t="str">
        <f t="shared" si="141"/>
        <v>7700000i</v>
      </c>
      <c r="C358" t="str">
        <f t="shared" ca="1" si="127"/>
        <v>1+201.454772800744i</v>
      </c>
      <c r="D358" t="str">
        <f t="shared" ca="1" si="128"/>
        <v>1+26.7518612925949i</v>
      </c>
      <c r="E358" t="str">
        <f t="shared" ca="1" si="129"/>
        <v>1+20044.5383526465i</v>
      </c>
      <c r="F358">
        <f t="shared" ca="1" si="130"/>
        <v>39.000923110829653</v>
      </c>
      <c r="G358" t="str">
        <f t="shared" ca="1" si="142"/>
        <v>0.443501623425539+10.484089441353i</v>
      </c>
      <c r="H358">
        <f t="shared" ca="1" si="143"/>
        <v>20.418379052354553</v>
      </c>
      <c r="I358">
        <f t="shared" ca="1" si="144"/>
        <v>87.577698073377491</v>
      </c>
      <c r="K358" t="str">
        <f t="shared" ca="1" si="131"/>
        <v>1+201.454772800744i</v>
      </c>
      <c r="L358" t="str">
        <f t="shared" ca="1" si="132"/>
        <v>1-15.0197668012668i</v>
      </c>
      <c r="M358" t="str">
        <f t="shared" ca="1" si="133"/>
        <v>1+20145.4772800744i</v>
      </c>
      <c r="N358" t="str">
        <f t="shared" si="134"/>
        <v>1+96.0112392585718i</v>
      </c>
      <c r="O358">
        <f t="shared" ca="1" si="135"/>
        <v>22.224473826228223</v>
      </c>
      <c r="P358" t="str">
        <f t="shared" ca="1" si="150"/>
        <v>-0.0347527150023744-0.00250588798813975i</v>
      </c>
      <c r="Q358">
        <f t="shared" ca="1" si="145"/>
        <v>-29.157703398992176</v>
      </c>
      <c r="R358">
        <f t="shared" ca="1" si="151"/>
        <v>-175.87575400882724</v>
      </c>
      <c r="T358" t="str">
        <f t="shared" si="136"/>
        <v>1+585.2i</v>
      </c>
      <c r="U358" t="str">
        <f t="shared" si="137"/>
        <v>1+77i</v>
      </c>
      <c r="V358" t="str">
        <f t="shared" si="138"/>
        <v>-0.000320403280929597i</v>
      </c>
      <c r="W358" t="str">
        <f t="shared" si="146"/>
        <v>0.000027458507144759-0.00243470833107604i</v>
      </c>
      <c r="X358">
        <f t="shared" si="147"/>
        <v>-52.270508810738917</v>
      </c>
      <c r="Y358">
        <f t="shared" si="148"/>
        <v>-89.353848732422634</v>
      </c>
      <c r="Z358">
        <f t="shared" si="149"/>
        <v>1225493.061807594</v>
      </c>
      <c r="AA358">
        <f t="shared" ca="1" si="139"/>
        <v>-81.4282122097311</v>
      </c>
      <c r="AB358">
        <f t="shared" ca="1" si="140"/>
        <v>-265.22960274124989</v>
      </c>
    </row>
    <row r="359" spans="1:28" x14ac:dyDescent="0.2">
      <c r="A359">
        <v>7800000</v>
      </c>
      <c r="B359" t="str">
        <f t="shared" si="141"/>
        <v>7800000i</v>
      </c>
      <c r="C359" t="str">
        <f t="shared" ca="1" si="127"/>
        <v>1+204.071068551403i</v>
      </c>
      <c r="D359" t="str">
        <f t="shared" ca="1" si="128"/>
        <v>1+27.0992880626286i</v>
      </c>
      <c r="E359" t="str">
        <f t="shared" ca="1" si="129"/>
        <v>1+20304.857032551i</v>
      </c>
      <c r="F359">
        <f t="shared" ca="1" si="130"/>
        <v>39.000923110829653</v>
      </c>
      <c r="G359" t="str">
        <f t="shared" ca="1" si="142"/>
        <v>0.443501620980654+10.6202960901163i</v>
      </c>
      <c r="H359">
        <f t="shared" ca="1" si="143"/>
        <v>20.530299486438249</v>
      </c>
      <c r="I359">
        <f t="shared" ca="1" si="144"/>
        <v>87.608728120315774</v>
      </c>
      <c r="K359" t="str">
        <f t="shared" ca="1" si="131"/>
        <v>1+204.071068551403i</v>
      </c>
      <c r="L359" t="str">
        <f t="shared" ca="1" si="132"/>
        <v>1-15.2148287077768i</v>
      </c>
      <c r="M359" t="str">
        <f t="shared" ca="1" si="133"/>
        <v>1+20407.1068551403i</v>
      </c>
      <c r="N359" t="str">
        <f t="shared" si="134"/>
        <v>1+97.2581384697221i</v>
      </c>
      <c r="O359">
        <f t="shared" ca="1" si="135"/>
        <v>22.224473826228223</v>
      </c>
      <c r="P359" t="str">
        <f t="shared" ca="1" si="150"/>
        <v>-0.0347530898787823-0.00247376505929685i</v>
      </c>
      <c r="Q359">
        <f t="shared" ca="1" si="145"/>
        <v>-29.158182442818919</v>
      </c>
      <c r="R359">
        <f t="shared" ca="1" si="151"/>
        <v>-175.92848745558192</v>
      </c>
      <c r="T359" t="str">
        <f t="shared" si="136"/>
        <v>1+592.8i</v>
      </c>
      <c r="U359" t="str">
        <f t="shared" si="137"/>
        <v>1+78i</v>
      </c>
      <c r="V359" t="str">
        <f t="shared" si="138"/>
        <v>-0.000316295546558704i</v>
      </c>
      <c r="W359" t="str">
        <f t="shared" si="146"/>
        <v>0.0000267590710547939-0.00240350308883263i</v>
      </c>
      <c r="X359">
        <f t="shared" si="147"/>
        <v>-52.382568025842218</v>
      </c>
      <c r="Y359">
        <f t="shared" si="148"/>
        <v>-89.362131673513389</v>
      </c>
      <c r="Z359">
        <f t="shared" si="149"/>
        <v>1241408.5561167838</v>
      </c>
      <c r="AA359">
        <f t="shared" ca="1" si="139"/>
        <v>-81.540750468661145</v>
      </c>
      <c r="AB359">
        <f t="shared" ca="1" si="140"/>
        <v>-265.29061912909532</v>
      </c>
    </row>
    <row r="360" spans="1:28" x14ac:dyDescent="0.2">
      <c r="A360">
        <v>7900000</v>
      </c>
      <c r="B360" t="str">
        <f t="shared" si="141"/>
        <v>7900000i</v>
      </c>
      <c r="C360" t="str">
        <f t="shared" ca="1" si="127"/>
        <v>1+206.687364302062i</v>
      </c>
      <c r="D360" t="str">
        <f t="shared" ca="1" si="128"/>
        <v>1+27.4467148326623i</v>
      </c>
      <c r="E360" t="str">
        <f t="shared" ca="1" si="129"/>
        <v>1+20565.1757124555i</v>
      </c>
      <c r="F360">
        <f t="shared" ca="1" si="130"/>
        <v>39.000923110829653</v>
      </c>
      <c r="G360" t="str">
        <f t="shared" ca="1" si="142"/>
        <v>0.443501618628024+10.7565021145409i</v>
      </c>
      <c r="H360">
        <f t="shared" ca="1" si="143"/>
        <v>20.640798065574959</v>
      </c>
      <c r="I360">
        <f t="shared" ca="1" si="144"/>
        <v>87.638973530801664</v>
      </c>
      <c r="K360" t="str">
        <f t="shared" ca="1" si="131"/>
        <v>1+206.687364302062i</v>
      </c>
      <c r="L360" t="str">
        <f t="shared" ca="1" si="132"/>
        <v>1-15.4098906142867i</v>
      </c>
      <c r="M360" t="str">
        <f t="shared" ca="1" si="133"/>
        <v>1+20668.7364302062i</v>
      </c>
      <c r="N360" t="str">
        <f t="shared" si="134"/>
        <v>1+98.5050376808723i</v>
      </c>
      <c r="O360">
        <f t="shared" ca="1" si="135"/>
        <v>22.224473826228223</v>
      </c>
      <c r="P360" t="str">
        <f t="shared" ca="1" si="150"/>
        <v>-0.0347534506116197-0.00244245522610611i</v>
      </c>
      <c r="Q360">
        <f t="shared" ca="1" si="145"/>
        <v>-29.158643462305733</v>
      </c>
      <c r="R360">
        <f t="shared" ca="1" si="151"/>
        <v>-175.97989113244148</v>
      </c>
      <c r="T360" t="str">
        <f t="shared" si="136"/>
        <v>1+600.4i</v>
      </c>
      <c r="U360" t="str">
        <f t="shared" si="137"/>
        <v>1+79i</v>
      </c>
      <c r="V360" t="str">
        <f t="shared" si="138"/>
        <v>-0.000312291805463025i</v>
      </c>
      <c r="W360" t="str">
        <f t="shared" si="146"/>
        <v>0.0000260860216867063-0.00237308751871283i</v>
      </c>
      <c r="X360">
        <f t="shared" si="147"/>
        <v>-52.493200154368381</v>
      </c>
      <c r="Y360">
        <f t="shared" si="148"/>
        <v>-89.370204958989035</v>
      </c>
      <c r="Z360">
        <f t="shared" si="149"/>
        <v>1257324.0504259733</v>
      </c>
      <c r="AA360">
        <f t="shared" ca="1" si="139"/>
        <v>-81.651843616674114</v>
      </c>
      <c r="AB360">
        <f t="shared" ca="1" si="140"/>
        <v>-265.35009609143049</v>
      </c>
    </row>
    <row r="361" spans="1:28" x14ac:dyDescent="0.2">
      <c r="A361">
        <v>8000000</v>
      </c>
      <c r="B361" t="str">
        <f t="shared" si="141"/>
        <v>8000000i</v>
      </c>
      <c r="C361" t="str">
        <f t="shared" ca="1" si="127"/>
        <v>1+209.303660052721i</v>
      </c>
      <c r="D361" t="str">
        <f t="shared" ca="1" si="128"/>
        <v>1+27.794141602696i</v>
      </c>
      <c r="E361" t="str">
        <f t="shared" ca="1" si="129"/>
        <v>1+20825.49439236i</v>
      </c>
      <c r="F361">
        <f t="shared" ca="1" si="130"/>
        <v>39.000923110829653</v>
      </c>
      <c r="G361" t="str">
        <f t="shared" ca="1" si="142"/>
        <v>0.443501616363066+10.8927075380396i</v>
      </c>
      <c r="H361">
        <f t="shared" ca="1" si="143"/>
        <v>20.749910416160233</v>
      </c>
      <c r="I361">
        <f t="shared" ca="1" si="144"/>
        <v>87.668463682917761</v>
      </c>
      <c r="K361" t="str">
        <f t="shared" ca="1" si="131"/>
        <v>1+209.303660052721i</v>
      </c>
      <c r="L361" t="str">
        <f t="shared" ca="1" si="132"/>
        <v>1-15.6049525207967i</v>
      </c>
      <c r="M361" t="str">
        <f t="shared" ca="1" si="133"/>
        <v>1+20930.3660052721i</v>
      </c>
      <c r="N361" t="str">
        <f t="shared" si="134"/>
        <v>1+99.7519368920226i</v>
      </c>
      <c r="O361">
        <f t="shared" ca="1" si="135"/>
        <v>22.224473826228223</v>
      </c>
      <c r="P361" t="str">
        <f t="shared" ca="1" si="150"/>
        <v>-0.034753797903508-0.00241192800449827i</v>
      </c>
      <c r="Q361">
        <f t="shared" ca="1" si="145"/>
        <v>-29.159087349865164</v>
      </c>
      <c r="R361">
        <f t="shared" ca="1" si="151"/>
        <v>-176.0300146490498</v>
      </c>
      <c r="T361" t="str">
        <f t="shared" si="136"/>
        <v>1+608i</v>
      </c>
      <c r="U361" t="str">
        <f t="shared" si="137"/>
        <v>1+80i</v>
      </c>
      <c r="V361" t="str">
        <f t="shared" si="138"/>
        <v>-0.000308388157894737i</v>
      </c>
      <c r="W361" t="str">
        <f t="shared" si="146"/>
        <v>0.000025438048331264-0.00234343202439586i</v>
      </c>
      <c r="X361">
        <f t="shared" si="147"/>
        <v>-52.602441082341549</v>
      </c>
      <c r="Y361">
        <f t="shared" si="148"/>
        <v>-89.378076449017144</v>
      </c>
      <c r="Z361">
        <f t="shared" si="149"/>
        <v>1273239.5447351628</v>
      </c>
      <c r="AA361">
        <f t="shared" ca="1" si="139"/>
        <v>-81.761528432206717</v>
      </c>
      <c r="AB361">
        <f t="shared" ca="1" si="140"/>
        <v>-265.40809109806696</v>
      </c>
    </row>
    <row r="362" spans="1:28" x14ac:dyDescent="0.2">
      <c r="A362">
        <v>8100000</v>
      </c>
      <c r="B362" t="str">
        <f t="shared" si="141"/>
        <v>8100000i</v>
      </c>
      <c r="C362" t="str">
        <f t="shared" ca="1" si="127"/>
        <v>1+211.91995580338i</v>
      </c>
      <c r="D362" t="str">
        <f t="shared" ca="1" si="128"/>
        <v>1+28.1415683727297i</v>
      </c>
      <c r="E362" t="str">
        <f t="shared" ca="1" si="129"/>
        <v>1+21085.8130722645i</v>
      </c>
      <c r="F362">
        <f t="shared" ca="1" si="130"/>
        <v>39.000923110829653</v>
      </c>
      <c r="G362" t="str">
        <f t="shared" ca="1" si="142"/>
        <v>0.443501614181475+11.0289123828689i</v>
      </c>
      <c r="H362">
        <f t="shared" ca="1" si="143"/>
        <v>20.857670843883611</v>
      </c>
      <c r="I362">
        <f t="shared" ca="1" si="144"/>
        <v>87.697226506746887</v>
      </c>
      <c r="K362" t="str">
        <f t="shared" ca="1" si="131"/>
        <v>1+211.91995580338i</v>
      </c>
      <c r="L362" t="str">
        <f t="shared" ca="1" si="132"/>
        <v>1-15.8000144273066i</v>
      </c>
      <c r="M362" t="str">
        <f t="shared" ca="1" si="133"/>
        <v>1+21191.995580338i</v>
      </c>
      <c r="N362" t="str">
        <f t="shared" si="134"/>
        <v>1+100.998836103173i</v>
      </c>
      <c r="O362">
        <f t="shared" ca="1" si="135"/>
        <v>22.224473826228223</v>
      </c>
      <c r="P362" t="str">
        <f t="shared" ca="1" si="150"/>
        <v>-0.0347541324139742-0.00238215441536513i</v>
      </c>
      <c r="Q362">
        <f t="shared" ca="1" si="145"/>
        <v>-29.159514943391542</v>
      </c>
      <c r="R362">
        <f t="shared" ca="1" si="151"/>
        <v>-176.07890518067043</v>
      </c>
      <c r="T362" t="str">
        <f t="shared" si="136"/>
        <v>1+615.6i</v>
      </c>
      <c r="U362" t="str">
        <f t="shared" si="137"/>
        <v>1+81i</v>
      </c>
      <c r="V362" t="str">
        <f t="shared" si="138"/>
        <v>-0.00030458089668616i</v>
      </c>
      <c r="W362" t="str">
        <f t="shared" si="146"/>
        <v>0.0000248139206596192-0.00231450847011531i</v>
      </c>
      <c r="X362">
        <f t="shared" si="147"/>
        <v>-52.710325359175449</v>
      </c>
      <c r="Y362">
        <f t="shared" si="148"/>
        <v>-89.385753615725122</v>
      </c>
      <c r="Z362">
        <f t="shared" si="149"/>
        <v>1289155.0390443522</v>
      </c>
      <c r="AA362">
        <f t="shared" ca="1" si="139"/>
        <v>-81.869840302566985</v>
      </c>
      <c r="AB362">
        <f t="shared" ca="1" si="140"/>
        <v>-265.46465879639555</v>
      </c>
    </row>
    <row r="363" spans="1:28" x14ac:dyDescent="0.2">
      <c r="A363">
        <v>8200000</v>
      </c>
      <c r="B363" t="str">
        <f t="shared" si="141"/>
        <v>8200000i</v>
      </c>
      <c r="C363" t="str">
        <f t="shared" ca="1" si="127"/>
        <v>1+214.536251554039i</v>
      </c>
      <c r="D363" t="str">
        <f t="shared" ca="1" si="128"/>
        <v>1+28.4889951427634i</v>
      </c>
      <c r="E363" t="str">
        <f t="shared" ca="1" si="129"/>
        <v>1+21346.131752169i</v>
      </c>
      <c r="F363">
        <f t="shared" ca="1" si="130"/>
        <v>39.000923110829653</v>
      </c>
      <c r="G363" t="str">
        <f t="shared" ca="1" si="142"/>
        <v>0.443501612079212+11.1651166701996i</v>
      </c>
      <c r="H363">
        <f t="shared" ca="1" si="143"/>
        <v>20.964112398128904</v>
      </c>
      <c r="I363">
        <f t="shared" ca="1" si="144"/>
        <v>87.725288572465985</v>
      </c>
      <c r="K363" t="str">
        <f t="shared" ca="1" si="131"/>
        <v>1+214.536251554039i</v>
      </c>
      <c r="L363" t="str">
        <f t="shared" ca="1" si="132"/>
        <v>1-15.9950763338166i</v>
      </c>
      <c r="M363" t="str">
        <f t="shared" ca="1" si="133"/>
        <v>1+21453.6251554039i</v>
      </c>
      <c r="N363" t="str">
        <f t="shared" si="134"/>
        <v>1+102.245735314323i</v>
      </c>
      <c r="O363">
        <f t="shared" ca="1" si="135"/>
        <v>22.224473826228223</v>
      </c>
      <c r="P363" t="str">
        <f t="shared" ca="1" si="150"/>
        <v>-0.0347544547625855-0.00235310689282411i</v>
      </c>
      <c r="Q363">
        <f t="shared" ca="1" si="145"/>
        <v>-29.159927030206433</v>
      </c>
      <c r="R363">
        <f t="shared" ca="1" si="151"/>
        <v>-176.12660761551913</v>
      </c>
      <c r="T363" t="str">
        <f t="shared" si="136"/>
        <v>1+623.2i</v>
      </c>
      <c r="U363" t="str">
        <f t="shared" si="137"/>
        <v>1+82i</v>
      </c>
      <c r="V363" t="str">
        <f t="shared" si="138"/>
        <v>-0.00030086649550706i</v>
      </c>
      <c r="W363" t="str">
        <f t="shared" si="146"/>
        <v>0.0000242124828800626-0.00228629009167219i</v>
      </c>
      <c r="X363">
        <f t="shared" si="147"/>
        <v>-52.816886263228326</v>
      </c>
      <c r="Y363">
        <f t="shared" si="148"/>
        <v>-89.393243566852732</v>
      </c>
      <c r="Z363">
        <f t="shared" si="149"/>
        <v>1305070.5333535417</v>
      </c>
      <c r="AA363">
        <f t="shared" ca="1" si="139"/>
        <v>-81.976813293434759</v>
      </c>
      <c r="AB363">
        <f t="shared" ca="1" si="140"/>
        <v>-265.51985118237189</v>
      </c>
    </row>
    <row r="364" spans="1:28" x14ac:dyDescent="0.2">
      <c r="A364">
        <v>8300000</v>
      </c>
      <c r="B364" t="str">
        <f t="shared" si="141"/>
        <v>8300000i</v>
      </c>
      <c r="C364" t="str">
        <f t="shared" ca="1" si="127"/>
        <v>1+217.152547304698i</v>
      </c>
      <c r="D364" t="str">
        <f t="shared" ca="1" si="128"/>
        <v>1+28.8364219127971i</v>
      </c>
      <c r="E364" t="str">
        <f t="shared" ca="1" si="129"/>
        <v>1+21606.4504320735i</v>
      </c>
      <c r="F364">
        <f t="shared" ca="1" si="130"/>
        <v>39.000923110829653</v>
      </c>
      <c r="G364" t="str">
        <f t="shared" ca="1" si="142"/>
        <v>0.443501610052475+11.3013204201822i</v>
      </c>
      <c r="H364">
        <f t="shared" ca="1" si="143"/>
        <v>21.069266932501243</v>
      </c>
      <c r="I364">
        <f t="shared" ca="1" si="144"/>
        <v>87.752675172088587</v>
      </c>
      <c r="K364" t="str">
        <f t="shared" ca="1" si="131"/>
        <v>1+217.152547304698i</v>
      </c>
      <c r="L364" t="str">
        <f t="shared" ca="1" si="132"/>
        <v>1-16.1901382403266i</v>
      </c>
      <c r="M364" t="str">
        <f t="shared" ca="1" si="133"/>
        <v>1+21715.2547304698i</v>
      </c>
      <c r="N364" t="str">
        <f t="shared" si="134"/>
        <v>1+103.492634525473i</v>
      </c>
      <c r="O364">
        <f t="shared" ca="1" si="135"/>
        <v>22.224473826228223</v>
      </c>
      <c r="P364" t="str">
        <f t="shared" ca="1" si="150"/>
        <v>-0.0347547655318185-0.00232475919911186i</v>
      </c>
      <c r="Q364">
        <f t="shared" ca="1" si="145"/>
        <v>-29.160324350675797</v>
      </c>
      <c r="R364">
        <f t="shared" ca="1" si="151"/>
        <v>-176.17316469153599</v>
      </c>
      <c r="T364" t="str">
        <f t="shared" si="136"/>
        <v>1+630.8i</v>
      </c>
      <c r="U364" t="str">
        <f t="shared" si="137"/>
        <v>1+83i</v>
      </c>
      <c r="V364" t="str">
        <f t="shared" si="138"/>
        <v>-0.000297241597970831i</v>
      </c>
      <c r="W364" t="str">
        <f t="shared" si="146"/>
        <v>0.0000236326483843862-0.00225875141387489i</v>
      </c>
      <c r="X364">
        <f t="shared" si="147"/>
        <v>-52.92215586338817</v>
      </c>
      <c r="Y364">
        <f t="shared" si="148"/>
        <v>-89.400553067695668</v>
      </c>
      <c r="Z364">
        <f t="shared" si="149"/>
        <v>1320986.0276627312</v>
      </c>
      <c r="AA364">
        <f t="shared" ca="1" si="139"/>
        <v>-82.082480214063963</v>
      </c>
      <c r="AB364">
        <f t="shared" ca="1" si="140"/>
        <v>-265.57371775923167</v>
      </c>
    </row>
    <row r="365" spans="1:28" x14ac:dyDescent="0.2">
      <c r="A365">
        <v>8400000</v>
      </c>
      <c r="B365" t="str">
        <f t="shared" si="141"/>
        <v>8400000i</v>
      </c>
      <c r="C365" t="str">
        <f t="shared" ca="1" si="127"/>
        <v>1+219.768843055357i</v>
      </c>
      <c r="D365" t="str">
        <f t="shared" ca="1" si="128"/>
        <v>1+29.1838486828308i</v>
      </c>
      <c r="E365" t="str">
        <f t="shared" ca="1" si="129"/>
        <v>1+21866.769111978i</v>
      </c>
      <c r="F365">
        <f t="shared" ca="1" si="130"/>
        <v>39.000923110829653</v>
      </c>
      <c r="G365" t="str">
        <f t="shared" ca="1" si="142"/>
        <v>0.44350160809769+11.4375236520077i</v>
      </c>
      <c r="H365">
        <f t="shared" ca="1" si="143"/>
        <v>21.173165161756941</v>
      </c>
      <c r="I365">
        <f t="shared" ca="1" si="144"/>
        <v>87.779410395382882</v>
      </c>
      <c r="K365" t="str">
        <f t="shared" ca="1" si="131"/>
        <v>1+219.768843055357i</v>
      </c>
      <c r="L365" t="str">
        <f t="shared" ca="1" si="132"/>
        <v>1-16.3852001468365i</v>
      </c>
      <c r="M365" t="str">
        <f t="shared" ca="1" si="133"/>
        <v>1+21976.8843055357i</v>
      </c>
      <c r="N365" t="str">
        <f t="shared" si="134"/>
        <v>1+104.739533736624i</v>
      </c>
      <c r="O365">
        <f t="shared" ca="1" si="135"/>
        <v>22.224473826228223</v>
      </c>
      <c r="P365" t="str">
        <f t="shared" ca="1" si="150"/>
        <v>-0.034755065269692-0.00229708634555452i</v>
      </c>
      <c r="Q365">
        <f t="shared" ca="1" si="145"/>
        <v>-29.160707601528799</v>
      </c>
      <c r="R365">
        <f t="shared" ca="1" si="151"/>
        <v>-176.21861712347035</v>
      </c>
      <c r="T365" t="str">
        <f t="shared" si="136"/>
        <v>1+638.4i</v>
      </c>
      <c r="U365" t="str">
        <f t="shared" si="137"/>
        <v>1+84i</v>
      </c>
      <c r="V365" t="str">
        <f t="shared" si="138"/>
        <v>-0.000293703007518797i</v>
      </c>
      <c r="W365" t="str">
        <f t="shared" si="146"/>
        <v>0.000023073394837526-0.00223186817387098i</v>
      </c>
      <c r="X365">
        <f t="shared" si="147"/>
        <v>-53.026165076973101</v>
      </c>
      <c r="Y365">
        <f t="shared" si="148"/>
        <v>-89.407688561482288</v>
      </c>
      <c r="Z365">
        <f t="shared" si="149"/>
        <v>1336901.521971921</v>
      </c>
      <c r="AA365">
        <f t="shared" ca="1" si="139"/>
        <v>-82.186872678501899</v>
      </c>
      <c r="AB365">
        <f t="shared" ca="1" si="140"/>
        <v>-265.62630568495263</v>
      </c>
    </row>
    <row r="366" spans="1:28" x14ac:dyDescent="0.2">
      <c r="A366">
        <v>8500000</v>
      </c>
      <c r="B366" t="str">
        <f t="shared" si="141"/>
        <v>8500000i</v>
      </c>
      <c r="C366" t="str">
        <f t="shared" ca="1" si="127"/>
        <v>1+222.385138806016i</v>
      </c>
      <c r="D366" t="str">
        <f t="shared" ca="1" si="128"/>
        <v>1+29.5312754528645i</v>
      </c>
      <c r="E366" t="str">
        <f t="shared" ca="1" si="129"/>
        <v>1+22127.0877918825i</v>
      </c>
      <c r="F366">
        <f t="shared" ca="1" si="130"/>
        <v>39.000923110829653</v>
      </c>
      <c r="G366" t="str">
        <f t="shared" ca="1" si="142"/>
        <v>0.44350160621149+11.5737263839641i</v>
      </c>
      <c r="H366">
        <f t="shared" ca="1" si="143"/>
        <v>21.275836715389151</v>
      </c>
      <c r="I366">
        <f t="shared" ca="1" si="144"/>
        <v>87.805517200444157</v>
      </c>
      <c r="K366" t="str">
        <f t="shared" ca="1" si="131"/>
        <v>1+222.385138806016i</v>
      </c>
      <c r="L366" t="str">
        <f t="shared" ca="1" si="132"/>
        <v>1-16.5802620533465i</v>
      </c>
      <c r="M366" t="str">
        <f t="shared" ca="1" si="133"/>
        <v>1+22238.5138806016i</v>
      </c>
      <c r="N366" t="str">
        <f t="shared" si="134"/>
        <v>1+105.986432947774i</v>
      </c>
      <c r="O366">
        <f t="shared" ca="1" si="135"/>
        <v>22.224473826228223</v>
      </c>
      <c r="P366" t="str">
        <f t="shared" ca="1" si="150"/>
        <v>-0.0347553544921869-0.00227006451911473i</v>
      </c>
      <c r="Q366">
        <f t="shared" ca="1" si="145"/>
        <v>-29.161077438905657</v>
      </c>
      <c r="R366">
        <f t="shared" ca="1" si="151"/>
        <v>-176.26300372106772</v>
      </c>
      <c r="T366" t="str">
        <f t="shared" si="136"/>
        <v>1+646i</v>
      </c>
      <c r="U366" t="str">
        <f t="shared" si="137"/>
        <v>1+85i</v>
      </c>
      <c r="V366" t="str">
        <f t="shared" si="138"/>
        <v>-0.000290247678018576i</v>
      </c>
      <c r="W366" t="str">
        <f t="shared" si="146"/>
        <v>0.0000225337596690314-0.00220561724988625i</v>
      </c>
      <c r="X366">
        <f t="shared" si="147"/>
        <v>-53.128943724208199</v>
      </c>
      <c r="Y366">
        <f t="shared" si="148"/>
        <v>-89.414656188312478</v>
      </c>
      <c r="Z366">
        <f t="shared" si="149"/>
        <v>1352817.0162811105</v>
      </c>
      <c r="AA366">
        <f t="shared" ca="1" si="139"/>
        <v>-82.290021163113863</v>
      </c>
      <c r="AB366">
        <f t="shared" ca="1" si="140"/>
        <v>-265.67765990938017</v>
      </c>
    </row>
    <row r="367" spans="1:28" x14ac:dyDescent="0.2">
      <c r="A367">
        <v>8600000</v>
      </c>
      <c r="B367" t="str">
        <f t="shared" si="141"/>
        <v>8600000i</v>
      </c>
      <c r="C367" t="str">
        <f t="shared" ca="1" si="127"/>
        <v>1+225.001434556675i</v>
      </c>
      <c r="D367" t="str">
        <f t="shared" ca="1" si="128"/>
        <v>1+29.8787022228982i</v>
      </c>
      <c r="E367" t="str">
        <f t="shared" ca="1" si="129"/>
        <v>1+22387.406471787i</v>
      </c>
      <c r="F367">
        <f t="shared" ca="1" si="130"/>
        <v>39.000923110829653</v>
      </c>
      <c r="G367" t="str">
        <f t="shared" ca="1" si="142"/>
        <v>0.443501604390705+11.7099286334887i</v>
      </c>
      <c r="H367">
        <f t="shared" ca="1" si="143"/>
        <v>21.377310188102125</v>
      </c>
      <c r="I367">
        <f t="shared" ca="1" si="144"/>
        <v>87.831017479355324</v>
      </c>
      <c r="K367" t="str">
        <f t="shared" ca="1" si="131"/>
        <v>1+225.001434556675i</v>
      </c>
      <c r="L367" t="str">
        <f t="shared" ca="1" si="132"/>
        <v>1-16.7753239598564i</v>
      </c>
      <c r="M367" t="str">
        <f t="shared" ca="1" si="133"/>
        <v>1+22500.1434556675i</v>
      </c>
      <c r="N367" t="str">
        <f t="shared" si="134"/>
        <v>1+107.233332158924i</v>
      </c>
      <c r="O367">
        <f t="shared" ca="1" si="135"/>
        <v>22.224473826228223</v>
      </c>
      <c r="P367" t="str">
        <f t="shared" ca="1" si="150"/>
        <v>-0.0347556336854638-0.00224367101406111i</v>
      </c>
      <c r="Q367">
        <f t="shared" ca="1" si="145"/>
        <v>-29.161434481161713</v>
      </c>
      <c r="R367">
        <f t="shared" ca="1" si="151"/>
        <v>-176.30636149907639</v>
      </c>
      <c r="T367" t="str">
        <f t="shared" si="136"/>
        <v>1+653.6i</v>
      </c>
      <c r="U367" t="str">
        <f t="shared" si="137"/>
        <v>1+86i</v>
      </c>
      <c r="V367" t="str">
        <f t="shared" si="138"/>
        <v>-0.00028687270501836i</v>
      </c>
      <c r="W367" t="str">
        <f t="shared" si="146"/>
        <v>0.0000220128359292174-0.00217997659493106i</v>
      </c>
      <c r="X367">
        <f t="shared" si="147"/>
        <v>-53.230520579519336</v>
      </c>
      <c r="Y367">
        <f t="shared" si="148"/>
        <v>-89.421461802775795</v>
      </c>
      <c r="Z367">
        <f t="shared" si="149"/>
        <v>1368732.5105903</v>
      </c>
      <c r="AA367">
        <f t="shared" ca="1" si="139"/>
        <v>-82.391955060681056</v>
      </c>
      <c r="AB367">
        <f t="shared" ca="1" si="140"/>
        <v>-265.7278233018522</v>
      </c>
    </row>
    <row r="368" spans="1:28" x14ac:dyDescent="0.2">
      <c r="A368">
        <v>8700000</v>
      </c>
      <c r="B368" t="str">
        <f t="shared" si="141"/>
        <v>8700000i</v>
      </c>
      <c r="C368" t="str">
        <f t="shared" ca="1" si="127"/>
        <v>1+227.617730307334i</v>
      </c>
      <c r="D368" t="str">
        <f t="shared" ca="1" si="128"/>
        <v>1+30.2261289929319i</v>
      </c>
      <c r="E368" t="str">
        <f t="shared" ca="1" si="129"/>
        <v>1+22647.7251516915i</v>
      </c>
      <c r="F368">
        <f t="shared" ca="1" si="130"/>
        <v>39.000923110829653</v>
      </c>
      <c r="G368" t="str">
        <f t="shared" ca="1" si="142"/>
        <v>0.443501602632342+11.846130417217i</v>
      </c>
      <c r="H368">
        <f t="shared" ca="1" si="143"/>
        <v>21.477613187388176</v>
      </c>
      <c r="I368">
        <f t="shared" ca="1" si="144"/>
        <v>87.855932119329836</v>
      </c>
      <c r="K368" t="str">
        <f t="shared" ca="1" si="131"/>
        <v>1+227.617730307334i</v>
      </c>
      <c r="L368" t="str">
        <f t="shared" ca="1" si="132"/>
        <v>1-16.9703858663664i</v>
      </c>
      <c r="M368" t="str">
        <f t="shared" ca="1" si="133"/>
        <v>1+22761.7730307334i</v>
      </c>
      <c r="N368" t="str">
        <f t="shared" si="134"/>
        <v>1+108.480231370075i</v>
      </c>
      <c r="O368">
        <f t="shared" ca="1" si="135"/>
        <v>22.224473826228223</v>
      </c>
      <c r="P368" t="str">
        <f t="shared" ca="1" si="150"/>
        <v>-0.0347559033079104-0.00221788416834893i</v>
      </c>
      <c r="Q368">
        <f t="shared" ca="1" si="145"/>
        <v>-29.161779311446505</v>
      </c>
      <c r="R368">
        <f t="shared" ca="1" si="151"/>
        <v>-176.34872577972672</v>
      </c>
      <c r="T368" t="str">
        <f t="shared" si="136"/>
        <v>1+661.2i</v>
      </c>
      <c r="U368" t="str">
        <f t="shared" si="137"/>
        <v>1+87i</v>
      </c>
      <c r="V368" t="str">
        <f t="shared" si="138"/>
        <v>-0.000283575317604356i</v>
      </c>
      <c r="W368" t="str">
        <f t="shared" si="146"/>
        <v>0.0000215097684766739-0.00215492517507498i</v>
      </c>
      <c r="X368">
        <f t="shared" si="147"/>
        <v>-53.330923419863929</v>
      </c>
      <c r="Y368">
        <f t="shared" si="148"/>
        <v>-89.428110990355052</v>
      </c>
      <c r="Z368">
        <f t="shared" si="149"/>
        <v>1384648.0048994895</v>
      </c>
      <c r="AA368">
        <f t="shared" ca="1" si="139"/>
        <v>-82.49270273131043</v>
      </c>
      <c r="AB368">
        <f t="shared" ca="1" si="140"/>
        <v>-265.77683677008179</v>
      </c>
    </row>
    <row r="369" spans="1:28" x14ac:dyDescent="0.2">
      <c r="A369">
        <v>8800000</v>
      </c>
      <c r="B369" t="str">
        <f t="shared" si="141"/>
        <v>8800000i</v>
      </c>
      <c r="C369" t="str">
        <f t="shared" ca="1" si="127"/>
        <v>1+230.234026057993i</v>
      </c>
      <c r="D369" t="str">
        <f t="shared" ca="1" si="128"/>
        <v>1+30.5735557629656i</v>
      </c>
      <c r="E369" t="str">
        <f t="shared" ca="1" si="129"/>
        <v>1+22908.043831596i</v>
      </c>
      <c r="F369">
        <f t="shared" ca="1" si="130"/>
        <v>39.000923110829653</v>
      </c>
      <c r="G369" t="str">
        <f t="shared" ca="1" si="142"/>
        <v>0.443501600933585+11.9823317510284i</v>
      </c>
      <c r="H369">
        <f t="shared" ca="1" si="143"/>
        <v>21.576772378404634</v>
      </c>
      <c r="I369">
        <f t="shared" ca="1" si="144"/>
        <v>87.880281059695193</v>
      </c>
      <c r="K369" t="str">
        <f t="shared" ca="1" si="131"/>
        <v>1+230.234026057993i</v>
      </c>
      <c r="L369" t="str">
        <f t="shared" ca="1" si="132"/>
        <v>1-17.1654477728763i</v>
      </c>
      <c r="M369" t="str">
        <f t="shared" ca="1" si="133"/>
        <v>1+23023.4026057993i</v>
      </c>
      <c r="N369" t="str">
        <f t="shared" si="134"/>
        <v>1+109.727130581225i</v>
      </c>
      <c r="O369">
        <f t="shared" ca="1" si="135"/>
        <v>22.224473826228223</v>
      </c>
      <c r="P369" t="str">
        <f t="shared" ca="1" si="150"/>
        <v>-0.0347561637920229-0.00219268330433677i</v>
      </c>
      <c r="Q369">
        <f t="shared" ca="1" si="145"/>
        <v>-29.162112480080861</v>
      </c>
      <c r="R369">
        <f t="shared" ca="1" si="151"/>
        <v>-176.39013028827591</v>
      </c>
      <c r="T369" t="str">
        <f t="shared" si="136"/>
        <v>1+668.8i</v>
      </c>
      <c r="U369" t="str">
        <f t="shared" si="137"/>
        <v>1+88i</v>
      </c>
      <c r="V369" t="str">
        <f t="shared" si="138"/>
        <v>-0.000280352870813397i</v>
      </c>
      <c r="W369" t="str">
        <f t="shared" si="146"/>
        <v>0.0000210237504671945-0.00213044291192651i</v>
      </c>
      <c r="X369">
        <f t="shared" si="147"/>
        <v>-53.430179070301989</v>
      </c>
      <c r="Y369">
        <f t="shared" si="148"/>
        <v>-89.434609082711631</v>
      </c>
      <c r="Z369">
        <f t="shared" si="149"/>
        <v>1400563.499208679</v>
      </c>
      <c r="AA369">
        <f t="shared" ca="1" si="139"/>
        <v>-82.592291550382853</v>
      </c>
      <c r="AB369">
        <f t="shared" ca="1" si="140"/>
        <v>-265.82473937098757</v>
      </c>
    </row>
    <row r="370" spans="1:28" x14ac:dyDescent="0.2">
      <c r="A370">
        <v>8900000</v>
      </c>
      <c r="B370" t="str">
        <f t="shared" si="141"/>
        <v>8900000i</v>
      </c>
      <c r="C370" t="str">
        <f t="shared" ca="1" si="127"/>
        <v>1+232.850321808652i</v>
      </c>
      <c r="D370" t="str">
        <f t="shared" ca="1" si="128"/>
        <v>1+30.9209825329993i</v>
      </c>
      <c r="E370" t="str">
        <f t="shared" ca="1" si="129"/>
        <v>1+23168.3625115005i</v>
      </c>
      <c r="F370">
        <f t="shared" ca="1" si="130"/>
        <v>39.000923110829653</v>
      </c>
      <c r="G370" t="str">
        <f t="shared" ca="1" si="142"/>
        <v>0.443501599291768+12.1185326500887i</v>
      </c>
      <c r="H370">
        <f t="shared" ca="1" si="143"/>
        <v>21.674813526332002</v>
      </c>
      <c r="I370">
        <f t="shared" ca="1" si="144"/>
        <v>87.904083345043603</v>
      </c>
      <c r="K370" t="str">
        <f t="shared" ca="1" si="131"/>
        <v>1+232.850321808652i</v>
      </c>
      <c r="L370" t="str">
        <f t="shared" ca="1" si="132"/>
        <v>1-17.3605096793863i</v>
      </c>
      <c r="M370" t="str">
        <f t="shared" ca="1" si="133"/>
        <v>1+23285.0321808652i</v>
      </c>
      <c r="N370" t="str">
        <f t="shared" si="134"/>
        <v>1+110.974029792375i</v>
      </c>
      <c r="O370">
        <f t="shared" ca="1" si="135"/>
        <v>22.224473826228223</v>
      </c>
      <c r="P370" t="str">
        <f t="shared" ca="1" si="150"/>
        <v>-0.0347564155461413-0.00216804867349852i</v>
      </c>
      <c r="Q370">
        <f t="shared" ca="1" si="145"/>
        <v>-29.162434506748681</v>
      </c>
      <c r="R370">
        <f t="shared" ca="1" si="151"/>
        <v>-176.43060724215962</v>
      </c>
      <c r="T370" t="str">
        <f t="shared" si="136"/>
        <v>1+676.4i</v>
      </c>
      <c r="U370" t="str">
        <f t="shared" si="137"/>
        <v>1+89i</v>
      </c>
      <c r="V370" t="str">
        <f t="shared" si="138"/>
        <v>-0.000277202838557067i</v>
      </c>
      <c r="W370" t="str">
        <f t="shared" si="146"/>
        <v>0.0000205540201171953-0.00210651062898745i</v>
      </c>
      <c r="X370">
        <f t="shared" si="147"/>
        <v>-53.52831344699468</v>
      </c>
      <c r="Y370">
        <f t="shared" si="148"/>
        <v>-89.440961171941012</v>
      </c>
      <c r="Z370">
        <f t="shared" si="149"/>
        <v>1416478.9935178685</v>
      </c>
      <c r="AA370">
        <f t="shared" ca="1" si="139"/>
        <v>-82.690747953743369</v>
      </c>
      <c r="AB370">
        <f t="shared" ca="1" si="140"/>
        <v>-265.87156841410064</v>
      </c>
    </row>
    <row r="371" spans="1:28" x14ac:dyDescent="0.2">
      <c r="A371">
        <v>9000000</v>
      </c>
      <c r="B371" t="str">
        <f t="shared" si="141"/>
        <v>9000000i</v>
      </c>
      <c r="C371" t="str">
        <f t="shared" ca="1" si="127"/>
        <v>1+235.466617559311i</v>
      </c>
      <c r="D371" t="str">
        <f t="shared" ca="1" si="128"/>
        <v>1+31.268409303033i</v>
      </c>
      <c r="E371" t="str">
        <f t="shared" ca="1" si="129"/>
        <v>1+23428.681191405i</v>
      </c>
      <c r="F371">
        <f t="shared" ca="1" si="130"/>
        <v>39.000923110829653</v>
      </c>
      <c r="G371" t="str">
        <f t="shared" ca="1" si="142"/>
        <v>0.443501597704373+12.2547331288896i</v>
      </c>
      <c r="H371">
        <f t="shared" ca="1" si="143"/>
        <v>21.771761536381035</v>
      </c>
      <c r="I371">
        <f t="shared" ca="1" si="144"/>
        <v>87.927357174846861</v>
      </c>
      <c r="K371" t="str">
        <f t="shared" ca="1" si="131"/>
        <v>1+235.466617559311i</v>
      </c>
      <c r="L371" t="str">
        <f t="shared" ca="1" si="132"/>
        <v>1-17.5555715858963i</v>
      </c>
      <c r="M371" t="str">
        <f t="shared" ca="1" si="133"/>
        <v>1+23546.6617559311i</v>
      </c>
      <c r="N371" t="str">
        <f t="shared" si="134"/>
        <v>1+112.220929003525i</v>
      </c>
      <c r="O371">
        <f t="shared" ca="1" si="135"/>
        <v>22.224473826228223</v>
      </c>
      <c r="P371" t="str">
        <f t="shared" ca="1" si="150"/>
        <v>-0.0347566589560499-0.00214396140482011i</v>
      </c>
      <c r="Q371">
        <f t="shared" ca="1" si="145"/>
        <v>-29.16274588252012</v>
      </c>
      <c r="R371">
        <f t="shared" ca="1" si="151"/>
        <v>-176.47018743424255</v>
      </c>
      <c r="T371" t="str">
        <f t="shared" si="136"/>
        <v>1+684i</v>
      </c>
      <c r="U371" t="str">
        <f t="shared" si="137"/>
        <v>1+90i</v>
      </c>
      <c r="V371" t="str">
        <f t="shared" si="138"/>
        <v>-0.000274122807017544i</v>
      </c>
      <c r="W371" t="str">
        <f t="shared" si="146"/>
        <v>0.0000200998577173708-0.00208311000158092i</v>
      </c>
      <c r="X371">
        <f t="shared" si="147"/>
        <v>-53.625351597801924</v>
      </c>
      <c r="Y371">
        <f t="shared" si="148"/>
        <v>-89.447172123878048</v>
      </c>
      <c r="Z371">
        <f t="shared" si="149"/>
        <v>1432394.4878270582</v>
      </c>
      <c r="AA371">
        <f t="shared" ca="1" si="139"/>
        <v>-82.788097480322051</v>
      </c>
      <c r="AB371">
        <f t="shared" ca="1" si="140"/>
        <v>-265.91735955812061</v>
      </c>
    </row>
    <row r="372" spans="1:28" x14ac:dyDescent="0.2">
      <c r="A372">
        <v>9100000</v>
      </c>
      <c r="B372" t="str">
        <f t="shared" si="141"/>
        <v>9100000i</v>
      </c>
      <c r="C372" t="str">
        <f t="shared" ca="1" si="127"/>
        <v>1+238.08291330997i</v>
      </c>
      <c r="D372" t="str">
        <f t="shared" ca="1" si="128"/>
        <v>1+31.6158360730667i</v>
      </c>
      <c r="E372" t="str">
        <f t="shared" ca="1" si="129"/>
        <v>1+23688.9998713095i</v>
      </c>
      <c r="F372">
        <f t="shared" ca="1" si="130"/>
        <v>39.000923110829653</v>
      </c>
      <c r="G372" t="str">
        <f t="shared" ca="1" si="142"/>
        <v>0.443501596169017+12.3909332012858i</v>
      </c>
      <c r="H372">
        <f t="shared" ca="1" si="143"/>
        <v>21.867640491603563</v>
      </c>
      <c r="I372">
        <f t="shared" ca="1" si="144"/>
        <v>87.950119949807004</v>
      </c>
      <c r="K372" t="str">
        <f t="shared" ca="1" si="131"/>
        <v>1+238.08291330997i</v>
      </c>
      <c r="L372" t="str">
        <f t="shared" ca="1" si="132"/>
        <v>1-17.7506334924062i</v>
      </c>
      <c r="M372" t="str">
        <f t="shared" ca="1" si="133"/>
        <v>1+23808.291330997i</v>
      </c>
      <c r="N372" t="str">
        <f t="shared" si="134"/>
        <v>1+113.467828214676i</v>
      </c>
      <c r="O372">
        <f t="shared" ca="1" si="135"/>
        <v>22.224473826228223</v>
      </c>
      <c r="P372" t="str">
        <f t="shared" ca="1" si="150"/>
        <v>-0.0347568943864561-0.00212040345659746i</v>
      </c>
      <c r="Q372">
        <f t="shared" ca="1" si="145"/>
        <v>-29.163047071720559</v>
      </c>
      <c r="R372">
        <f t="shared" ca="1" si="151"/>
        <v>-176.50890031061982</v>
      </c>
      <c r="T372" t="str">
        <f t="shared" si="136"/>
        <v>1+691.6i</v>
      </c>
      <c r="U372" t="str">
        <f t="shared" si="137"/>
        <v>1+91i</v>
      </c>
      <c r="V372" t="str">
        <f t="shared" si="138"/>
        <v>-0.000271110468478889i</v>
      </c>
      <c r="W372" t="str">
        <f t="shared" si="146"/>
        <v>0.0000196605828747188-0.0020602235100783i</v>
      </c>
      <c r="X372">
        <f t="shared" si="147"/>
        <v>-53.721317740638888</v>
      </c>
      <c r="Y372">
        <f t="shared" si="148"/>
        <v>-89.453246590525339</v>
      </c>
      <c r="Z372">
        <f t="shared" si="149"/>
        <v>1448309.9821362477</v>
      </c>
      <c r="AA372">
        <f t="shared" ca="1" si="139"/>
        <v>-82.884364812359451</v>
      </c>
      <c r="AB372">
        <f t="shared" ca="1" si="140"/>
        <v>-265.96214690114516</v>
      </c>
    </row>
    <row r="373" spans="1:28" x14ac:dyDescent="0.2">
      <c r="A373">
        <v>9200000</v>
      </c>
      <c r="B373" t="str">
        <f t="shared" si="141"/>
        <v>9200000i</v>
      </c>
      <c r="C373" t="str">
        <f t="shared" ca="1" si="127"/>
        <v>1+240.699209060629i</v>
      </c>
      <c r="D373" t="str">
        <f t="shared" ca="1" si="128"/>
        <v>1+31.9632628431004i</v>
      </c>
      <c r="E373" t="str">
        <f t="shared" ca="1" si="129"/>
        <v>1+23949.318551214i</v>
      </c>
      <c r="F373">
        <f t="shared" ca="1" si="130"/>
        <v>39.000923110829653</v>
      </c>
      <c r="G373" t="str">
        <f t="shared" ca="1" si="142"/>
        <v>0.44350159468346+12.5271328805295i</v>
      </c>
      <c r="H373">
        <f t="shared" ca="1" si="143"/>
        <v>21.962473688649915</v>
      </c>
      <c r="I373">
        <f t="shared" ca="1" si="144"/>
        <v>87.972388315190216</v>
      </c>
      <c r="K373" t="str">
        <f t="shared" ca="1" si="131"/>
        <v>1+240.699209060629i</v>
      </c>
      <c r="L373" t="str">
        <f t="shared" ca="1" si="132"/>
        <v>1-17.9456953989162i</v>
      </c>
      <c r="M373" t="str">
        <f t="shared" ca="1" si="133"/>
        <v>1+24069.9209060629i</v>
      </c>
      <c r="N373" t="str">
        <f t="shared" si="134"/>
        <v>1+114.714727425826i</v>
      </c>
      <c r="O373">
        <f t="shared" ca="1" si="135"/>
        <v>22.224473826228223</v>
      </c>
      <c r="P373" t="str">
        <f t="shared" ca="1" si="150"/>
        <v>-0.0347571221823594-0.00209735757137734i</v>
      </c>
      <c r="Q373">
        <f t="shared" ca="1" si="145"/>
        <v>-29.163338513658186</v>
      </c>
      <c r="R373">
        <f t="shared" ca="1" si="151"/>
        <v>-176.54677404337878</v>
      </c>
      <c r="T373" t="str">
        <f t="shared" si="136"/>
        <v>1+699.2i</v>
      </c>
      <c r="U373" t="str">
        <f t="shared" si="137"/>
        <v>1+92i</v>
      </c>
      <c r="V373" t="str">
        <f t="shared" si="138"/>
        <v>-0.000268163615560641i</v>
      </c>
      <c r="W373" t="str">
        <f t="shared" si="146"/>
        <v>0.0000192355519631921-0.00203783439617431i</v>
      </c>
      <c r="X373">
        <f t="shared" si="147"/>
        <v>-53.81623529973777</v>
      </c>
      <c r="Y373">
        <f t="shared" si="148"/>
        <v>-89.459189021671207</v>
      </c>
      <c r="Z373">
        <f t="shared" si="149"/>
        <v>1464225.4764454372</v>
      </c>
      <c r="AA373">
        <f t="shared" ca="1" si="139"/>
        <v>-82.979573813395959</v>
      </c>
      <c r="AB373">
        <f t="shared" ca="1" si="140"/>
        <v>-266.00596306504997</v>
      </c>
    </row>
    <row r="374" spans="1:28" x14ac:dyDescent="0.2">
      <c r="A374">
        <v>9300000</v>
      </c>
      <c r="B374" t="str">
        <f t="shared" si="141"/>
        <v>9300000i</v>
      </c>
      <c r="C374" t="str">
        <f t="shared" ca="1" si="127"/>
        <v>1+243.315504811288i</v>
      </c>
      <c r="D374" t="str">
        <f t="shared" ca="1" si="128"/>
        <v>1+32.3106896131341i</v>
      </c>
      <c r="E374" t="str">
        <f t="shared" ca="1" si="129"/>
        <v>1+24209.6372311185i</v>
      </c>
      <c r="F374">
        <f t="shared" ca="1" si="130"/>
        <v>39.000923110829653</v>
      </c>
      <c r="G374" t="str">
        <f t="shared" ca="1" si="142"/>
        <v>0.443501593245565+12.6633321793033i</v>
      </c>
      <c r="H374">
        <f t="shared" ca="1" si="143"/>
        <v>22.056283671605531</v>
      </c>
      <c r="I374">
        <f t="shared" ca="1" si="144"/>
        <v>87.994178201371227</v>
      </c>
      <c r="K374" t="str">
        <f t="shared" ca="1" si="131"/>
        <v>1+243.315504811288i</v>
      </c>
      <c r="L374" t="str">
        <f t="shared" ca="1" si="132"/>
        <v>1-18.1407573054261i</v>
      </c>
      <c r="M374" t="str">
        <f t="shared" ca="1" si="133"/>
        <v>1+24331.5504811288i</v>
      </c>
      <c r="N374" t="str">
        <f t="shared" si="134"/>
        <v>1+115.961626636976i</v>
      </c>
      <c r="O374">
        <f t="shared" ca="1" si="135"/>
        <v>22.224473826228223</v>
      </c>
      <c r="P374" t="str">
        <f t="shared" ca="1" si="150"/>
        <v>-0.0347573426703123-0.00207480723380403i</v>
      </c>
      <c r="Q374">
        <f t="shared" ca="1" si="145"/>
        <v>-29.16362062422423</v>
      </c>
      <c r="R374">
        <f t="shared" ca="1" si="151"/>
        <v>-176.58383559869856</v>
      </c>
      <c r="T374" t="str">
        <f t="shared" si="136"/>
        <v>1+706.8i</v>
      </c>
      <c r="U374" t="str">
        <f t="shared" si="137"/>
        <v>1+93i</v>
      </c>
      <c r="V374" t="str">
        <f t="shared" si="138"/>
        <v>-0.000265280135823429i</v>
      </c>
      <c r="W374" t="str">
        <f t="shared" si="146"/>
        <v>0.0000188241557651354-0.00201592662198102i</v>
      </c>
      <c r="X374">
        <f t="shared" si="147"/>
        <v>-53.910126939950722</v>
      </c>
      <c r="Y374">
        <f t="shared" si="148"/>
        <v>-89.465003675758624</v>
      </c>
      <c r="Z374">
        <f t="shared" si="149"/>
        <v>1480140.9707546267</v>
      </c>
      <c r="AA374">
        <f t="shared" ca="1" si="139"/>
        <v>-83.073747564174951</v>
      </c>
      <c r="AB374">
        <f t="shared" ca="1" si="140"/>
        <v>-266.04883927445718</v>
      </c>
    </row>
    <row r="375" spans="1:28" x14ac:dyDescent="0.2">
      <c r="A375">
        <v>9400000</v>
      </c>
      <c r="B375" t="str">
        <f t="shared" si="141"/>
        <v>9400000i</v>
      </c>
      <c r="C375" t="str">
        <f t="shared" ca="1" si="127"/>
        <v>1+245.931800561947i</v>
      </c>
      <c r="D375" t="str">
        <f t="shared" ca="1" si="128"/>
        <v>1+32.6581163831678i</v>
      </c>
      <c r="E375" t="str">
        <f t="shared" ca="1" si="129"/>
        <v>1+24469.955911023i</v>
      </c>
      <c r="F375">
        <f t="shared" ca="1" si="130"/>
        <v>39.000923110829653</v>
      </c>
      <c r="G375" t="str">
        <f t="shared" ca="1" si="142"/>
        <v>0.443501591853312+12.7995311097496i</v>
      </c>
      <c r="H375">
        <f t="shared" ca="1" si="143"/>
        <v>22.14909226402802</v>
      </c>
      <c r="I375">
        <f t="shared" ca="1" si="144"/>
        <v>88.015504861794312</v>
      </c>
      <c r="K375" t="str">
        <f t="shared" ca="1" si="131"/>
        <v>1+245.931800561947i</v>
      </c>
      <c r="L375" t="str">
        <f t="shared" ca="1" si="132"/>
        <v>1-18.3358192119361i</v>
      </c>
      <c r="M375" t="str">
        <f t="shared" ca="1" si="133"/>
        <v>1+24593.1800561947i</v>
      </c>
      <c r="N375" t="str">
        <f t="shared" si="134"/>
        <v>1+117.208525848127i</v>
      </c>
      <c r="O375">
        <f t="shared" ca="1" si="135"/>
        <v>22.224473826228223</v>
      </c>
      <c r="P375" t="str">
        <f t="shared" ca="1" si="150"/>
        <v>-0.0347575561595932-0.00205273663115602i</v>
      </c>
      <c r="Q375">
        <f t="shared" ca="1" si="145"/>
        <v>-29.163893797373824</v>
      </c>
      <c r="R375">
        <f t="shared" ca="1" si="151"/>
        <v>-176.62011080063172</v>
      </c>
      <c r="T375" t="str">
        <f t="shared" si="136"/>
        <v>1+714.4i</v>
      </c>
      <c r="U375" t="str">
        <f t="shared" si="137"/>
        <v>1+94i</v>
      </c>
      <c r="V375" t="str">
        <f t="shared" si="138"/>
        <v>-0.000262458006718925i</v>
      </c>
      <c r="W375" t="str">
        <f t="shared" si="146"/>
        <v>0.0000184258172873623-0.00199448483173099i</v>
      </c>
      <c r="X375">
        <f t="shared" si="147"/>
        <v>-54.003014599219703</v>
      </c>
      <c r="Y375">
        <f t="shared" si="148"/>
        <v>-89.470694630060351</v>
      </c>
      <c r="Z375">
        <f t="shared" si="149"/>
        <v>1496056.4650638162</v>
      </c>
      <c r="AA375">
        <f t="shared" ca="1" si="139"/>
        <v>-83.166908396593527</v>
      </c>
      <c r="AB375">
        <f t="shared" ca="1" si="140"/>
        <v>-266.09080543069206</v>
      </c>
    </row>
    <row r="376" spans="1:28" x14ac:dyDescent="0.2">
      <c r="A376">
        <v>9500000</v>
      </c>
      <c r="B376" t="str">
        <f t="shared" si="141"/>
        <v>9500000i</v>
      </c>
      <c r="C376" t="str">
        <f t="shared" ca="1" si="127"/>
        <v>1+248.548096312606i</v>
      </c>
      <c r="D376" t="str">
        <f t="shared" ca="1" si="128"/>
        <v>1+33.0055431532015i</v>
      </c>
      <c r="E376" t="str">
        <f t="shared" ca="1" si="129"/>
        <v>1+24730.2745909275i</v>
      </c>
      <c r="F376">
        <f t="shared" ca="1" si="130"/>
        <v>39.000923110829653</v>
      </c>
      <c r="G376" t="str">
        <f t="shared" ca="1" si="142"/>
        <v>0.443501590504796+12.9357296835i</v>
      </c>
      <c r="H376">
        <f t="shared" ca="1" si="143"/>
        <v>22.240920599300132</v>
      </c>
      <c r="I376">
        <f t="shared" ca="1" si="144"/>
        <v>88.036382908541782</v>
      </c>
      <c r="K376" t="str">
        <f t="shared" ca="1" si="131"/>
        <v>1+248.548096312606i</v>
      </c>
      <c r="L376" t="str">
        <f t="shared" ca="1" si="132"/>
        <v>1-18.5308811184461i</v>
      </c>
      <c r="M376" t="str">
        <f t="shared" ca="1" si="133"/>
        <v>1+24854.8096312606i</v>
      </c>
      <c r="N376" t="str">
        <f t="shared" si="134"/>
        <v>1+118.455425059277i</v>
      </c>
      <c r="O376">
        <f t="shared" ca="1" si="135"/>
        <v>22.224473826228223</v>
      </c>
      <c r="P376" t="str">
        <f t="shared" ca="1" si="150"/>
        <v>-0.0347577629432925-0.00203113061637456i</v>
      </c>
      <c r="Q376">
        <f t="shared" ca="1" si="145"/>
        <v>-29.164158406498956</v>
      </c>
      <c r="R376">
        <f t="shared" ca="1" si="151"/>
        <v>-176.65562439088387</v>
      </c>
      <c r="T376" t="str">
        <f t="shared" si="136"/>
        <v>1+722i</v>
      </c>
      <c r="U376" t="str">
        <f t="shared" si="137"/>
        <v>1+95i</v>
      </c>
      <c r="V376" t="str">
        <f t="shared" si="138"/>
        <v>-0.000259695290858726i</v>
      </c>
      <c r="W376" t="str">
        <f t="shared" si="146"/>
        <v>0.0000180399897372503-0.0019734943158975i</v>
      </c>
      <c r="X376">
        <f t="shared" si="147"/>
        <v>-54.094919519329324</v>
      </c>
      <c r="Y376">
        <f t="shared" si="148"/>
        <v>-89.476265790211613</v>
      </c>
      <c r="Z376">
        <f t="shared" si="149"/>
        <v>1511971.9593730057</v>
      </c>
      <c r="AA376">
        <f t="shared" ca="1" si="139"/>
        <v>-83.259077925828279</v>
      </c>
      <c r="AB376">
        <f t="shared" ca="1" si="140"/>
        <v>-266.13189018109551</v>
      </c>
    </row>
    <row r="377" spans="1:28" x14ac:dyDescent="0.2">
      <c r="A377">
        <v>9600000</v>
      </c>
      <c r="B377" t="str">
        <f t="shared" si="141"/>
        <v>9600000i</v>
      </c>
      <c r="C377" t="str">
        <f t="shared" ca="1" si="127"/>
        <v>1+251.164392063265i</v>
      </c>
      <c r="D377" t="str">
        <f t="shared" ca="1" si="128"/>
        <v>1+33.3529699232352i</v>
      </c>
      <c r="E377" t="str">
        <f t="shared" ca="1" si="129"/>
        <v>1+24990.593270832i</v>
      </c>
      <c r="F377">
        <f t="shared" ca="1" si="130"/>
        <v>39.000923110829653</v>
      </c>
      <c r="G377" t="str">
        <f t="shared" ca="1" si="142"/>
        <v>0.443501589198203+13.0719279117011i</v>
      </c>
      <c r="H377">
        <f t="shared" ca="1" si="143"/>
        <v>22.331789149401477</v>
      </c>
      <c r="I377">
        <f t="shared" ca="1" si="144"/>
        <v>88.056826345683788</v>
      </c>
      <c r="K377" t="str">
        <f t="shared" ca="1" si="131"/>
        <v>1+251.164392063265i</v>
      </c>
      <c r="L377" t="str">
        <f t="shared" ca="1" si="132"/>
        <v>1-18.725943024956i</v>
      </c>
      <c r="M377" t="str">
        <f t="shared" ca="1" si="133"/>
        <v>1+25116.4392063265i</v>
      </c>
      <c r="N377" t="str">
        <f t="shared" si="134"/>
        <v>1+119.702324270427i</v>
      </c>
      <c r="O377">
        <f t="shared" ca="1" si="135"/>
        <v>22.224473826228223</v>
      </c>
      <c r="P377" t="str">
        <f t="shared" ca="1" si="150"/>
        <v>-0.0347579632993155-0.00200997467340187i</v>
      </c>
      <c r="Q377">
        <f t="shared" ca="1" si="145"/>
        <v>-29.16441480570338</v>
      </c>
      <c r="R377">
        <f t="shared" ca="1" si="151"/>
        <v>-176.69040008488042</v>
      </c>
      <c r="T377" t="str">
        <f t="shared" si="136"/>
        <v>1+729.6i</v>
      </c>
      <c r="U377" t="str">
        <f t="shared" si="137"/>
        <v>1+96i</v>
      </c>
      <c r="V377" t="str">
        <f t="shared" si="138"/>
        <v>-0.000256990131578947i</v>
      </c>
      <c r="W377" t="str">
        <f t="shared" si="146"/>
        <v>0.000017666154645592-0.00195294097755577i</v>
      </c>
      <c r="X377">
        <f t="shared" si="147"/>
        <v>-54.185862275050376</v>
      </c>
      <c r="Y377">
        <f t="shared" si="148"/>
        <v>-89.481720899147518</v>
      </c>
      <c r="Z377">
        <f t="shared" si="149"/>
        <v>1527887.4536821954</v>
      </c>
      <c r="AA377">
        <f t="shared" ca="1" si="139"/>
        <v>-83.350277080753756</v>
      </c>
      <c r="AB377">
        <f t="shared" ca="1" si="140"/>
        <v>-266.17212098402797</v>
      </c>
    </row>
    <row r="378" spans="1:28" x14ac:dyDescent="0.2">
      <c r="A378">
        <v>9700000</v>
      </c>
      <c r="B378" t="str">
        <f t="shared" si="141"/>
        <v>9700000i</v>
      </c>
      <c r="C378" t="str">
        <f t="shared" ca="1" si="127"/>
        <v>1+253.780687813924i</v>
      </c>
      <c r="D378" t="str">
        <f t="shared" ca="1" si="128"/>
        <v>1+33.7003966932689i</v>
      </c>
      <c r="E378" t="str">
        <f t="shared" ca="1" si="129"/>
        <v>1+25250.9119507365i</v>
      </c>
      <c r="F378">
        <f t="shared" ca="1" si="130"/>
        <v>39.000923110829653</v>
      </c>
      <c r="G378" t="str">
        <f t="shared" ca="1" si="142"/>
        <v>0.44350158793181+13.2081258050401i</v>
      </c>
      <c r="H378">
        <f t="shared" ca="1" si="143"/>
        <v>22.421717752198624</v>
      </c>
      <c r="I378">
        <f t="shared" ca="1" si="144"/>
        <v>88.076848600568908</v>
      </c>
      <c r="K378" t="str">
        <f t="shared" ca="1" si="131"/>
        <v>1+253.780687813924i</v>
      </c>
      <c r="L378" t="str">
        <f t="shared" ca="1" si="132"/>
        <v>1-18.921004931466i</v>
      </c>
      <c r="M378" t="str">
        <f t="shared" ca="1" si="133"/>
        <v>1+25378.0687813924i</v>
      </c>
      <c r="N378" t="str">
        <f t="shared" si="134"/>
        <v>1+120.949223481577i</v>
      </c>
      <c r="O378">
        <f t="shared" ca="1" si="135"/>
        <v>22.224473826228223</v>
      </c>
      <c r="P378" t="str">
        <f t="shared" ca="1" si="150"/>
        <v>-0.0347581574913199-0.00198925488466315i</v>
      </c>
      <c r="Q378">
        <f t="shared" ca="1" si="145"/>
        <v>-29.164663330984677</v>
      </c>
      <c r="R378">
        <f t="shared" ca="1" si="151"/>
        <v>-176.72446062438726</v>
      </c>
      <c r="T378" t="str">
        <f t="shared" si="136"/>
        <v>1+737.2i</v>
      </c>
      <c r="U378" t="str">
        <f t="shared" si="137"/>
        <v>1+97i</v>
      </c>
      <c r="V378" t="str">
        <f t="shared" si="138"/>
        <v>-0.000254340748779164i</v>
      </c>
      <c r="W378" t="str">
        <f t="shared" si="146"/>
        <v>0.000017303820124168-0.00193281130082346i</v>
      </c>
      <c r="X378">
        <f t="shared" si="147"/>
        <v>-54.275862801774664</v>
      </c>
      <c r="Y378">
        <f t="shared" si="148"/>
        <v>-89.487063545487317</v>
      </c>
      <c r="Z378">
        <f t="shared" si="149"/>
        <v>1543802.9479913849</v>
      </c>
      <c r="AA378">
        <f t="shared" ca="1" si="139"/>
        <v>-83.440526132759345</v>
      </c>
      <c r="AB378">
        <f t="shared" ca="1" si="140"/>
        <v>-266.21152416987456</v>
      </c>
    </row>
    <row r="379" spans="1:28" x14ac:dyDescent="0.2">
      <c r="A379">
        <v>9800000</v>
      </c>
      <c r="B379" t="str">
        <f t="shared" si="141"/>
        <v>9800000i</v>
      </c>
      <c r="C379" t="str">
        <f t="shared" ca="1" si="127"/>
        <v>1+256.396983564583i</v>
      </c>
      <c r="D379" t="str">
        <f t="shared" ca="1" si="128"/>
        <v>1+34.0478234633026i</v>
      </c>
      <c r="E379" t="str">
        <f t="shared" ca="1" si="129"/>
        <v>1+25511.230630641i</v>
      </c>
      <c r="F379">
        <f t="shared" ca="1" si="130"/>
        <v>39.000923110829653</v>
      </c>
      <c r="G379" t="str">
        <f t="shared" ca="1" si="142"/>
        <v>0.443501586703983+13.3443233737678i</v>
      </c>
      <c r="H379">
        <f t="shared" ca="1" si="143"/>
        <v>22.51072563734273</v>
      </c>
      <c r="I379">
        <f t="shared" ca="1" si="144"/>
        <v>88.096462553202656</v>
      </c>
      <c r="K379" t="str">
        <f t="shared" ca="1" si="131"/>
        <v>1+256.396983564583i</v>
      </c>
      <c r="L379" t="str">
        <f t="shared" ca="1" si="132"/>
        <v>1-19.1160668379759i</v>
      </c>
      <c r="M379" t="str">
        <f t="shared" ca="1" si="133"/>
        <v>1+25639.6983564583i</v>
      </c>
      <c r="N379" t="str">
        <f t="shared" si="134"/>
        <v>1+122.196122692728i</v>
      </c>
      <c r="O379">
        <f t="shared" ca="1" si="135"/>
        <v>22.224473826228223</v>
      </c>
      <c r="P379" t="str">
        <f t="shared" ca="1" si="150"/>
        <v>-0.0347583457695821-0.00196895790053876i</v>
      </c>
      <c r="Q379">
        <f t="shared" ca="1" si="145"/>
        <v>-29.164904301333792</v>
      </c>
      <c r="R379">
        <f t="shared" ca="1" si="151"/>
        <v>-176.75782782692934</v>
      </c>
      <c r="T379" t="str">
        <f t="shared" si="136"/>
        <v>1+744.8i</v>
      </c>
      <c r="U379" t="str">
        <f t="shared" si="137"/>
        <v>1+98i</v>
      </c>
      <c r="V379" t="str">
        <f t="shared" si="138"/>
        <v>-0.000251745435016112i</v>
      </c>
      <c r="W379" t="str">
        <f t="shared" si="146"/>
        <v>0.0000169525192471027-0.00191309232123217i</v>
      </c>
      <c r="X379">
        <f t="shared" si="147"/>
        <v>-54.364940421733188</v>
      </c>
      <c r="Y379">
        <f t="shared" si="148"/>
        <v>-89.492297171405866</v>
      </c>
      <c r="Z379">
        <f t="shared" si="149"/>
        <v>1559718.4423005744</v>
      </c>
      <c r="AA379">
        <f t="shared" ca="1" si="139"/>
        <v>-83.529844723066986</v>
      </c>
      <c r="AB379">
        <f t="shared" ca="1" si="140"/>
        <v>-266.2501249983352</v>
      </c>
    </row>
    <row r="380" spans="1:28" x14ac:dyDescent="0.2">
      <c r="A380">
        <v>9900000</v>
      </c>
      <c r="B380" t="str">
        <f t="shared" si="141"/>
        <v>9900000i</v>
      </c>
      <c r="C380" t="str">
        <f t="shared" ca="1" si="127"/>
        <v>1+259.013279315242i</v>
      </c>
      <c r="D380" t="str">
        <f t="shared" ca="1" si="128"/>
        <v>1+34.3952502333363i</v>
      </c>
      <c r="E380" t="str">
        <f t="shared" ca="1" si="129"/>
        <v>1+25771.5493105455i</v>
      </c>
      <c r="F380">
        <f t="shared" ca="1" si="130"/>
        <v>39.000923110829653</v>
      </c>
      <c r="G380" t="str">
        <f t="shared" ca="1" si="142"/>
        <v>0.443501585513178+13.4805206277209i</v>
      </c>
      <c r="H380">
        <f t="shared" ca="1" si="143"/>
        <v>22.598831450859947</v>
      </c>
      <c r="I380">
        <f t="shared" ca="1" si="144"/>
        <v>88.115680563848528</v>
      </c>
      <c r="K380" t="str">
        <f t="shared" ca="1" si="131"/>
        <v>1+259.013279315242i</v>
      </c>
      <c r="L380" t="str">
        <f t="shared" ca="1" si="132"/>
        <v>1-19.3111287444859i</v>
      </c>
      <c r="M380" t="str">
        <f t="shared" ca="1" si="133"/>
        <v>1+25901.3279315242i</v>
      </c>
      <c r="N380" t="str">
        <f t="shared" si="134"/>
        <v>1+123.443021903878i</v>
      </c>
      <c r="O380">
        <f t="shared" ca="1" si="135"/>
        <v>22.224473826228223</v>
      </c>
      <c r="P380" t="str">
        <f t="shared" ca="1" si="150"/>
        <v>-0.0347585283718044-0.00194907091068619i</v>
      </c>
      <c r="Q380">
        <f t="shared" ca="1" si="145"/>
        <v>-29.165138019757059</v>
      </c>
      <c r="R380">
        <f t="shared" ca="1" si="151"/>
        <v>-176.79052263223181</v>
      </c>
      <c r="T380" t="str">
        <f t="shared" si="136"/>
        <v>1+752.4i</v>
      </c>
      <c r="U380" t="str">
        <f t="shared" si="137"/>
        <v>1+99i</v>
      </c>
      <c r="V380" t="str">
        <f t="shared" si="138"/>
        <v>-0.000249202551834131i</v>
      </c>
      <c r="W380" t="str">
        <f t="shared" si="146"/>
        <v>0.000016611808546054-0.00189377159789347i</v>
      </c>
      <c r="X380">
        <f t="shared" si="147"/>
        <v>-54.453113868884238</v>
      </c>
      <c r="Y380">
        <f t="shared" si="148"/>
        <v>-89.497425080027966</v>
      </c>
      <c r="Z380">
        <f t="shared" si="149"/>
        <v>1575633.9366097639</v>
      </c>
      <c r="AA380">
        <f t="shared" ca="1" si="139"/>
        <v>-83.618251888641296</v>
      </c>
      <c r="AB380">
        <f t="shared" ca="1" si="140"/>
        <v>-266.28794771225978</v>
      </c>
    </row>
    <row r="381" spans="1:28" x14ac:dyDescent="0.2">
      <c r="A381">
        <v>10000000</v>
      </c>
      <c r="B381" t="str">
        <f t="shared" si="141"/>
        <v>10000000i</v>
      </c>
      <c r="C381" t="str">
        <f t="shared" ca="1" si="127"/>
        <v>1+261.629575065901i</v>
      </c>
      <c r="D381" t="str">
        <f t="shared" ca="1" si="128"/>
        <v>1+34.74267700337i</v>
      </c>
      <c r="E381" t="str">
        <f t="shared" ca="1" si="129"/>
        <v>1+26031.86799045i</v>
      </c>
      <c r="F381">
        <f t="shared" ca="1" si="130"/>
        <v>39.000923110829653</v>
      </c>
      <c r="G381" t="str">
        <f t="shared" ca="1" si="142"/>
        <v>0.443501584357918+13.6167175763427i</v>
      </c>
      <c r="H381">
        <f t="shared" ca="1" si="143"/>
        <v>22.686053278512446</v>
      </c>
      <c r="I381">
        <f t="shared" ca="1" si="144"/>
        <v>88.134514498976159</v>
      </c>
      <c r="K381" t="str">
        <f t="shared" ca="1" si="131"/>
        <v>1+261.629575065901i</v>
      </c>
      <c r="L381" t="str">
        <f t="shared" ca="1" si="132"/>
        <v>1-19.5061906509958i</v>
      </c>
      <c r="M381" t="str">
        <f t="shared" ca="1" si="133"/>
        <v>1+26162.9575065901i</v>
      </c>
      <c r="N381" t="str">
        <f t="shared" si="134"/>
        <v>1+124.689921115028i</v>
      </c>
      <c r="O381">
        <f t="shared" ca="1" si="135"/>
        <v>22.224473826228223</v>
      </c>
      <c r="P381" t="str">
        <f t="shared" ca="1" si="150"/>
        <v>-0.0347587055238648-0.00192958161708212i</v>
      </c>
      <c r="Q381">
        <f t="shared" ca="1" si="145"/>
        <v>-29.165364774227598</v>
      </c>
      <c r="R381">
        <f t="shared" ca="1" si="151"/>
        <v>-176.82256514589128</v>
      </c>
      <c r="T381" t="str">
        <f t="shared" si="136"/>
        <v>1+760i</v>
      </c>
      <c r="U381" t="str">
        <f t="shared" si="137"/>
        <v>1+100i</v>
      </c>
      <c r="V381" t="str">
        <f t="shared" si="138"/>
        <v>-0.000246710526315789i</v>
      </c>
      <c r="W381" t="str">
        <f t="shared" si="146"/>
        <v>0.0000162812666101811-0.0018748371873339i</v>
      </c>
      <c r="X381">
        <f t="shared" si="147"/>
        <v>-54.54040131255158</v>
      </c>
      <c r="Y381">
        <f t="shared" si="148"/>
        <v>-89.502450442379256</v>
      </c>
      <c r="Z381">
        <f t="shared" si="149"/>
        <v>1591549.4309189534</v>
      </c>
      <c r="AA381">
        <f t="shared" ca="1" si="139"/>
        <v>-83.705766086779178</v>
      </c>
      <c r="AB381">
        <f t="shared" ca="1" si="140"/>
        <v>-266.3250155882705</v>
      </c>
    </row>
  </sheetData>
  <sheetProtection algorithmName="SHA-512" hashValue="yRqHr+3x8CQmmt/5DWA0tGf1mYxpN672dSvVapNx62i95eEhfPnfDxRWGGnin+xcBkYWx0pacjW6f5J+7ejxeg==" saltValue="ewocw/cId2CnoKVH+XoJrg==" spinCount="100000"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C4DA-FABE-4A52-BC1C-959ED77A120D}">
  <dimension ref="B3:D4"/>
  <sheetViews>
    <sheetView workbookViewId="0">
      <selection activeCell="C12" sqref="C12"/>
    </sheetView>
  </sheetViews>
  <sheetFormatPr baseColWidth="10" defaultColWidth="8.83203125" defaultRowHeight="15" x14ac:dyDescent="0.2"/>
  <cols>
    <col min="2" max="2" width="11" bestFit="1" customWidth="1"/>
    <col min="3" max="3" width="54.83203125" style="5" customWidth="1"/>
  </cols>
  <sheetData>
    <row r="3" spans="2:4" ht="20" x14ac:dyDescent="0.25">
      <c r="B3" s="20" t="s">
        <v>390</v>
      </c>
      <c r="C3" s="21" t="s">
        <v>391</v>
      </c>
      <c r="D3" s="20" t="s">
        <v>392</v>
      </c>
    </row>
    <row r="4" spans="2:4" ht="16" x14ac:dyDescent="0.2">
      <c r="B4" t="s">
        <v>393</v>
      </c>
      <c r="C4" s="5" t="s">
        <v>394</v>
      </c>
      <c r="D4" s="22">
        <v>45266</v>
      </c>
    </row>
  </sheetData>
  <sheetProtection algorithmName="SHA-512" hashValue="AhT+lxO5YxeWV0MB1bzD66YZ7mJYvNXaVm3gFomzhSN7Eyl5rGbxsT996tvXSCuDpm4+BBedfnhOfCwquPT1Gg==" saltValue="5JSobB/7GGPbhvHTS6OFs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753F-A4C4-4856-8AB4-F6962D32451D}">
  <sheetPr>
    <tabColor rgb="FFFF0000"/>
  </sheetPr>
  <dimension ref="B3:B16"/>
  <sheetViews>
    <sheetView workbookViewId="0">
      <selection activeCell="D11" sqref="D11"/>
    </sheetView>
  </sheetViews>
  <sheetFormatPr baseColWidth="10" defaultColWidth="8.83203125" defaultRowHeight="15" x14ac:dyDescent="0.2"/>
  <cols>
    <col min="2" max="2" width="133.33203125" style="5" customWidth="1"/>
  </cols>
  <sheetData>
    <row r="3" spans="2:2" ht="22" thickBot="1" x14ac:dyDescent="0.25">
      <c r="B3" s="28" t="s">
        <v>395</v>
      </c>
    </row>
    <row r="4" spans="2:2" ht="16" thickTop="1" x14ac:dyDescent="0.2"/>
    <row r="6" spans="2:2" ht="56" x14ac:dyDescent="0.2">
      <c r="B6" s="29" t="s">
        <v>396</v>
      </c>
    </row>
    <row r="7" spans="2:2" x14ac:dyDescent="0.2">
      <c r="B7" s="29"/>
    </row>
    <row r="8" spans="2:2" ht="42" x14ac:dyDescent="0.2">
      <c r="B8" s="29" t="s">
        <v>397</v>
      </c>
    </row>
    <row r="9" spans="2:2" x14ac:dyDescent="0.2">
      <c r="B9" s="29"/>
    </row>
    <row r="10" spans="2:2" ht="56" x14ac:dyDescent="0.2">
      <c r="B10" s="29" t="s">
        <v>398</v>
      </c>
    </row>
    <row r="11" spans="2:2" x14ac:dyDescent="0.2">
      <c r="B11" s="29"/>
    </row>
    <row r="12" spans="2:2" ht="30" x14ac:dyDescent="0.2">
      <c r="B12" s="30" t="s">
        <v>399</v>
      </c>
    </row>
    <row r="13" spans="2:2" x14ac:dyDescent="0.2">
      <c r="B13" s="30"/>
    </row>
    <row r="14" spans="2:2" x14ac:dyDescent="0.2">
      <c r="B14" s="29" t="s">
        <v>400</v>
      </c>
    </row>
    <row r="16" spans="2:2" x14ac:dyDescent="0.2">
      <c r="B16" s="31"/>
    </row>
  </sheetData>
  <sheetProtection algorithmName="SHA-512" hashValue="X/cJ9BRPJTONfAQz6D+STSaTnEqFi8sdbCgmjHX8HipoJRUKH6T+vdiP+eQiJeKC2YboOEIxMWip7zDs+cOSYA==" saltValue="S0rv3Ubn/nn52QYPt/CFPA==" spinCount="100000" sheet="1" objects="1" scenarios="1" selectLockedCells="1" selectUnlockedCells="1"/>
  <hyperlinks>
    <hyperlink ref="B12" r:id="rId1" display="https://www.ti.com/legal/terms-conditions/terms-of-sale.html" xr:uid="{7A011FD2-17B4-466A-A671-177794E6BC0B}"/>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4864E9355147469751AB597C2A95D6" ma:contentTypeVersion="1" ma:contentTypeDescription="Create a new document." ma:contentTypeScope="" ma:versionID="1496e3e235ba980e2172ef8a2976e1c2">
  <xsd:schema xmlns:xsd="http://www.w3.org/2001/XMLSchema" xmlns:xs="http://www.w3.org/2001/XMLSchema" xmlns:p="http://schemas.microsoft.com/office/2006/metadata/properties" xmlns:ns2="72d2ce5a-7ad6-49a7-8fa5-8befc56c681c" targetNamespace="http://schemas.microsoft.com/office/2006/metadata/properties" ma:root="true" ma:fieldsID="884e320e19264b04ef27a4dae7b7375b" ns2:_="">
    <xsd:import namespace="72d2ce5a-7ad6-49a7-8fa5-8befc56c68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2ce5a-7ad6-49a7-8fa5-8befc56c68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06EEBC-CAE4-45EB-8BBE-87542A7A0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2ce5a-7ad6-49a7-8fa5-8befc56c6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C37B9C-8FC9-42A5-8FA0-BFC3571BF09B}">
  <ds:schemaRefs>
    <ds:schemaRef ds:uri="http://schemas.microsoft.com/sharepoint/v3/contenttype/forms"/>
  </ds:schemaRefs>
</ds:datastoreItem>
</file>

<file path=customXml/itemProps3.xml><?xml version="1.0" encoding="utf-8"?>
<ds:datastoreItem xmlns:ds="http://schemas.openxmlformats.org/officeDocument/2006/customXml" ds:itemID="{BDEEBF40-D3FC-496E-82A0-C6CE08BAF51F}">
  <ds:schemaRefs>
    <ds:schemaRef ds:uri="http://www.w3.org/XML/1998/namespace"/>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72d2ce5a-7ad6-49a7-8fa5-8befc56c681c"/>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232</vt:i4>
      </vt:variant>
    </vt:vector>
  </HeadingPairs>
  <TitlesOfParts>
    <vt:vector size="239" baseType="lpstr">
      <vt:lpstr>Start</vt:lpstr>
      <vt:lpstr>Constants</vt:lpstr>
      <vt:lpstr>Options</vt:lpstr>
      <vt:lpstr>Calculations</vt:lpstr>
      <vt:lpstr>Loop Gain</vt:lpstr>
      <vt:lpstr>Revision Log</vt:lpstr>
      <vt:lpstr>Important Notice and Disclaimer</vt:lpstr>
      <vt:lpstr>atto</vt:lpstr>
      <vt:lpstr>BodeCa</vt:lpstr>
      <vt:lpstr>BodeCb</vt:lpstr>
      <vt:lpstr>BodeCTR</vt:lpstr>
      <vt:lpstr>BodeD</vt:lpstr>
      <vt:lpstr>BodeESR</vt:lpstr>
      <vt:lpstr>BodeFsw</vt:lpstr>
      <vt:lpstr>BodeGFb</vt:lpstr>
      <vt:lpstr>BodeM</vt:lpstr>
      <vt:lpstr>BodeN</vt:lpstr>
      <vt:lpstr>BodeR</vt:lpstr>
      <vt:lpstr>BodeRa</vt:lpstr>
      <vt:lpstr>BodeRb</vt:lpstr>
      <vt:lpstr>BodeRc3</vt:lpstr>
      <vt:lpstr>BodeRFb</vt:lpstr>
      <vt:lpstr>BodeSe</vt:lpstr>
      <vt:lpstr>BodeSn</vt:lpstr>
      <vt:lpstr>BodeTauL</vt:lpstr>
      <vt:lpstr>CalcBi</vt:lpstr>
      <vt:lpstr>CalcBiFromUsrBo</vt:lpstr>
      <vt:lpstr>CalcBo</vt:lpstr>
      <vt:lpstr>CalcBoRTop</vt:lpstr>
      <vt:lpstr>CalcCoutTrans</vt:lpstr>
      <vt:lpstr>CalcDutyMax</vt:lpstr>
      <vt:lpstr>CalcEstPin</vt:lpstr>
      <vt:lpstr>CalcIMean</vt:lpstr>
      <vt:lpstr>CalcIPk</vt:lpstr>
      <vt:lpstr>CalcIRms</vt:lpstr>
      <vt:lpstr>CalcLm</vt:lpstr>
      <vt:lpstr>CalcMosLeakLeft</vt:lpstr>
      <vt:lpstr>CalcNPS</vt:lpstr>
      <vt:lpstr>CalcNS</vt:lpstr>
      <vt:lpstr>CalcOffRamp</vt:lpstr>
      <vt:lpstr>CalcPo</vt:lpstr>
      <vt:lpstr>CalcPout</vt:lpstr>
      <vt:lpstr>CalcRawLm</vt:lpstr>
      <vt:lpstr>CalcRCs</vt:lpstr>
      <vt:lpstr>CalcRCsSlopeComp</vt:lpstr>
      <vt:lpstr>CalcRecInputBulkCap</vt:lpstr>
      <vt:lpstr>CalcRhpZeroDiv5</vt:lpstr>
      <vt:lpstr>CalcRSlope</vt:lpstr>
      <vt:lpstr>CalcRslopeFixedRcs</vt:lpstr>
      <vt:lpstr>CalcRStart</vt:lpstr>
      <vt:lpstr>CalcSOff</vt:lpstr>
      <vt:lpstr>CalcSSVdd</vt:lpstr>
      <vt:lpstr>CalcTDecayVoutOvershoot</vt:lpstr>
      <vt:lpstr>CalcTsdRecoveryTemp</vt:lpstr>
      <vt:lpstr>CalcTsdTemp</vt:lpstr>
      <vt:lpstr>CalcTVoutRise</vt:lpstr>
      <vt:lpstr>CalcUserDutyMax</vt:lpstr>
      <vt:lpstr>CalcUsrDutyMax</vt:lpstr>
      <vt:lpstr>CalcUsrLm</vt:lpstr>
      <vt:lpstr>CalcUsrPo</vt:lpstr>
      <vt:lpstr>CalcVoutOvershoot</vt:lpstr>
      <vt:lpstr>CalcVoVF</vt:lpstr>
      <vt:lpstr>CcmGo</vt:lpstr>
      <vt:lpstr>CcmWp1</vt:lpstr>
      <vt:lpstr>CcmWz1</vt:lpstr>
      <vt:lpstr>CcmWz2</vt:lpstr>
      <vt:lpstr>CompA</vt:lpstr>
      <vt:lpstr>CompWp1</vt:lpstr>
      <vt:lpstr>CompWz1</vt:lpstr>
      <vt:lpstr>CompZ1</vt:lpstr>
      <vt:lpstr>ConvUsrBoRBot</vt:lpstr>
      <vt:lpstr>ConvUsrBoRTop</vt:lpstr>
      <vt:lpstr>ConvUsrRCs</vt:lpstr>
      <vt:lpstr>ConvUsrRSlope</vt:lpstr>
      <vt:lpstr>CrossoverFreq</vt:lpstr>
      <vt:lpstr>CsMargin</vt:lpstr>
      <vt:lpstr>CsMax</vt:lpstr>
      <vt:lpstr>CurrConstraint</vt:lpstr>
      <vt:lpstr>CurrConstraintMargin</vt:lpstr>
      <vt:lpstr>DCcm</vt:lpstr>
      <vt:lpstr>DcmGo</vt:lpstr>
      <vt:lpstr>DcmWp1</vt:lpstr>
      <vt:lpstr>DcmWp2</vt:lpstr>
      <vt:lpstr>DcmWz1</vt:lpstr>
      <vt:lpstr>DcmWz2</vt:lpstr>
      <vt:lpstr>DDcm</vt:lpstr>
      <vt:lpstr>DeviceVerSum</vt:lpstr>
      <vt:lpstr>DutyMax</vt:lpstr>
      <vt:lpstr>Exa</vt:lpstr>
      <vt:lpstr>FaultResponse</vt:lpstr>
      <vt:lpstr>femto</vt:lpstr>
      <vt:lpstr>FltOption</vt:lpstr>
      <vt:lpstr>FSw</vt:lpstr>
      <vt:lpstr>Giga</vt:lpstr>
      <vt:lpstr>IBo</vt:lpstr>
      <vt:lpstr>Idis</vt:lpstr>
      <vt:lpstr>IFault</vt:lpstr>
      <vt:lpstr>INtc</vt:lpstr>
      <vt:lpstr>IOff</vt:lpstr>
      <vt:lpstr>Ion</vt:lpstr>
      <vt:lpstr>IPk</vt:lpstr>
      <vt:lpstr>IRamp</vt:lpstr>
      <vt:lpstr>IsDcmBode</vt:lpstr>
      <vt:lpstr>IsDcmFullLoad</vt:lpstr>
      <vt:lpstr>ISlope</vt:lpstr>
      <vt:lpstr>IStart</vt:lpstr>
      <vt:lpstr>kilo</vt:lpstr>
      <vt:lpstr>Mega</vt:lpstr>
      <vt:lpstr>MesRCs</vt:lpstr>
      <vt:lpstr>MesRSlope</vt:lpstr>
      <vt:lpstr>micro</vt:lpstr>
      <vt:lpstr>milli</vt:lpstr>
      <vt:lpstr>MsgCrossoverFreq</vt:lpstr>
      <vt:lpstr>MsgCVDD2</vt:lpstr>
      <vt:lpstr>MsgLkgLeft</vt:lpstr>
      <vt:lpstr>MsgNPS</vt:lpstr>
      <vt:lpstr>MsgNs</vt:lpstr>
      <vt:lpstr>MsgNSA</vt:lpstr>
      <vt:lpstr>MsgNSAVdd</vt:lpstr>
      <vt:lpstr>MsgPhaseMargin</vt:lpstr>
      <vt:lpstr>MsgUsrRCs</vt:lpstr>
      <vt:lpstr>nano</vt:lpstr>
      <vt:lpstr>Np</vt:lpstr>
      <vt:lpstr>OptBodeCap</vt:lpstr>
      <vt:lpstr>OptBoRTop</vt:lpstr>
      <vt:lpstr>OptNtc</vt:lpstr>
      <vt:lpstr>OptoCathodeI</vt:lpstr>
      <vt:lpstr>OptRCs</vt:lpstr>
      <vt:lpstr>OptRSlope</vt:lpstr>
      <vt:lpstr>Peta</vt:lpstr>
      <vt:lpstr>PhaseMargin</vt:lpstr>
      <vt:lpstr>pico</vt:lpstr>
      <vt:lpstr>PrettyBodeRa</vt:lpstr>
      <vt:lpstr>PrettyBodeRb</vt:lpstr>
      <vt:lpstr>PrettyBoRTop</vt:lpstr>
      <vt:lpstr>PrettyIMean</vt:lpstr>
      <vt:lpstr>PrettyInputBulkCap</vt:lpstr>
      <vt:lpstr>PrettyIPk</vt:lpstr>
      <vt:lpstr>PrettyLm</vt:lpstr>
      <vt:lpstr>PrettyMosLeakLeft</vt:lpstr>
      <vt:lpstr>PrettyPin</vt:lpstr>
      <vt:lpstr>PrettyPo</vt:lpstr>
      <vt:lpstr>PrettyRCs</vt:lpstr>
      <vt:lpstr>PrettyROpto</vt:lpstr>
      <vt:lpstr>PrettyRSlope</vt:lpstr>
      <vt:lpstr>PrettyRStart</vt:lpstr>
      <vt:lpstr>PrettyUnitBodeRa</vt:lpstr>
      <vt:lpstr>PrettyUnitBodeRb</vt:lpstr>
      <vt:lpstr>PrettyUnitBoRTop</vt:lpstr>
      <vt:lpstr>PrettyUnitInputBulkCap</vt:lpstr>
      <vt:lpstr>PrettyUnitIPk</vt:lpstr>
      <vt:lpstr>PrettyUnitIRms</vt:lpstr>
      <vt:lpstr>PrettyUnitLm</vt:lpstr>
      <vt:lpstr>PrettyUnitPo</vt:lpstr>
      <vt:lpstr>PrettyUnitRCs</vt:lpstr>
      <vt:lpstr>PrettyUnitROpto</vt:lpstr>
      <vt:lpstr>PrettyUnitRSlope</vt:lpstr>
      <vt:lpstr>PrettyUnitRStart</vt:lpstr>
      <vt:lpstr>PrettyUnitUsrLm</vt:lpstr>
      <vt:lpstr>PrettyUnitUsrVCs</vt:lpstr>
      <vt:lpstr>PrettyUnitVCs</vt:lpstr>
      <vt:lpstr>PrettyUsrLm</vt:lpstr>
      <vt:lpstr>PrettyUsrVCs</vt:lpstr>
      <vt:lpstr>PrettyVCs</vt:lpstr>
      <vt:lpstr>ResCout</vt:lpstr>
      <vt:lpstr>ResCVDD1</vt:lpstr>
      <vt:lpstr>ResLm</vt:lpstr>
      <vt:lpstr>ResRSlope</vt:lpstr>
      <vt:lpstr>ResRStartMin</vt:lpstr>
      <vt:lpstr>ResUsrVCs</vt:lpstr>
      <vt:lpstr>ResVCs</vt:lpstr>
      <vt:lpstr>ResVoDiodeBlock</vt:lpstr>
      <vt:lpstr>RFb</vt:lpstr>
      <vt:lpstr>SelBodeIntCap</vt:lpstr>
      <vt:lpstr>SelBodeOptoCap</vt:lpstr>
      <vt:lpstr>SelBoRBot</vt:lpstr>
      <vt:lpstr>SelBoRTop</vt:lpstr>
      <vt:lpstr>SelDevice</vt:lpstr>
      <vt:lpstr>SelFLT</vt:lpstr>
      <vt:lpstr>SelFreq</vt:lpstr>
      <vt:lpstr>SelRCs</vt:lpstr>
      <vt:lpstr>SelRNtc</vt:lpstr>
      <vt:lpstr>SelRSlope</vt:lpstr>
      <vt:lpstr>SelVinType</vt:lpstr>
      <vt:lpstr>SwFreq</vt:lpstr>
      <vt:lpstr>Tera</vt:lpstr>
      <vt:lpstr>Tl431I</vt:lpstr>
      <vt:lpstr>Tl431Ref</vt:lpstr>
      <vt:lpstr>Tsw</vt:lpstr>
      <vt:lpstr>UnitBoRTop</vt:lpstr>
      <vt:lpstr>UnitExpo</vt:lpstr>
      <vt:lpstr>UnitSymbolExa</vt:lpstr>
      <vt:lpstr>UsedDutyMax</vt:lpstr>
      <vt:lpstr>UsedLm</vt:lpstr>
      <vt:lpstr>UsedNS</vt:lpstr>
      <vt:lpstr>UsedRNtcRef</vt:lpstr>
      <vt:lpstr>UsrBo</vt:lpstr>
      <vt:lpstr>UsrBodeVin</vt:lpstr>
      <vt:lpstr>UsrBoRBot</vt:lpstr>
      <vt:lpstr>UsrBoRTop</vt:lpstr>
      <vt:lpstr>UsrDutyMax</vt:lpstr>
      <vt:lpstr>UsrEstEff</vt:lpstr>
      <vt:lpstr>UsrIntCap</vt:lpstr>
      <vt:lpstr>UsrIout</vt:lpstr>
      <vt:lpstr>UsrLineFMin</vt:lpstr>
      <vt:lpstr>UsrMaxDuty</vt:lpstr>
      <vt:lpstr>UsrMosDerating</vt:lpstr>
      <vt:lpstr>UsrMosVds</vt:lpstr>
      <vt:lpstr>UsrNPS</vt:lpstr>
      <vt:lpstr>UsrNSA</vt:lpstr>
      <vt:lpstr>UsrOptoCTR</vt:lpstr>
      <vt:lpstr>UsrOptoLed</vt:lpstr>
      <vt:lpstr>UsrOptoParaCap</vt:lpstr>
      <vt:lpstr>UsrPoCcm</vt:lpstr>
      <vt:lpstr>UsrRCs</vt:lpstr>
      <vt:lpstr>UsrRNtcBeta</vt:lpstr>
      <vt:lpstr>UsrRNtcRef</vt:lpstr>
      <vt:lpstr>UsrRNtcTref</vt:lpstr>
      <vt:lpstr>UsrRSlope</vt:lpstr>
      <vt:lpstr>UsrTimeTurnOn</vt:lpstr>
      <vt:lpstr>UsrTotalESR</vt:lpstr>
      <vt:lpstr>UsrUsingDisable</vt:lpstr>
      <vt:lpstr>UsrVF</vt:lpstr>
      <vt:lpstr>UsrVinMax</vt:lpstr>
      <vt:lpstr>UsrVinMin</vt:lpstr>
      <vt:lpstr>UsrVinMinBulk</vt:lpstr>
      <vt:lpstr>UsrVinNom</vt:lpstr>
      <vt:lpstr>UsrVout</vt:lpstr>
      <vt:lpstr>UsrVoutRipple</vt:lpstr>
      <vt:lpstr>UsrVTransDrop</vt:lpstr>
      <vt:lpstr>VBi</vt:lpstr>
      <vt:lpstr>VBo</vt:lpstr>
      <vt:lpstr>VddOvlo</vt:lpstr>
      <vt:lpstr>VinMin</vt:lpstr>
      <vt:lpstr>VinType</vt:lpstr>
      <vt:lpstr>VTsd</vt:lpstr>
      <vt:lpstr>VUvloOff</vt:lpstr>
      <vt:lpstr>VUvloOn</vt:lpstr>
      <vt:lpstr>zepto</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Khudaverdyan, Davit</dc:creator>
  <cp:lastModifiedBy>Cummings, John</cp:lastModifiedBy>
  <dcterms:created xsi:type="dcterms:W3CDTF">2023-09-29T19:52:13Z</dcterms:created>
  <dcterms:modified xsi:type="dcterms:W3CDTF">2025-04-24T20:45:39Z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0x010100164864E9355147469751AB597C2A95D6</vt:lpwstr>
  </property>
</Properties>
</file>