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C:\fmueller\Projects\PDS-6041 Daikin UCG28826E and ACF proposal Sakai\"/>
    </mc:Choice>
  </mc:AlternateContent>
  <xr:revisionPtr revIDLastSave="0" documentId="13_ncr:1_{79EEB85F-2E3B-445A-8592-7833F6ED0C7E}" xr6:coauthVersionLast="36" xr6:coauthVersionMax="47" xr10:uidLastSave="{00000000-0000-0000-0000-000000000000}"/>
  <workbookProtection workbookPassword="E9DD" lockStructure="1"/>
  <bookViews>
    <workbookView xWindow="-108" yWindow="-108" windowWidth="19422" windowHeight="10302" tabRatio="721" activeTab="1" xr2:uid="{00000000-000D-0000-FFFF-FFFF00000000}"/>
  </bookViews>
  <sheets>
    <sheet name="Input Here" sheetId="1" r:id="rId1"/>
    <sheet name="Calculation" sheetId="2" r:id="rId2"/>
    <sheet name="Schematic and Values" sheetId="4" r:id="rId3"/>
    <sheet name="Secondary Resonance and ARC" sheetId="5" r:id="rId4"/>
    <sheet name="Burst Mode for USB-PD" sheetId="7" r:id="rId5"/>
    <sheet name="Hide Calculate" sheetId="6" state="hidden" r:id="rId6"/>
    <sheet name="Revision History" sheetId="8" r:id="rId7"/>
  </sheets>
  <definedNames>
    <definedName name="_∆V_MIN">Calculation!$D$32</definedName>
    <definedName name="_∆VO_ABM">Calculation!$D$27</definedName>
    <definedName name="_xlnm._FilterDatabase" localSheetId="5" hidden="1">'Hide Calculate'!$D$76:$D$78</definedName>
    <definedName name="_xlnm._FilterDatabase" localSheetId="0" hidden="1">'Input Here'!$B$62:$G$68</definedName>
    <definedName name="BUR">'Input Here'!$D$34</definedName>
    <definedName name="C_Daux_vbi">'Hide Calculate'!$D$106</definedName>
    <definedName name="C_Daux_vbi_30">'Hide Calculate'!$D$116</definedName>
    <definedName name="C_Daux_vbur">'Hide Calculate'!$D$126</definedName>
    <definedName name="C_Daux_vmax">'Hide Calculate'!$D$136</definedName>
    <definedName name="C_Daux_vmin">'Hide Calculate'!$D$96</definedName>
    <definedName name="Cboot">Calculation!$D$149</definedName>
    <definedName name="CBootD_T">'Input Here'!$D$67</definedName>
    <definedName name="CBootD_T_vbi">'Hide Calculate'!$D$103</definedName>
    <definedName name="CBootD_T_vbi_30">'Hide Calculate'!$D$113</definedName>
    <definedName name="CBootD_T_vbur">'Hide Calculate'!$D$123</definedName>
    <definedName name="CBootD_T_vmax">'Hide Calculate'!$D$133</definedName>
    <definedName name="CBootD_T_vmin">'Hide Calculate'!$D$93</definedName>
    <definedName name="CBULK">'Input Here'!$D$73</definedName>
    <definedName name="CBULK_act">'Input Here'!$D$72</definedName>
    <definedName name="CBULK_rec">'Input Here'!$D$71</definedName>
    <definedName name="CBUR">Calculation!$D$125</definedName>
    <definedName name="CBUR_act">Calculation!$D$124</definedName>
    <definedName name="CBUR_max">Calculation!$D$123</definedName>
    <definedName name="Cclamp">Calculation!$D$70</definedName>
    <definedName name="Cclamp_act">Calculation!$D$68</definedName>
    <definedName name="Cclamp_eff">Calculation!$D$69</definedName>
    <definedName name="Cclamp_rec">Calculation!$D$67</definedName>
    <definedName name="CCS">Calculation!$D$99</definedName>
    <definedName name="CCS_act">Calculation!$D$98</definedName>
    <definedName name="CCS_rec">Calculation!$D$97</definedName>
    <definedName name="CDaux_H">'Input Here'!$D$128</definedName>
    <definedName name="CDaux_T">'Input Here'!$D$127</definedName>
    <definedName name="CDD_1">Calculation!$D$165</definedName>
    <definedName name="CDD1_act">Calculation!$D$164</definedName>
    <definedName name="CDD1_rec">Calculation!$D$163</definedName>
    <definedName name="CDD2_">Calculation!$D$151</definedName>
    <definedName name="Cdiff">Calculation!$D$196</definedName>
    <definedName name="Cdiff_act">Calculation!$D$195</definedName>
    <definedName name="Cdiff_rec">Calculation!$D$194</definedName>
    <definedName name="CDz">'Input Here'!$D$123</definedName>
    <definedName name="CFB">Calculation!$D$171</definedName>
    <definedName name="CHVG">Calculation!$D$141</definedName>
    <definedName name="CHVG_act">Calculation!$D$140</definedName>
    <definedName name="CHVG_rec">Calculation!$D$139</definedName>
    <definedName name="Cint">Calculation!$D$203</definedName>
    <definedName name="Cint_act">Calculation!$D$202</definedName>
    <definedName name="Cint_rec">Calculation!$D$201</definedName>
    <definedName name="Ciss_Qs">'Input Here'!$D$117</definedName>
    <definedName name="Co_1">'Secondary Resonance and ARC'!$E$28:$G$28</definedName>
    <definedName name="Co1_dec">'Secondary Resonance and ARC'!$E$26</definedName>
    <definedName name="Co1_rec">'Secondary Resonance and ARC'!$E$27</definedName>
    <definedName name="COSS_QH_bg">'Input Here'!$D$48</definedName>
    <definedName name="COSS_QH_sm">'Input Here'!$D$49</definedName>
    <definedName name="Coss_QH_T">'Input Here'!$D$52</definedName>
    <definedName name="COSS_QH_T_vbi">'Hide Calculate'!$D$100</definedName>
    <definedName name="COSS_QH_T_vbi_30">'Hide Calculate'!$D$110</definedName>
    <definedName name="COSS_QH_T_vbur">'Hide Calculate'!$D$120</definedName>
    <definedName name="COSS_QH_T_vmax">'Hide Calculate'!$D$130</definedName>
    <definedName name="COSS_QH_T_vmin">'Hide Calculate'!$D$90</definedName>
    <definedName name="COSS_QL_bg">'Input Here'!$D$56</definedName>
    <definedName name="COSS_QL_sm">'Input Here'!$D$57</definedName>
    <definedName name="Coss_QL_T">'Input Here'!$D$60</definedName>
    <definedName name="COSS_QL_T_vbi">'Hide Calculate'!$D$101</definedName>
    <definedName name="COSS_QL_T_vbi_30">'Hide Calculate'!$D$111</definedName>
    <definedName name="COSS_QL_T_vbur">'Hide Calculate'!$D$121</definedName>
    <definedName name="COSS_QL_T_vmax">'Hide Calculate'!$D$131</definedName>
    <definedName name="COSS_QL_T_vmin">'Hide Calculate'!$D$91</definedName>
    <definedName name="COSS_Qs">'Input Here'!$D$114</definedName>
    <definedName name="COSS_Qs_vbi">'Hide Calculate'!$D$104</definedName>
    <definedName name="COSS_Qs_vbi_30">'Hide Calculate'!$D$114</definedName>
    <definedName name="COSS_Qs_vbur">'Hide Calculate'!$D$124</definedName>
    <definedName name="COSS_Qs_vmax">'Hide Calculate'!$D$134</definedName>
    <definedName name="COSS_Qs_vmin">'Hide Calculate'!$D$94</definedName>
    <definedName name="Coss_SR_bg">'Input Here'!$D$87</definedName>
    <definedName name="COSS_SR_H">'Input Here'!$D$91</definedName>
    <definedName name="Coss_SR_sm">'Input Here'!$D$88</definedName>
    <definedName name="Coss_SR_T">'Input Here'!$D$90</definedName>
    <definedName name="COSS_SR_t_vmax">'Hide Calculate'!#REF!</definedName>
    <definedName name="COSS_SR_vbi">'Hide Calculate'!$D$105</definedName>
    <definedName name="COSS_SR_vbi_30">'Hide Calculate'!$D$115</definedName>
    <definedName name="COSS_SR_vbur">'Hide Calculate'!$D$125</definedName>
    <definedName name="COSS_SR_vmax">'Hide Calculate'!$D$135</definedName>
    <definedName name="COSS_SR_vmin">'Hide Calculate'!$D$95</definedName>
    <definedName name="COUT">'Input Here'!$D$80</definedName>
    <definedName name="COUT_act">'Input Here'!$D$79</definedName>
    <definedName name="COUT_rec">'Input Here'!$D$78</definedName>
    <definedName name="CREF">Calculation!$D$144</definedName>
    <definedName name="CREF_act">Calculation!$D$143</definedName>
    <definedName name="CREF_rec">Calculation!$D$142</definedName>
    <definedName name="Crfl_Daux_vbi">'Hide Calculate'!$D$106</definedName>
    <definedName name="Crfl_Daux_vbi_30">'Hide Calculate'!$D$116</definedName>
    <definedName name="Crfl_Daux_vbur">'Hide Calculate'!$D$126</definedName>
    <definedName name="Crfl_Daux_vmin">'Hide Calculate'!$D$96</definedName>
    <definedName name="Crfl_sr_vbi">'Hide Calculate'!$D$105</definedName>
    <definedName name="Crfl_sr_vbi_30">'Hide Calculate'!$D$115</definedName>
    <definedName name="Crfl_sr_vbur">'Hide Calculate'!$D$125</definedName>
    <definedName name="Crfl_sr_vmin">'Hide Calculate'!$D$95</definedName>
    <definedName name="CSW_0toVx">'Hide Calculate'!$D$22</definedName>
    <definedName name="CSWN_T">Calculation!$D$63</definedName>
    <definedName name="CSWN_T_vbi">'Hide Calculate'!$D$107</definedName>
    <definedName name="CSWN_T_vbi_30">'Hide Calculate'!$D$117</definedName>
    <definedName name="CSWN_T_vbur">'Hide Calculate'!$D$127</definedName>
    <definedName name="CSWN_T_vmax">'Hide Calculate'!$D$137</definedName>
    <definedName name="CSWN_T_vmin">'Hide Calculate'!$D$97</definedName>
    <definedName name="CSWS">Calculation!$D$130</definedName>
    <definedName name="CSWS_act">Calculation!$D$129</definedName>
    <definedName name="CSWS_rec">Calculation!$D$128</definedName>
    <definedName name="CTr">Calculation!$D$53</definedName>
    <definedName name="CTr_vbi">'Hide Calculate'!$D$102</definedName>
    <definedName name="CTr_vbi_30">'Hide Calculate'!$D$112</definedName>
    <definedName name="CTr_vbur">'Hide Calculate'!$D$122</definedName>
    <definedName name="CTr_vmax">'Hide Calculate'!$D$132</definedName>
    <definedName name="CTr_vmin">'Hide Calculate'!$D$92</definedName>
    <definedName name="CTRmax">'Input Here'!$D$101</definedName>
    <definedName name="CTRmin">'Input Here'!$D$102</definedName>
    <definedName name="D_max">Calculation!$D$47</definedName>
    <definedName name="DBUR">'Hide Calculate'!$D$44</definedName>
    <definedName name="DBUR_min">'Hide Calculate'!$D$56</definedName>
    <definedName name="Dmin">'Hide Calculate'!$D$72</definedName>
    <definedName name="DOPP_max">'Hide Calculate'!$D$31</definedName>
    <definedName name="DOPP_min">'Hide Calculate'!$D$19</definedName>
    <definedName name="DOPP_run">'Hide Calculate'!$D$8</definedName>
    <definedName name="DOPP_start">'Hide Calculate'!$D$64</definedName>
    <definedName name="Drea_CDD1">Calculation!$D$162</definedName>
    <definedName name="Drea_clamp">Calculation!$D$66</definedName>
    <definedName name="fBUR_LR">Calculation!$D$29</definedName>
    <definedName name="fBUR_standyby">'Input Here'!$D$37</definedName>
    <definedName name="fBUR_UP">Calculation!$D$28</definedName>
    <definedName name="Fcr_min">'Input Here'!$D$36</definedName>
    <definedName name="fLINE_min">'Input Here'!$D$24</definedName>
    <definedName name="fp_opto">'Input Here'!$D$100</definedName>
    <definedName name="fsw_BUR">'Hide Calculate'!$D$40</definedName>
    <definedName name="fsw_BUR_min">'Hide Calculate'!$D$54</definedName>
    <definedName name="fsw_min">'Hide Calculate'!$D$69</definedName>
    <definedName name="fsw_OPP_max">'Hide Calculate'!$D$29</definedName>
    <definedName name="fsw_OPP_min">'Hide Calculate'!$D$17</definedName>
    <definedName name="fsw_OPP_run">'Hide Calculate'!$D$11</definedName>
    <definedName name="fsw_OPP_start">'Hide Calculate'!$D$61</definedName>
    <definedName name="fSWmin">'Input Here'!$D$35</definedName>
    <definedName name="ID_SR_max">'Input Here'!$D$93</definedName>
    <definedName name="IDaux_max">'Input Here'!$D$130</definedName>
    <definedName name="IEN_VDD">Calculation!$D$23</definedName>
    <definedName name="IFB_max">Calculation!$D$26</definedName>
    <definedName name="IIN_BUR">'Hide Calculate'!$D$45</definedName>
    <definedName name="IIN_BUR_min">'Hide Calculate'!$D$57</definedName>
    <definedName name="IIN_min">'Hide Calculate'!$D$71</definedName>
    <definedName name="IIN_OPP_max">'Hide Calculate'!$D$32</definedName>
    <definedName name="IIN_OPP_min">'Hide Calculate'!$D$18</definedName>
    <definedName name="IIN_OPP_run">'Hide Calculate'!$D$9</definedName>
    <definedName name="IIN_OPP_start">'Hide Calculate'!$D$63</definedName>
    <definedName name="IKA_min">'Input Here'!$D$107</definedName>
    <definedName name="IM_nega_BUR">'Hide Calculate'!$D$39</definedName>
    <definedName name="IM_nega_BUR_min">'Hide Calculate'!$D$53</definedName>
    <definedName name="IM_nega_max">'Hide Calculate'!$D$28</definedName>
    <definedName name="IM_nega_min">'Hide Calculate'!$D$68</definedName>
    <definedName name="IM_nega_OPP_min">'Hide Calculate'!$D$15</definedName>
    <definedName name="IM_nega_run">'Hide Calculate'!$D$10</definedName>
    <definedName name="IM_nega_start">'Hide Calculate'!$D$60</definedName>
    <definedName name="IOUT">'Input Here'!$D$31</definedName>
    <definedName name="IOUT_OPP">'Input Here'!$D$33</definedName>
    <definedName name="ipk_BUR">'Hide Calculate'!$D$41</definedName>
    <definedName name="ipk_BUR_min">'Hide Calculate'!$D$55</definedName>
    <definedName name="ipk_min">'Hide Calculate'!$D$70</definedName>
    <definedName name="ipk_OPP_max">'Hide Calculate'!$D$30</definedName>
    <definedName name="ipk_OPP_min">'Hide Calculate'!$D$16</definedName>
    <definedName name="ipk_OPP_run">'Hide Calculate'!$D$12</definedName>
    <definedName name="ipk_OPP_start">'Hide Calculate'!$D$62</definedName>
    <definedName name="IQH_max">'Input Here'!$D$51</definedName>
    <definedName name="IQL_max">'Input Here'!$D$59</definedName>
    <definedName name="iQL_RMS">Calculation!$D$90</definedName>
    <definedName name="Iref_431">'Input Here'!$D$109</definedName>
    <definedName name="Iref_431_max">'Input Here'!$D$110</definedName>
    <definedName name="IRUN_VDD">Calculation!$D$19</definedName>
    <definedName name="Istart_HVG">Calculation!$D$22</definedName>
    <definedName name="IVCC_qcc">'Input Here'!$D$68</definedName>
    <definedName name="IVCC_sw">'Hide Calculate'!$D$65</definedName>
    <definedName name="iVSL_BUR">'Hide Calculate'!$D$46</definedName>
    <definedName name="iVSL_max">'Hide Calculate'!$D$34</definedName>
    <definedName name="IVSL_run">Calculation!$D$7</definedName>
    <definedName name="Iwait_VDD">Calculation!$D$20</definedName>
    <definedName name="KBUR_CST">Calculation!$D$17</definedName>
    <definedName name="KCTR_Temp">'Input Here'!$D$103</definedName>
    <definedName name="Kder">'Input Here'!$D$40</definedName>
    <definedName name="Kder_SR">'Input Here'!$D$84</definedName>
    <definedName name="KDM">Calculation!$D$16</definedName>
    <definedName name="KLC">Calculation!$D$15</definedName>
    <definedName name="KRES">Calculation!$D$31</definedName>
    <definedName name="KTZ">'Input Here'!$D$44</definedName>
    <definedName name="KVC">'Hide Calculate'!$D$73</definedName>
    <definedName name="Kvsl">'Hide Calculate'!$D$81</definedName>
    <definedName name="kZmax">'Hide Calculate'!#REF!</definedName>
    <definedName name="LK_act">Calculation!$D$51</definedName>
    <definedName name="LM">Calculation!$D$50</definedName>
    <definedName name="LM_act">Calculation!$D$49</definedName>
    <definedName name="LM_rec">Calculation!$D$48</definedName>
    <definedName name="Lo">'Secondary Resonance and ARC'!$E$31</definedName>
    <definedName name="LQs">'Input Here'!$D$116</definedName>
    <definedName name="NA">Calculation!$D$45</definedName>
    <definedName name="NA_act">Calculation!#REF!</definedName>
    <definedName name="NA_max">Calculation!$D$43</definedName>
    <definedName name="NA_min">Calculation!$D$44</definedName>
    <definedName name="Na1_">'Burst Mode for USB-PD'!$C$5</definedName>
    <definedName name="Na2_">'Burst Mode for USB-PD'!$C$6</definedName>
    <definedName name="NP">Calculation!$D$40</definedName>
    <definedName name="NPS">Calculation!$D$39</definedName>
    <definedName name="NPS_actual">Calculation!#REF!</definedName>
    <definedName name="NPS_min">Calculation!$D$38</definedName>
    <definedName name="NPS_recommended">Calculation!#REF!</definedName>
    <definedName name="NS">Calculation!$D$42</definedName>
    <definedName name="NS_">'Burst Mode for USB-PD'!$C$7</definedName>
    <definedName name="NS_rec">Calculation!$D$41</definedName>
    <definedName name="NSS">Calculation!$D$42</definedName>
    <definedName name="OPP">'Input Here'!$D$32</definedName>
    <definedName name="OVP">Calculation!$D$83</definedName>
    <definedName name="OVP_tgt">'Input Here'!$D$29</definedName>
    <definedName name="PO_FL">'Input Here'!$D$30</definedName>
    <definedName name="PRcs">Calculation!$D$91</definedName>
    <definedName name="Qg_Qh">'Hide Calculate'!$D$52</definedName>
    <definedName name="R_OPP">Calculation!$D$96</definedName>
    <definedName name="R_OPP_act">Calculation!$D$95</definedName>
    <definedName name="R_OPP_rec">Calculation!$D$94</definedName>
    <definedName name="Rbias1">Calculation!$D$180</definedName>
    <definedName name="Rbias1_max_ABM">Calculation!$D$177</definedName>
    <definedName name="Rbias1_max_SBP">Calculation!$D$176</definedName>
    <definedName name="Rbias2">Calculation!$D$175</definedName>
    <definedName name="Rbias2_act">Calculation!$D$174</definedName>
    <definedName name="Rbias2_rec">Calculation!$D$173</definedName>
    <definedName name="RBLEED">Calculation!$D$73</definedName>
    <definedName name="RBLEED_act">Calculation!$D$72</definedName>
    <definedName name="RBLEED_rec">Calculation!$D$71</definedName>
    <definedName name="RBLEED_rec1">Calculation!#REF!</definedName>
    <definedName name="RBUR1">Calculation!$D$121</definedName>
    <definedName name="RBUR1_act">Calculation!$D$120</definedName>
    <definedName name="RBUR1_rec">Calculation!$D$119</definedName>
    <definedName name="RBUR2">Calculation!$D$118</definedName>
    <definedName name="RBUR2_act">Calculation!$D$117</definedName>
    <definedName name="RBUR2_rec">Calculation!$D$116</definedName>
    <definedName name="RCO">'Input Here'!$D$76</definedName>
    <definedName name="RCOMP">Calculation!$D$172</definedName>
    <definedName name="RCS">Calculation!$D$89</definedName>
    <definedName name="RCS_act">Calculation!$D$88</definedName>
    <definedName name="RCS_rec">Calculation!$D$87</definedName>
    <definedName name="RDD_1">Calculation!$D$159</definedName>
    <definedName name="RDD1_act">Calculation!$D$158</definedName>
    <definedName name="RDD1_rec">Calculation!$D$157</definedName>
    <definedName name="RDD2_">Calculation!$D$153</definedName>
    <definedName name="RDD2_rec">Calculation!$D$152</definedName>
    <definedName name="Rdiff">Calculation!$D$199</definedName>
    <definedName name="Rdiff_act">Calculation!$D$198</definedName>
    <definedName name="Rdiff_rec">Calculation!$D$197</definedName>
    <definedName name="RDM">Calculation!$D$105</definedName>
    <definedName name="RDM_act">Calculation!$D$104</definedName>
    <definedName name="RDM_rec">Calculation!$D$103</definedName>
    <definedName name="RDSon_QH">'Input Here'!$D$47</definedName>
    <definedName name="RDSon_QL">'Input Here'!$D$55</definedName>
    <definedName name="RFB">Calculation!$D$170</definedName>
    <definedName name="RFB_act">Calculation!$D$169</definedName>
    <definedName name="RFB_int">Calculation!$D$25</definedName>
    <definedName name="RFB_max">Calculation!$D$168</definedName>
    <definedName name="RHVG">Calculation!$D$138</definedName>
    <definedName name="RHVG_act">Calculation!$D$137</definedName>
    <definedName name="RHVG_rec">Calculation!$D$136</definedName>
    <definedName name="Rpri_dc">Calculation!$D$54</definedName>
    <definedName name="RSWS">Calculation!$D$133</definedName>
    <definedName name="RSWS_act">Calculation!$D$132</definedName>
    <definedName name="RSWS_rec">Calculation!$D$131</definedName>
    <definedName name="RTZ">Calculation!$D$111</definedName>
    <definedName name="RTZ_act">Calculation!$D$110</definedName>
    <definedName name="RTZ_rec">Calculation!$D$109</definedName>
    <definedName name="Rvo1_">Calculation!$D$189</definedName>
    <definedName name="Rvo1_act">Calculation!$D$188</definedName>
    <definedName name="Rvo1_rec">Calculation!$D$187</definedName>
    <definedName name="Rvo2_">Calculation!$D$186</definedName>
    <definedName name="Rvo2_act">Calculation!$D$185</definedName>
    <definedName name="Rvo2_rec">Calculation!$D$184</definedName>
    <definedName name="RVS_1">Calculation!$D$78</definedName>
    <definedName name="RVS_2">Calculation!$D$82</definedName>
    <definedName name="RVS1_act">Calculation!$D$77</definedName>
    <definedName name="RVS1_rec">Calculation!$D$76</definedName>
    <definedName name="RVS2_act">Calculation!$D$81</definedName>
    <definedName name="RVS2_rec">Calculation!$D$80</definedName>
    <definedName name="SET">'Input Here'!$D$43</definedName>
    <definedName name="SETPIN">'Input Here'!#REF!</definedName>
    <definedName name="solver_adj" localSheetId="4" hidden="1">'Burst Mode for USB-PD'!$C$9</definedName>
    <definedName name="solver_eng" localSheetId="4" hidden="1">1</definedName>
    <definedName name="solver_eng" localSheetId="1" hidden="1">1</definedName>
    <definedName name="solver_neg" localSheetId="4" hidden="1">1</definedName>
    <definedName name="solver_neg" localSheetId="1" hidden="1">1</definedName>
    <definedName name="solver_num" localSheetId="4" hidden="1">0</definedName>
    <definedName name="solver_num" localSheetId="1" hidden="1">0</definedName>
    <definedName name="solver_opt" localSheetId="4" hidden="1">'Burst Mode for USB-PD'!$C$7</definedName>
    <definedName name="solver_opt" localSheetId="1" hidden="1">'Hide Calculate'!#REF!</definedName>
    <definedName name="solver_typ" localSheetId="4" hidden="1">3</definedName>
    <definedName name="solver_typ" localSheetId="1" hidden="1">1</definedName>
    <definedName name="solver_val" localSheetId="4" hidden="1">0</definedName>
    <definedName name="solver_val" localSheetId="1" hidden="1">0</definedName>
    <definedName name="solver_ver" localSheetId="4" hidden="1">3</definedName>
    <definedName name="solver_ver" localSheetId="1" hidden="1">3</definedName>
    <definedName name="T_on_min">'Hide Calculate'!$D$20</definedName>
    <definedName name="tD_CS">Calculation!$D$10</definedName>
    <definedName name="TD_CS_filter">Calculation!$D$86</definedName>
    <definedName name="tD_CST_BUR">'Hide Calculate'!$D$43</definedName>
    <definedName name="tD_CST_vmax">'Hide Calculate'!$D$27</definedName>
    <definedName name="tD_CST_vmin">'Hide Calculate'!$D$23</definedName>
    <definedName name="TD_HDr">'Input Here'!$D$65</definedName>
    <definedName name="TD_LDr">'Input Here'!$D$64</definedName>
    <definedName name="TD_Ql_Coss_BUR">'Hide Calculate'!$D$42</definedName>
    <definedName name="TD_Ql_Coss_vmax">'Hide Calculate'!$D$26</definedName>
    <definedName name="TD_Ql_Coss_vmin">'Hide Calculate'!$D$21</definedName>
    <definedName name="tD_RUN_PWML">Calculation!$D$21</definedName>
    <definedName name="TFDR">Calculation!$D$30</definedName>
    <definedName name="THVG">Calculation!$D$160</definedName>
    <definedName name="tres">'Hide Calculate'!#REF!</definedName>
    <definedName name="Trise_max">'Hide Calculate'!$D$49</definedName>
    <definedName name="TSS_max">Calculation!$D$161</definedName>
    <definedName name="tSW">'Hide Calculate'!#REF!</definedName>
    <definedName name="tSW_off">'Hide Calculate'!#REF!</definedName>
    <definedName name="tSW_on">'Hide Calculate'!#REF!</definedName>
    <definedName name="tSWmax">'Hide Calculate'!#REF!</definedName>
    <definedName name="TZ_min">Calculation!$D$108</definedName>
    <definedName name="VBulk_min_tgt">'Input Here'!$D$22</definedName>
    <definedName name="VBULK_min_tgt1">'Input Here'!#REF!</definedName>
    <definedName name="Vbur1">'Burst Mode for USB-PD'!$F$9</definedName>
    <definedName name="Vbur2">'Burst Mode for USB-PD'!$F$10</definedName>
    <definedName name="VCE_sat_opto">'Input Here'!$D$97</definedName>
    <definedName name="Vcin_rated">'Input Here'!$D$74</definedName>
    <definedName name="Vclamp_max">'Hide Calculate'!$D$5</definedName>
    <definedName name="Vclamp_max_QH">'Hide Calculate'!$D$4</definedName>
    <definedName name="Vclamp_max_SR">'Hide Calculate'!$D$3</definedName>
    <definedName name="VCST_BUR">Calculation!$D$114</definedName>
    <definedName name="VCST_max">Calculation!$D$11</definedName>
    <definedName name="VCST_OPP_adj_Rcs">'Hide Calculate'!$D$82</definedName>
    <definedName name="VCST_OPP_adj_Ropp">'Hide Calculate'!$D$83</definedName>
    <definedName name="VCST_OPP1">Calculation!$D$12</definedName>
    <definedName name="VCST_OPP4">Calculation!$D$13</definedName>
    <definedName name="VD_LED">'Input Here'!$D$98</definedName>
    <definedName name="VD_LED_off">'Input Here'!$D$99</definedName>
    <definedName name="VDD">Calculation!$D$156</definedName>
    <definedName name="VDD_max">Calculation!$D$5</definedName>
    <definedName name="VDD_off">Calculation!$D$3</definedName>
    <definedName name="VDD_on">Calculation!$D$4</definedName>
    <definedName name="VDD_PCT">Calculation!$D$6</definedName>
    <definedName name="VDS_actual">'Input Here'!$D$42</definedName>
    <definedName name="VDz">'Input Here'!$D$122</definedName>
    <definedName name="Vf_BootD">'Input Here'!$D$66</definedName>
    <definedName name="Vf_Daux">'Input Here'!$D$129</definedName>
    <definedName name="Vf_SR">'Input Here'!$D$92</definedName>
    <definedName name="VFB_max">Calculation!$D$24</definedName>
    <definedName name="Vgs_Qs">'Input Here'!$D$115</definedName>
    <definedName name="VHVG">Calculation!$D$18</definedName>
    <definedName name="Vhys_CS">Calculation!#REF!</definedName>
    <definedName name="VIN_min">'Input Here'!$D$19</definedName>
    <definedName name="Vin_type">'Input Here'!$D$16</definedName>
    <definedName name="VINPUT_Brownin">'Input Here'!$D$20</definedName>
    <definedName name="VINPUT_Brownout">'Input Here'!$D$21</definedName>
    <definedName name="VINPUT_BUR">'Input Here'!$D$18</definedName>
    <definedName name="VINPUT_max">'Input Here'!$D$17</definedName>
    <definedName name="VLk_pri_max">'Hide Calculate'!$D$36</definedName>
    <definedName name="Vo_drop">'Input Here'!$D$77</definedName>
    <definedName name="Voffset_CS_OPP">'Hide Calculate'!$D$33</definedName>
    <definedName name="Vomax">'Burst Mode for USB-PD'!$C$9</definedName>
    <definedName name="Vomin">'Burst Mode for USB-PD'!$C$10</definedName>
    <definedName name="VOUT">'Input Here'!$D$28</definedName>
    <definedName name="VR_pri_max">'Hide Calculate'!$D$35</definedName>
    <definedName name="VREF">Calculation!$D$8</definedName>
    <definedName name="Vref_431">'Input Here'!$D$108</definedName>
    <definedName name="VRfl">Calculation!$D$46</definedName>
    <definedName name="Vs_clamp">Calculation!$D$14</definedName>
    <definedName name="VSR_actual">'Input Here'!$D$86</definedName>
    <definedName name="Vth_Qs">'Input Here'!$D$118</definedName>
    <definedName name="VVS_OVP">Calculation!$D$9</definedName>
    <definedName name="Vx_SR">'Input Here'!$D$89</definedName>
    <definedName name="Vxh">'Input Here'!$D$50</definedName>
    <definedName name="Vxl">'Input Here'!$D$58</definedName>
    <definedName name="ΔVCLAMP">Calculation!$D$34</definedName>
    <definedName name="ΔVSPIKE_SR">Calculation!$D$33</definedName>
    <definedName name="η">Calculation!#REF!</definedName>
    <definedName name="η_min">'Input Here'!$D$25</definedName>
    <definedName name="ηXFMR">Calculation!$D$52</definedName>
  </definedNames>
  <calcPr calcId="191029"/>
</workbook>
</file>

<file path=xl/calcChain.xml><?xml version="1.0" encoding="utf-8"?>
<calcChain xmlns="http://schemas.openxmlformats.org/spreadsheetml/2006/main">
  <c r="F11" i="7" l="1"/>
  <c r="D184" i="2" l="1"/>
  <c r="D76" i="2"/>
  <c r="D128" i="2"/>
  <c r="D38" i="2"/>
  <c r="D37" i="2"/>
  <c r="D81" i="6" l="1"/>
  <c r="D83" i="6" s="1"/>
  <c r="D100" i="6"/>
  <c r="D101" i="6"/>
  <c r="D105" i="6"/>
  <c r="D110" i="6"/>
  <c r="D111" i="6"/>
  <c r="D115" i="6"/>
  <c r="D120" i="6"/>
  <c r="D121" i="6"/>
  <c r="D125" i="6"/>
  <c r="D130" i="6"/>
  <c r="D131" i="6"/>
  <c r="D135" i="6"/>
  <c r="D82" i="6" l="1"/>
  <c r="D168" i="2"/>
  <c r="E17" i="1"/>
  <c r="E79" i="2"/>
  <c r="D71" i="1" l="1"/>
  <c r="D194" i="2" l="1"/>
  <c r="D69" i="2"/>
  <c r="E35" i="5" l="1"/>
  <c r="E22" i="1" l="1"/>
  <c r="D82" i="2" l="1"/>
  <c r="D37" i="4" s="1"/>
  <c r="D91" i="6" l="1"/>
  <c r="D90" i="6"/>
  <c r="D136" i="6"/>
  <c r="D126" i="6"/>
  <c r="D116" i="6"/>
  <c r="D95" i="6"/>
  <c r="D106" i="6"/>
  <c r="D96" i="6"/>
  <c r="D134" i="6"/>
  <c r="D133" i="6"/>
  <c r="D132" i="6"/>
  <c r="D124" i="6"/>
  <c r="D123" i="6"/>
  <c r="D122" i="6"/>
  <c r="D114" i="6"/>
  <c r="D113" i="6"/>
  <c r="D112" i="6"/>
  <c r="D104" i="6"/>
  <c r="D103" i="6"/>
  <c r="D102" i="6"/>
  <c r="D94" i="6"/>
  <c r="D93" i="6"/>
  <c r="D92" i="6"/>
  <c r="D76" i="4" l="1"/>
  <c r="D75" i="4"/>
  <c r="D121" i="2" l="1"/>
  <c r="C8" i="7" s="1"/>
  <c r="D72" i="6" l="1"/>
  <c r="D71" i="6"/>
  <c r="D64" i="6"/>
  <c r="D63" i="6"/>
  <c r="D57" i="6"/>
  <c r="D56" i="6"/>
  <c r="D45" i="6"/>
  <c r="D44" i="6"/>
  <c r="D9" i="6"/>
  <c r="D31" i="6"/>
  <c r="D32" i="6"/>
  <c r="D41" i="1" l="1"/>
  <c r="D47" i="2"/>
  <c r="D48" i="2" s="1"/>
  <c r="D70" i="2" l="1"/>
  <c r="D19" i="6"/>
  <c r="D18" i="6"/>
  <c r="D4" i="6" l="1"/>
  <c r="D3" i="6"/>
  <c r="D90" i="1"/>
  <c r="D52" i="1"/>
  <c r="D57" i="2" s="1"/>
  <c r="D60" i="1"/>
  <c r="D58" i="2" s="1"/>
  <c r="D74" i="1"/>
  <c r="D33" i="1"/>
  <c r="D31" i="1"/>
  <c r="D78" i="1" s="1"/>
  <c r="D52" i="6" l="1"/>
  <c r="D8" i="6"/>
  <c r="H39" i="5"/>
  <c r="E33" i="5"/>
  <c r="D130" i="4"/>
  <c r="D128" i="4"/>
  <c r="D127" i="4"/>
  <c r="D119" i="4"/>
  <c r="D107" i="4"/>
  <c r="D103" i="4"/>
  <c r="D80" i="4"/>
  <c r="D65" i="4"/>
  <c r="D57" i="4"/>
  <c r="D53" i="4"/>
  <c r="D203" i="2"/>
  <c r="D123" i="4" s="1"/>
  <c r="D199" i="2"/>
  <c r="D67" i="4" s="1"/>
  <c r="D196" i="2"/>
  <c r="D189" i="2"/>
  <c r="D186" i="2"/>
  <c r="C183" i="2"/>
  <c r="D177" i="2"/>
  <c r="D175" i="2"/>
  <c r="D59" i="4" s="1"/>
  <c r="D173" i="2"/>
  <c r="D170" i="2"/>
  <c r="D31" i="4" s="1"/>
  <c r="D165" i="2"/>
  <c r="D111" i="4" s="1"/>
  <c r="D159" i="2"/>
  <c r="D55" i="4" s="1"/>
  <c r="D150" i="2"/>
  <c r="D144" i="2"/>
  <c r="D99" i="4" s="1"/>
  <c r="D142" i="2"/>
  <c r="D141" i="2"/>
  <c r="D95" i="4" s="1"/>
  <c r="D138" i="2"/>
  <c r="D51" i="4" s="1"/>
  <c r="D136" i="2"/>
  <c r="D133" i="2"/>
  <c r="D49" i="4" s="1"/>
  <c r="D130" i="2"/>
  <c r="D87" i="4" s="1"/>
  <c r="D125" i="2"/>
  <c r="D91" i="4" s="1"/>
  <c r="D45" i="4"/>
  <c r="D118" i="2"/>
  <c r="D111" i="2"/>
  <c r="D43" i="4" s="1"/>
  <c r="D105" i="2"/>
  <c r="D41" i="4" s="1"/>
  <c r="D99" i="2"/>
  <c r="D83" i="4" s="1"/>
  <c r="D96" i="2"/>
  <c r="D89" i="2"/>
  <c r="D78" i="2"/>
  <c r="D79" i="2" s="1"/>
  <c r="D73" i="2"/>
  <c r="D33" i="4" s="1"/>
  <c r="D61" i="2"/>
  <c r="D60" i="2"/>
  <c r="D59" i="2"/>
  <c r="D50" i="2"/>
  <c r="D46" i="2"/>
  <c r="D41" i="2"/>
  <c r="D42" i="2" s="1"/>
  <c r="D16" i="2"/>
  <c r="D85" i="1"/>
  <c r="D80" i="1"/>
  <c r="D74" i="4" s="1"/>
  <c r="D71" i="4"/>
  <c r="D73" i="1"/>
  <c r="D70" i="4" s="1"/>
  <c r="D44" i="1"/>
  <c r="E19" i="1"/>
  <c r="E18" i="1"/>
  <c r="E20" i="1"/>
  <c r="E21" i="1"/>
  <c r="D21" i="1"/>
  <c r="D161" i="2" l="1"/>
  <c r="D122" i="2"/>
  <c r="D63" i="4"/>
  <c r="D187" i="2"/>
  <c r="D97" i="2"/>
  <c r="D100" i="2"/>
  <c r="D201" i="2"/>
  <c r="D190" i="2"/>
  <c r="D67" i="2"/>
  <c r="D36" i="6"/>
  <c r="D43" i="2"/>
  <c r="D44" i="2"/>
  <c r="C7" i="7"/>
  <c r="D131" i="4"/>
  <c r="D115" i="4"/>
  <c r="D197" i="2"/>
  <c r="D176" i="2"/>
  <c r="D178" i="2" s="1"/>
  <c r="D61" i="4"/>
  <c r="D123" i="2"/>
  <c r="D131" i="2"/>
  <c r="D160" i="2"/>
  <c r="D28" i="4"/>
  <c r="D79" i="4"/>
  <c r="D47" i="4"/>
  <c r="D152" i="2"/>
  <c r="D35" i="4"/>
  <c r="D39" i="4"/>
  <c r="D126" i="4"/>
  <c r="D5" i="6"/>
  <c r="D71" i="2" s="1"/>
  <c r="D83" i="2" l="1"/>
  <c r="D103" i="2"/>
  <c r="D137" i="6"/>
  <c r="D108" i="2" s="1"/>
  <c r="D127" i="6"/>
  <c r="D39" i="6" s="1"/>
  <c r="D40" i="6" s="1"/>
  <c r="D117" i="6"/>
  <c r="D60" i="6" s="1"/>
  <c r="D61" i="6" s="1"/>
  <c r="D107" i="6"/>
  <c r="D97" i="6"/>
  <c r="D15" i="6" s="1"/>
  <c r="D132" i="4"/>
  <c r="D22" i="6"/>
  <c r="D129" i="4"/>
  <c r="D156" i="2"/>
  <c r="D157" i="2" s="1"/>
  <c r="D80" i="2"/>
  <c r="D62" i="2"/>
  <c r="D63" i="2" s="1"/>
  <c r="C5" i="7"/>
  <c r="C13" i="7" l="1"/>
  <c r="C14" i="7"/>
  <c r="D17" i="6"/>
  <c r="D10" i="6"/>
  <c r="D11" i="6" s="1"/>
  <c r="D53" i="6"/>
  <c r="D54" i="6" s="1"/>
  <c r="D68" i="6"/>
  <c r="D69" i="6" s="1"/>
  <c r="D28" i="6"/>
  <c r="D148" i="2"/>
  <c r="E27" i="5" l="1"/>
  <c r="E30" i="5"/>
  <c r="D29" i="6"/>
  <c r="D30" i="6" s="1"/>
  <c r="D35" i="6" s="1"/>
  <c r="D55" i="6"/>
  <c r="D147" i="2" s="1"/>
  <c r="D12" i="6"/>
  <c r="D65" i="6"/>
  <c r="D163" i="2" s="1"/>
  <c r="D70" i="6"/>
  <c r="D73" i="6" s="1"/>
  <c r="D109" i="2"/>
  <c r="D41" i="6"/>
  <c r="D49" i="6" s="1"/>
  <c r="D139" i="2" s="1"/>
  <c r="D34" i="6" l="1"/>
  <c r="D46" i="6"/>
  <c r="D42" i="6"/>
  <c r="D43" i="6" s="1"/>
  <c r="D16" i="6"/>
  <c r="D26" i="6"/>
  <c r="D179" i="2"/>
  <c r="D62" i="6"/>
  <c r="D114" i="2" l="1"/>
  <c r="D119" i="2" s="1"/>
  <c r="D20" i="6"/>
  <c r="D90" i="2"/>
  <c r="D91" i="2" s="1"/>
  <c r="D29" i="4" s="1"/>
  <c r="D21" i="6"/>
  <c r="D27" i="6"/>
  <c r="D33" i="6" s="1"/>
  <c r="D94" i="2" s="1"/>
  <c r="D23" i="6" l="1"/>
  <c r="D87" i="2" s="1"/>
  <c r="D116" i="2" l="1"/>
  <c r="D115" i="2"/>
</calcChain>
</file>

<file path=xl/sharedStrings.xml><?xml version="1.0" encoding="utf-8"?>
<sst xmlns="http://schemas.openxmlformats.org/spreadsheetml/2006/main" count="1526" uniqueCount="1053">
  <si>
    <t>CLEAR ALL USER INPUT CELLS BEFORE STARTING A NEW DESIGN</t>
  </si>
  <si>
    <t>DESIGN REQUIREMENTS</t>
  </si>
  <si>
    <t>UCC28780 DESIGN CALCULATOR TOOL</t>
    <phoneticPr fontId="28" type="noConversion"/>
  </si>
  <si>
    <t/>
  </si>
  <si>
    <t>Hz</t>
  </si>
  <si>
    <t>%</t>
    <phoneticPr fontId="28" type="noConversion"/>
  </si>
  <si>
    <t>OUTPUT SPECIFICATIONS</t>
  </si>
  <si>
    <t>A</t>
  </si>
  <si>
    <t>V</t>
  </si>
  <si>
    <t>W</t>
    <phoneticPr fontId="28" type="noConversion"/>
  </si>
  <si>
    <t>kHz</t>
    <phoneticPr fontId="28" type="noConversion"/>
  </si>
  <si>
    <t>Ω</t>
  </si>
  <si>
    <t>µH</t>
    <phoneticPr fontId="28" type="noConversion"/>
  </si>
  <si>
    <t>V</t>
    <phoneticPr fontId="28" type="noConversion"/>
  </si>
  <si>
    <t>pF</t>
    <phoneticPr fontId="28" type="noConversion"/>
  </si>
  <si>
    <t>A</t>
    <phoneticPr fontId="28" type="noConversion"/>
  </si>
  <si>
    <t>V</t>
    <phoneticPr fontId="28" type="noConversion"/>
  </si>
  <si>
    <t>A</t>
    <phoneticPr fontId="28" type="noConversion"/>
  </si>
  <si>
    <t>Optocoupler</t>
    <phoneticPr fontId="28" type="noConversion"/>
  </si>
  <si>
    <t>V</t>
    <phoneticPr fontId="28" type="noConversion"/>
  </si>
  <si>
    <t>nH</t>
    <phoneticPr fontId="28" type="noConversion"/>
  </si>
  <si>
    <t>Auxiliary Rectifier Diode</t>
    <phoneticPr fontId="28" type="noConversion"/>
  </si>
  <si>
    <t>µH</t>
  </si>
  <si>
    <t>pF</t>
    <phoneticPr fontId="28" type="noConversion"/>
  </si>
  <si>
    <t>A</t>
    <phoneticPr fontId="28" type="noConversion"/>
  </si>
  <si>
    <t>Hz</t>
    <phoneticPr fontId="28" type="noConversion"/>
  </si>
  <si>
    <t>µF</t>
    <phoneticPr fontId="28" type="noConversion"/>
  </si>
  <si>
    <t>µs</t>
    <phoneticPr fontId="28" type="noConversion"/>
  </si>
  <si>
    <t>µF</t>
    <phoneticPr fontId="28" type="noConversion"/>
  </si>
  <si>
    <t>pF</t>
    <phoneticPr fontId="28" type="noConversion"/>
  </si>
  <si>
    <t>Resistor Divider of VS Pin</t>
    <phoneticPr fontId="28" type="noConversion"/>
  </si>
  <si>
    <r>
      <t>R</t>
    </r>
    <r>
      <rPr>
        <vertAlign val="subscript"/>
        <sz val="11"/>
        <color theme="1"/>
        <rFont val="Arial"/>
        <family val="2"/>
      </rPr>
      <t>VS1_rec</t>
    </r>
    <r>
      <rPr>
        <sz val="11"/>
        <color theme="1"/>
        <rFont val="Arial"/>
        <family val="2"/>
      </rPr>
      <t xml:space="preserve"> =</t>
    </r>
    <phoneticPr fontId="28" type="noConversion"/>
  </si>
  <si>
    <r>
      <t>R</t>
    </r>
    <r>
      <rPr>
        <vertAlign val="subscript"/>
        <sz val="11"/>
        <color theme="1"/>
        <rFont val="Arial"/>
        <family val="2"/>
      </rPr>
      <t>VS1_act</t>
    </r>
    <r>
      <rPr>
        <sz val="11"/>
        <color theme="1"/>
        <rFont val="Arial"/>
        <family val="2"/>
      </rPr>
      <t xml:space="preserve"> =</t>
    </r>
    <phoneticPr fontId="28" type="noConversion"/>
  </si>
  <si>
    <r>
      <t>R</t>
    </r>
    <r>
      <rPr>
        <vertAlign val="subscript"/>
        <sz val="11"/>
        <color theme="1"/>
        <rFont val="Arial"/>
        <family val="2"/>
      </rPr>
      <t>VS1</t>
    </r>
    <r>
      <rPr>
        <sz val="11"/>
        <color theme="1"/>
        <rFont val="Arial"/>
        <family val="2"/>
      </rPr>
      <t xml:space="preserve"> =</t>
    </r>
    <phoneticPr fontId="28" type="noConversion"/>
  </si>
  <si>
    <r>
      <t>R</t>
    </r>
    <r>
      <rPr>
        <vertAlign val="subscript"/>
        <sz val="11"/>
        <color theme="1"/>
        <rFont val="Arial"/>
        <family val="2"/>
      </rPr>
      <t>VS2_rec</t>
    </r>
    <r>
      <rPr>
        <sz val="11"/>
        <color theme="1"/>
        <rFont val="Arial"/>
        <family val="2"/>
      </rPr>
      <t xml:space="preserve"> =</t>
    </r>
    <phoneticPr fontId="28" type="noConversion"/>
  </si>
  <si>
    <t>Ω</t>
    <phoneticPr fontId="28" type="noConversion"/>
  </si>
  <si>
    <r>
      <t>R</t>
    </r>
    <r>
      <rPr>
        <vertAlign val="subscript"/>
        <sz val="11"/>
        <color theme="1"/>
        <rFont val="Arial"/>
        <family val="2"/>
      </rPr>
      <t>VS2_act</t>
    </r>
    <r>
      <rPr>
        <sz val="11"/>
        <color theme="1"/>
        <rFont val="Arial"/>
        <family val="2"/>
      </rPr>
      <t xml:space="preserve"> =</t>
    </r>
    <phoneticPr fontId="28" type="noConversion"/>
  </si>
  <si>
    <r>
      <t>R</t>
    </r>
    <r>
      <rPr>
        <vertAlign val="subscript"/>
        <sz val="11"/>
        <color theme="1"/>
        <rFont val="Arial"/>
        <family val="2"/>
      </rPr>
      <t>VS2</t>
    </r>
    <r>
      <rPr>
        <sz val="11"/>
        <color theme="1"/>
        <rFont val="Arial"/>
        <family val="2"/>
      </rPr>
      <t xml:space="preserve"> =</t>
    </r>
    <phoneticPr fontId="28" type="noConversion"/>
  </si>
  <si>
    <r>
      <t>Current Sense Resistor, R</t>
    </r>
    <r>
      <rPr>
        <b/>
        <i/>
        <vertAlign val="subscript"/>
        <sz val="12"/>
        <color theme="0"/>
        <rFont val="Arial"/>
        <family val="2"/>
      </rPr>
      <t>CS</t>
    </r>
    <phoneticPr fontId="28" type="noConversion"/>
  </si>
  <si>
    <t>ns</t>
    <phoneticPr fontId="28" type="noConversion"/>
  </si>
  <si>
    <t>ns</t>
    <phoneticPr fontId="28" type="noConversion"/>
  </si>
  <si>
    <t>pF</t>
    <phoneticPr fontId="28" type="noConversion"/>
  </si>
  <si>
    <t>V</t>
    <phoneticPr fontId="28" type="noConversion"/>
  </si>
  <si>
    <t>ns</t>
    <phoneticPr fontId="28" type="noConversion"/>
  </si>
  <si>
    <t>OPP Programming Resistor</t>
    <phoneticPr fontId="28" type="noConversion"/>
  </si>
  <si>
    <r>
      <t>R</t>
    </r>
    <r>
      <rPr>
        <vertAlign val="subscript"/>
        <sz val="11"/>
        <color theme="1"/>
        <rFont val="Arial"/>
        <family val="2"/>
      </rPr>
      <t>_OPP_rec</t>
    </r>
    <r>
      <rPr>
        <sz val="11"/>
        <color theme="1"/>
        <rFont val="Arial"/>
        <family val="2"/>
      </rPr>
      <t xml:space="preserve"> =</t>
    </r>
    <phoneticPr fontId="28" type="noConversion"/>
  </si>
  <si>
    <t>mA</t>
    <phoneticPr fontId="28" type="noConversion"/>
  </si>
  <si>
    <r>
      <t>R</t>
    </r>
    <r>
      <rPr>
        <vertAlign val="subscript"/>
        <sz val="11"/>
        <color theme="1"/>
        <rFont val="Arial"/>
        <family val="2"/>
      </rPr>
      <t>_OPP_act</t>
    </r>
    <r>
      <rPr>
        <sz val="11"/>
        <color theme="1"/>
        <rFont val="Arial"/>
        <family val="2"/>
      </rPr>
      <t xml:space="preserve"> =</t>
    </r>
    <phoneticPr fontId="28" type="noConversion"/>
  </si>
  <si>
    <r>
      <t>C</t>
    </r>
    <r>
      <rPr>
        <vertAlign val="subscript"/>
        <sz val="11"/>
        <color theme="1"/>
        <rFont val="Arial"/>
        <family val="2"/>
      </rPr>
      <t xml:space="preserve">CS_act </t>
    </r>
    <r>
      <rPr>
        <sz val="11"/>
        <color theme="1"/>
        <rFont val="Arial"/>
        <family val="2"/>
      </rPr>
      <t>=</t>
    </r>
    <phoneticPr fontId="28" type="noConversion"/>
  </si>
  <si>
    <t>RDM Pin Setting</t>
    <phoneticPr fontId="28" type="noConversion"/>
  </si>
  <si>
    <t>RTZ Pin Setting</t>
    <phoneticPr fontId="28" type="noConversion"/>
  </si>
  <si>
    <t>Clamp Capacitance</t>
    <phoneticPr fontId="28" type="noConversion"/>
  </si>
  <si>
    <t>ns</t>
    <phoneticPr fontId="28" type="noConversion"/>
  </si>
  <si>
    <t>BUR Pin Setting</t>
    <phoneticPr fontId="28" type="noConversion"/>
  </si>
  <si>
    <t>V</t>
    <phoneticPr fontId="28" type="noConversion"/>
  </si>
  <si>
    <t>Damping Network for Depletion FET</t>
    <phoneticPr fontId="28" type="noConversion"/>
  </si>
  <si>
    <t>pF</t>
    <phoneticPr fontId="28" type="noConversion"/>
  </si>
  <si>
    <t>Decoupling Cap of Internal Regulator</t>
    <phoneticPr fontId="28" type="noConversion"/>
  </si>
  <si>
    <t>nF</t>
    <phoneticPr fontId="28" type="noConversion"/>
  </si>
  <si>
    <t>nF</t>
    <phoneticPr fontId="28" type="noConversion"/>
  </si>
  <si>
    <t>µF</t>
  </si>
  <si>
    <t>VDD Supply for Driver</t>
    <phoneticPr fontId="28" type="noConversion"/>
  </si>
  <si>
    <t>AUX Power on Primary Side</t>
    <phoneticPr fontId="28" type="noConversion"/>
  </si>
  <si>
    <t>ms</t>
    <phoneticPr fontId="28" type="noConversion"/>
  </si>
  <si>
    <t>mA</t>
    <phoneticPr fontId="28" type="noConversion"/>
  </si>
  <si>
    <t>mA</t>
    <phoneticPr fontId="28" type="noConversion"/>
  </si>
  <si>
    <t>Optocoupler Feedback</t>
    <phoneticPr fontId="28" type="noConversion"/>
  </si>
  <si>
    <t>Ω</t>
    <phoneticPr fontId="28" type="noConversion"/>
  </si>
  <si>
    <t>Rbias2 to supply shunt regulator when opto-coupler is cut off</t>
    <phoneticPr fontId="28" type="noConversion"/>
  </si>
  <si>
    <t>nC</t>
    <phoneticPr fontId="28" type="noConversion"/>
  </si>
  <si>
    <t>V</t>
    <phoneticPr fontId="28" type="noConversion"/>
  </si>
  <si>
    <t>nA</t>
    <phoneticPr fontId="28" type="noConversion"/>
  </si>
  <si>
    <t>kΩ</t>
    <phoneticPr fontId="28" type="noConversion"/>
  </si>
  <si>
    <t>nF</t>
    <phoneticPr fontId="28" type="noConversion"/>
  </si>
  <si>
    <t>nF</t>
    <phoneticPr fontId="28" type="noConversion"/>
  </si>
  <si>
    <t>kΩ</t>
    <phoneticPr fontId="28" type="noConversion"/>
  </si>
  <si>
    <t>MΩ</t>
    <phoneticPr fontId="28" type="noConversion"/>
  </si>
  <si>
    <r>
      <t>Switching Node Capacitance, C</t>
    </r>
    <r>
      <rPr>
        <b/>
        <i/>
        <vertAlign val="subscript"/>
        <sz val="12"/>
        <color theme="0"/>
        <rFont val="Arial"/>
        <family val="2"/>
      </rPr>
      <t>SW</t>
    </r>
    <phoneticPr fontId="28" type="noConversion"/>
  </si>
  <si>
    <t>Reference Designator</t>
  </si>
  <si>
    <t>Description/Comments</t>
  </si>
  <si>
    <r>
      <t>R</t>
    </r>
    <r>
      <rPr>
        <b/>
        <vertAlign val="subscript"/>
        <sz val="12"/>
        <color rgb="FFFF0000"/>
        <rFont val="Arial"/>
        <family val="2"/>
      </rPr>
      <t>CS</t>
    </r>
  </si>
  <si>
    <t>Value:</t>
  </si>
  <si>
    <t>±1%</t>
  </si>
  <si>
    <t>Type:</t>
  </si>
  <si>
    <t>kΩ</t>
  </si>
  <si>
    <r>
      <t>R</t>
    </r>
    <r>
      <rPr>
        <b/>
        <vertAlign val="subscript"/>
        <sz val="12"/>
        <color rgb="FFFF0000"/>
        <rFont val="Arial"/>
        <family val="2"/>
      </rPr>
      <t>FB</t>
    </r>
    <phoneticPr fontId="28" type="noConversion"/>
  </si>
  <si>
    <r>
      <t>M</t>
    </r>
    <r>
      <rPr>
        <sz val="12"/>
        <color theme="1"/>
        <rFont val="Calibri"/>
        <family val="2"/>
      </rPr>
      <t>Ω</t>
    </r>
    <phoneticPr fontId="28" type="noConversion"/>
  </si>
  <si>
    <r>
      <t>R</t>
    </r>
    <r>
      <rPr>
        <b/>
        <vertAlign val="subscript"/>
        <sz val="12"/>
        <color rgb="FFFF0000"/>
        <rFont val="Arial"/>
        <family val="2"/>
      </rPr>
      <t>VS1</t>
    </r>
    <phoneticPr fontId="28" type="noConversion"/>
  </si>
  <si>
    <r>
      <t>R</t>
    </r>
    <r>
      <rPr>
        <b/>
        <vertAlign val="subscript"/>
        <sz val="12"/>
        <color rgb="FFFF0000"/>
        <rFont val="Arial"/>
        <family val="2"/>
      </rPr>
      <t>VS2</t>
    </r>
    <phoneticPr fontId="28" type="noConversion"/>
  </si>
  <si>
    <r>
      <t>R</t>
    </r>
    <r>
      <rPr>
        <b/>
        <vertAlign val="subscript"/>
        <sz val="12"/>
        <color rgb="FFFF0000"/>
        <rFont val="Arial"/>
        <family val="2"/>
      </rPr>
      <t>OPP</t>
    </r>
    <phoneticPr fontId="28" type="noConversion"/>
  </si>
  <si>
    <r>
      <t>R</t>
    </r>
    <r>
      <rPr>
        <b/>
        <vertAlign val="subscript"/>
        <sz val="12"/>
        <color rgb="FFFF0000"/>
        <rFont val="Arial"/>
        <family val="2"/>
      </rPr>
      <t>DM</t>
    </r>
    <phoneticPr fontId="28" type="noConversion"/>
  </si>
  <si>
    <r>
      <t>R</t>
    </r>
    <r>
      <rPr>
        <b/>
        <vertAlign val="subscript"/>
        <sz val="12"/>
        <color rgb="FFFF0000"/>
        <rFont val="Arial"/>
        <family val="2"/>
      </rPr>
      <t>TZ</t>
    </r>
    <phoneticPr fontId="28" type="noConversion"/>
  </si>
  <si>
    <r>
      <t>R</t>
    </r>
    <r>
      <rPr>
        <b/>
        <vertAlign val="subscript"/>
        <sz val="12"/>
        <color rgb="FFFF0000"/>
        <rFont val="Arial"/>
        <family val="2"/>
      </rPr>
      <t>BUR1</t>
    </r>
    <phoneticPr fontId="28" type="noConversion"/>
  </si>
  <si>
    <r>
      <t>R</t>
    </r>
    <r>
      <rPr>
        <b/>
        <vertAlign val="subscript"/>
        <sz val="12"/>
        <color rgb="FFFF0000"/>
        <rFont val="Arial"/>
        <family val="2"/>
      </rPr>
      <t>BUR2</t>
    </r>
    <phoneticPr fontId="28" type="noConversion"/>
  </si>
  <si>
    <r>
      <t>R</t>
    </r>
    <r>
      <rPr>
        <b/>
        <vertAlign val="subscript"/>
        <sz val="12"/>
        <color rgb="FFFF0000"/>
        <rFont val="Arial"/>
        <family val="2"/>
      </rPr>
      <t>SWS</t>
    </r>
    <phoneticPr fontId="28" type="noConversion"/>
  </si>
  <si>
    <r>
      <t>R</t>
    </r>
    <r>
      <rPr>
        <b/>
        <vertAlign val="subscript"/>
        <sz val="12"/>
        <color rgb="FFFF0000"/>
        <rFont val="Arial"/>
        <family val="2"/>
      </rPr>
      <t>HVG</t>
    </r>
    <phoneticPr fontId="28" type="noConversion"/>
  </si>
  <si>
    <r>
      <t>R</t>
    </r>
    <r>
      <rPr>
        <b/>
        <vertAlign val="subscript"/>
        <sz val="12"/>
        <color rgb="FFFF0000"/>
        <rFont val="Arial"/>
        <family val="2"/>
      </rPr>
      <t>DD2</t>
    </r>
    <phoneticPr fontId="28" type="noConversion"/>
  </si>
  <si>
    <r>
      <t>R</t>
    </r>
    <r>
      <rPr>
        <b/>
        <vertAlign val="subscript"/>
        <sz val="12"/>
        <color rgb="FFFF0000"/>
        <rFont val="Arial"/>
        <family val="2"/>
      </rPr>
      <t>DD1</t>
    </r>
    <phoneticPr fontId="28" type="noConversion"/>
  </si>
  <si>
    <r>
      <t>R</t>
    </r>
    <r>
      <rPr>
        <b/>
        <vertAlign val="subscript"/>
        <sz val="12"/>
        <color rgb="FFFF0000"/>
        <rFont val="Arial"/>
        <family val="2"/>
      </rPr>
      <t>Vo1</t>
    </r>
    <phoneticPr fontId="28" type="noConversion"/>
  </si>
  <si>
    <r>
      <t>R</t>
    </r>
    <r>
      <rPr>
        <b/>
        <vertAlign val="subscript"/>
        <sz val="12"/>
        <color rgb="FFFF0000"/>
        <rFont val="Arial"/>
        <family val="2"/>
      </rPr>
      <t>Vo2</t>
    </r>
    <phoneticPr fontId="28" type="noConversion"/>
  </si>
  <si>
    <t>Aluminum Electrolytic</t>
  </si>
  <si>
    <t>Minimum Voltage Rating:</t>
  </si>
  <si>
    <r>
      <t>C</t>
    </r>
    <r>
      <rPr>
        <b/>
        <vertAlign val="subscript"/>
        <sz val="12"/>
        <color rgb="FFFF0000"/>
        <rFont val="Arial"/>
        <family val="2"/>
      </rPr>
      <t>BULK</t>
    </r>
    <phoneticPr fontId="28" type="noConversion"/>
  </si>
  <si>
    <t>Ceramic</t>
    <phoneticPr fontId="28" type="noConversion"/>
  </si>
  <si>
    <r>
      <t>C</t>
    </r>
    <r>
      <rPr>
        <b/>
        <vertAlign val="subscript"/>
        <sz val="12"/>
        <color rgb="FFFF0000"/>
        <rFont val="Arial"/>
        <family val="2"/>
      </rPr>
      <t>CS</t>
    </r>
    <phoneticPr fontId="28" type="noConversion"/>
  </si>
  <si>
    <t>pF</t>
    <phoneticPr fontId="28" type="noConversion"/>
  </si>
  <si>
    <r>
      <t>C</t>
    </r>
    <r>
      <rPr>
        <b/>
        <vertAlign val="subscript"/>
        <sz val="12"/>
        <color rgb="FFFF0000"/>
        <rFont val="Arial"/>
        <family val="2"/>
      </rPr>
      <t>SWS</t>
    </r>
    <phoneticPr fontId="28" type="noConversion"/>
  </si>
  <si>
    <r>
      <t>C</t>
    </r>
    <r>
      <rPr>
        <b/>
        <vertAlign val="subscript"/>
        <sz val="12"/>
        <color rgb="FFFF0000"/>
        <rFont val="Arial"/>
        <family val="2"/>
      </rPr>
      <t>HVG</t>
    </r>
    <phoneticPr fontId="28" type="noConversion"/>
  </si>
  <si>
    <r>
      <t>C</t>
    </r>
    <r>
      <rPr>
        <b/>
        <vertAlign val="subscript"/>
        <sz val="12"/>
        <color rgb="FFFF0000"/>
        <rFont val="Arial"/>
        <family val="2"/>
      </rPr>
      <t>REF</t>
    </r>
    <phoneticPr fontId="28" type="noConversion"/>
  </si>
  <si>
    <r>
      <t>C</t>
    </r>
    <r>
      <rPr>
        <b/>
        <vertAlign val="subscript"/>
        <sz val="12"/>
        <color rgb="FFFF0000"/>
        <rFont val="Arial"/>
        <family val="2"/>
      </rPr>
      <t>DD2</t>
    </r>
    <phoneticPr fontId="28" type="noConversion"/>
  </si>
  <si>
    <r>
      <t>C</t>
    </r>
    <r>
      <rPr>
        <b/>
        <vertAlign val="subscript"/>
        <sz val="12"/>
        <color rgb="FFFF0000"/>
        <rFont val="Arial"/>
        <family val="2"/>
      </rPr>
      <t>DD1</t>
    </r>
    <phoneticPr fontId="28" type="noConversion"/>
  </si>
  <si>
    <t>Primary Inductance:</t>
  </si>
  <si>
    <t>Primary to Secondary Turns Ratio:</t>
  </si>
  <si>
    <t>Primary Turns:</t>
    <phoneticPr fontId="28" type="noConversion"/>
  </si>
  <si>
    <t>Secondary Turns:</t>
    <phoneticPr fontId="28" type="noConversion"/>
  </si>
  <si>
    <t>Auxiliary Turns:</t>
    <phoneticPr fontId="28" type="noConversion"/>
  </si>
  <si>
    <t>Leakage Inductance</t>
    <phoneticPr fontId="28" type="noConversion"/>
  </si>
  <si>
    <t>TI Literature Number:</t>
    <phoneticPr fontId="28" type="noConversion"/>
  </si>
  <si>
    <t>kΩ</t>
    <phoneticPr fontId="28" type="noConversion"/>
  </si>
  <si>
    <t>pF</t>
    <phoneticPr fontId="28" type="noConversion"/>
  </si>
  <si>
    <t>pF</t>
    <phoneticPr fontId="28" type="noConversion"/>
  </si>
  <si>
    <r>
      <t>C</t>
    </r>
    <r>
      <rPr>
        <b/>
        <vertAlign val="subscript"/>
        <sz val="12"/>
        <color rgb="FFFF0000"/>
        <rFont val="Arial"/>
        <family val="2"/>
      </rPr>
      <t>BUR</t>
    </r>
    <phoneticPr fontId="28" type="noConversion"/>
  </si>
  <si>
    <t>Disclaimer</t>
    <phoneticPr fontId="28" type="noConversion"/>
  </si>
  <si>
    <t>pF</t>
    <phoneticPr fontId="28" type="noConversion"/>
  </si>
  <si>
    <t>Hz</t>
    <phoneticPr fontId="28" type="noConversion"/>
  </si>
  <si>
    <t>A</t>
    <phoneticPr fontId="28" type="noConversion"/>
  </si>
  <si>
    <t>pF</t>
    <phoneticPr fontId="28" type="noConversion"/>
  </si>
  <si>
    <t>kΩ</t>
    <phoneticPr fontId="28" type="noConversion"/>
  </si>
  <si>
    <r>
      <t>C</t>
    </r>
    <r>
      <rPr>
        <vertAlign val="subscript"/>
        <sz val="11"/>
        <color theme="1"/>
        <rFont val="Arial"/>
        <family val="2"/>
      </rPr>
      <t xml:space="preserve">CS_max </t>
    </r>
    <r>
      <rPr>
        <sz val="11"/>
        <color theme="1"/>
        <rFont val="Arial"/>
        <family val="2"/>
      </rPr>
      <t>=</t>
    </r>
    <phoneticPr fontId="28" type="noConversion"/>
  </si>
  <si>
    <t>µF</t>
    <phoneticPr fontId="28" type="noConversion"/>
  </si>
  <si>
    <r>
      <t>R</t>
    </r>
    <r>
      <rPr>
        <vertAlign val="subscript"/>
        <sz val="11"/>
        <color theme="1"/>
        <rFont val="Arial"/>
        <family val="2"/>
      </rPr>
      <t>_OPP</t>
    </r>
    <r>
      <rPr>
        <sz val="11"/>
        <color theme="1"/>
        <rFont val="Arial"/>
        <family val="2"/>
      </rPr>
      <t xml:space="preserve"> =</t>
    </r>
    <phoneticPr fontId="28" type="noConversion"/>
  </si>
  <si>
    <t>20% tolerance</t>
    <phoneticPr fontId="28" type="noConversion"/>
  </si>
  <si>
    <t>ns</t>
    <phoneticPr fontId="28" type="noConversion"/>
  </si>
  <si>
    <r>
      <t>C</t>
    </r>
    <r>
      <rPr>
        <b/>
        <vertAlign val="subscript"/>
        <sz val="12"/>
        <color rgb="FFFF0000"/>
        <rFont val="Arial"/>
        <family val="2"/>
      </rPr>
      <t>FB</t>
    </r>
    <phoneticPr fontId="28" type="noConversion"/>
  </si>
  <si>
    <t>%</t>
    <phoneticPr fontId="28" type="noConversion"/>
  </si>
  <si>
    <t>µH</t>
    <phoneticPr fontId="28" type="noConversion"/>
  </si>
  <si>
    <t>AC</t>
    <phoneticPr fontId="28" type="noConversion"/>
  </si>
  <si>
    <t>V</t>
    <phoneticPr fontId="28" type="noConversion"/>
  </si>
  <si>
    <t>pF</t>
    <phoneticPr fontId="28" type="noConversion"/>
  </si>
  <si>
    <t>Maximum Bias-Supply Operating Voltage</t>
    <phoneticPr fontId="28" type="noConversion"/>
  </si>
  <si>
    <t>Offset to Power Cycle for Long Output Voltage Overshoot</t>
    <phoneticPr fontId="28" type="noConversion"/>
  </si>
  <si>
    <t>Propagation Delay of CS Comparator High to PWML Low</t>
    <phoneticPr fontId="28" type="noConversion"/>
  </si>
  <si>
    <t>HVG Voltage Level</t>
    <phoneticPr fontId="28" type="noConversion"/>
  </si>
  <si>
    <t>Primary Turns</t>
    <phoneticPr fontId="28" type="noConversion"/>
  </si>
  <si>
    <t>Magnetizing Inductance Used in Calculations</t>
    <phoneticPr fontId="28" type="noConversion"/>
  </si>
  <si>
    <t>Transformer Parasitic Capacitance</t>
    <phoneticPr fontId="28" type="noConversion"/>
  </si>
  <si>
    <t>Depletion FET Output Capacitance</t>
    <phoneticPr fontId="28" type="noConversion"/>
  </si>
  <si>
    <r>
      <rPr>
        <b/>
        <sz val="11"/>
        <color theme="1"/>
        <rFont val="Arial"/>
        <family val="2"/>
      </rPr>
      <t>Recommended</t>
    </r>
    <r>
      <rPr>
        <sz val="11"/>
        <color theme="1"/>
        <rFont val="Arial"/>
        <family val="2"/>
      </rPr>
      <t xml:space="preserve"> R</t>
    </r>
    <r>
      <rPr>
        <vertAlign val="subscript"/>
        <sz val="11"/>
        <color theme="1"/>
        <rFont val="Arial"/>
        <family val="2"/>
      </rPr>
      <t>VS1</t>
    </r>
    <r>
      <rPr>
        <sz val="11"/>
        <color theme="1"/>
        <rFont val="Arial"/>
        <family val="2"/>
      </rPr>
      <t/>
    </r>
    <phoneticPr fontId="28" type="noConversion"/>
  </si>
  <si>
    <r>
      <rPr>
        <b/>
        <sz val="11"/>
        <color theme="1"/>
        <rFont val="Arial"/>
        <family val="2"/>
      </rPr>
      <t xml:space="preserve">Actual </t>
    </r>
    <r>
      <rPr>
        <sz val="11"/>
        <color theme="1"/>
        <rFont val="Arial"/>
        <family val="2"/>
      </rPr>
      <t>R</t>
    </r>
    <r>
      <rPr>
        <vertAlign val="subscript"/>
        <sz val="11"/>
        <color theme="1"/>
        <rFont val="Arial"/>
        <family val="2"/>
      </rPr>
      <t>VS1</t>
    </r>
    <phoneticPr fontId="28" type="noConversion"/>
  </si>
  <si>
    <r>
      <t>R</t>
    </r>
    <r>
      <rPr>
        <vertAlign val="subscript"/>
        <sz val="11"/>
        <color theme="1"/>
        <rFont val="Arial"/>
        <family val="2"/>
      </rPr>
      <t>VS1</t>
    </r>
    <r>
      <rPr>
        <sz val="11"/>
        <color theme="1"/>
        <rFont val="Arial"/>
        <family val="2"/>
      </rPr>
      <t xml:space="preserve"> Used in Calculations</t>
    </r>
    <phoneticPr fontId="28" type="noConversion"/>
  </si>
  <si>
    <r>
      <rPr>
        <b/>
        <sz val="11"/>
        <color theme="1"/>
        <rFont val="Arial"/>
        <family val="2"/>
      </rPr>
      <t>Recommended</t>
    </r>
    <r>
      <rPr>
        <sz val="11"/>
        <color theme="1"/>
        <rFont val="Arial"/>
        <family val="2"/>
      </rPr>
      <t xml:space="preserve"> R</t>
    </r>
    <r>
      <rPr>
        <vertAlign val="subscript"/>
        <sz val="11"/>
        <color theme="1"/>
        <rFont val="Arial"/>
        <family val="2"/>
      </rPr>
      <t>VS2</t>
    </r>
    <r>
      <rPr>
        <sz val="11"/>
        <color theme="1"/>
        <rFont val="Arial"/>
        <family val="2"/>
      </rPr>
      <t/>
    </r>
    <phoneticPr fontId="28" type="noConversion"/>
  </si>
  <si>
    <r>
      <rPr>
        <b/>
        <sz val="11"/>
        <color theme="1"/>
        <rFont val="Arial"/>
        <family val="2"/>
      </rPr>
      <t>Actual</t>
    </r>
    <r>
      <rPr>
        <sz val="11"/>
        <color theme="1"/>
        <rFont val="Arial"/>
        <family val="2"/>
      </rPr>
      <t xml:space="preserve"> R</t>
    </r>
    <r>
      <rPr>
        <vertAlign val="subscript"/>
        <sz val="11"/>
        <color theme="1"/>
        <rFont val="Arial"/>
        <family val="2"/>
      </rPr>
      <t>VS2</t>
    </r>
    <r>
      <rPr>
        <sz val="11"/>
        <color theme="1"/>
        <rFont val="Arial"/>
        <family val="2"/>
      </rPr>
      <t/>
    </r>
    <phoneticPr fontId="28" type="noConversion"/>
  </si>
  <si>
    <r>
      <rPr>
        <b/>
        <sz val="11"/>
        <color theme="1"/>
        <rFont val="Arial"/>
        <family val="2"/>
      </rPr>
      <t>Recommended</t>
    </r>
    <r>
      <rPr>
        <sz val="11"/>
        <color theme="1"/>
        <rFont val="Arial"/>
        <family val="2"/>
      </rPr>
      <t xml:space="preserve"> OPP Resistor</t>
    </r>
    <phoneticPr fontId="28" type="noConversion"/>
  </si>
  <si>
    <r>
      <rPr>
        <b/>
        <sz val="11"/>
        <color theme="1"/>
        <rFont val="Arial"/>
        <family val="2"/>
      </rPr>
      <t>Actual</t>
    </r>
    <r>
      <rPr>
        <sz val="11"/>
        <color theme="1"/>
        <rFont val="Arial"/>
        <family val="2"/>
      </rPr>
      <t xml:space="preserve"> OPP Resistor</t>
    </r>
    <phoneticPr fontId="28" type="noConversion"/>
  </si>
  <si>
    <t>OPP Resistor Used in Calculations</t>
    <phoneticPr fontId="28" type="noConversion"/>
  </si>
  <si>
    <t>Transition Time for ZVS</t>
    <phoneticPr fontId="28" type="noConversion"/>
  </si>
  <si>
    <t>RTZ Resistor Used in Calculations</t>
    <phoneticPr fontId="28" type="noConversion"/>
  </si>
  <si>
    <t>Capacitance Used in Calculations</t>
    <phoneticPr fontId="28" type="noConversion"/>
  </si>
  <si>
    <t>Resistor Used in Calculations</t>
    <phoneticPr fontId="28" type="noConversion"/>
  </si>
  <si>
    <t>Boot Capacitance Used in Calculations</t>
    <phoneticPr fontId="28" type="noConversion"/>
  </si>
  <si>
    <t>Typical Output Voltage</t>
    <phoneticPr fontId="28" type="noConversion"/>
  </si>
  <si>
    <t>%</t>
    <phoneticPr fontId="28" type="noConversion"/>
  </si>
  <si>
    <r>
      <t>C</t>
    </r>
    <r>
      <rPr>
        <vertAlign val="subscript"/>
        <sz val="11"/>
        <color theme="1"/>
        <rFont val="Arial"/>
        <family val="2"/>
      </rPr>
      <t xml:space="preserve">CS </t>
    </r>
    <r>
      <rPr>
        <sz val="11"/>
        <color theme="1"/>
        <rFont val="Arial"/>
        <family val="2"/>
      </rPr>
      <t>=</t>
    </r>
    <phoneticPr fontId="28" type="noConversion"/>
  </si>
  <si>
    <t>pF</t>
    <phoneticPr fontId="28" type="noConversion"/>
  </si>
  <si>
    <r>
      <t>T</t>
    </r>
    <r>
      <rPr>
        <vertAlign val="subscript"/>
        <sz val="11"/>
        <color theme="1"/>
        <rFont val="Arial"/>
        <family val="2"/>
      </rPr>
      <t>D_CS_filter_act</t>
    </r>
    <r>
      <rPr>
        <sz val="11"/>
        <color theme="1"/>
        <rFont val="Arial"/>
        <family val="2"/>
      </rPr>
      <t xml:space="preserve"> =</t>
    </r>
    <phoneticPr fontId="28" type="noConversion"/>
  </si>
  <si>
    <t>ns</t>
    <phoneticPr fontId="28" type="noConversion"/>
  </si>
  <si>
    <r>
      <t>L</t>
    </r>
    <r>
      <rPr>
        <vertAlign val="subscript"/>
        <sz val="11"/>
        <color theme="1"/>
        <rFont val="Arial"/>
        <family val="2"/>
      </rPr>
      <t>DAMP</t>
    </r>
    <r>
      <rPr>
        <sz val="11"/>
        <color theme="1"/>
        <rFont val="Arial"/>
        <family val="2"/>
      </rPr>
      <t xml:space="preserve"> no smaller than</t>
    </r>
    <phoneticPr fontId="28" type="noConversion"/>
  </si>
  <si>
    <t>V</t>
    <phoneticPr fontId="28" type="noConversion"/>
  </si>
  <si>
    <t>µF</t>
    <phoneticPr fontId="28" type="noConversion"/>
  </si>
  <si>
    <t>Ω</t>
    <phoneticPr fontId="28" type="noConversion"/>
  </si>
  <si>
    <r>
      <t>R</t>
    </r>
    <r>
      <rPr>
        <b/>
        <vertAlign val="subscript"/>
        <sz val="12"/>
        <color rgb="FFFF0000"/>
        <rFont val="Arial"/>
        <family val="2"/>
      </rPr>
      <t>COMP</t>
    </r>
    <phoneticPr fontId="28" type="noConversion"/>
  </si>
  <si>
    <t>MΩ</t>
    <phoneticPr fontId="28" type="noConversion"/>
  </si>
  <si>
    <r>
      <t>Reduce R</t>
    </r>
    <r>
      <rPr>
        <vertAlign val="subscript"/>
        <sz val="11"/>
        <color theme="1"/>
        <rFont val="Arial"/>
        <family val="2"/>
      </rPr>
      <t>COMP</t>
    </r>
    <r>
      <rPr>
        <sz val="11"/>
        <color theme="1"/>
        <rFont val="Arial"/>
        <family val="2"/>
      </rPr>
      <t xml:space="preserve"> ==&gt; Larger I</t>
    </r>
    <r>
      <rPr>
        <vertAlign val="subscript"/>
        <sz val="11"/>
        <color theme="1"/>
        <rFont val="Arial"/>
        <family val="2"/>
      </rPr>
      <t>COMP</t>
    </r>
    <r>
      <rPr>
        <sz val="11"/>
        <color theme="1"/>
        <rFont val="Arial"/>
        <family val="2"/>
      </rPr>
      <t xml:space="preserve"> ==&gt; More stable ABM mode</t>
    </r>
    <phoneticPr fontId="28" type="noConversion"/>
  </si>
  <si>
    <t>%</t>
    <phoneticPr fontId="28" type="noConversion"/>
  </si>
  <si>
    <t>V</t>
    <phoneticPr fontId="28" type="noConversion"/>
  </si>
  <si>
    <t>Minimum Recommended Secondary Turns</t>
    <phoneticPr fontId="28" type="noConversion"/>
  </si>
  <si>
    <t>V</t>
    <phoneticPr fontId="28" type="noConversion"/>
  </si>
  <si>
    <t>DC</t>
  </si>
  <si>
    <t>ns</t>
    <phoneticPr fontId="29" type="noConversion"/>
  </si>
  <si>
    <t>ds specs</t>
  </si>
  <si>
    <t>V</t>
    <phoneticPr fontId="29" type="noConversion"/>
  </si>
  <si>
    <t>A/A</t>
  </si>
  <si>
    <t>V/V</t>
  </si>
  <si>
    <t>V</t>
    <phoneticPr fontId="29" type="noConversion"/>
  </si>
  <si>
    <t>mA</t>
    <phoneticPr fontId="29" type="noConversion"/>
  </si>
  <si>
    <t>µs</t>
  </si>
  <si>
    <t>mA</t>
    <phoneticPr fontId="29" type="noConversion"/>
  </si>
  <si>
    <t>µA</t>
    <phoneticPr fontId="29" type="noConversion"/>
  </si>
  <si>
    <t>mV</t>
    <phoneticPr fontId="29" type="noConversion"/>
  </si>
  <si>
    <t>kHz</t>
    <phoneticPr fontId="29" type="noConversion"/>
  </si>
  <si>
    <t>kHz</t>
    <phoneticPr fontId="29" type="noConversion"/>
  </si>
  <si>
    <t>s</t>
    <phoneticPr fontId="29" type="noConversion"/>
  </si>
  <si>
    <t>UCC28780 ACTIVE-CLAMP FLYBACK DESIGN CALCULATOR</t>
  </si>
  <si>
    <t>ATL431</t>
  </si>
  <si>
    <t>at  80°C ambient</t>
  </si>
  <si>
    <t>FODM8801A</t>
  </si>
  <si>
    <t>Target frequency at maximum load, minimum line</t>
  </si>
  <si>
    <t xml:space="preserve">nA             </t>
  </si>
  <si>
    <t>Input Voltage Type, AC or DC</t>
  </si>
  <si>
    <t>INPUT  SPECIFICATIONS</t>
  </si>
  <si>
    <t>BSC160N15NS5</t>
  </si>
  <si>
    <t>CDSOD323-T18</t>
  </si>
  <si>
    <t>BSS126</t>
  </si>
  <si>
    <t>CSFMT108-HF</t>
  </si>
  <si>
    <t>Voltage at which diode current is negligible</t>
  </si>
  <si>
    <t>µA</t>
  </si>
  <si>
    <t>Auxillary to Secondary Turns Ratio:</t>
  </si>
  <si>
    <t>kΩ</t>
  </si>
  <si>
    <t>Ω</t>
  </si>
  <si>
    <t>Voltage Above Reflected Output Voltage</t>
  </si>
  <si>
    <r>
      <t>N</t>
    </r>
    <r>
      <rPr>
        <vertAlign val="subscript"/>
        <sz val="12"/>
        <rFont val="Arial"/>
        <family val="2"/>
      </rPr>
      <t>PS_min</t>
    </r>
    <r>
      <rPr>
        <sz val="12"/>
        <rFont val="Arial"/>
        <family val="2"/>
      </rPr>
      <t xml:space="preserve"> =</t>
    </r>
  </si>
  <si>
    <r>
      <t>N</t>
    </r>
    <r>
      <rPr>
        <vertAlign val="subscript"/>
        <sz val="12"/>
        <rFont val="Arial"/>
        <family val="2"/>
      </rPr>
      <t>PS_max</t>
    </r>
    <r>
      <rPr>
        <sz val="12"/>
        <rFont val="Arial"/>
        <family val="2"/>
      </rPr>
      <t xml:space="preserve"> =</t>
    </r>
  </si>
  <si>
    <t>Select the primary turns target</t>
  </si>
  <si>
    <t>Turns</t>
  </si>
  <si>
    <t xml:space="preserve">Turns </t>
  </si>
  <si>
    <t xml:space="preserve">kΩ                </t>
  </si>
  <si>
    <r>
      <t>N</t>
    </r>
    <r>
      <rPr>
        <vertAlign val="subscript"/>
        <sz val="11"/>
        <rFont val="Arial"/>
        <family val="2"/>
      </rPr>
      <t xml:space="preserve">PS </t>
    </r>
    <r>
      <rPr>
        <sz val="11"/>
        <rFont val="Arial"/>
        <family val="2"/>
      </rPr>
      <t>=</t>
    </r>
  </si>
  <si>
    <r>
      <t>N</t>
    </r>
    <r>
      <rPr>
        <vertAlign val="subscript"/>
        <sz val="11"/>
        <rFont val="Arial"/>
        <family val="2"/>
      </rPr>
      <t>P</t>
    </r>
    <r>
      <rPr>
        <sz val="11"/>
        <rFont val="Arial"/>
        <family val="2"/>
      </rPr>
      <t xml:space="preserve"> =</t>
    </r>
  </si>
  <si>
    <r>
      <t>N</t>
    </r>
    <r>
      <rPr>
        <vertAlign val="subscript"/>
        <sz val="11"/>
        <rFont val="Arial"/>
        <family val="2"/>
      </rPr>
      <t>S_rec</t>
    </r>
    <r>
      <rPr>
        <sz val="11"/>
        <rFont val="Arial"/>
        <family val="2"/>
      </rPr>
      <t xml:space="preserve"> =</t>
    </r>
  </si>
  <si>
    <r>
      <t>N</t>
    </r>
    <r>
      <rPr>
        <vertAlign val="subscript"/>
        <sz val="11"/>
        <rFont val="Arial"/>
        <family val="2"/>
      </rPr>
      <t>S</t>
    </r>
    <r>
      <rPr>
        <sz val="11"/>
        <rFont val="Arial"/>
        <family val="2"/>
      </rPr>
      <t xml:space="preserve"> =</t>
    </r>
  </si>
  <si>
    <r>
      <t>N</t>
    </r>
    <r>
      <rPr>
        <vertAlign val="subscript"/>
        <sz val="11"/>
        <rFont val="Arial"/>
        <family val="2"/>
      </rPr>
      <t>A_min</t>
    </r>
    <r>
      <rPr>
        <sz val="11"/>
        <rFont val="Arial"/>
        <family val="2"/>
      </rPr>
      <t xml:space="preserve"> =</t>
    </r>
  </si>
  <si>
    <r>
      <t>N</t>
    </r>
    <r>
      <rPr>
        <vertAlign val="subscript"/>
        <sz val="11"/>
        <rFont val="Arial"/>
        <family val="2"/>
      </rPr>
      <t>A_max</t>
    </r>
    <r>
      <rPr>
        <sz val="11"/>
        <rFont val="Arial"/>
        <family val="2"/>
      </rPr>
      <t xml:space="preserve"> =</t>
    </r>
  </si>
  <si>
    <t>Auxiliary Winding Turns Used in Calculations</t>
  </si>
  <si>
    <r>
      <t>N</t>
    </r>
    <r>
      <rPr>
        <vertAlign val="subscript"/>
        <sz val="11"/>
        <rFont val="Arial"/>
        <family val="2"/>
      </rPr>
      <t>A</t>
    </r>
    <r>
      <rPr>
        <sz val="11"/>
        <rFont val="Arial"/>
        <family val="2"/>
      </rPr>
      <t xml:space="preserve"> =</t>
    </r>
  </si>
  <si>
    <r>
      <rPr>
        <b/>
        <sz val="11"/>
        <rFont val="Arial"/>
        <family val="2"/>
      </rPr>
      <t>Actual</t>
    </r>
    <r>
      <rPr>
        <sz val="11"/>
        <rFont val="Arial"/>
        <family val="2"/>
      </rPr>
      <t xml:space="preserve"> Magnetizing Inductance </t>
    </r>
  </si>
  <si>
    <r>
      <t>L</t>
    </r>
    <r>
      <rPr>
        <vertAlign val="subscript"/>
        <sz val="11"/>
        <rFont val="Arial"/>
        <family val="2"/>
      </rPr>
      <t>M</t>
    </r>
    <r>
      <rPr>
        <sz val="11"/>
        <rFont val="Arial"/>
        <family val="2"/>
      </rPr>
      <t xml:space="preserve"> =</t>
    </r>
  </si>
  <si>
    <r>
      <t>C</t>
    </r>
    <r>
      <rPr>
        <vertAlign val="subscript"/>
        <sz val="11"/>
        <rFont val="Arial"/>
        <family val="2"/>
      </rPr>
      <t>Tr</t>
    </r>
    <r>
      <rPr>
        <sz val="11"/>
        <rFont val="Arial"/>
        <family val="2"/>
      </rPr>
      <t xml:space="preserve"> =</t>
    </r>
  </si>
  <si>
    <r>
      <t>R</t>
    </r>
    <r>
      <rPr>
        <vertAlign val="subscript"/>
        <sz val="11"/>
        <rFont val="Arial"/>
        <family val="2"/>
      </rPr>
      <t>pri_dc</t>
    </r>
    <r>
      <rPr>
        <sz val="11"/>
        <rFont val="Arial"/>
        <family val="2"/>
      </rPr>
      <t xml:space="preserve"> =</t>
    </r>
  </si>
  <si>
    <r>
      <t>N</t>
    </r>
    <r>
      <rPr>
        <vertAlign val="subscript"/>
        <sz val="12"/>
        <rFont val="Arial"/>
        <family val="2"/>
      </rPr>
      <t>PS</t>
    </r>
    <r>
      <rPr>
        <sz val="12"/>
        <color theme="1"/>
        <rFont val="Arial"/>
        <family val="2"/>
      </rPr>
      <t/>
    </r>
  </si>
  <si>
    <r>
      <t>N</t>
    </r>
    <r>
      <rPr>
        <vertAlign val="subscript"/>
        <sz val="12"/>
        <rFont val="Arial"/>
        <family val="2"/>
      </rPr>
      <t>P</t>
    </r>
  </si>
  <si>
    <r>
      <t>N</t>
    </r>
    <r>
      <rPr>
        <vertAlign val="subscript"/>
        <sz val="12"/>
        <rFont val="Arial"/>
        <family val="2"/>
      </rPr>
      <t>S</t>
    </r>
  </si>
  <si>
    <r>
      <t>N</t>
    </r>
    <r>
      <rPr>
        <vertAlign val="subscript"/>
        <sz val="12"/>
        <rFont val="Arial"/>
        <family val="2"/>
      </rPr>
      <t>A</t>
    </r>
  </si>
  <si>
    <r>
      <t>L</t>
    </r>
    <r>
      <rPr>
        <vertAlign val="subscript"/>
        <sz val="11"/>
        <rFont val="Arial"/>
        <family val="2"/>
      </rPr>
      <t>DAMP</t>
    </r>
    <r>
      <rPr>
        <sz val="11"/>
        <rFont val="Arial"/>
        <family val="2"/>
      </rPr>
      <t xml:space="preserve"> Used in Calculations</t>
    </r>
  </si>
  <si>
    <r>
      <t>R</t>
    </r>
    <r>
      <rPr>
        <vertAlign val="subscript"/>
        <sz val="11"/>
        <rFont val="Arial"/>
        <family val="2"/>
      </rPr>
      <t>DAMP</t>
    </r>
    <r>
      <rPr>
        <sz val="11"/>
        <rFont val="Arial"/>
        <family val="2"/>
      </rPr>
      <t xml:space="preserve"> Used in Calculations</t>
    </r>
  </si>
  <si>
    <t>C.   ARC Circuit</t>
  </si>
  <si>
    <r>
      <rPr>
        <b/>
        <sz val="12"/>
        <color rgb="FFFF0000"/>
        <rFont val="Calibri"/>
        <family val="2"/>
        <scheme val="minor"/>
      </rPr>
      <t>C. 1.  R</t>
    </r>
    <r>
      <rPr>
        <b/>
        <sz val="7"/>
        <color rgb="FFFF0000"/>
        <rFont val="Calibri"/>
        <family val="2"/>
        <scheme val="minor"/>
      </rPr>
      <t>COMP</t>
    </r>
    <r>
      <rPr>
        <b/>
        <sz val="12"/>
        <color rgb="FFFF0000"/>
        <rFont val="Calibri"/>
        <family val="2"/>
        <scheme val="minor"/>
      </rPr>
      <t xml:space="preserve"> Determination</t>
    </r>
  </si>
  <si>
    <t>TVS Clamping Diode For SWS</t>
  </si>
  <si>
    <t xml:space="preserve">Ω            </t>
  </si>
  <si>
    <t>RDM Pin Coefficient</t>
  </si>
  <si>
    <t>MΩ</t>
  </si>
  <si>
    <t>Values</t>
  </si>
  <si>
    <t xml:space="preserve">Units </t>
  </si>
  <si>
    <r>
      <t xml:space="preserve">All </t>
    </r>
    <r>
      <rPr>
        <b/>
        <sz val="14"/>
        <color theme="6" tint="-0.249977111117893"/>
        <rFont val="Arial"/>
        <family val="2"/>
      </rPr>
      <t>Green-Shaded</t>
    </r>
    <r>
      <rPr>
        <b/>
        <sz val="14"/>
        <color theme="1"/>
        <rFont val="Arial"/>
        <family val="2"/>
      </rPr>
      <t xml:space="preserve"> cells are USER INPUTS.</t>
    </r>
  </si>
  <si>
    <t>Target efficiency at maximum load, minimum line</t>
  </si>
  <si>
    <t>Power-level threshold to start OPP timer</t>
  </si>
  <si>
    <t>No-load frequency</t>
  </si>
  <si>
    <t>Input Cap and Output Cap Selection</t>
  </si>
  <si>
    <r>
      <t>Depletion-mode V</t>
    </r>
    <r>
      <rPr>
        <b/>
        <vertAlign val="subscript"/>
        <sz val="11"/>
        <color theme="0"/>
        <rFont val="Arial"/>
        <family val="2"/>
      </rPr>
      <t>SW</t>
    </r>
    <r>
      <rPr>
        <b/>
        <sz val="11"/>
        <color theme="0"/>
        <rFont val="Arial"/>
        <family val="2"/>
      </rPr>
      <t>-Sensing FET</t>
    </r>
  </si>
  <si>
    <t>UCC28780 Electrical Characteristics (from datasheet SLUSD12A)</t>
  </si>
  <si>
    <t>Typical VDD Turn-off Threshold</t>
  </si>
  <si>
    <t>VS Line-Sense Run Current</t>
  </si>
  <si>
    <t>VS Pin Over-Voltage Threshold</t>
  </si>
  <si>
    <t>VS Pin Negative-Clamp Level</t>
  </si>
  <si>
    <t>Line-Compensation Current Ratio</t>
  </si>
  <si>
    <t>HVG Sink-Current During Start-up</t>
  </si>
  <si>
    <t>Fault-Delay-Recovery Time</t>
  </si>
  <si>
    <t>Typical VDD Turn-on Threshold</t>
  </si>
  <si>
    <t>Transformer Parameters</t>
  </si>
  <si>
    <t>Minimum Primary-to-Secondary Turns Ratio</t>
  </si>
  <si>
    <t xml:space="preserve">Maximum Primary-to-Secondary Turns Ratio </t>
  </si>
  <si>
    <t>Primary-to-Secondary Turns Ratio Used in Calculations</t>
  </si>
  <si>
    <r>
      <rPr>
        <b/>
        <sz val="11"/>
        <rFont val="Arial"/>
        <family val="2"/>
      </rPr>
      <t>Minimum</t>
    </r>
    <r>
      <rPr>
        <sz val="11"/>
        <rFont val="Arial"/>
        <family val="2"/>
      </rPr>
      <t xml:space="preserve"> Auxiliary-Winding Turns</t>
    </r>
  </si>
  <si>
    <r>
      <rPr>
        <b/>
        <sz val="11"/>
        <rFont val="Arial"/>
        <family val="2"/>
      </rPr>
      <t>Maximum</t>
    </r>
    <r>
      <rPr>
        <sz val="11"/>
        <rFont val="Arial"/>
        <family val="2"/>
      </rPr>
      <t xml:space="preserve"> Auxiliary-Winding Turns</t>
    </r>
  </si>
  <si>
    <t>Maximum Duty-Cycle</t>
  </si>
  <si>
    <t>Time-Based Output Capacitance of QH</t>
  </si>
  <si>
    <t>Time-Based Output Capacitance of QL</t>
  </si>
  <si>
    <t>Multi-Level Burst-Mode Threshold Calculations for USB-PD Applications</t>
  </si>
  <si>
    <t>Ripple-Regulation in ABM</t>
  </si>
  <si>
    <t>Frequency Compensation Networks</t>
  </si>
  <si>
    <t>Voltage-Divider for Shunt Regulator</t>
  </si>
  <si>
    <t>ns</t>
  </si>
  <si>
    <t>Maximum Control FB Current (typ)</t>
  </si>
  <si>
    <t>VDD Supply Current, Wait-state</t>
  </si>
  <si>
    <t>Maximum Threshold on CS Pin</t>
  </si>
  <si>
    <t>Estimate spike voltage due to inductive ringing</t>
  </si>
  <si>
    <t>Lowest RMS or DC input  voltage, steady-state</t>
  </si>
  <si>
    <t>Highest RMS or DC input voltage, steady-state</t>
  </si>
  <si>
    <t>Burst threshold is normally set at high line</t>
  </si>
  <si>
    <t>Primary Half-Bridge MOSFET Switches, QL, QH</t>
  </si>
  <si>
    <t>Selected QH Part Number (for reference)</t>
  </si>
  <si>
    <t>Selected QL Part Number (for reference)</t>
  </si>
  <si>
    <t>Output Rectifier Part Number (for reference)</t>
  </si>
  <si>
    <t>Selected Part Number (for reference)</t>
  </si>
  <si>
    <t xml:space="preserve">pF  </t>
  </si>
  <si>
    <t>Select standard value including tolerance</t>
  </si>
  <si>
    <t>RMS or DC Brown-out voltage (result of Brown-in choice)</t>
  </si>
  <si>
    <t>at ~4V</t>
  </si>
  <si>
    <t>Secondary Rectifier, SR or Diode     (Synchronous Rectifier (SR) MOSFET assumed for highest efficiency.  Diode parameters may also be used.)</t>
  </si>
  <si>
    <t xml:space="preserve">At maximum voltage rating of rectifier </t>
  </si>
  <si>
    <t>For SR use 0V</t>
  </si>
  <si>
    <t>Pulsed current rating</t>
  </si>
  <si>
    <r>
      <t>WHERE APPLICABLE, A RECOMMENDED VALUE IS CALCULATED THAT WILL BE THE BEST CHOICE TO MEET THE GIVEN SPECIFICATION(S).  
IT IS IN THE BEST INTEREST OF THE USER TO SPECIFY A STANDARD VALUE AS CLOSE AS POSSIBLE TO THE RECOMMENDED</t>
    </r>
    <r>
      <rPr>
        <sz val="11"/>
        <color rgb="FFFF00FF"/>
        <rFont val="Arial"/>
        <family val="2"/>
      </rPr>
      <t xml:space="preserve"> </t>
    </r>
    <r>
      <rPr>
        <sz val="11"/>
        <rFont val="Arial"/>
        <family val="2"/>
      </rPr>
      <t>VALUE.  
FOR ACCURATE RESULTS, THE USER MUST ENTER THE ACTUAL VALUE USED INTO THE APPROPRIATE CELL.</t>
    </r>
  </si>
  <si>
    <t>VCC current of driver without switching</t>
  </si>
  <si>
    <t>Half-Bridge Gate Driver Part Number (for reference)</t>
  </si>
  <si>
    <t>Gate Driver (primary-side half-bridge driver specifications)</t>
  </si>
  <si>
    <t>Secondary Resonance and Active Ripple Compensation (ARC) Circuits</t>
  </si>
  <si>
    <r>
      <t>Assume C</t>
    </r>
    <r>
      <rPr>
        <b/>
        <vertAlign val="subscript"/>
        <sz val="11"/>
        <color theme="1"/>
        <rFont val="Arial"/>
        <family val="2"/>
      </rPr>
      <t>CLAMP</t>
    </r>
    <r>
      <rPr>
        <b/>
        <sz val="11"/>
        <color theme="1"/>
        <rFont val="Arial"/>
        <family val="2"/>
      </rPr>
      <t xml:space="preserve"> &gt;&gt; C</t>
    </r>
    <r>
      <rPr>
        <b/>
        <vertAlign val="subscript"/>
        <sz val="11"/>
        <color theme="1"/>
        <rFont val="Arial"/>
        <family val="2"/>
      </rPr>
      <t xml:space="preserve">O1 </t>
    </r>
    <r>
      <rPr>
        <b/>
        <sz val="11"/>
        <color theme="1"/>
        <rFont val="Arial"/>
        <family val="2"/>
      </rPr>
      <t>/ N</t>
    </r>
    <r>
      <rPr>
        <b/>
        <vertAlign val="subscript"/>
        <sz val="11"/>
        <color theme="1"/>
        <rFont val="Arial"/>
        <family val="2"/>
      </rPr>
      <t>PS</t>
    </r>
    <r>
      <rPr>
        <b/>
        <vertAlign val="superscript"/>
        <sz val="11"/>
        <color theme="1"/>
        <rFont val="Arial"/>
        <family val="2"/>
      </rPr>
      <t>2</t>
    </r>
    <r>
      <rPr>
        <b/>
        <sz val="11"/>
        <color theme="1"/>
        <rFont val="Arial"/>
        <family val="2"/>
      </rPr>
      <t>, and clamp voltage is constant</t>
    </r>
  </si>
  <si>
    <r>
      <t>Recommended C</t>
    </r>
    <r>
      <rPr>
        <vertAlign val="subscript"/>
        <sz val="11"/>
        <rFont val="Arial"/>
        <family val="2"/>
      </rPr>
      <t>O1</t>
    </r>
    <r>
      <rPr>
        <sz val="11"/>
        <rFont val="Arial"/>
        <family val="2"/>
      </rPr>
      <t xml:space="preserve">  </t>
    </r>
  </si>
  <si>
    <r>
      <t>C</t>
    </r>
    <r>
      <rPr>
        <vertAlign val="subscript"/>
        <sz val="11"/>
        <rFont val="Arial"/>
        <family val="2"/>
      </rPr>
      <t>O1</t>
    </r>
    <r>
      <rPr>
        <sz val="11"/>
        <rFont val="Arial"/>
        <family val="2"/>
      </rPr>
      <t xml:space="preserve"> Used in Calculation</t>
    </r>
  </si>
  <si>
    <r>
      <t>Higher Efficiency &lt;== Unstable V</t>
    </r>
    <r>
      <rPr>
        <vertAlign val="subscript"/>
        <sz val="11"/>
        <color theme="1"/>
        <rFont val="Arial"/>
        <family val="2"/>
      </rPr>
      <t xml:space="preserve">gs(SR) </t>
    </r>
    <r>
      <rPr>
        <sz val="11"/>
        <color theme="1"/>
        <rFont val="Arial"/>
        <family val="2"/>
      </rPr>
      <t>&lt;== Higher V</t>
    </r>
    <r>
      <rPr>
        <vertAlign val="subscript"/>
        <sz val="11"/>
        <color theme="1"/>
        <rFont val="Arial"/>
        <family val="2"/>
      </rPr>
      <t>Co1</t>
    </r>
    <r>
      <rPr>
        <sz val="11"/>
        <color theme="1"/>
        <rFont val="Arial"/>
        <family val="2"/>
      </rPr>
      <t xml:space="preserve"> ripple &lt;== Increase L</t>
    </r>
    <r>
      <rPr>
        <vertAlign val="subscript"/>
        <sz val="11"/>
        <color theme="1"/>
        <rFont val="Arial"/>
        <family val="2"/>
      </rPr>
      <t>DAMP</t>
    </r>
    <r>
      <rPr>
        <sz val="11"/>
        <color theme="1"/>
        <rFont val="Arial"/>
        <family val="2"/>
      </rPr>
      <t xml:space="preserve"> for weaker damping</t>
    </r>
  </si>
  <si>
    <r>
      <t>A.  L</t>
    </r>
    <r>
      <rPr>
        <b/>
        <vertAlign val="subscript"/>
        <sz val="11"/>
        <color rgb="FFFF0000"/>
        <rFont val="Arial"/>
        <family val="2"/>
      </rPr>
      <t>DAMP</t>
    </r>
    <r>
      <rPr>
        <b/>
        <sz val="11"/>
        <color rgb="FFFF0000"/>
        <rFont val="Arial"/>
        <family val="2"/>
      </rPr>
      <t xml:space="preserve"> Determination</t>
    </r>
  </si>
  <si>
    <r>
      <t>Increase C</t>
    </r>
    <r>
      <rPr>
        <vertAlign val="subscript"/>
        <sz val="11"/>
        <color theme="1"/>
        <rFont val="Arial"/>
        <family val="2"/>
      </rPr>
      <t>O1</t>
    </r>
  </si>
  <si>
    <t>For reference, please see Section 7.3.2 of the UCC28780 datasheet for more detail about the ARC circuit.</t>
  </si>
  <si>
    <t>Variable Burst Packets</t>
  </si>
  <si>
    <t>Consistent Burst Packets</t>
  </si>
  <si>
    <r>
      <t>Suggested start with R</t>
    </r>
    <r>
      <rPr>
        <vertAlign val="subscript"/>
        <sz val="11"/>
        <rFont val="Arial"/>
        <family val="2"/>
      </rPr>
      <t>COMP</t>
    </r>
    <r>
      <rPr>
        <sz val="11"/>
        <rFont val="Arial"/>
        <family val="2"/>
      </rPr>
      <t xml:space="preserve"> = 1MΩ, can reduce value to improve ABM stability, but no smaller than 510kΩ, or will affect start up and OPP</t>
    </r>
  </si>
  <si>
    <r>
      <t>N</t>
    </r>
    <r>
      <rPr>
        <vertAlign val="subscript"/>
        <sz val="11"/>
        <rFont val="Arial"/>
        <family val="2"/>
      </rPr>
      <t>aux1</t>
    </r>
    <r>
      <rPr>
        <sz val="11"/>
        <rFont val="Arial"/>
        <family val="2"/>
      </rPr>
      <t xml:space="preserve"> =</t>
    </r>
  </si>
  <si>
    <r>
      <t>N</t>
    </r>
    <r>
      <rPr>
        <vertAlign val="subscript"/>
        <sz val="11"/>
        <rFont val="Arial"/>
        <family val="2"/>
      </rPr>
      <t>aux2</t>
    </r>
    <r>
      <rPr>
        <sz val="11"/>
        <rFont val="Arial"/>
        <family val="2"/>
      </rPr>
      <t xml:space="preserve"> =</t>
    </r>
  </si>
  <si>
    <r>
      <t>R</t>
    </r>
    <r>
      <rPr>
        <vertAlign val="subscript"/>
        <sz val="11"/>
        <rFont val="Arial"/>
        <family val="2"/>
      </rPr>
      <t>BUR1</t>
    </r>
    <r>
      <rPr>
        <sz val="11"/>
        <rFont val="Arial"/>
        <family val="2"/>
      </rPr>
      <t xml:space="preserve"> =</t>
    </r>
  </si>
  <si>
    <r>
      <t>V</t>
    </r>
    <r>
      <rPr>
        <vertAlign val="subscript"/>
        <sz val="11"/>
        <rFont val="Arial"/>
        <family val="2"/>
      </rPr>
      <t>O_high</t>
    </r>
    <r>
      <rPr>
        <sz val="11"/>
        <rFont val="Arial"/>
        <family val="2"/>
      </rPr>
      <t xml:space="preserve"> =</t>
    </r>
  </si>
  <si>
    <r>
      <t>V</t>
    </r>
    <r>
      <rPr>
        <vertAlign val="subscript"/>
        <sz val="11"/>
        <rFont val="Arial"/>
        <family val="2"/>
      </rPr>
      <t>O_low</t>
    </r>
    <r>
      <rPr>
        <sz val="11"/>
        <rFont val="Arial"/>
        <family val="2"/>
      </rPr>
      <t xml:space="preserve"> =</t>
    </r>
  </si>
  <si>
    <r>
      <t>V</t>
    </r>
    <r>
      <rPr>
        <vertAlign val="subscript"/>
        <sz val="11"/>
        <rFont val="Arial"/>
        <family val="2"/>
      </rPr>
      <t>BUR1</t>
    </r>
    <r>
      <rPr>
        <sz val="11"/>
        <rFont val="Arial"/>
        <family val="2"/>
      </rPr>
      <t xml:space="preserve"> =</t>
    </r>
  </si>
  <si>
    <r>
      <t>V</t>
    </r>
    <r>
      <rPr>
        <vertAlign val="subscript"/>
        <sz val="11"/>
        <rFont val="Arial"/>
        <family val="2"/>
      </rPr>
      <t>BUR2</t>
    </r>
    <r>
      <rPr>
        <sz val="11"/>
        <rFont val="Arial"/>
        <family val="2"/>
      </rPr>
      <t xml:space="preserve"> =</t>
    </r>
  </si>
  <si>
    <r>
      <t>0.7V &lt; V</t>
    </r>
    <r>
      <rPr>
        <vertAlign val="subscript"/>
        <sz val="11"/>
        <rFont val="Arial"/>
        <family val="2"/>
      </rPr>
      <t>BUR1</t>
    </r>
    <r>
      <rPr>
        <sz val="11"/>
        <rFont val="Arial"/>
        <family val="2"/>
      </rPr>
      <t xml:space="preserve"> &lt; 2.4V</t>
    </r>
  </si>
  <si>
    <r>
      <t>0.7V &lt; V</t>
    </r>
    <r>
      <rPr>
        <vertAlign val="subscript"/>
        <sz val="11"/>
        <rFont val="Arial"/>
        <family val="2"/>
      </rPr>
      <t>BUR2</t>
    </r>
    <r>
      <rPr>
        <sz val="11"/>
        <rFont val="Arial"/>
        <family val="2"/>
      </rPr>
      <t xml:space="preserve"> &lt; 2.4V</t>
    </r>
  </si>
  <si>
    <t>Keep:</t>
  </si>
  <si>
    <r>
      <t>R</t>
    </r>
    <r>
      <rPr>
        <vertAlign val="subscript"/>
        <sz val="11"/>
        <rFont val="Arial"/>
        <family val="2"/>
      </rPr>
      <t>BUR2</t>
    </r>
    <r>
      <rPr>
        <sz val="11"/>
        <rFont val="Arial"/>
        <family val="2"/>
      </rPr>
      <t xml:space="preserve"> =</t>
    </r>
  </si>
  <si>
    <r>
      <t>R</t>
    </r>
    <r>
      <rPr>
        <vertAlign val="subscript"/>
        <sz val="11"/>
        <rFont val="Arial"/>
        <family val="2"/>
      </rPr>
      <t>BUR3</t>
    </r>
    <r>
      <rPr>
        <sz val="11"/>
        <rFont val="Arial"/>
        <family val="2"/>
      </rPr>
      <t xml:space="preserve"> =</t>
    </r>
  </si>
  <si>
    <r>
      <t>1.  Improves ABM and transient stability for lower V</t>
    </r>
    <r>
      <rPr>
        <vertAlign val="subscript"/>
        <sz val="11"/>
        <color theme="1"/>
        <rFont val="Arial"/>
        <family val="2"/>
      </rPr>
      <t>O</t>
    </r>
    <r>
      <rPr>
        <sz val="11"/>
        <color theme="1"/>
        <rFont val="Arial"/>
        <family val="2"/>
      </rPr>
      <t xml:space="preserve"> </t>
    </r>
  </si>
  <si>
    <t>ds recommendation</t>
  </si>
  <si>
    <t>typical</t>
  </si>
  <si>
    <t>ds page 20</t>
  </si>
  <si>
    <t>Over-Power Threshold on CS Pin,  at Ivsl = -1.25mA</t>
  </si>
  <si>
    <r>
      <t>L</t>
    </r>
    <r>
      <rPr>
        <vertAlign val="subscript"/>
        <sz val="11"/>
        <rFont val="Arial"/>
        <family val="2"/>
      </rPr>
      <t xml:space="preserve">M_act </t>
    </r>
    <r>
      <rPr>
        <sz val="11"/>
        <rFont val="Arial"/>
        <family val="2"/>
      </rPr>
      <t>=</t>
    </r>
  </si>
  <si>
    <r>
      <rPr>
        <b/>
        <sz val="11"/>
        <rFont val="Arial"/>
        <family val="2"/>
      </rPr>
      <t>Actual</t>
    </r>
    <r>
      <rPr>
        <sz val="11"/>
        <rFont val="Arial"/>
        <family val="2"/>
      </rPr>
      <t xml:space="preserve"> Primary Leakage Inductance</t>
    </r>
  </si>
  <si>
    <r>
      <t>L</t>
    </r>
    <r>
      <rPr>
        <vertAlign val="subscript"/>
        <sz val="11"/>
        <rFont val="Arial"/>
        <family val="2"/>
      </rPr>
      <t>K_act</t>
    </r>
    <r>
      <rPr>
        <sz val="11"/>
        <rFont val="Arial"/>
        <family val="2"/>
      </rPr>
      <t>=</t>
    </r>
  </si>
  <si>
    <t>Secondary Side Reflected to Primary Side</t>
  </si>
  <si>
    <t xml:space="preserve">Initial capacitance is reduced by this percentage due to applied voltage </t>
  </si>
  <si>
    <t>Bleed Resistance Used in Calculations</t>
  </si>
  <si>
    <t>Estimated Transformer Efficiency</t>
  </si>
  <si>
    <r>
      <rPr>
        <sz val="12"/>
        <rFont val="Arial"/>
        <family val="2"/>
      </rPr>
      <t>η</t>
    </r>
    <r>
      <rPr>
        <vertAlign val="subscript"/>
        <sz val="11"/>
        <rFont val="Arial"/>
        <family val="2"/>
      </rPr>
      <t>XFMR</t>
    </r>
    <r>
      <rPr>
        <sz val="11"/>
        <rFont val="Arial"/>
        <family val="2"/>
      </rPr>
      <t xml:space="preserve"> =</t>
    </r>
  </si>
  <si>
    <t>Transformer Primary Winding Capacitance</t>
  </si>
  <si>
    <t>DC Resistance of Primary Winding</t>
  </si>
  <si>
    <t>Derived from self-resonant frequency of primary winding</t>
  </si>
  <si>
    <t>Measured from transformer sample</t>
  </si>
  <si>
    <r>
      <t>N</t>
    </r>
    <r>
      <rPr>
        <sz val="7"/>
        <rFont val="Arial"/>
        <family val="2"/>
      </rPr>
      <t xml:space="preserve">PS_min </t>
    </r>
    <r>
      <rPr>
        <sz val="11"/>
        <rFont val="Arial"/>
        <family val="2"/>
      </rPr>
      <t>&lt; N</t>
    </r>
    <r>
      <rPr>
        <sz val="7"/>
        <rFont val="Arial"/>
        <family val="2"/>
      </rPr>
      <t xml:space="preserve">PS </t>
    </r>
    <r>
      <rPr>
        <sz val="11"/>
        <rFont val="Arial"/>
        <family val="2"/>
      </rPr>
      <t>&lt; N</t>
    </r>
    <r>
      <rPr>
        <sz val="7"/>
        <rFont val="Arial"/>
        <family val="2"/>
      </rPr>
      <t>PS_max</t>
    </r>
    <r>
      <rPr>
        <sz val="11"/>
        <rFont val="Arial"/>
        <family val="2"/>
      </rPr>
      <t xml:space="preserve"> </t>
    </r>
  </si>
  <si>
    <t>Delay from RUN High to PWML High</t>
  </si>
  <si>
    <t>FB Pin Pull-up Resistance</t>
  </si>
  <si>
    <t>Regulated FB Pull-up Voltage</t>
  </si>
  <si>
    <t>Upper Threshold of Burst Frequency in ABM</t>
  </si>
  <si>
    <t>Lower Threshold of Burst Frequency in ABM</t>
  </si>
  <si>
    <t>Resonant Duty-Cycle Factor</t>
  </si>
  <si>
    <t>Maximum Voltage Spike (if any) on Output Rectifier</t>
  </si>
  <si>
    <t>Estimate maximum increase in clamp voltage during LPM</t>
  </si>
  <si>
    <t>Margin added to VDD_off threshold to calculate minimum AUX turns</t>
  </si>
  <si>
    <t>Estimate portion of maximum switching period for ZVS resonance, at low-line</t>
  </si>
  <si>
    <r>
      <rPr>
        <sz val="11"/>
        <color theme="1"/>
        <rFont val="FangSong"/>
        <family val="3"/>
        <charset val="134"/>
      </rPr>
      <t xml:space="preserve">≈ </t>
    </r>
    <r>
      <rPr>
        <sz val="11"/>
        <color theme="1"/>
        <rFont val="Arial"/>
        <family val="2"/>
      </rPr>
      <t>R</t>
    </r>
    <r>
      <rPr>
        <vertAlign val="subscript"/>
        <sz val="11"/>
        <color theme="1"/>
        <rFont val="Arial"/>
        <family val="2"/>
      </rPr>
      <t>OPP</t>
    </r>
    <r>
      <rPr>
        <sz val="11"/>
        <color theme="1"/>
        <rFont val="Arial"/>
        <family val="2"/>
      </rPr>
      <t xml:space="preserve"> x C</t>
    </r>
    <r>
      <rPr>
        <vertAlign val="subscript"/>
        <sz val="11"/>
        <color theme="1"/>
        <rFont val="Arial"/>
        <family val="2"/>
      </rPr>
      <t>CS</t>
    </r>
  </si>
  <si>
    <t>Enter nearest standard value, 1%</t>
  </si>
  <si>
    <t>Maximum Bias Resistor1 During SBP mode</t>
  </si>
  <si>
    <t>Maximum Bias Resistor1 During ABM mode</t>
  </si>
  <si>
    <t>Bias Resistor2 Used in Calculations</t>
  </si>
  <si>
    <t>Shunt Regulator Part Number (for reference)</t>
  </si>
  <si>
    <t>(This value not calculated at this time.)</t>
  </si>
  <si>
    <t>Initial capacitance is reduced by this percentage due to applied voltage</t>
  </si>
  <si>
    <t>Calculated Resistance in Series with Source to SWS</t>
  </si>
  <si>
    <t>Output Voltage Reflected to Auxiliary Winding</t>
  </si>
  <si>
    <t>FB Pin Resistance Used in Calculations</t>
  </si>
  <si>
    <t>Target Threshold Voltage at CS Input</t>
  </si>
  <si>
    <t>Turn-off Delay Time due to Coss of low-side MOSFET</t>
  </si>
  <si>
    <t>Turn-off Delay Time due to Coss of low-side MOSFET at min bulk</t>
  </si>
  <si>
    <t>Max Power Dissipation:</t>
  </si>
  <si>
    <t>Secondary-side Resonance in another tab</t>
  </si>
  <si>
    <r>
      <t>N</t>
    </r>
    <r>
      <rPr>
        <vertAlign val="subscript"/>
        <sz val="12"/>
        <rFont val="Arial"/>
        <family val="2"/>
      </rPr>
      <t>AS</t>
    </r>
    <r>
      <rPr>
        <sz val="12"/>
        <color theme="1"/>
        <rFont val="Arial"/>
        <family val="2"/>
      </rPr>
      <t/>
    </r>
  </si>
  <si>
    <t>OVP =</t>
  </si>
  <si>
    <t>OPP =</t>
  </si>
  <si>
    <t>BUR =</t>
  </si>
  <si>
    <t>SET =</t>
  </si>
  <si>
    <r>
      <t xml:space="preserve"> I</t>
    </r>
    <r>
      <rPr>
        <vertAlign val="subscript"/>
        <sz val="11"/>
        <color theme="1"/>
        <rFont val="Arial"/>
        <family val="2"/>
      </rPr>
      <t>ref_431_max</t>
    </r>
    <r>
      <rPr>
        <sz val="11"/>
        <color theme="1"/>
        <rFont val="Arial"/>
        <family val="2"/>
      </rPr>
      <t xml:space="preserve"> =</t>
    </r>
  </si>
  <si>
    <r>
      <t xml:space="preserve"> V</t>
    </r>
    <r>
      <rPr>
        <vertAlign val="subscript"/>
        <sz val="11"/>
        <rFont val="Arial"/>
        <family val="2"/>
      </rPr>
      <t>Dz_rec</t>
    </r>
    <r>
      <rPr>
        <sz val="11"/>
        <rFont val="Arial"/>
        <family val="2"/>
      </rPr>
      <t xml:space="preserve"> =</t>
    </r>
  </si>
  <si>
    <r>
      <t xml:space="preserve"> C</t>
    </r>
    <r>
      <rPr>
        <vertAlign val="subscript"/>
        <sz val="11"/>
        <rFont val="Arial"/>
        <family val="2"/>
      </rPr>
      <t xml:space="preserve">Dz </t>
    </r>
    <r>
      <rPr>
        <sz val="11"/>
        <rFont val="Arial"/>
        <family val="2"/>
      </rPr>
      <t>=</t>
    </r>
  </si>
  <si>
    <t>at rated reverse voltage</t>
  </si>
  <si>
    <t>Forward Rectified Current</t>
  </si>
  <si>
    <t>Forward Voltage</t>
  </si>
  <si>
    <t>Output Capacitance During High Voltage</t>
  </si>
  <si>
    <t>Time-Related Output Capacitance</t>
  </si>
  <si>
    <t>Recommended Minimum Breakdown Voltage</t>
  </si>
  <si>
    <t>Typical Capacitance</t>
  </si>
  <si>
    <t>Output Capacitance</t>
  </si>
  <si>
    <t>Parasitic Inductance</t>
  </si>
  <si>
    <t>Maximum Input Capacitance</t>
  </si>
  <si>
    <t>Gate Threshold Voltage</t>
  </si>
  <si>
    <t>Minimum Cathode Current for Regulation</t>
  </si>
  <si>
    <t>Reference Voltage</t>
  </si>
  <si>
    <t>Typical Reference Bias Current</t>
  </si>
  <si>
    <t>Maximum Reference Bias Current</t>
  </si>
  <si>
    <t>Collector-Emitter Saturation Voltage</t>
  </si>
  <si>
    <t>Cut-Off Frequency</t>
  </si>
  <si>
    <t>Maximum Current-Transfer Ratio</t>
  </si>
  <si>
    <t>Minimum Current-Transfer Ratio</t>
  </si>
  <si>
    <t>CTR During High Temperature</t>
  </si>
  <si>
    <t>Voltage Derating Coefficient for Rectifier</t>
  </si>
  <si>
    <t xml:space="preserve">Minimum Required Drain-to-Soure Voltage Rating </t>
  </si>
  <si>
    <t>MOSFET Rated Drain-to-Source Voltage</t>
  </si>
  <si>
    <t>Time-related output capacitance</t>
  </si>
  <si>
    <t>Output Capacitance at High Voltage</t>
  </si>
  <si>
    <t>Forward Voltage Drop of Output Rectifier</t>
  </si>
  <si>
    <t>Maximum Rectifier Current Rating</t>
  </si>
  <si>
    <t>Maximum Allowable Voltage Drop During Transient</t>
  </si>
  <si>
    <t>Output Capacitance Used in Calculations</t>
  </si>
  <si>
    <t>Minimum Voltage Rating of Bulk Capacitor</t>
  </si>
  <si>
    <t>Input Bulk Capacitance Used in Calculations</t>
  </si>
  <si>
    <t>Actual Input Bulk Capacitance</t>
  </si>
  <si>
    <t>Quiescent Driver Bias Current</t>
  </si>
  <si>
    <t>High-Side Driver Delay</t>
  </si>
  <si>
    <t>Low-Side Driver Delay</t>
  </si>
  <si>
    <t>Actual MOSFET Rated Drain-to-Source Voltage</t>
  </si>
  <si>
    <t>Minimum Crossover Frequency</t>
  </si>
  <si>
    <t>Minimum Switching Frequency</t>
  </si>
  <si>
    <t>Output load level to begin Burst Mode, in percent</t>
  </si>
  <si>
    <t>OPP-Threshold Output Current</t>
  </si>
  <si>
    <t>Output over-power protection (OPP) threshold, in percent</t>
  </si>
  <si>
    <t>Full-Load Rated Output Current</t>
  </si>
  <si>
    <t>Rated Full-Load Output Power</t>
  </si>
  <si>
    <t>Output over-voltage protection (OVP) threshold, in percent</t>
  </si>
  <si>
    <t>Nominal Output Voltage</t>
  </si>
  <si>
    <t>Minimum Overall Efficiency</t>
  </si>
  <si>
    <t>Minimum AC-Line Frequency</t>
  </si>
  <si>
    <t>Minimum Bulk Voltage Target</t>
  </si>
  <si>
    <t>Minimum Line Input Voltage</t>
  </si>
  <si>
    <t>Input Voltage for Burst Mode Setting</t>
  </si>
  <si>
    <t>Maximum Line Input Voltage</t>
  </si>
  <si>
    <t xml:space="preserve">Variables </t>
  </si>
  <si>
    <t>OPP level not included here</t>
  </si>
  <si>
    <t>Estimated High-Line Stand-by Burst Frequency</t>
  </si>
  <si>
    <t>20% tolerance</t>
  </si>
  <si>
    <t>Shunt Regulator for Output Voltage</t>
  </si>
  <si>
    <t>Select standard rating with sufficient margin</t>
  </si>
  <si>
    <t>Output Capacitance of MOSFET Small-C, Above Vxl</t>
  </si>
  <si>
    <t>Output Capacitance of MOSFET Big-C, Below Vxh</t>
  </si>
  <si>
    <t>Output Capacitance of MOSFET Small-C, Above Vxh</t>
  </si>
  <si>
    <t>Drain Current Pulse Rating</t>
  </si>
  <si>
    <t>Time-Related Output Capacitance at Vbulk_min</t>
  </si>
  <si>
    <t>"0" for GaN (grounded), "1" for Silicon (connect to REF)</t>
  </si>
  <si>
    <t>Setting of SET Pin (Connect to GND or to REF)</t>
  </si>
  <si>
    <t>ZVS Timing Factor, Based on SET Value</t>
  </si>
  <si>
    <t>(controller internal parameter)</t>
  </si>
  <si>
    <t xml:space="preserve">   High-side MOSFET (QH) Parameters:</t>
  </si>
  <si>
    <t xml:space="preserve">   Low-side MOSFET (QL) Parameters:</t>
  </si>
  <si>
    <t>High-Side Bootstrap Diode Forward Voltage</t>
  </si>
  <si>
    <t>High-Side Bootstrap Diode Parasitic Capacitance</t>
  </si>
  <si>
    <t>Diode Voltage @ Diode Current &lt; 1µA</t>
  </si>
  <si>
    <t xml:space="preserve">Minimum Required Drain-to-Source Voltage Rating </t>
  </si>
  <si>
    <t xml:space="preserve"> (QH can be different than QL)</t>
  </si>
  <si>
    <r>
      <t>Maximum RMS Current in R</t>
    </r>
    <r>
      <rPr>
        <vertAlign val="subscript"/>
        <sz val="11"/>
        <color theme="1"/>
        <rFont val="Arial"/>
        <family val="2"/>
      </rPr>
      <t>CS</t>
    </r>
    <r>
      <rPr>
        <sz val="11"/>
        <color theme="1"/>
        <rFont val="Arial"/>
        <family val="2"/>
      </rPr>
      <t xml:space="preserve"> Resistor</t>
    </r>
  </si>
  <si>
    <r>
      <t>Maximum Power Loss in R</t>
    </r>
    <r>
      <rPr>
        <vertAlign val="subscript"/>
        <sz val="11"/>
        <color theme="1"/>
        <rFont val="Arial"/>
        <family val="2"/>
      </rPr>
      <t>CS</t>
    </r>
    <r>
      <rPr>
        <sz val="11"/>
        <color theme="1"/>
        <rFont val="Arial"/>
        <family val="2"/>
      </rPr>
      <t/>
    </r>
  </si>
  <si>
    <r>
      <rPr>
        <b/>
        <sz val="11"/>
        <color theme="1"/>
        <rFont val="Arial"/>
        <family val="2"/>
      </rPr>
      <t>Recommended</t>
    </r>
    <r>
      <rPr>
        <sz val="11"/>
        <color theme="1"/>
        <rFont val="Arial"/>
        <family val="2"/>
      </rPr>
      <t xml:space="preserve"> Current-Sense Resistor </t>
    </r>
  </si>
  <si>
    <r>
      <t>Current-Sense Resistor, R</t>
    </r>
    <r>
      <rPr>
        <b/>
        <i/>
        <vertAlign val="subscript"/>
        <sz val="12"/>
        <color theme="0"/>
        <rFont val="Arial"/>
        <family val="2"/>
      </rPr>
      <t>CS</t>
    </r>
  </si>
  <si>
    <r>
      <rPr>
        <b/>
        <sz val="11"/>
        <color theme="1"/>
        <rFont val="Arial"/>
        <family val="2"/>
      </rPr>
      <t>Actual</t>
    </r>
    <r>
      <rPr>
        <sz val="11"/>
        <color theme="1"/>
        <rFont val="Arial"/>
        <family val="2"/>
      </rPr>
      <t xml:space="preserve"> Current-Sense Resistor</t>
    </r>
  </si>
  <si>
    <t>Current-Sense Resistor Used in Calculations</t>
  </si>
  <si>
    <r>
      <t xml:space="preserve">Enter value </t>
    </r>
    <r>
      <rPr>
        <sz val="11"/>
        <color theme="1"/>
        <rFont val="Calibri"/>
        <family val="2"/>
      </rPr>
      <t>≤</t>
    </r>
    <r>
      <rPr>
        <sz val="7.7"/>
        <color theme="1"/>
        <rFont val="Arial"/>
        <family val="2"/>
      </rPr>
      <t xml:space="preserve"> </t>
    </r>
    <r>
      <rPr>
        <sz val="11"/>
        <color theme="1"/>
        <rFont val="Arial"/>
        <family val="2"/>
      </rPr>
      <t>recommended value, 1%  (not too much less)</t>
    </r>
  </si>
  <si>
    <t>Actual Current-Sense Filter Delay</t>
  </si>
  <si>
    <r>
      <rPr>
        <b/>
        <sz val="11"/>
        <color theme="1"/>
        <rFont val="Arial"/>
        <family val="2"/>
      </rPr>
      <t>Maximum</t>
    </r>
    <r>
      <rPr>
        <sz val="11"/>
        <color theme="1"/>
        <rFont val="Arial"/>
        <family val="2"/>
      </rPr>
      <t xml:space="preserve"> Current-Sense Capacitance</t>
    </r>
  </si>
  <si>
    <t>Current-Sense Capacitance Used in Calculations</t>
  </si>
  <si>
    <r>
      <rPr>
        <b/>
        <sz val="11"/>
        <color theme="1"/>
        <rFont val="Arial"/>
        <family val="2"/>
      </rPr>
      <t>Actual</t>
    </r>
    <r>
      <rPr>
        <sz val="11"/>
        <color theme="1"/>
        <rFont val="Arial"/>
        <family val="2"/>
      </rPr>
      <t xml:space="preserve"> Current-Sense Capacitance</t>
    </r>
  </si>
  <si>
    <t>Bootstrap Diode Capacitance</t>
  </si>
  <si>
    <t xml:space="preserve">Total Equivalent Time-Based Capacitance of Switching Node </t>
  </si>
  <si>
    <t>Over-Power Threshold on CS Pin,  at Ivsl = 0µA</t>
  </si>
  <si>
    <t>±% tolerance NOT included</t>
  </si>
  <si>
    <r>
      <t>2.  Slightly decreases average efficiency of lower V</t>
    </r>
    <r>
      <rPr>
        <vertAlign val="subscript"/>
        <sz val="11"/>
        <color theme="1"/>
        <rFont val="Arial"/>
        <family val="2"/>
      </rPr>
      <t>O</t>
    </r>
    <r>
      <rPr>
        <sz val="11"/>
        <color theme="1"/>
        <rFont val="Arial"/>
        <family val="2"/>
      </rPr>
      <t xml:space="preserve"> </t>
    </r>
  </si>
  <si>
    <r>
      <t>Note:  N</t>
    </r>
    <r>
      <rPr>
        <vertAlign val="subscript"/>
        <sz val="11"/>
        <rFont val="Arial"/>
        <family val="2"/>
      </rPr>
      <t>aux1</t>
    </r>
    <r>
      <rPr>
        <sz val="11"/>
        <rFont val="Arial"/>
        <family val="2"/>
      </rPr>
      <t xml:space="preserve"> = N</t>
    </r>
    <r>
      <rPr>
        <vertAlign val="subscript"/>
        <sz val="11"/>
        <rFont val="Arial"/>
        <family val="2"/>
      </rPr>
      <t>A</t>
    </r>
  </si>
  <si>
    <r>
      <t>Part Number(s) for C</t>
    </r>
    <r>
      <rPr>
        <vertAlign val="subscript"/>
        <sz val="11"/>
        <rFont val="Arial"/>
        <family val="2"/>
      </rPr>
      <t>O1</t>
    </r>
    <r>
      <rPr>
        <sz val="11"/>
        <rFont val="Arial"/>
        <family val="2"/>
      </rPr>
      <t xml:space="preserve">  (for ref)</t>
    </r>
  </si>
  <si>
    <r>
      <t>V</t>
    </r>
    <r>
      <rPr>
        <b/>
        <i/>
        <vertAlign val="subscript"/>
        <sz val="12"/>
        <color theme="0"/>
        <rFont val="Arial"/>
        <family val="2"/>
      </rPr>
      <t>In_IVSL</t>
    </r>
    <r>
      <rPr>
        <b/>
        <i/>
        <sz val="12"/>
        <color theme="0"/>
        <rFont val="Arial"/>
        <family val="2"/>
      </rPr>
      <t xml:space="preserve"> Adjustment for Specific Start-up Voltage</t>
    </r>
  </si>
  <si>
    <t>SET value</t>
  </si>
  <si>
    <t>V input type</t>
  </si>
  <si>
    <t>(Minimum value)</t>
  </si>
  <si>
    <t>Between 470 and 510 ohm is recommended</t>
  </si>
  <si>
    <t>C0G is recommended</t>
  </si>
  <si>
    <t>2.2nF, C0G or X7R is recommended</t>
  </si>
  <si>
    <t>0.1µF, X7R is recommended</t>
  </si>
  <si>
    <t>C0G or X7R is recommended</t>
  </si>
  <si>
    <t xml:space="preserve">Nominal recommended value includes adjustment for dc-bias effect </t>
  </si>
  <si>
    <t>Estimate Delay from Current-Sense Filtering</t>
  </si>
  <si>
    <t>Actual BUR Pin Voltage</t>
  </si>
  <si>
    <t>mΩ</t>
  </si>
  <si>
    <t>Maximum ESR:</t>
  </si>
  <si>
    <r>
      <t>R</t>
    </r>
    <r>
      <rPr>
        <b/>
        <vertAlign val="subscript"/>
        <sz val="12"/>
        <color rgb="FFFF0000"/>
        <rFont val="Arial"/>
        <family val="2"/>
      </rPr>
      <t>BLEED</t>
    </r>
  </si>
  <si>
    <r>
      <t>R</t>
    </r>
    <r>
      <rPr>
        <b/>
        <vertAlign val="subscript"/>
        <sz val="12"/>
        <color rgb="FFFF0000"/>
        <rFont val="Arial"/>
        <family val="2"/>
      </rPr>
      <t>DIFF</t>
    </r>
  </si>
  <si>
    <r>
      <t>R</t>
    </r>
    <r>
      <rPr>
        <b/>
        <vertAlign val="subscript"/>
        <sz val="12"/>
        <color rgb="FFFF0000"/>
        <rFont val="Arial"/>
        <family val="2"/>
      </rPr>
      <t>BIAS2</t>
    </r>
  </si>
  <si>
    <r>
      <t>R</t>
    </r>
    <r>
      <rPr>
        <b/>
        <vertAlign val="subscript"/>
        <sz val="12"/>
        <color rgb="FFFF0000"/>
        <rFont val="Arial"/>
        <family val="2"/>
      </rPr>
      <t>BIAS1</t>
    </r>
  </si>
  <si>
    <r>
      <t>C</t>
    </r>
    <r>
      <rPr>
        <b/>
        <vertAlign val="subscript"/>
        <sz val="12"/>
        <color rgb="FFFF0000"/>
        <rFont val="Arial"/>
        <family val="2"/>
      </rPr>
      <t>CLAMP</t>
    </r>
  </si>
  <si>
    <r>
      <t>C</t>
    </r>
    <r>
      <rPr>
        <b/>
        <vertAlign val="subscript"/>
        <sz val="12"/>
        <color rgb="FFFF0000"/>
        <rFont val="Arial"/>
        <family val="2"/>
      </rPr>
      <t>BOOT</t>
    </r>
  </si>
  <si>
    <r>
      <t>C</t>
    </r>
    <r>
      <rPr>
        <b/>
        <vertAlign val="subscript"/>
        <sz val="12"/>
        <color rgb="FFFF0000"/>
        <rFont val="Arial"/>
        <family val="2"/>
      </rPr>
      <t>DIFF</t>
    </r>
  </si>
  <si>
    <r>
      <t>C</t>
    </r>
    <r>
      <rPr>
        <b/>
        <vertAlign val="subscript"/>
        <sz val="12"/>
        <color rgb="FFFF0000"/>
        <rFont val="Arial"/>
        <family val="2"/>
      </rPr>
      <t>INT</t>
    </r>
  </si>
  <si>
    <t>SELECTED Values (Primary-Side Resonance)</t>
  </si>
  <si>
    <r>
      <t>C</t>
    </r>
    <r>
      <rPr>
        <b/>
        <vertAlign val="subscript"/>
        <sz val="12"/>
        <color rgb="FFFF0000"/>
        <rFont val="Arial"/>
        <family val="2"/>
      </rPr>
      <t xml:space="preserve">OUT
</t>
    </r>
    <r>
      <rPr>
        <sz val="12"/>
        <color rgb="FFFF0000"/>
        <rFont val="Arial"/>
        <family val="2"/>
      </rPr>
      <t>(C</t>
    </r>
    <r>
      <rPr>
        <vertAlign val="subscript"/>
        <sz val="12"/>
        <color rgb="FFFF0000"/>
        <rFont val="Arial"/>
        <family val="2"/>
      </rPr>
      <t>OUT</t>
    </r>
    <r>
      <rPr>
        <sz val="12"/>
        <color rgb="FFFF0000"/>
        <rFont val="Arial"/>
        <family val="2"/>
      </rPr>
      <t xml:space="preserve"> = C</t>
    </r>
    <r>
      <rPr>
        <vertAlign val="subscript"/>
        <sz val="12"/>
        <color rgb="FFFF0000"/>
        <rFont val="Arial"/>
        <family val="2"/>
      </rPr>
      <t>O2</t>
    </r>
    <r>
      <rPr>
        <sz val="12"/>
        <color rgb="FFFF0000"/>
        <rFont val="Arial"/>
        <family val="2"/>
      </rPr>
      <t xml:space="preserve"> 
if Secondary Resonance is used)</t>
    </r>
  </si>
  <si>
    <t>Transformer</t>
  </si>
  <si>
    <t xml:space="preserve">   Note:  Larger MLCC case sizes exhibit less DC-Bias effect.</t>
  </si>
  <si>
    <t>Choose either AC or DC;     See graphs at right &gt;&gt;&gt;</t>
  </si>
  <si>
    <t>"Brown-in" Input Voltage Target</t>
  </si>
  <si>
    <t>Secondary Turns Used in Calculations</t>
  </si>
  <si>
    <t>Clamp-Cap Value Used in Calculations</t>
  </si>
  <si>
    <t>This block uses "VINPUT_Brownin"</t>
  </si>
  <si>
    <t>This block uses "VBulk_min_tgt"</t>
  </si>
  <si>
    <t>This block uses "VINPUT_max"</t>
  </si>
  <si>
    <t>This block uses "VINPUT_BUR"</t>
  </si>
  <si>
    <t>This block uses various "VINPUT_xxx"</t>
  </si>
  <si>
    <t>This block uses "VINPUT_Brownin+30"</t>
  </si>
  <si>
    <t xml:space="preserve">SR MOSFET Coss </t>
  </si>
  <si>
    <t xml:space="preserve">Auxiliary Diode Cj </t>
  </si>
  <si>
    <t>Actual Brown-in (Start-up) Voltage</t>
  </si>
  <si>
    <r>
      <t>V</t>
    </r>
    <r>
      <rPr>
        <vertAlign val="subscript"/>
        <sz val="11"/>
        <color theme="1"/>
        <rFont val="Arial"/>
        <family val="2"/>
      </rPr>
      <t>brownin</t>
    </r>
    <r>
      <rPr>
        <sz val="11"/>
        <color theme="1"/>
        <rFont val="Arial"/>
        <family val="2"/>
      </rPr>
      <t xml:space="preserve"> =</t>
    </r>
  </si>
  <si>
    <r>
      <t>R</t>
    </r>
    <r>
      <rPr>
        <vertAlign val="subscript"/>
        <sz val="11"/>
        <color theme="1"/>
        <rFont val="Arial"/>
        <family val="2"/>
      </rPr>
      <t>VS2</t>
    </r>
    <r>
      <rPr>
        <sz val="11"/>
        <color theme="1"/>
        <rFont val="Arial"/>
        <family val="2"/>
      </rPr>
      <t xml:space="preserve"> Used in Calculations</t>
    </r>
  </si>
  <si>
    <t>%</t>
  </si>
  <si>
    <t>Actual OVP Level, in Percent of Output Voltage</t>
  </si>
  <si>
    <t xml:space="preserve">kΩ   </t>
  </si>
  <si>
    <t>Lowest RMS or DC start-up voltage</t>
  </si>
  <si>
    <t>See graph at right &gt;&gt;&gt;</t>
  </si>
  <si>
    <r>
      <t xml:space="preserve">    Example graph of C</t>
    </r>
    <r>
      <rPr>
        <b/>
        <vertAlign val="subscript"/>
        <sz val="12"/>
        <color rgb="FFFF0000"/>
        <rFont val="Calibri"/>
        <family val="2"/>
        <scheme val="minor"/>
      </rPr>
      <t>OSS</t>
    </r>
    <r>
      <rPr>
        <b/>
        <sz val="12"/>
        <color rgb="FFFF0000"/>
        <rFont val="Calibri"/>
        <family val="2"/>
        <scheme val="minor"/>
      </rPr>
      <t xml:space="preserve"> variation with V</t>
    </r>
    <r>
      <rPr>
        <b/>
        <vertAlign val="subscript"/>
        <sz val="12"/>
        <color rgb="FFFF0000"/>
        <rFont val="Calibri"/>
        <family val="2"/>
        <scheme val="minor"/>
      </rPr>
      <t>DS</t>
    </r>
    <r>
      <rPr>
        <b/>
        <sz val="12"/>
        <color rgb="FFFF0000"/>
        <rFont val="Calibri"/>
        <family val="2"/>
        <scheme val="minor"/>
      </rPr>
      <t>.  Use actual MOSFET data.</t>
    </r>
  </si>
  <si>
    <t>(Actual value affects stand-by power)</t>
  </si>
  <si>
    <t>Minimum "Boot-Strap" Capacitance</t>
  </si>
  <si>
    <t>Maximum "Boot-Strap" Capacitance</t>
  </si>
  <si>
    <t>On-Resistance of High-Side MOSFET (max)</t>
  </si>
  <si>
    <t>On-Resistance of Low-Side MOSFET (max)</t>
  </si>
  <si>
    <t>Threshold Voltage of Big-to-Small Coss Transition (high-side Fet)</t>
  </si>
  <si>
    <t>Threshold Voltage of Big-to-Small Coss Transition (low-side Fet)</t>
  </si>
  <si>
    <t>Threshold Voltage of Big-to-Small Coss Transition (SR-Fet)</t>
  </si>
  <si>
    <t>Normal Forward Voltage @ Diode Current = 100µA</t>
  </si>
  <si>
    <t>from datasheet listing</t>
  </si>
  <si>
    <t>Gate-Source Voltage Maximum Rating</t>
  </si>
  <si>
    <t>Bias Supply for Driver VDD</t>
  </si>
  <si>
    <r>
      <t>used to calc R</t>
    </r>
    <r>
      <rPr>
        <vertAlign val="subscript"/>
        <sz val="10"/>
        <color theme="1"/>
        <rFont val="Arial"/>
        <family val="2"/>
      </rPr>
      <t>CS_tgt</t>
    </r>
    <r>
      <rPr>
        <sz val="10"/>
        <color theme="1"/>
        <rFont val="Arial"/>
        <family val="2"/>
      </rPr>
      <t xml:space="preserve"> </t>
    </r>
  </si>
  <si>
    <r>
      <t>used to calc R</t>
    </r>
    <r>
      <rPr>
        <vertAlign val="subscript"/>
        <sz val="10"/>
        <color theme="1"/>
        <rFont val="Arial"/>
        <family val="2"/>
      </rPr>
      <t>OPP_tgt</t>
    </r>
    <r>
      <rPr>
        <sz val="10"/>
        <color theme="1"/>
        <rFont val="Arial"/>
        <family val="2"/>
      </rPr>
      <t xml:space="preserve"> </t>
    </r>
  </si>
  <si>
    <r>
      <t>Negative Magnetizing Inductor Current at Min, I</t>
    </r>
    <r>
      <rPr>
        <vertAlign val="subscript"/>
        <sz val="11"/>
        <color theme="1"/>
        <rFont val="Arial"/>
        <family val="2"/>
      </rPr>
      <t xml:space="preserve">M_nega_min </t>
    </r>
    <r>
      <rPr>
        <sz val="11"/>
        <color theme="1"/>
        <rFont val="Arial"/>
        <family val="2"/>
      </rPr>
      <t>=</t>
    </r>
  </si>
  <si>
    <r>
      <t>I</t>
    </r>
    <r>
      <rPr>
        <vertAlign val="subscript"/>
        <sz val="11"/>
        <color theme="1"/>
        <rFont val="Arial"/>
        <family val="2"/>
      </rPr>
      <t xml:space="preserve">M_nega_min </t>
    </r>
    <r>
      <rPr>
        <sz val="11"/>
        <color theme="1"/>
        <rFont val="Arial"/>
        <family val="2"/>
      </rPr>
      <t>=</t>
    </r>
  </si>
  <si>
    <r>
      <t>Switching Frequency During Min Input, f</t>
    </r>
    <r>
      <rPr>
        <vertAlign val="subscript"/>
        <sz val="11"/>
        <color theme="1"/>
        <rFont val="Arial"/>
        <family val="2"/>
      </rPr>
      <t xml:space="preserve">sw_OPP_min </t>
    </r>
    <r>
      <rPr>
        <sz val="11"/>
        <color theme="1"/>
        <rFont val="Arial"/>
        <family val="2"/>
      </rPr>
      <t>=</t>
    </r>
  </si>
  <si>
    <r>
      <t>f</t>
    </r>
    <r>
      <rPr>
        <vertAlign val="subscript"/>
        <sz val="11"/>
        <color theme="1"/>
        <rFont val="Arial"/>
        <family val="2"/>
      </rPr>
      <t xml:space="preserve">sw_min </t>
    </r>
    <r>
      <rPr>
        <sz val="11"/>
        <color theme="1"/>
        <rFont val="Arial"/>
        <family val="2"/>
      </rPr>
      <t>=</t>
    </r>
  </si>
  <si>
    <r>
      <t>Peak Current During Min Input, i</t>
    </r>
    <r>
      <rPr>
        <vertAlign val="subscript"/>
        <sz val="11"/>
        <color theme="1"/>
        <rFont val="Arial"/>
        <family val="2"/>
      </rPr>
      <t>pk_min</t>
    </r>
    <r>
      <rPr>
        <sz val="11"/>
        <color theme="1"/>
        <rFont val="Arial"/>
        <family val="2"/>
      </rPr>
      <t xml:space="preserve"> =</t>
    </r>
  </si>
  <si>
    <r>
      <t xml:space="preserve"> i</t>
    </r>
    <r>
      <rPr>
        <vertAlign val="subscript"/>
        <sz val="11"/>
        <color theme="1"/>
        <rFont val="Arial"/>
        <family val="2"/>
      </rPr>
      <t>pk_min</t>
    </r>
    <r>
      <rPr>
        <sz val="11"/>
        <color theme="1"/>
        <rFont val="Arial"/>
        <family val="2"/>
      </rPr>
      <t xml:space="preserve"> =</t>
    </r>
  </si>
  <si>
    <r>
      <t>Input Current at Min Input, I</t>
    </r>
    <r>
      <rPr>
        <vertAlign val="subscript"/>
        <sz val="11"/>
        <color theme="1"/>
        <rFont val="Arial"/>
        <family val="2"/>
      </rPr>
      <t xml:space="preserve">IN_OPP_min </t>
    </r>
    <r>
      <rPr>
        <sz val="11"/>
        <color theme="1"/>
        <rFont val="Arial"/>
        <family val="2"/>
      </rPr>
      <t>=</t>
    </r>
  </si>
  <si>
    <r>
      <t>I</t>
    </r>
    <r>
      <rPr>
        <vertAlign val="subscript"/>
        <sz val="11"/>
        <color theme="1"/>
        <rFont val="Arial"/>
        <family val="2"/>
      </rPr>
      <t xml:space="preserve">IN_min </t>
    </r>
    <r>
      <rPr>
        <sz val="11"/>
        <color theme="1"/>
        <rFont val="Arial"/>
        <family val="2"/>
      </rPr>
      <t>=</t>
    </r>
  </si>
  <si>
    <r>
      <t>Duty Cycle During Min Input, D</t>
    </r>
    <r>
      <rPr>
        <vertAlign val="subscript"/>
        <sz val="11"/>
        <color theme="1"/>
        <rFont val="Arial"/>
        <family val="2"/>
      </rPr>
      <t>OPP_min</t>
    </r>
    <r>
      <rPr>
        <sz val="11"/>
        <color theme="1"/>
        <rFont val="Arial"/>
        <family val="2"/>
      </rPr>
      <t xml:space="preserve"> =</t>
    </r>
  </si>
  <si>
    <r>
      <t xml:space="preserve"> D</t>
    </r>
    <r>
      <rPr>
        <vertAlign val="subscript"/>
        <sz val="11"/>
        <color theme="1"/>
        <rFont val="Arial"/>
        <family val="2"/>
      </rPr>
      <t xml:space="preserve">min </t>
    </r>
    <r>
      <rPr>
        <sz val="11"/>
        <color theme="1"/>
        <rFont val="Arial"/>
        <family val="2"/>
      </rPr>
      <t>=</t>
    </r>
  </si>
  <si>
    <r>
      <t>Coefficient for R</t>
    </r>
    <r>
      <rPr>
        <vertAlign val="subscript"/>
        <sz val="11"/>
        <color theme="1"/>
        <rFont val="Arial"/>
        <family val="2"/>
      </rPr>
      <t>bias1</t>
    </r>
    <r>
      <rPr>
        <sz val="11"/>
        <color theme="1"/>
        <rFont val="Arial"/>
        <family val="2"/>
      </rPr>
      <t>, K</t>
    </r>
    <r>
      <rPr>
        <vertAlign val="subscript"/>
        <sz val="11"/>
        <color theme="1"/>
        <rFont val="Arial"/>
        <family val="2"/>
      </rPr>
      <t>VC</t>
    </r>
    <r>
      <rPr>
        <sz val="11"/>
        <color theme="1"/>
        <rFont val="Arial"/>
        <family val="2"/>
      </rPr>
      <t xml:space="preserve"> =</t>
    </r>
  </si>
  <si>
    <r>
      <t>K</t>
    </r>
    <r>
      <rPr>
        <vertAlign val="subscript"/>
        <sz val="11"/>
        <color theme="1"/>
        <rFont val="Arial"/>
        <family val="2"/>
      </rPr>
      <t>VC</t>
    </r>
    <r>
      <rPr>
        <sz val="11"/>
        <color theme="1"/>
        <rFont val="Arial"/>
        <family val="2"/>
      </rPr>
      <t xml:space="preserve"> =</t>
    </r>
  </si>
  <si>
    <r>
      <t>C</t>
    </r>
    <r>
      <rPr>
        <vertAlign val="subscript"/>
        <sz val="11"/>
        <color theme="1"/>
        <rFont val="Arial"/>
        <family val="2"/>
      </rPr>
      <t>OSS_QH_T_vmax</t>
    </r>
    <r>
      <rPr>
        <sz val="11"/>
        <color theme="1"/>
        <rFont val="Arial"/>
        <family val="2"/>
      </rPr>
      <t xml:space="preserve"> =</t>
    </r>
  </si>
  <si>
    <r>
      <t>C</t>
    </r>
    <r>
      <rPr>
        <vertAlign val="subscript"/>
        <sz val="11"/>
        <color theme="1"/>
        <rFont val="Arial"/>
        <family val="2"/>
      </rPr>
      <t>OSS_QL_T_vmax</t>
    </r>
    <r>
      <rPr>
        <sz val="11"/>
        <color theme="1"/>
        <rFont val="Arial"/>
        <family val="2"/>
      </rPr>
      <t xml:space="preserve"> =</t>
    </r>
  </si>
  <si>
    <r>
      <t>C</t>
    </r>
    <r>
      <rPr>
        <vertAlign val="subscript"/>
        <sz val="11"/>
        <color theme="1"/>
        <rFont val="Arial"/>
        <family val="2"/>
      </rPr>
      <t>Tr_vmax</t>
    </r>
    <r>
      <rPr>
        <sz val="11"/>
        <color theme="1"/>
        <rFont val="Arial"/>
        <family val="2"/>
      </rPr>
      <t xml:space="preserve"> =</t>
    </r>
  </si>
  <si>
    <r>
      <t>C</t>
    </r>
    <r>
      <rPr>
        <vertAlign val="subscript"/>
        <sz val="11"/>
        <color theme="1"/>
        <rFont val="Arial"/>
        <family val="2"/>
      </rPr>
      <t>BootD_T_vmax</t>
    </r>
    <r>
      <rPr>
        <sz val="11"/>
        <color theme="1"/>
        <rFont val="Arial"/>
        <family val="2"/>
      </rPr>
      <t xml:space="preserve"> =</t>
    </r>
  </si>
  <si>
    <r>
      <t>C</t>
    </r>
    <r>
      <rPr>
        <vertAlign val="subscript"/>
        <sz val="11"/>
        <color theme="1"/>
        <rFont val="Arial"/>
        <family val="2"/>
      </rPr>
      <t xml:space="preserve">OSS_Qs_vmax </t>
    </r>
    <r>
      <rPr>
        <sz val="11"/>
        <color theme="1"/>
        <rFont val="Arial"/>
        <family val="2"/>
      </rPr>
      <t>=</t>
    </r>
  </si>
  <si>
    <r>
      <t>C</t>
    </r>
    <r>
      <rPr>
        <vertAlign val="subscript"/>
        <sz val="11"/>
        <color theme="1"/>
        <rFont val="Arial"/>
        <family val="2"/>
      </rPr>
      <t xml:space="preserve">OSS_SR_T_vmax </t>
    </r>
    <r>
      <rPr>
        <sz val="11"/>
        <color theme="1"/>
        <rFont val="Arial"/>
        <family val="2"/>
      </rPr>
      <t>=</t>
    </r>
  </si>
  <si>
    <r>
      <t>C</t>
    </r>
    <r>
      <rPr>
        <vertAlign val="subscript"/>
        <sz val="11"/>
        <color theme="1"/>
        <rFont val="Arial"/>
        <family val="2"/>
      </rPr>
      <t xml:space="preserve">_Daux_vmax </t>
    </r>
    <r>
      <rPr>
        <sz val="11"/>
        <color theme="1"/>
        <rFont val="Arial"/>
        <family val="2"/>
      </rPr>
      <t>=</t>
    </r>
  </si>
  <si>
    <r>
      <t>C</t>
    </r>
    <r>
      <rPr>
        <vertAlign val="subscript"/>
        <sz val="11"/>
        <color theme="1"/>
        <rFont val="Arial"/>
        <family val="2"/>
      </rPr>
      <t xml:space="preserve">SWN_T_vmax </t>
    </r>
    <r>
      <rPr>
        <sz val="11"/>
        <color theme="1"/>
        <rFont val="Arial"/>
        <family val="2"/>
      </rPr>
      <t>=</t>
    </r>
  </si>
  <si>
    <r>
      <t>C</t>
    </r>
    <r>
      <rPr>
        <vertAlign val="subscript"/>
        <sz val="11"/>
        <color theme="1"/>
        <rFont val="Arial"/>
        <family val="2"/>
      </rPr>
      <t>OSS_QH_T_vbur</t>
    </r>
    <r>
      <rPr>
        <sz val="11"/>
        <color theme="1"/>
        <rFont val="Arial"/>
        <family val="2"/>
      </rPr>
      <t xml:space="preserve"> =</t>
    </r>
  </si>
  <si>
    <r>
      <t>C</t>
    </r>
    <r>
      <rPr>
        <vertAlign val="subscript"/>
        <sz val="11"/>
        <color theme="1"/>
        <rFont val="Arial"/>
        <family val="2"/>
      </rPr>
      <t>OSS_QL_T_vbur</t>
    </r>
    <r>
      <rPr>
        <sz val="11"/>
        <color theme="1"/>
        <rFont val="Arial"/>
        <family val="2"/>
      </rPr>
      <t xml:space="preserve"> =</t>
    </r>
  </si>
  <si>
    <r>
      <t>C</t>
    </r>
    <r>
      <rPr>
        <vertAlign val="subscript"/>
        <sz val="11"/>
        <color theme="1"/>
        <rFont val="Arial"/>
        <family val="2"/>
      </rPr>
      <t>Tr_vbur</t>
    </r>
    <r>
      <rPr>
        <sz val="11"/>
        <color theme="1"/>
        <rFont val="Arial"/>
        <family val="2"/>
      </rPr>
      <t xml:space="preserve"> =</t>
    </r>
  </si>
  <si>
    <r>
      <t>C</t>
    </r>
    <r>
      <rPr>
        <vertAlign val="subscript"/>
        <sz val="11"/>
        <color theme="1"/>
        <rFont val="Arial"/>
        <family val="2"/>
      </rPr>
      <t>BootD_T_vbur</t>
    </r>
    <r>
      <rPr>
        <sz val="11"/>
        <color theme="1"/>
        <rFont val="Arial"/>
        <family val="2"/>
      </rPr>
      <t xml:space="preserve"> =</t>
    </r>
  </si>
  <si>
    <r>
      <t>C</t>
    </r>
    <r>
      <rPr>
        <vertAlign val="subscript"/>
        <sz val="11"/>
        <color theme="1"/>
        <rFont val="Arial"/>
        <family val="2"/>
      </rPr>
      <t xml:space="preserve">OSS_Qs_vbur </t>
    </r>
    <r>
      <rPr>
        <sz val="11"/>
        <color theme="1"/>
        <rFont val="Arial"/>
        <family val="2"/>
      </rPr>
      <t>=</t>
    </r>
  </si>
  <si>
    <r>
      <t>C</t>
    </r>
    <r>
      <rPr>
        <vertAlign val="subscript"/>
        <sz val="11"/>
        <color theme="1"/>
        <rFont val="Arial"/>
        <family val="2"/>
      </rPr>
      <t xml:space="preserve">OSS_SR_vbur </t>
    </r>
    <r>
      <rPr>
        <sz val="11"/>
        <color theme="1"/>
        <rFont val="Arial"/>
        <family val="2"/>
      </rPr>
      <t>=</t>
    </r>
  </si>
  <si>
    <r>
      <t>C</t>
    </r>
    <r>
      <rPr>
        <vertAlign val="subscript"/>
        <sz val="11"/>
        <color theme="1"/>
        <rFont val="Arial"/>
        <family val="2"/>
      </rPr>
      <t xml:space="preserve">_Daux_vbur </t>
    </r>
    <r>
      <rPr>
        <sz val="11"/>
        <color theme="1"/>
        <rFont val="Arial"/>
        <family val="2"/>
      </rPr>
      <t>=</t>
    </r>
  </si>
  <si>
    <r>
      <t>C</t>
    </r>
    <r>
      <rPr>
        <vertAlign val="subscript"/>
        <sz val="11"/>
        <color theme="1"/>
        <rFont val="Arial"/>
        <family val="2"/>
      </rPr>
      <t xml:space="preserve">SWN_T_vbur </t>
    </r>
    <r>
      <rPr>
        <sz val="11"/>
        <color theme="1"/>
        <rFont val="Arial"/>
        <family val="2"/>
      </rPr>
      <t>=</t>
    </r>
  </si>
  <si>
    <r>
      <t>C</t>
    </r>
    <r>
      <rPr>
        <vertAlign val="subscript"/>
        <sz val="11"/>
        <color theme="1"/>
        <rFont val="Arial"/>
        <family val="2"/>
      </rPr>
      <t>OSS_QH_T_vbi_30</t>
    </r>
    <r>
      <rPr>
        <sz val="11"/>
        <color theme="1"/>
        <rFont val="Arial"/>
        <family val="2"/>
      </rPr>
      <t xml:space="preserve"> =</t>
    </r>
  </si>
  <si>
    <r>
      <t>C</t>
    </r>
    <r>
      <rPr>
        <vertAlign val="subscript"/>
        <sz val="11"/>
        <color theme="1"/>
        <rFont val="Arial"/>
        <family val="2"/>
      </rPr>
      <t>OSS_QL_T_vbi_30</t>
    </r>
    <r>
      <rPr>
        <sz val="11"/>
        <color theme="1"/>
        <rFont val="Arial"/>
        <family val="2"/>
      </rPr>
      <t xml:space="preserve"> =</t>
    </r>
  </si>
  <si>
    <r>
      <t>C</t>
    </r>
    <r>
      <rPr>
        <vertAlign val="subscript"/>
        <sz val="11"/>
        <color theme="1"/>
        <rFont val="Arial"/>
        <family val="2"/>
      </rPr>
      <t>Tr_vbi_30</t>
    </r>
    <r>
      <rPr>
        <sz val="11"/>
        <color theme="1"/>
        <rFont val="Arial"/>
        <family val="2"/>
      </rPr>
      <t xml:space="preserve"> =</t>
    </r>
  </si>
  <si>
    <r>
      <t>C</t>
    </r>
    <r>
      <rPr>
        <vertAlign val="subscript"/>
        <sz val="11"/>
        <color theme="1"/>
        <rFont val="Arial"/>
        <family val="2"/>
      </rPr>
      <t>BootD_T_vbi_30</t>
    </r>
    <r>
      <rPr>
        <sz val="11"/>
        <color theme="1"/>
        <rFont val="Arial"/>
        <family val="2"/>
      </rPr>
      <t xml:space="preserve"> =</t>
    </r>
  </si>
  <si>
    <r>
      <t>C</t>
    </r>
    <r>
      <rPr>
        <vertAlign val="subscript"/>
        <sz val="11"/>
        <color theme="1"/>
        <rFont val="Arial"/>
        <family val="2"/>
      </rPr>
      <t xml:space="preserve">OSS_Qs_vbi_30 </t>
    </r>
    <r>
      <rPr>
        <sz val="11"/>
        <color theme="1"/>
        <rFont val="Arial"/>
        <family val="2"/>
      </rPr>
      <t>=</t>
    </r>
  </si>
  <si>
    <r>
      <t>C</t>
    </r>
    <r>
      <rPr>
        <vertAlign val="subscript"/>
        <sz val="11"/>
        <color theme="1"/>
        <rFont val="Arial"/>
        <family val="2"/>
      </rPr>
      <t xml:space="preserve">OSS_SR_vbi_30 </t>
    </r>
    <r>
      <rPr>
        <sz val="11"/>
        <color theme="1"/>
        <rFont val="Arial"/>
        <family val="2"/>
      </rPr>
      <t>=</t>
    </r>
  </si>
  <si>
    <r>
      <t>C</t>
    </r>
    <r>
      <rPr>
        <vertAlign val="subscript"/>
        <sz val="11"/>
        <color theme="1"/>
        <rFont val="Arial"/>
        <family val="2"/>
      </rPr>
      <t xml:space="preserve">_Daux_vbi_30 </t>
    </r>
    <r>
      <rPr>
        <sz val="11"/>
        <color theme="1"/>
        <rFont val="Arial"/>
        <family val="2"/>
      </rPr>
      <t>=</t>
    </r>
  </si>
  <si>
    <r>
      <t>C</t>
    </r>
    <r>
      <rPr>
        <vertAlign val="subscript"/>
        <sz val="11"/>
        <color theme="1"/>
        <rFont val="Arial"/>
        <family val="2"/>
      </rPr>
      <t xml:space="preserve">SWN_T_vbi_30 </t>
    </r>
    <r>
      <rPr>
        <sz val="11"/>
        <color theme="1"/>
        <rFont val="Arial"/>
        <family val="2"/>
      </rPr>
      <t>=</t>
    </r>
  </si>
  <si>
    <r>
      <t>C</t>
    </r>
    <r>
      <rPr>
        <vertAlign val="subscript"/>
        <sz val="11"/>
        <color theme="1"/>
        <rFont val="Arial"/>
        <family val="2"/>
      </rPr>
      <t>OSS_QH_T_vbi</t>
    </r>
    <r>
      <rPr>
        <sz val="11"/>
        <color theme="1"/>
        <rFont val="Arial"/>
        <family val="2"/>
      </rPr>
      <t xml:space="preserve"> =</t>
    </r>
  </si>
  <si>
    <r>
      <t>C</t>
    </r>
    <r>
      <rPr>
        <vertAlign val="subscript"/>
        <sz val="11"/>
        <color theme="1"/>
        <rFont val="Arial"/>
        <family val="2"/>
      </rPr>
      <t>OSS_QL_T_vbi</t>
    </r>
    <r>
      <rPr>
        <sz val="11"/>
        <color theme="1"/>
        <rFont val="Arial"/>
        <family val="2"/>
      </rPr>
      <t xml:space="preserve"> =</t>
    </r>
  </si>
  <si>
    <r>
      <t>C</t>
    </r>
    <r>
      <rPr>
        <vertAlign val="subscript"/>
        <sz val="11"/>
        <color theme="1"/>
        <rFont val="Arial"/>
        <family val="2"/>
      </rPr>
      <t>Tr_vbi</t>
    </r>
    <r>
      <rPr>
        <sz val="11"/>
        <color theme="1"/>
        <rFont val="Arial"/>
        <family val="2"/>
      </rPr>
      <t xml:space="preserve"> =</t>
    </r>
  </si>
  <si>
    <r>
      <t>C</t>
    </r>
    <r>
      <rPr>
        <vertAlign val="subscript"/>
        <sz val="11"/>
        <color theme="1"/>
        <rFont val="Arial"/>
        <family val="2"/>
      </rPr>
      <t>BootD_T_vbi</t>
    </r>
    <r>
      <rPr>
        <sz val="11"/>
        <color theme="1"/>
        <rFont val="Arial"/>
        <family val="2"/>
      </rPr>
      <t xml:space="preserve"> =</t>
    </r>
  </si>
  <si>
    <r>
      <t>C</t>
    </r>
    <r>
      <rPr>
        <vertAlign val="subscript"/>
        <sz val="11"/>
        <color theme="1"/>
        <rFont val="Arial"/>
        <family val="2"/>
      </rPr>
      <t xml:space="preserve">OSS_Qs_vbi </t>
    </r>
    <r>
      <rPr>
        <sz val="11"/>
        <color theme="1"/>
        <rFont val="Arial"/>
        <family val="2"/>
      </rPr>
      <t>=</t>
    </r>
  </si>
  <si>
    <r>
      <t>C</t>
    </r>
    <r>
      <rPr>
        <vertAlign val="subscript"/>
        <sz val="11"/>
        <color theme="1"/>
        <rFont val="Arial"/>
        <family val="2"/>
      </rPr>
      <t xml:space="preserve">OSS_SR_vbi </t>
    </r>
    <r>
      <rPr>
        <sz val="11"/>
        <color theme="1"/>
        <rFont val="Arial"/>
        <family val="2"/>
      </rPr>
      <t>=</t>
    </r>
  </si>
  <si>
    <r>
      <t>C</t>
    </r>
    <r>
      <rPr>
        <vertAlign val="subscript"/>
        <sz val="11"/>
        <color theme="1"/>
        <rFont val="Arial"/>
        <family val="2"/>
      </rPr>
      <t xml:space="preserve">_Daux_vbi </t>
    </r>
    <r>
      <rPr>
        <sz val="11"/>
        <color theme="1"/>
        <rFont val="Arial"/>
        <family val="2"/>
      </rPr>
      <t>=</t>
    </r>
  </si>
  <si>
    <r>
      <t>C</t>
    </r>
    <r>
      <rPr>
        <vertAlign val="subscript"/>
        <sz val="11"/>
        <color theme="1"/>
        <rFont val="Arial"/>
        <family val="2"/>
      </rPr>
      <t xml:space="preserve">SWN_T_vbi </t>
    </r>
    <r>
      <rPr>
        <sz val="11"/>
        <color theme="1"/>
        <rFont val="Arial"/>
        <family val="2"/>
      </rPr>
      <t>=</t>
    </r>
  </si>
  <si>
    <r>
      <t>C</t>
    </r>
    <r>
      <rPr>
        <vertAlign val="subscript"/>
        <sz val="11"/>
        <color theme="1"/>
        <rFont val="Arial"/>
        <family val="2"/>
      </rPr>
      <t>OSS_QH_T_vmin</t>
    </r>
    <r>
      <rPr>
        <sz val="11"/>
        <color theme="1"/>
        <rFont val="Arial"/>
        <family val="2"/>
      </rPr>
      <t xml:space="preserve"> =</t>
    </r>
  </si>
  <si>
    <r>
      <t>C</t>
    </r>
    <r>
      <rPr>
        <vertAlign val="subscript"/>
        <sz val="11"/>
        <color theme="1"/>
        <rFont val="Arial"/>
        <family val="2"/>
      </rPr>
      <t>OSS_QL_T_vmin</t>
    </r>
    <r>
      <rPr>
        <sz val="11"/>
        <color theme="1"/>
        <rFont val="Arial"/>
        <family val="2"/>
      </rPr>
      <t xml:space="preserve"> =</t>
    </r>
  </si>
  <si>
    <r>
      <t>C</t>
    </r>
    <r>
      <rPr>
        <vertAlign val="subscript"/>
        <sz val="11"/>
        <color theme="1"/>
        <rFont val="Arial"/>
        <family val="2"/>
      </rPr>
      <t>Tr_vmin</t>
    </r>
    <r>
      <rPr>
        <sz val="11"/>
        <color theme="1"/>
        <rFont val="Arial"/>
        <family val="2"/>
      </rPr>
      <t xml:space="preserve"> =</t>
    </r>
  </si>
  <si>
    <r>
      <t>C</t>
    </r>
    <r>
      <rPr>
        <vertAlign val="subscript"/>
        <sz val="11"/>
        <color theme="1"/>
        <rFont val="Arial"/>
        <family val="2"/>
      </rPr>
      <t>BootD_T_vmin</t>
    </r>
    <r>
      <rPr>
        <sz val="11"/>
        <color theme="1"/>
        <rFont val="Arial"/>
        <family val="2"/>
      </rPr>
      <t xml:space="preserve"> =</t>
    </r>
  </si>
  <si>
    <r>
      <t>C</t>
    </r>
    <r>
      <rPr>
        <vertAlign val="subscript"/>
        <sz val="11"/>
        <color theme="1"/>
        <rFont val="Arial"/>
        <family val="2"/>
      </rPr>
      <t xml:space="preserve">OSS_Qs_vmin </t>
    </r>
    <r>
      <rPr>
        <sz val="11"/>
        <color theme="1"/>
        <rFont val="Arial"/>
        <family val="2"/>
      </rPr>
      <t>=</t>
    </r>
  </si>
  <si>
    <r>
      <t>C</t>
    </r>
    <r>
      <rPr>
        <vertAlign val="subscript"/>
        <sz val="11"/>
        <color theme="1"/>
        <rFont val="Arial"/>
        <family val="2"/>
      </rPr>
      <t xml:space="preserve">OSS_SR_vmin </t>
    </r>
    <r>
      <rPr>
        <sz val="11"/>
        <color theme="1"/>
        <rFont val="Arial"/>
        <family val="2"/>
      </rPr>
      <t>=</t>
    </r>
  </si>
  <si>
    <r>
      <t>C</t>
    </r>
    <r>
      <rPr>
        <vertAlign val="subscript"/>
        <sz val="11"/>
        <color theme="1"/>
        <rFont val="Arial"/>
        <family val="2"/>
      </rPr>
      <t xml:space="preserve">_Daux_vmin </t>
    </r>
    <r>
      <rPr>
        <sz val="11"/>
        <color theme="1"/>
        <rFont val="Arial"/>
        <family val="2"/>
      </rPr>
      <t>=</t>
    </r>
  </si>
  <si>
    <r>
      <t>C</t>
    </r>
    <r>
      <rPr>
        <vertAlign val="subscript"/>
        <sz val="11"/>
        <color theme="1"/>
        <rFont val="Arial"/>
        <family val="2"/>
      </rPr>
      <t xml:space="preserve">SWN_T_vmin </t>
    </r>
    <r>
      <rPr>
        <sz val="11"/>
        <color theme="1"/>
        <rFont val="Arial"/>
        <family val="2"/>
      </rPr>
      <t>=</t>
    </r>
  </si>
  <si>
    <r>
      <t>Adjustment factor of "Vin" for I</t>
    </r>
    <r>
      <rPr>
        <vertAlign val="subscript"/>
        <sz val="11"/>
        <color theme="1"/>
        <rFont val="Arial"/>
        <family val="2"/>
      </rPr>
      <t>VSL</t>
    </r>
    <r>
      <rPr>
        <sz val="11"/>
        <color theme="1"/>
        <rFont val="Arial"/>
        <family val="2"/>
      </rPr>
      <t xml:space="preserve"> at start-up other than V</t>
    </r>
    <r>
      <rPr>
        <vertAlign val="subscript"/>
        <sz val="11"/>
        <color theme="1"/>
        <rFont val="Arial"/>
        <family val="2"/>
      </rPr>
      <t>BULK</t>
    </r>
    <r>
      <rPr>
        <sz val="11"/>
        <color theme="1"/>
        <rFont val="Arial"/>
        <family val="2"/>
      </rPr>
      <t>=106V</t>
    </r>
  </si>
  <si>
    <r>
      <t>K</t>
    </r>
    <r>
      <rPr>
        <vertAlign val="subscript"/>
        <sz val="11"/>
        <color theme="1"/>
        <rFont val="Arial"/>
        <family val="2"/>
      </rPr>
      <t xml:space="preserve">VSL </t>
    </r>
    <r>
      <rPr>
        <sz val="11"/>
        <color theme="1"/>
        <rFont val="Arial"/>
        <family val="2"/>
      </rPr>
      <t>=</t>
    </r>
  </si>
  <si>
    <r>
      <t>Adjusted value of V</t>
    </r>
    <r>
      <rPr>
        <vertAlign val="subscript"/>
        <sz val="11"/>
        <color theme="1"/>
        <rFont val="Arial"/>
        <family val="2"/>
      </rPr>
      <t>CST_OPP</t>
    </r>
    <r>
      <rPr>
        <sz val="11"/>
        <color theme="1"/>
        <rFont val="Arial"/>
        <family val="2"/>
      </rPr>
      <t xml:space="preserve"> curve at V</t>
    </r>
    <r>
      <rPr>
        <vertAlign val="subscript"/>
        <sz val="11"/>
        <color theme="1"/>
        <rFont val="Arial"/>
        <family val="2"/>
      </rPr>
      <t>BULK_min_tgt</t>
    </r>
    <r>
      <rPr>
        <sz val="11"/>
        <color theme="1"/>
        <rFont val="Arial"/>
        <family val="2"/>
      </rPr>
      <t xml:space="preserve">  </t>
    </r>
  </si>
  <si>
    <r>
      <t>V</t>
    </r>
    <r>
      <rPr>
        <vertAlign val="subscript"/>
        <sz val="11"/>
        <color theme="1"/>
        <rFont val="Arial"/>
        <family val="2"/>
      </rPr>
      <t>CST_OPP_adj_Rcs</t>
    </r>
    <r>
      <rPr>
        <sz val="11"/>
        <color theme="1"/>
        <rFont val="Arial"/>
        <family val="2"/>
      </rPr>
      <t xml:space="preserve"> =</t>
    </r>
  </si>
  <si>
    <r>
      <t>Adjusted value of V</t>
    </r>
    <r>
      <rPr>
        <vertAlign val="subscript"/>
        <sz val="11"/>
        <color theme="1"/>
        <rFont val="Arial"/>
        <family val="2"/>
      </rPr>
      <t>CST_OPP</t>
    </r>
    <r>
      <rPr>
        <sz val="11"/>
        <color theme="1"/>
        <rFont val="Arial"/>
        <family val="2"/>
      </rPr>
      <t xml:space="preserve"> curve at V</t>
    </r>
    <r>
      <rPr>
        <vertAlign val="subscript"/>
        <sz val="11"/>
        <color theme="1"/>
        <rFont val="Arial"/>
        <family val="2"/>
      </rPr>
      <t>In_max</t>
    </r>
    <r>
      <rPr>
        <sz val="11"/>
        <color theme="1"/>
        <rFont val="Arial"/>
        <family val="2"/>
      </rPr>
      <t xml:space="preserve">  </t>
    </r>
  </si>
  <si>
    <r>
      <t>V</t>
    </r>
    <r>
      <rPr>
        <vertAlign val="subscript"/>
        <sz val="11"/>
        <color theme="1"/>
        <rFont val="Arial"/>
        <family val="2"/>
      </rPr>
      <t>CST_OPP_adj_Ropp</t>
    </r>
    <r>
      <rPr>
        <sz val="11"/>
        <color theme="1"/>
        <rFont val="Arial"/>
        <family val="2"/>
      </rPr>
      <t xml:space="preserve"> =</t>
    </r>
  </si>
  <si>
    <r>
      <t>Negative Magnetizing Inductor Current at Start,
 I</t>
    </r>
    <r>
      <rPr>
        <vertAlign val="subscript"/>
        <sz val="11"/>
        <color theme="1"/>
        <rFont val="Arial"/>
        <family val="2"/>
      </rPr>
      <t xml:space="preserve">M_nega_start </t>
    </r>
    <r>
      <rPr>
        <sz val="11"/>
        <color theme="1"/>
        <rFont val="Arial"/>
        <family val="2"/>
      </rPr>
      <t>=</t>
    </r>
  </si>
  <si>
    <r>
      <t>I</t>
    </r>
    <r>
      <rPr>
        <vertAlign val="subscript"/>
        <sz val="11"/>
        <color theme="1"/>
        <rFont val="Arial"/>
        <family val="2"/>
      </rPr>
      <t xml:space="preserve">M_nega_start </t>
    </r>
    <r>
      <rPr>
        <sz val="11"/>
        <color theme="1"/>
        <rFont val="Arial"/>
        <family val="2"/>
      </rPr>
      <t>=</t>
    </r>
  </si>
  <si>
    <r>
      <t>Switching Frequency During OPP at Start, f</t>
    </r>
    <r>
      <rPr>
        <vertAlign val="subscript"/>
        <sz val="11"/>
        <color theme="1"/>
        <rFont val="Arial"/>
        <family val="2"/>
      </rPr>
      <t xml:space="preserve">sw_OPP_start </t>
    </r>
    <r>
      <rPr>
        <sz val="11"/>
        <color theme="1"/>
        <rFont val="Arial"/>
        <family val="2"/>
      </rPr>
      <t>=</t>
    </r>
  </si>
  <si>
    <r>
      <t>f</t>
    </r>
    <r>
      <rPr>
        <vertAlign val="subscript"/>
        <sz val="11"/>
        <color theme="1"/>
        <rFont val="Arial"/>
        <family val="2"/>
      </rPr>
      <t xml:space="preserve">sw_OPP_start </t>
    </r>
    <r>
      <rPr>
        <sz val="11"/>
        <color theme="1"/>
        <rFont val="Arial"/>
        <family val="2"/>
      </rPr>
      <t>=</t>
    </r>
  </si>
  <si>
    <r>
      <t>Peak Current During OPP at Start, i</t>
    </r>
    <r>
      <rPr>
        <vertAlign val="subscript"/>
        <sz val="11"/>
        <color theme="1"/>
        <rFont val="Arial"/>
        <family val="2"/>
      </rPr>
      <t>pk_OPP_start</t>
    </r>
    <r>
      <rPr>
        <sz val="11"/>
        <color theme="1"/>
        <rFont val="Arial"/>
        <family val="2"/>
      </rPr>
      <t xml:space="preserve"> =</t>
    </r>
  </si>
  <si>
    <r>
      <t xml:space="preserve"> i</t>
    </r>
    <r>
      <rPr>
        <vertAlign val="subscript"/>
        <sz val="11"/>
        <color theme="1"/>
        <rFont val="Arial"/>
        <family val="2"/>
      </rPr>
      <t>pk_OPP_start</t>
    </r>
    <r>
      <rPr>
        <sz val="11"/>
        <color theme="1"/>
        <rFont val="Arial"/>
        <family val="2"/>
      </rPr>
      <t xml:space="preserve"> =</t>
    </r>
  </si>
  <si>
    <r>
      <t>OPP Input Current at Start, I</t>
    </r>
    <r>
      <rPr>
        <vertAlign val="subscript"/>
        <sz val="11"/>
        <color theme="1"/>
        <rFont val="Arial"/>
        <family val="2"/>
      </rPr>
      <t xml:space="preserve">IN_OPP_start </t>
    </r>
    <r>
      <rPr>
        <sz val="11"/>
        <color theme="1"/>
        <rFont val="Arial"/>
        <family val="2"/>
      </rPr>
      <t>=</t>
    </r>
  </si>
  <si>
    <r>
      <t>I</t>
    </r>
    <r>
      <rPr>
        <vertAlign val="subscript"/>
        <sz val="11"/>
        <color theme="1"/>
        <rFont val="Arial"/>
        <family val="2"/>
      </rPr>
      <t xml:space="preserve">IN_OPP_start </t>
    </r>
    <r>
      <rPr>
        <sz val="11"/>
        <color theme="1"/>
        <rFont val="Arial"/>
        <family val="2"/>
      </rPr>
      <t>=</t>
    </r>
  </si>
  <si>
    <r>
      <t>Duty Cycle During OPP at Start, D</t>
    </r>
    <r>
      <rPr>
        <vertAlign val="subscript"/>
        <sz val="11"/>
        <color theme="1"/>
        <rFont val="Arial"/>
        <family val="2"/>
      </rPr>
      <t>OPP_start</t>
    </r>
    <r>
      <rPr>
        <sz val="11"/>
        <color theme="1"/>
        <rFont val="Arial"/>
        <family val="2"/>
      </rPr>
      <t xml:space="preserve"> =</t>
    </r>
  </si>
  <si>
    <r>
      <t xml:space="preserve"> D</t>
    </r>
    <r>
      <rPr>
        <vertAlign val="subscript"/>
        <sz val="11"/>
        <color theme="1"/>
        <rFont val="Arial"/>
        <family val="2"/>
      </rPr>
      <t xml:space="preserve">OPP_start </t>
    </r>
    <r>
      <rPr>
        <sz val="11"/>
        <color theme="1"/>
        <rFont val="Arial"/>
        <family val="2"/>
      </rPr>
      <t>=</t>
    </r>
  </si>
  <si>
    <r>
      <t>Driver Require Current, I</t>
    </r>
    <r>
      <rPr>
        <vertAlign val="subscript"/>
        <sz val="11"/>
        <color theme="1"/>
        <rFont val="Arial"/>
        <family val="2"/>
      </rPr>
      <t>VCC_SW</t>
    </r>
    <r>
      <rPr>
        <sz val="11"/>
        <color theme="1"/>
        <rFont val="Arial"/>
        <family val="2"/>
      </rPr>
      <t xml:space="preserve"> =</t>
    </r>
  </si>
  <si>
    <r>
      <t>I</t>
    </r>
    <r>
      <rPr>
        <vertAlign val="subscript"/>
        <sz val="11"/>
        <color theme="1"/>
        <rFont val="Arial"/>
        <family val="2"/>
      </rPr>
      <t>VCC_sw</t>
    </r>
    <r>
      <rPr>
        <sz val="11"/>
        <color theme="1"/>
        <rFont val="Arial"/>
        <family val="2"/>
      </rPr>
      <t xml:space="preserve"> =</t>
    </r>
  </si>
  <si>
    <r>
      <t>Driver Charge, Q</t>
    </r>
    <r>
      <rPr>
        <vertAlign val="subscript"/>
        <sz val="11"/>
        <color theme="1"/>
        <rFont val="Arial"/>
        <family val="2"/>
      </rPr>
      <t>g_Qh</t>
    </r>
    <r>
      <rPr>
        <sz val="11"/>
        <color theme="1"/>
        <rFont val="Arial"/>
        <family val="2"/>
      </rPr>
      <t xml:space="preserve"> =</t>
    </r>
  </si>
  <si>
    <r>
      <t>Q</t>
    </r>
    <r>
      <rPr>
        <vertAlign val="subscript"/>
        <sz val="11"/>
        <color theme="1"/>
        <rFont val="Arial"/>
        <family val="2"/>
      </rPr>
      <t>g_Qh</t>
    </r>
    <r>
      <rPr>
        <sz val="11"/>
        <color theme="1"/>
        <rFont val="Arial"/>
        <family val="2"/>
      </rPr>
      <t xml:space="preserve"> =</t>
    </r>
  </si>
  <si>
    <r>
      <t>Negative Magnetizing Inductor Current at BUR and Min Input, I</t>
    </r>
    <r>
      <rPr>
        <vertAlign val="subscript"/>
        <sz val="11"/>
        <color theme="1"/>
        <rFont val="Arial"/>
        <family val="2"/>
      </rPr>
      <t xml:space="preserve">M_nega_BUR_min </t>
    </r>
    <r>
      <rPr>
        <sz val="11"/>
        <color theme="1"/>
        <rFont val="Arial"/>
        <family val="2"/>
      </rPr>
      <t>=</t>
    </r>
  </si>
  <si>
    <r>
      <t>I</t>
    </r>
    <r>
      <rPr>
        <vertAlign val="subscript"/>
        <sz val="11"/>
        <color theme="1"/>
        <rFont val="Arial"/>
        <family val="2"/>
      </rPr>
      <t xml:space="preserve">M_nega_BUR_min </t>
    </r>
    <r>
      <rPr>
        <sz val="11"/>
        <color theme="1"/>
        <rFont val="Arial"/>
        <family val="2"/>
      </rPr>
      <t>=</t>
    </r>
  </si>
  <si>
    <r>
      <t>Switching Frequency During BUR and Min Input, f</t>
    </r>
    <r>
      <rPr>
        <vertAlign val="subscript"/>
        <sz val="11"/>
        <color theme="1"/>
        <rFont val="Arial"/>
        <family val="2"/>
      </rPr>
      <t xml:space="preserve">sw_BUR_min </t>
    </r>
    <r>
      <rPr>
        <sz val="11"/>
        <color theme="1"/>
        <rFont val="Arial"/>
        <family val="2"/>
      </rPr>
      <t>=</t>
    </r>
  </si>
  <si>
    <r>
      <t>f</t>
    </r>
    <r>
      <rPr>
        <vertAlign val="subscript"/>
        <sz val="11"/>
        <color theme="1"/>
        <rFont val="Arial"/>
        <family val="2"/>
      </rPr>
      <t xml:space="preserve">sw_BUR_min </t>
    </r>
    <r>
      <rPr>
        <sz val="11"/>
        <color theme="1"/>
        <rFont val="Arial"/>
        <family val="2"/>
      </rPr>
      <t>=</t>
    </r>
  </si>
  <si>
    <r>
      <t>Peak Current During BUR and Min Input, i</t>
    </r>
    <r>
      <rPr>
        <vertAlign val="subscript"/>
        <sz val="11"/>
        <color theme="1"/>
        <rFont val="Arial"/>
        <family val="2"/>
      </rPr>
      <t>pk_BUR_min</t>
    </r>
    <r>
      <rPr>
        <sz val="11"/>
        <color theme="1"/>
        <rFont val="Arial"/>
        <family val="2"/>
      </rPr>
      <t xml:space="preserve"> =</t>
    </r>
  </si>
  <si>
    <r>
      <t xml:space="preserve"> i</t>
    </r>
    <r>
      <rPr>
        <vertAlign val="subscript"/>
        <sz val="11"/>
        <color theme="1"/>
        <rFont val="Arial"/>
        <family val="2"/>
      </rPr>
      <t>pk_BUR_min</t>
    </r>
    <r>
      <rPr>
        <sz val="11"/>
        <color theme="1"/>
        <rFont val="Arial"/>
        <family val="2"/>
      </rPr>
      <t xml:space="preserve"> =</t>
    </r>
  </si>
  <si>
    <r>
      <t>Duty Cycle During BUR and Min Input, D</t>
    </r>
    <r>
      <rPr>
        <vertAlign val="subscript"/>
        <sz val="11"/>
        <color theme="1"/>
        <rFont val="Arial"/>
        <family val="2"/>
      </rPr>
      <t>OPP_BUR_min</t>
    </r>
    <r>
      <rPr>
        <sz val="11"/>
        <color theme="1"/>
        <rFont val="Arial"/>
        <family val="2"/>
      </rPr>
      <t xml:space="preserve"> =</t>
    </r>
  </si>
  <si>
    <r>
      <t xml:space="preserve"> D</t>
    </r>
    <r>
      <rPr>
        <vertAlign val="subscript"/>
        <sz val="11"/>
        <color theme="1"/>
        <rFont val="Arial"/>
        <family val="2"/>
      </rPr>
      <t xml:space="preserve">BUR_min </t>
    </r>
    <r>
      <rPr>
        <sz val="11"/>
        <color theme="1"/>
        <rFont val="Arial"/>
        <family val="2"/>
      </rPr>
      <t>=</t>
    </r>
  </si>
  <si>
    <r>
      <t>OPP Input Current at BUR and Min Input, I</t>
    </r>
    <r>
      <rPr>
        <vertAlign val="subscript"/>
        <sz val="11"/>
        <color theme="1"/>
        <rFont val="Arial"/>
        <family val="2"/>
      </rPr>
      <t xml:space="preserve">IN_BUR_min </t>
    </r>
    <r>
      <rPr>
        <sz val="11"/>
        <color theme="1"/>
        <rFont val="Arial"/>
        <family val="2"/>
      </rPr>
      <t>=</t>
    </r>
  </si>
  <si>
    <r>
      <t>I</t>
    </r>
    <r>
      <rPr>
        <vertAlign val="subscript"/>
        <sz val="11"/>
        <color theme="1"/>
        <rFont val="Arial"/>
        <family val="2"/>
      </rPr>
      <t xml:space="preserve">IN_BUR_min </t>
    </r>
    <r>
      <rPr>
        <sz val="11"/>
        <color theme="1"/>
        <rFont val="Arial"/>
        <family val="2"/>
      </rPr>
      <t>=</t>
    </r>
  </si>
  <si>
    <r>
      <t>Rising Time, T</t>
    </r>
    <r>
      <rPr>
        <vertAlign val="subscript"/>
        <sz val="11"/>
        <color theme="1"/>
        <rFont val="Arial"/>
        <family val="2"/>
      </rPr>
      <t>rise_max</t>
    </r>
    <r>
      <rPr>
        <sz val="11"/>
        <color theme="1"/>
        <rFont val="Arial"/>
        <family val="2"/>
      </rPr>
      <t xml:space="preserve"> =</t>
    </r>
  </si>
  <si>
    <r>
      <t>T</t>
    </r>
    <r>
      <rPr>
        <vertAlign val="subscript"/>
        <sz val="11"/>
        <color theme="1"/>
        <rFont val="Arial"/>
        <family val="2"/>
      </rPr>
      <t>rise_max</t>
    </r>
    <r>
      <rPr>
        <sz val="11"/>
        <color theme="1"/>
        <rFont val="Arial"/>
        <family val="2"/>
      </rPr>
      <t xml:space="preserve"> =</t>
    </r>
  </si>
  <si>
    <r>
      <t>Negative Magnetizing Inductor Current at BUR, I</t>
    </r>
    <r>
      <rPr>
        <vertAlign val="subscript"/>
        <sz val="11"/>
        <color theme="1"/>
        <rFont val="Arial"/>
        <family val="2"/>
      </rPr>
      <t xml:space="preserve">M_nega_BUR </t>
    </r>
    <r>
      <rPr>
        <sz val="11"/>
        <color theme="1"/>
        <rFont val="Arial"/>
        <family val="2"/>
      </rPr>
      <t>=</t>
    </r>
  </si>
  <si>
    <r>
      <t>I</t>
    </r>
    <r>
      <rPr>
        <vertAlign val="subscript"/>
        <sz val="11"/>
        <color theme="1"/>
        <rFont val="Arial"/>
        <family val="2"/>
      </rPr>
      <t xml:space="preserve">M_nega_BUR </t>
    </r>
    <r>
      <rPr>
        <sz val="11"/>
        <color theme="1"/>
        <rFont val="Arial"/>
        <family val="2"/>
      </rPr>
      <t>=</t>
    </r>
  </si>
  <si>
    <r>
      <t>Switching Frequency During BUR, f</t>
    </r>
    <r>
      <rPr>
        <vertAlign val="subscript"/>
        <sz val="11"/>
        <color theme="1"/>
        <rFont val="Arial"/>
        <family val="2"/>
      </rPr>
      <t xml:space="preserve">sw_OPP_BUR </t>
    </r>
    <r>
      <rPr>
        <sz val="11"/>
        <color theme="1"/>
        <rFont val="Arial"/>
        <family val="2"/>
      </rPr>
      <t>=</t>
    </r>
  </si>
  <si>
    <r>
      <t>f</t>
    </r>
    <r>
      <rPr>
        <vertAlign val="subscript"/>
        <sz val="11"/>
        <color theme="1"/>
        <rFont val="Arial"/>
        <family val="2"/>
      </rPr>
      <t xml:space="preserve">sw_BUR </t>
    </r>
    <r>
      <rPr>
        <sz val="11"/>
        <color theme="1"/>
        <rFont val="Arial"/>
        <family val="2"/>
      </rPr>
      <t>=</t>
    </r>
  </si>
  <si>
    <r>
      <t>Peak Current During BUR, i</t>
    </r>
    <r>
      <rPr>
        <vertAlign val="subscript"/>
        <sz val="11"/>
        <color theme="1"/>
        <rFont val="Arial"/>
        <family val="2"/>
      </rPr>
      <t>pk_BUR</t>
    </r>
    <r>
      <rPr>
        <sz val="11"/>
        <color theme="1"/>
        <rFont val="Arial"/>
        <family val="2"/>
      </rPr>
      <t xml:space="preserve"> =</t>
    </r>
  </si>
  <si>
    <r>
      <t xml:space="preserve"> i</t>
    </r>
    <r>
      <rPr>
        <vertAlign val="subscript"/>
        <sz val="11"/>
        <color theme="1"/>
        <rFont val="Arial"/>
        <family val="2"/>
      </rPr>
      <t>pk_BUR</t>
    </r>
    <r>
      <rPr>
        <sz val="11"/>
        <color theme="1"/>
        <rFont val="Arial"/>
        <family val="2"/>
      </rPr>
      <t xml:space="preserve"> =</t>
    </r>
  </si>
  <si>
    <r>
      <t>Turn-off Delay Time due to Coss of low-side MOSFET at i</t>
    </r>
    <r>
      <rPr>
        <vertAlign val="subscript"/>
        <sz val="11"/>
        <color theme="1"/>
        <rFont val="Arial"/>
        <family val="2"/>
      </rPr>
      <t>pk_BUR</t>
    </r>
  </si>
  <si>
    <r>
      <t>T</t>
    </r>
    <r>
      <rPr>
        <vertAlign val="subscript"/>
        <sz val="11"/>
        <color theme="1"/>
        <rFont val="Arial"/>
        <family val="2"/>
      </rPr>
      <t>D_Ql_Coss_BUR</t>
    </r>
    <r>
      <rPr>
        <sz val="11"/>
        <color theme="1"/>
        <rFont val="Arial"/>
        <family val="2"/>
      </rPr>
      <t xml:space="preserve"> =</t>
    </r>
  </si>
  <si>
    <r>
      <t>Sum of Peak Current Loop Delay at i</t>
    </r>
    <r>
      <rPr>
        <vertAlign val="subscript"/>
        <sz val="11"/>
        <color theme="1"/>
        <rFont val="Arial"/>
        <family val="2"/>
      </rPr>
      <t>pk_BUR</t>
    </r>
  </si>
  <si>
    <r>
      <t>t</t>
    </r>
    <r>
      <rPr>
        <vertAlign val="subscript"/>
        <sz val="11"/>
        <color theme="1"/>
        <rFont val="Arial"/>
        <family val="2"/>
      </rPr>
      <t>D_CST_BUR</t>
    </r>
    <r>
      <rPr>
        <sz val="11"/>
        <color theme="1"/>
        <rFont val="Arial"/>
        <family val="2"/>
      </rPr>
      <t xml:space="preserve"> =</t>
    </r>
  </si>
  <si>
    <r>
      <t>Duty Cycle During BUR, D</t>
    </r>
    <r>
      <rPr>
        <vertAlign val="subscript"/>
        <sz val="11"/>
        <color theme="1"/>
        <rFont val="Arial"/>
        <family val="2"/>
      </rPr>
      <t>OPP_BUR</t>
    </r>
    <r>
      <rPr>
        <sz val="11"/>
        <color theme="1"/>
        <rFont val="Arial"/>
        <family val="2"/>
      </rPr>
      <t xml:space="preserve"> =</t>
    </r>
  </si>
  <si>
    <r>
      <t xml:space="preserve"> D</t>
    </r>
    <r>
      <rPr>
        <vertAlign val="subscript"/>
        <sz val="11"/>
        <color theme="1"/>
        <rFont val="Arial"/>
        <family val="2"/>
      </rPr>
      <t xml:space="preserve">BUR </t>
    </r>
    <r>
      <rPr>
        <sz val="11"/>
        <color theme="1"/>
        <rFont val="Arial"/>
        <family val="2"/>
      </rPr>
      <t>=</t>
    </r>
  </si>
  <si>
    <r>
      <t>OPP Input Current at BUR, I</t>
    </r>
    <r>
      <rPr>
        <vertAlign val="subscript"/>
        <sz val="11"/>
        <color theme="1"/>
        <rFont val="Arial"/>
        <family val="2"/>
      </rPr>
      <t xml:space="preserve">IN_OPP_BUR </t>
    </r>
    <r>
      <rPr>
        <sz val="11"/>
        <color theme="1"/>
        <rFont val="Arial"/>
        <family val="2"/>
      </rPr>
      <t>=</t>
    </r>
  </si>
  <si>
    <r>
      <t>I</t>
    </r>
    <r>
      <rPr>
        <vertAlign val="subscript"/>
        <sz val="11"/>
        <color theme="1"/>
        <rFont val="Arial"/>
        <family val="2"/>
      </rPr>
      <t xml:space="preserve">IN_BUR </t>
    </r>
    <r>
      <rPr>
        <sz val="11"/>
        <color theme="1"/>
        <rFont val="Arial"/>
        <family val="2"/>
      </rPr>
      <t>=</t>
    </r>
  </si>
  <si>
    <r>
      <t>Line Sensing Current at BUR, i</t>
    </r>
    <r>
      <rPr>
        <vertAlign val="subscript"/>
        <sz val="11"/>
        <color theme="1"/>
        <rFont val="Arial"/>
        <family val="2"/>
      </rPr>
      <t>VSL_BUR</t>
    </r>
    <r>
      <rPr>
        <sz val="11"/>
        <color theme="1"/>
        <rFont val="Arial"/>
        <family val="2"/>
      </rPr>
      <t xml:space="preserve"> =</t>
    </r>
  </si>
  <si>
    <r>
      <t>i</t>
    </r>
    <r>
      <rPr>
        <vertAlign val="subscript"/>
        <sz val="11"/>
        <color theme="1"/>
        <rFont val="Arial"/>
        <family val="2"/>
      </rPr>
      <t>VSL_BUR</t>
    </r>
    <r>
      <rPr>
        <sz val="11"/>
        <color theme="1"/>
        <rFont val="Arial"/>
        <family val="2"/>
      </rPr>
      <t xml:space="preserve"> =</t>
    </r>
  </si>
  <si>
    <r>
      <t>T</t>
    </r>
    <r>
      <rPr>
        <vertAlign val="subscript"/>
        <sz val="11"/>
        <color theme="1"/>
        <rFont val="Arial"/>
        <family val="2"/>
      </rPr>
      <t>D_Ql_Coss_vmax</t>
    </r>
    <r>
      <rPr>
        <sz val="11"/>
        <color theme="1"/>
        <rFont val="Arial"/>
        <family val="2"/>
      </rPr>
      <t xml:space="preserve"> =</t>
    </r>
  </si>
  <si>
    <r>
      <t>Sum of Peak Current Loop Delay, t</t>
    </r>
    <r>
      <rPr>
        <vertAlign val="subscript"/>
        <sz val="11"/>
        <color theme="1"/>
        <rFont val="Arial"/>
        <family val="2"/>
      </rPr>
      <t>D_CST</t>
    </r>
    <r>
      <rPr>
        <sz val="11"/>
        <color theme="1"/>
        <rFont val="Arial"/>
        <family val="2"/>
      </rPr>
      <t>_vmax =</t>
    </r>
  </si>
  <si>
    <r>
      <t xml:space="preserve"> t</t>
    </r>
    <r>
      <rPr>
        <vertAlign val="subscript"/>
        <sz val="11"/>
        <color theme="1"/>
        <rFont val="Arial"/>
        <family val="2"/>
      </rPr>
      <t>D_CST_vmax</t>
    </r>
    <r>
      <rPr>
        <sz val="11"/>
        <color theme="1"/>
        <rFont val="Arial"/>
        <family val="2"/>
      </rPr>
      <t xml:space="preserve"> =</t>
    </r>
  </si>
  <si>
    <r>
      <t>Negative Magnetizing Inductor Current at Max, I</t>
    </r>
    <r>
      <rPr>
        <vertAlign val="subscript"/>
        <sz val="11"/>
        <color theme="1"/>
        <rFont val="Arial"/>
        <family val="2"/>
      </rPr>
      <t xml:space="preserve">M_nega_max </t>
    </r>
    <r>
      <rPr>
        <sz val="11"/>
        <color theme="1"/>
        <rFont val="Arial"/>
        <family val="2"/>
      </rPr>
      <t>=</t>
    </r>
  </si>
  <si>
    <r>
      <t>I</t>
    </r>
    <r>
      <rPr>
        <vertAlign val="subscript"/>
        <sz val="11"/>
        <color theme="1"/>
        <rFont val="Arial"/>
        <family val="2"/>
      </rPr>
      <t xml:space="preserve">M_nega_max </t>
    </r>
    <r>
      <rPr>
        <sz val="11"/>
        <color theme="1"/>
        <rFont val="Arial"/>
        <family val="2"/>
      </rPr>
      <t>=</t>
    </r>
  </si>
  <si>
    <r>
      <t>Switching Frequency During OPP at Max, f</t>
    </r>
    <r>
      <rPr>
        <vertAlign val="subscript"/>
        <sz val="11"/>
        <color theme="1"/>
        <rFont val="Arial"/>
        <family val="2"/>
      </rPr>
      <t xml:space="preserve">sw_OPP_max </t>
    </r>
    <r>
      <rPr>
        <sz val="11"/>
        <color theme="1"/>
        <rFont val="Arial"/>
        <family val="2"/>
      </rPr>
      <t>=</t>
    </r>
  </si>
  <si>
    <r>
      <t>f</t>
    </r>
    <r>
      <rPr>
        <vertAlign val="subscript"/>
        <sz val="11"/>
        <color theme="1"/>
        <rFont val="Arial"/>
        <family val="2"/>
      </rPr>
      <t xml:space="preserve">sw_OPP_max </t>
    </r>
    <r>
      <rPr>
        <sz val="11"/>
        <color theme="1"/>
        <rFont val="Arial"/>
        <family val="2"/>
      </rPr>
      <t>=</t>
    </r>
  </si>
  <si>
    <r>
      <t>Peak Current During OPP at Max Input, i</t>
    </r>
    <r>
      <rPr>
        <vertAlign val="subscript"/>
        <sz val="11"/>
        <color theme="1"/>
        <rFont val="Arial"/>
        <family val="2"/>
      </rPr>
      <t>pk_OPP_max</t>
    </r>
    <r>
      <rPr>
        <sz val="11"/>
        <color theme="1"/>
        <rFont val="Arial"/>
        <family val="2"/>
      </rPr>
      <t xml:space="preserve"> =</t>
    </r>
  </si>
  <si>
    <r>
      <t xml:space="preserve"> i</t>
    </r>
    <r>
      <rPr>
        <vertAlign val="subscript"/>
        <sz val="11"/>
        <color theme="1"/>
        <rFont val="Arial"/>
        <family val="2"/>
      </rPr>
      <t>pk_OPP_max</t>
    </r>
    <r>
      <rPr>
        <sz val="11"/>
        <color theme="1"/>
        <rFont val="Arial"/>
        <family val="2"/>
      </rPr>
      <t xml:space="preserve"> =</t>
    </r>
  </si>
  <si>
    <r>
      <t>Duty Cycle During OPP at Max Input, D</t>
    </r>
    <r>
      <rPr>
        <vertAlign val="subscript"/>
        <sz val="11"/>
        <color theme="1"/>
        <rFont val="Arial"/>
        <family val="2"/>
      </rPr>
      <t>OPP_max</t>
    </r>
    <r>
      <rPr>
        <sz val="11"/>
        <color theme="1"/>
        <rFont val="Arial"/>
        <family val="2"/>
      </rPr>
      <t xml:space="preserve"> =</t>
    </r>
  </si>
  <si>
    <r>
      <t xml:space="preserve"> D</t>
    </r>
    <r>
      <rPr>
        <vertAlign val="subscript"/>
        <sz val="11"/>
        <color theme="1"/>
        <rFont val="Arial"/>
        <family val="2"/>
      </rPr>
      <t xml:space="preserve">OPP_max </t>
    </r>
    <r>
      <rPr>
        <sz val="11"/>
        <color theme="1"/>
        <rFont val="Arial"/>
        <family val="2"/>
      </rPr>
      <t>=</t>
    </r>
  </si>
  <si>
    <r>
      <t>OPP Input Current at Max Input, I</t>
    </r>
    <r>
      <rPr>
        <vertAlign val="subscript"/>
        <sz val="11"/>
        <color theme="1"/>
        <rFont val="Arial"/>
        <family val="2"/>
      </rPr>
      <t xml:space="preserve">IN_OPP_max </t>
    </r>
    <r>
      <rPr>
        <sz val="11"/>
        <color theme="1"/>
        <rFont val="Arial"/>
        <family val="2"/>
      </rPr>
      <t>=</t>
    </r>
  </si>
  <si>
    <r>
      <t>I</t>
    </r>
    <r>
      <rPr>
        <vertAlign val="subscript"/>
        <sz val="11"/>
        <color theme="1"/>
        <rFont val="Arial"/>
        <family val="2"/>
      </rPr>
      <t xml:space="preserve">IN_OPP_max </t>
    </r>
    <r>
      <rPr>
        <sz val="11"/>
        <color theme="1"/>
        <rFont val="Arial"/>
        <family val="2"/>
      </rPr>
      <t>=</t>
    </r>
  </si>
  <si>
    <r>
      <t>Offset Voltage on CS Pin During OPP at Max Input, V</t>
    </r>
    <r>
      <rPr>
        <vertAlign val="subscript"/>
        <sz val="11"/>
        <color theme="1"/>
        <rFont val="Arial"/>
        <family val="2"/>
      </rPr>
      <t>offset_CS_OPP</t>
    </r>
    <r>
      <rPr>
        <sz val="11"/>
        <color theme="1"/>
        <rFont val="Arial"/>
        <family val="2"/>
      </rPr>
      <t xml:space="preserve"> =</t>
    </r>
  </si>
  <si>
    <r>
      <t>V</t>
    </r>
    <r>
      <rPr>
        <vertAlign val="subscript"/>
        <sz val="11"/>
        <color theme="1"/>
        <rFont val="Arial"/>
        <family val="2"/>
      </rPr>
      <t xml:space="preserve">offset_CS_OPP </t>
    </r>
    <r>
      <rPr>
        <sz val="11"/>
        <color theme="1"/>
        <rFont val="Arial"/>
        <family val="2"/>
      </rPr>
      <t>=</t>
    </r>
  </si>
  <si>
    <r>
      <t>Line Sensing Current at Max Input, i</t>
    </r>
    <r>
      <rPr>
        <vertAlign val="subscript"/>
        <sz val="11"/>
        <color theme="1"/>
        <rFont val="Arial"/>
        <family val="2"/>
      </rPr>
      <t>VSL_max</t>
    </r>
    <r>
      <rPr>
        <sz val="11"/>
        <color theme="1"/>
        <rFont val="Arial"/>
        <family val="2"/>
      </rPr>
      <t xml:space="preserve"> =</t>
    </r>
  </si>
  <si>
    <r>
      <t>i</t>
    </r>
    <r>
      <rPr>
        <vertAlign val="subscript"/>
        <sz val="11"/>
        <color theme="1"/>
        <rFont val="Arial"/>
        <family val="2"/>
      </rPr>
      <t>VSL_max</t>
    </r>
    <r>
      <rPr>
        <sz val="11"/>
        <color theme="1"/>
        <rFont val="Arial"/>
        <family val="2"/>
      </rPr>
      <t xml:space="preserve"> =</t>
    </r>
  </si>
  <si>
    <r>
      <t>Voltage on Primary Resistance, V</t>
    </r>
    <r>
      <rPr>
        <vertAlign val="subscript"/>
        <sz val="11"/>
        <color theme="1"/>
        <rFont val="Arial"/>
        <family val="2"/>
      </rPr>
      <t xml:space="preserve">R_pri_max </t>
    </r>
    <r>
      <rPr>
        <sz val="11"/>
        <color theme="1"/>
        <rFont val="Arial"/>
        <family val="2"/>
      </rPr>
      <t>=</t>
    </r>
  </si>
  <si>
    <r>
      <t>V</t>
    </r>
    <r>
      <rPr>
        <vertAlign val="subscript"/>
        <sz val="11"/>
        <color theme="1"/>
        <rFont val="Arial"/>
        <family val="2"/>
      </rPr>
      <t>R_pri_max</t>
    </r>
    <r>
      <rPr>
        <sz val="11"/>
        <color theme="1"/>
        <rFont val="Arial"/>
        <family val="2"/>
      </rPr>
      <t xml:space="preserve"> =</t>
    </r>
  </si>
  <si>
    <r>
      <t xml:space="preserve">Voltage on </t>
    </r>
    <r>
      <rPr>
        <b/>
        <sz val="11"/>
        <color theme="1"/>
        <rFont val="Arial"/>
        <family val="2"/>
      </rPr>
      <t>Leakage</t>
    </r>
    <r>
      <rPr>
        <sz val="11"/>
        <color theme="1"/>
        <rFont val="Arial"/>
        <family val="2"/>
      </rPr>
      <t xml:space="preserve"> Inductance, V</t>
    </r>
    <r>
      <rPr>
        <vertAlign val="subscript"/>
        <sz val="11"/>
        <color theme="1"/>
        <rFont val="Arial"/>
        <family val="2"/>
      </rPr>
      <t xml:space="preserve">LK_pri_max </t>
    </r>
    <r>
      <rPr>
        <sz val="11"/>
        <color theme="1"/>
        <rFont val="Arial"/>
        <family val="2"/>
      </rPr>
      <t>=</t>
    </r>
  </si>
  <si>
    <r>
      <t>V</t>
    </r>
    <r>
      <rPr>
        <vertAlign val="subscript"/>
        <sz val="11"/>
        <color theme="1"/>
        <rFont val="Arial"/>
        <family val="2"/>
      </rPr>
      <t>Lk_pri_max</t>
    </r>
    <r>
      <rPr>
        <sz val="11"/>
        <color theme="1"/>
        <rFont val="Arial"/>
        <family val="2"/>
      </rPr>
      <t xml:space="preserve"> =</t>
    </r>
  </si>
  <si>
    <r>
      <t>Negative Magnetizing Inductor Current at Min, I</t>
    </r>
    <r>
      <rPr>
        <vertAlign val="subscript"/>
        <sz val="11"/>
        <color theme="1"/>
        <rFont val="Arial"/>
        <family val="2"/>
      </rPr>
      <t xml:space="preserve">M_nega_OPP_min </t>
    </r>
    <r>
      <rPr>
        <sz val="11"/>
        <color theme="1"/>
        <rFont val="Arial"/>
        <family val="2"/>
      </rPr>
      <t>=</t>
    </r>
  </si>
  <si>
    <r>
      <t>I</t>
    </r>
    <r>
      <rPr>
        <vertAlign val="subscript"/>
        <sz val="11"/>
        <color theme="1"/>
        <rFont val="Arial"/>
        <family val="2"/>
      </rPr>
      <t xml:space="preserve">M_nega_OPP_min </t>
    </r>
    <r>
      <rPr>
        <sz val="11"/>
        <color theme="1"/>
        <rFont val="Arial"/>
        <family val="2"/>
      </rPr>
      <t>=</t>
    </r>
  </si>
  <si>
    <r>
      <t>Peak Current During OPP at Min Input, i</t>
    </r>
    <r>
      <rPr>
        <vertAlign val="subscript"/>
        <sz val="11"/>
        <color theme="1"/>
        <rFont val="Arial"/>
        <family val="2"/>
      </rPr>
      <t>pk_OPP_min</t>
    </r>
    <r>
      <rPr>
        <sz val="11"/>
        <color theme="1"/>
        <rFont val="Arial"/>
        <family val="2"/>
      </rPr>
      <t xml:space="preserve"> =</t>
    </r>
  </si>
  <si>
    <r>
      <t xml:space="preserve"> i</t>
    </r>
    <r>
      <rPr>
        <vertAlign val="subscript"/>
        <sz val="11"/>
        <color theme="1"/>
        <rFont val="Arial"/>
        <family val="2"/>
      </rPr>
      <t>pk_OPP_min</t>
    </r>
    <r>
      <rPr>
        <sz val="11"/>
        <color theme="1"/>
        <rFont val="Arial"/>
        <family val="2"/>
      </rPr>
      <t xml:space="preserve"> =</t>
    </r>
  </si>
  <si>
    <r>
      <t>Switching Frequency During OPP at Min, f</t>
    </r>
    <r>
      <rPr>
        <vertAlign val="subscript"/>
        <sz val="11"/>
        <color theme="1"/>
        <rFont val="Arial"/>
        <family val="2"/>
      </rPr>
      <t xml:space="preserve">sw_OPP_min </t>
    </r>
    <r>
      <rPr>
        <sz val="11"/>
        <color theme="1"/>
        <rFont val="Arial"/>
        <family val="2"/>
      </rPr>
      <t>=</t>
    </r>
  </si>
  <si>
    <r>
      <t>f</t>
    </r>
    <r>
      <rPr>
        <vertAlign val="subscript"/>
        <sz val="11"/>
        <color theme="1"/>
        <rFont val="Arial"/>
        <family val="2"/>
      </rPr>
      <t xml:space="preserve">sw_OPP_min </t>
    </r>
    <r>
      <rPr>
        <sz val="11"/>
        <color theme="1"/>
        <rFont val="Arial"/>
        <family val="2"/>
      </rPr>
      <t>=</t>
    </r>
  </si>
  <si>
    <r>
      <t>OPP Input Current at Min Input, I</t>
    </r>
    <r>
      <rPr>
        <vertAlign val="subscript"/>
        <sz val="11"/>
        <color theme="1"/>
        <rFont val="Arial"/>
        <family val="2"/>
      </rPr>
      <t xml:space="preserve">IN_OPP_min </t>
    </r>
    <r>
      <rPr>
        <sz val="11"/>
        <color theme="1"/>
        <rFont val="Arial"/>
        <family val="2"/>
      </rPr>
      <t>=</t>
    </r>
  </si>
  <si>
    <r>
      <t>I</t>
    </r>
    <r>
      <rPr>
        <vertAlign val="subscript"/>
        <sz val="11"/>
        <color theme="1"/>
        <rFont val="Arial"/>
        <family val="2"/>
      </rPr>
      <t xml:space="preserve">IN_OPP_min </t>
    </r>
    <r>
      <rPr>
        <sz val="11"/>
        <color theme="1"/>
        <rFont val="Arial"/>
        <family val="2"/>
      </rPr>
      <t>=</t>
    </r>
  </si>
  <si>
    <r>
      <t>Duty Cycle During OPP at Min Input, D</t>
    </r>
    <r>
      <rPr>
        <vertAlign val="subscript"/>
        <sz val="11"/>
        <color theme="1"/>
        <rFont val="Arial"/>
        <family val="2"/>
      </rPr>
      <t>OPP_min</t>
    </r>
    <r>
      <rPr>
        <sz val="11"/>
        <color theme="1"/>
        <rFont val="Arial"/>
        <family val="2"/>
      </rPr>
      <t xml:space="preserve"> =</t>
    </r>
  </si>
  <si>
    <r>
      <t xml:space="preserve"> D</t>
    </r>
    <r>
      <rPr>
        <vertAlign val="subscript"/>
        <sz val="11"/>
        <color theme="1"/>
        <rFont val="Arial"/>
        <family val="2"/>
      </rPr>
      <t xml:space="preserve">OPP_min </t>
    </r>
    <r>
      <rPr>
        <sz val="11"/>
        <color theme="1"/>
        <rFont val="Arial"/>
        <family val="2"/>
      </rPr>
      <t>=</t>
    </r>
  </si>
  <si>
    <r>
      <t>Turn on Period During Minimum Input Voltage, T</t>
    </r>
    <r>
      <rPr>
        <vertAlign val="subscript"/>
        <sz val="11"/>
        <color theme="1"/>
        <rFont val="Arial"/>
        <family val="2"/>
      </rPr>
      <t>_on_min</t>
    </r>
    <r>
      <rPr>
        <sz val="11"/>
        <color theme="1"/>
        <rFont val="Arial"/>
        <family val="2"/>
      </rPr>
      <t xml:space="preserve"> =</t>
    </r>
  </si>
  <si>
    <r>
      <t>T</t>
    </r>
    <r>
      <rPr>
        <vertAlign val="subscript"/>
        <sz val="11"/>
        <color theme="1"/>
        <rFont val="Arial"/>
        <family val="2"/>
      </rPr>
      <t>_on_min</t>
    </r>
    <r>
      <rPr>
        <sz val="11"/>
        <color theme="1"/>
        <rFont val="Arial"/>
        <family val="2"/>
      </rPr>
      <t xml:space="preserve"> =</t>
    </r>
  </si>
  <si>
    <r>
      <t>T</t>
    </r>
    <r>
      <rPr>
        <vertAlign val="subscript"/>
        <sz val="11"/>
        <color theme="1"/>
        <rFont val="Arial"/>
        <family val="2"/>
      </rPr>
      <t>D_Ql_Coss_vmin</t>
    </r>
    <r>
      <rPr>
        <sz val="11"/>
        <color theme="1"/>
        <rFont val="Arial"/>
        <family val="2"/>
      </rPr>
      <t xml:space="preserve"> =</t>
    </r>
  </si>
  <si>
    <r>
      <t>Switching Node Capacitance from 0 to V</t>
    </r>
    <r>
      <rPr>
        <vertAlign val="subscript"/>
        <sz val="11"/>
        <color theme="1"/>
        <rFont val="Arial"/>
        <family val="2"/>
      </rPr>
      <t>Xl</t>
    </r>
    <r>
      <rPr>
        <sz val="11"/>
        <color theme="1"/>
        <rFont val="Arial"/>
        <family val="2"/>
      </rPr>
      <t>, C</t>
    </r>
    <r>
      <rPr>
        <vertAlign val="subscript"/>
        <sz val="11"/>
        <color theme="1"/>
        <rFont val="Arial"/>
        <family val="2"/>
      </rPr>
      <t>SW_0toVxl</t>
    </r>
    <r>
      <rPr>
        <sz val="11"/>
        <color theme="1"/>
        <rFont val="Arial"/>
        <family val="2"/>
      </rPr>
      <t xml:space="preserve"> =</t>
    </r>
  </si>
  <si>
    <r>
      <t>C</t>
    </r>
    <r>
      <rPr>
        <vertAlign val="subscript"/>
        <sz val="11"/>
        <color theme="1"/>
        <rFont val="Arial"/>
        <family val="2"/>
      </rPr>
      <t>SW_0toVxl</t>
    </r>
    <r>
      <rPr>
        <sz val="11"/>
        <color theme="1"/>
        <rFont val="Arial"/>
        <family val="2"/>
      </rPr>
      <t xml:space="preserve"> =</t>
    </r>
  </si>
  <si>
    <r>
      <t>Sum of Peak Current Loop Delay, t</t>
    </r>
    <r>
      <rPr>
        <vertAlign val="subscript"/>
        <sz val="11"/>
        <color theme="1"/>
        <rFont val="Arial"/>
        <family val="2"/>
      </rPr>
      <t>D_CST_vmin</t>
    </r>
    <r>
      <rPr>
        <sz val="11"/>
        <color theme="1"/>
        <rFont val="Arial"/>
        <family val="2"/>
      </rPr>
      <t xml:space="preserve"> =</t>
    </r>
  </si>
  <si>
    <r>
      <t>t</t>
    </r>
    <r>
      <rPr>
        <vertAlign val="subscript"/>
        <sz val="11"/>
        <color theme="1"/>
        <rFont val="Arial"/>
        <family val="2"/>
      </rPr>
      <t>D_CST_vmin</t>
    </r>
    <r>
      <rPr>
        <sz val="11"/>
        <color theme="1"/>
        <rFont val="Arial"/>
        <family val="2"/>
      </rPr>
      <t xml:space="preserve"> =</t>
    </r>
  </si>
  <si>
    <r>
      <t>Duty Cycle During OPP at Run Input, D</t>
    </r>
    <r>
      <rPr>
        <vertAlign val="subscript"/>
        <sz val="11"/>
        <color theme="1"/>
        <rFont val="Arial"/>
        <family val="2"/>
      </rPr>
      <t>OPP_run</t>
    </r>
    <r>
      <rPr>
        <sz val="11"/>
        <color theme="1"/>
        <rFont val="Arial"/>
        <family val="2"/>
      </rPr>
      <t xml:space="preserve"> =</t>
    </r>
  </si>
  <si>
    <r>
      <t xml:space="preserve"> D</t>
    </r>
    <r>
      <rPr>
        <vertAlign val="subscript"/>
        <sz val="11"/>
        <color theme="1"/>
        <rFont val="Arial"/>
        <family val="2"/>
      </rPr>
      <t xml:space="preserve">OPP_run </t>
    </r>
    <r>
      <rPr>
        <sz val="11"/>
        <color theme="1"/>
        <rFont val="Arial"/>
        <family val="2"/>
      </rPr>
      <t>=</t>
    </r>
  </si>
  <si>
    <r>
      <t>OPP Input Current at Run Input, I</t>
    </r>
    <r>
      <rPr>
        <vertAlign val="subscript"/>
        <sz val="11"/>
        <color theme="1"/>
        <rFont val="Arial"/>
        <family val="2"/>
      </rPr>
      <t xml:space="preserve">IN_OPP_run </t>
    </r>
    <r>
      <rPr>
        <sz val="11"/>
        <color theme="1"/>
        <rFont val="Arial"/>
        <family val="2"/>
      </rPr>
      <t>=</t>
    </r>
  </si>
  <si>
    <r>
      <t>I</t>
    </r>
    <r>
      <rPr>
        <vertAlign val="subscript"/>
        <sz val="11"/>
        <color theme="1"/>
        <rFont val="Arial"/>
        <family val="2"/>
      </rPr>
      <t xml:space="preserve">IN_OPP_run </t>
    </r>
    <r>
      <rPr>
        <sz val="11"/>
        <color theme="1"/>
        <rFont val="Arial"/>
        <family val="2"/>
      </rPr>
      <t>=</t>
    </r>
  </si>
  <si>
    <r>
      <t>Negative Magnetizing Inductor Current at Run, I</t>
    </r>
    <r>
      <rPr>
        <vertAlign val="subscript"/>
        <sz val="11"/>
        <color theme="1"/>
        <rFont val="Arial"/>
        <family val="2"/>
      </rPr>
      <t xml:space="preserve">M_nega_run </t>
    </r>
    <r>
      <rPr>
        <sz val="11"/>
        <color theme="1"/>
        <rFont val="Arial"/>
        <family val="2"/>
      </rPr>
      <t>=</t>
    </r>
  </si>
  <si>
    <r>
      <t>I</t>
    </r>
    <r>
      <rPr>
        <vertAlign val="subscript"/>
        <sz val="11"/>
        <color theme="1"/>
        <rFont val="Arial"/>
        <family val="2"/>
      </rPr>
      <t xml:space="preserve">M_nega_run </t>
    </r>
    <r>
      <rPr>
        <sz val="11"/>
        <color theme="1"/>
        <rFont val="Arial"/>
        <family val="2"/>
      </rPr>
      <t>=</t>
    </r>
  </si>
  <si>
    <r>
      <t>Switching Frequency During OPP at Run, f</t>
    </r>
    <r>
      <rPr>
        <vertAlign val="subscript"/>
        <sz val="11"/>
        <color theme="1"/>
        <rFont val="Arial"/>
        <family val="2"/>
      </rPr>
      <t xml:space="preserve">sw_OPP_run </t>
    </r>
    <r>
      <rPr>
        <sz val="11"/>
        <color theme="1"/>
        <rFont val="Arial"/>
        <family val="2"/>
      </rPr>
      <t>=</t>
    </r>
  </si>
  <si>
    <r>
      <t>f</t>
    </r>
    <r>
      <rPr>
        <vertAlign val="subscript"/>
        <sz val="11"/>
        <color theme="1"/>
        <rFont val="Arial"/>
        <family val="2"/>
      </rPr>
      <t xml:space="preserve">sw_OPP_run </t>
    </r>
    <r>
      <rPr>
        <sz val="11"/>
        <color theme="1"/>
        <rFont val="Arial"/>
        <family val="2"/>
      </rPr>
      <t>=</t>
    </r>
  </si>
  <si>
    <r>
      <t>Peak Current During OPP at Run Input, i</t>
    </r>
    <r>
      <rPr>
        <vertAlign val="subscript"/>
        <sz val="11"/>
        <color theme="1"/>
        <rFont val="Arial"/>
        <family val="2"/>
      </rPr>
      <t>pk_OPP_run</t>
    </r>
    <r>
      <rPr>
        <sz val="11"/>
        <color theme="1"/>
        <rFont val="Arial"/>
        <family val="2"/>
      </rPr>
      <t xml:space="preserve"> =</t>
    </r>
  </si>
  <si>
    <r>
      <t xml:space="preserve"> i</t>
    </r>
    <r>
      <rPr>
        <vertAlign val="subscript"/>
        <sz val="11"/>
        <color theme="1"/>
        <rFont val="Arial"/>
        <family val="2"/>
      </rPr>
      <t>pk_OPP_run</t>
    </r>
    <r>
      <rPr>
        <sz val="11"/>
        <color theme="1"/>
        <rFont val="Arial"/>
        <family val="2"/>
      </rPr>
      <t xml:space="preserve"> =</t>
    </r>
  </si>
  <si>
    <r>
      <t>Maximum Clamp Voltage on SR, V</t>
    </r>
    <r>
      <rPr>
        <vertAlign val="subscript"/>
        <sz val="11"/>
        <color theme="1"/>
        <rFont val="Arial"/>
        <family val="2"/>
      </rPr>
      <t>clamp_max_SR</t>
    </r>
    <r>
      <rPr>
        <sz val="11"/>
        <color theme="1"/>
        <rFont val="Arial"/>
        <family val="2"/>
      </rPr>
      <t xml:space="preserve"> =</t>
    </r>
  </si>
  <si>
    <r>
      <t>V</t>
    </r>
    <r>
      <rPr>
        <vertAlign val="subscript"/>
        <sz val="11"/>
        <color theme="1"/>
        <rFont val="Arial"/>
        <family val="2"/>
      </rPr>
      <t xml:space="preserve">clamp_max_SR </t>
    </r>
    <r>
      <rPr>
        <sz val="11"/>
        <color theme="1"/>
        <rFont val="Arial"/>
        <family val="2"/>
      </rPr>
      <t>=</t>
    </r>
  </si>
  <si>
    <r>
      <t>Maximum Clamp Voltage on QH, V</t>
    </r>
    <r>
      <rPr>
        <vertAlign val="subscript"/>
        <sz val="11"/>
        <color theme="1"/>
        <rFont val="Arial"/>
        <family val="2"/>
      </rPr>
      <t>clamp_max_QH</t>
    </r>
    <r>
      <rPr>
        <sz val="11"/>
        <color theme="1"/>
        <rFont val="Arial"/>
        <family val="2"/>
      </rPr>
      <t xml:space="preserve"> =</t>
    </r>
  </si>
  <si>
    <r>
      <t>V</t>
    </r>
    <r>
      <rPr>
        <vertAlign val="subscript"/>
        <sz val="11"/>
        <color theme="1"/>
        <rFont val="Arial"/>
        <family val="2"/>
      </rPr>
      <t xml:space="preserve">clamp_max_QH </t>
    </r>
    <r>
      <rPr>
        <sz val="11"/>
        <color theme="1"/>
        <rFont val="Arial"/>
        <family val="2"/>
      </rPr>
      <t>=</t>
    </r>
  </si>
  <si>
    <r>
      <t>Maximum Clamp Voltage, V</t>
    </r>
    <r>
      <rPr>
        <vertAlign val="subscript"/>
        <sz val="11"/>
        <color theme="1"/>
        <rFont val="Arial"/>
        <family val="2"/>
      </rPr>
      <t>clamp_max</t>
    </r>
    <r>
      <rPr>
        <sz val="11"/>
        <color theme="1"/>
        <rFont val="Arial"/>
        <family val="2"/>
      </rPr>
      <t xml:space="preserve"> =</t>
    </r>
  </si>
  <si>
    <r>
      <t>V</t>
    </r>
    <r>
      <rPr>
        <vertAlign val="subscript"/>
        <sz val="11"/>
        <color theme="1"/>
        <rFont val="Arial"/>
        <family val="2"/>
      </rPr>
      <t xml:space="preserve">clamp_max </t>
    </r>
    <r>
      <rPr>
        <sz val="11"/>
        <color theme="1"/>
        <rFont val="Arial"/>
        <family val="2"/>
      </rPr>
      <t>=</t>
    </r>
  </si>
  <si>
    <r>
      <t>Recommended Minimum L</t>
    </r>
    <r>
      <rPr>
        <vertAlign val="subscript"/>
        <sz val="11"/>
        <color theme="1"/>
        <rFont val="Arial"/>
        <family val="2"/>
      </rPr>
      <t>O</t>
    </r>
    <r>
      <rPr>
        <sz val="11"/>
        <color theme="1"/>
        <rFont val="Arial"/>
        <family val="2"/>
      </rPr>
      <t xml:space="preserve"> </t>
    </r>
  </si>
  <si>
    <r>
      <t>L</t>
    </r>
    <r>
      <rPr>
        <vertAlign val="subscript"/>
        <sz val="11"/>
        <color theme="1"/>
        <rFont val="Arial"/>
        <family val="2"/>
      </rPr>
      <t>O</t>
    </r>
    <r>
      <rPr>
        <sz val="11"/>
        <color theme="1"/>
        <rFont val="Arial"/>
        <family val="2"/>
      </rPr>
      <t xml:space="preserve"> Used in Calculations</t>
    </r>
  </si>
  <si>
    <r>
      <t>DC-Bias Reduction at Design V</t>
    </r>
    <r>
      <rPr>
        <vertAlign val="subscript"/>
        <sz val="11"/>
        <rFont val="Arial"/>
        <family val="2"/>
      </rPr>
      <t>O</t>
    </r>
  </si>
  <si>
    <t xml:space="preserve">    Example graph of severe reduction.  Use actual cap data.</t>
  </si>
  <si>
    <r>
      <t>Decrease L</t>
    </r>
    <r>
      <rPr>
        <vertAlign val="subscript"/>
        <sz val="11"/>
        <color theme="1"/>
        <rFont val="Arial"/>
        <family val="2"/>
      </rPr>
      <t>DAMP</t>
    </r>
    <r>
      <rPr>
        <sz val="11"/>
        <color theme="1"/>
        <rFont val="Arial"/>
        <family val="2"/>
      </rPr>
      <t xml:space="preserve"> for stronger damping ==&gt; Lower V</t>
    </r>
    <r>
      <rPr>
        <vertAlign val="subscript"/>
        <sz val="11"/>
        <color theme="1"/>
        <rFont val="Arial"/>
        <family val="2"/>
      </rPr>
      <t>Co1</t>
    </r>
    <r>
      <rPr>
        <sz val="11"/>
        <color theme="1"/>
        <rFont val="Arial"/>
        <family val="2"/>
      </rPr>
      <t xml:space="preserve"> ripple ==&gt; Stable V</t>
    </r>
    <r>
      <rPr>
        <vertAlign val="subscript"/>
        <sz val="11"/>
        <color theme="1"/>
        <rFont val="Arial"/>
        <family val="2"/>
      </rPr>
      <t>gs(SR)</t>
    </r>
    <r>
      <rPr>
        <sz val="11"/>
        <color theme="1"/>
        <rFont val="Arial"/>
        <family val="2"/>
      </rPr>
      <t xml:space="preserve"> ==&gt; Lower efficiency (by 10ths of %)</t>
    </r>
  </si>
  <si>
    <r>
      <t>B.  C</t>
    </r>
    <r>
      <rPr>
        <b/>
        <vertAlign val="subscript"/>
        <sz val="11"/>
        <color rgb="FFFF0000"/>
        <rFont val="Arial"/>
        <family val="2"/>
      </rPr>
      <t>O1</t>
    </r>
    <r>
      <rPr>
        <b/>
        <sz val="11"/>
        <color rgb="FFFF0000"/>
        <rFont val="Arial"/>
        <family val="2"/>
      </rPr>
      <t xml:space="preserve">  Adjustment</t>
    </r>
  </si>
  <si>
    <r>
      <t>1.  Capture transformer primary current I</t>
    </r>
    <r>
      <rPr>
        <vertAlign val="subscript"/>
        <sz val="11"/>
        <color theme="1"/>
        <rFont val="Arial"/>
        <family val="2"/>
      </rPr>
      <t>Lr</t>
    </r>
    <r>
      <rPr>
        <sz val="11"/>
        <color theme="1"/>
        <rFont val="Arial"/>
        <family val="2"/>
      </rPr>
      <t xml:space="preserve"> to fine tune C</t>
    </r>
    <r>
      <rPr>
        <vertAlign val="subscript"/>
        <sz val="11"/>
        <color theme="1"/>
        <rFont val="Arial"/>
        <family val="2"/>
      </rPr>
      <t>O1</t>
    </r>
    <r>
      <rPr>
        <sz val="11"/>
        <color theme="1"/>
        <rFont val="Arial"/>
        <family val="2"/>
      </rPr>
      <t xml:space="preserve"> value, during low line and Io_max</t>
    </r>
  </si>
  <si>
    <r>
      <t>2.  Increase C</t>
    </r>
    <r>
      <rPr>
        <vertAlign val="subscript"/>
        <sz val="11"/>
        <color theme="1"/>
        <rFont val="Arial"/>
        <family val="2"/>
      </rPr>
      <t>O1</t>
    </r>
    <r>
      <rPr>
        <sz val="11"/>
        <color theme="1"/>
        <rFont val="Arial"/>
        <family val="2"/>
      </rPr>
      <t xml:space="preserve"> to extend resonant current, improve efficiency (spreads width, reduces peak and rms value)</t>
    </r>
  </si>
  <si>
    <r>
      <t xml:space="preserve"> K</t>
    </r>
    <r>
      <rPr>
        <vertAlign val="subscript"/>
        <sz val="11"/>
        <color theme="1"/>
        <rFont val="Arial"/>
        <family val="2"/>
      </rPr>
      <t>der_SR</t>
    </r>
    <r>
      <rPr>
        <sz val="11"/>
        <color theme="1"/>
        <rFont val="Arial"/>
        <family val="2"/>
      </rPr>
      <t xml:space="preserve"> =</t>
    </r>
  </si>
  <si>
    <r>
      <t xml:space="preserve"> V</t>
    </r>
    <r>
      <rPr>
        <vertAlign val="subscript"/>
        <sz val="11"/>
        <color theme="1"/>
        <rFont val="Arial"/>
        <family val="2"/>
      </rPr>
      <t>SR_rec</t>
    </r>
    <r>
      <rPr>
        <sz val="11"/>
        <color theme="1"/>
        <rFont val="Arial"/>
        <family val="2"/>
      </rPr>
      <t xml:space="preserve"> =</t>
    </r>
  </si>
  <si>
    <r>
      <t xml:space="preserve"> V</t>
    </r>
    <r>
      <rPr>
        <vertAlign val="subscript"/>
        <sz val="11"/>
        <color theme="1"/>
        <rFont val="Arial"/>
        <family val="2"/>
      </rPr>
      <t>SR_act</t>
    </r>
    <r>
      <rPr>
        <sz val="11"/>
        <color theme="1"/>
        <rFont val="Arial"/>
        <family val="2"/>
      </rPr>
      <t xml:space="preserve"> =</t>
    </r>
  </si>
  <si>
    <r>
      <t>Output Capacitance of Selected MOSFET Big-C Below V</t>
    </r>
    <r>
      <rPr>
        <vertAlign val="subscript"/>
        <sz val="11"/>
        <color theme="1"/>
        <rFont val="Arial"/>
        <family val="2"/>
      </rPr>
      <t>x_SR</t>
    </r>
  </si>
  <si>
    <r>
      <t>C</t>
    </r>
    <r>
      <rPr>
        <vertAlign val="subscript"/>
        <sz val="11"/>
        <color theme="1"/>
        <rFont val="Arial"/>
        <family val="2"/>
      </rPr>
      <t xml:space="preserve">oss_SR_bg </t>
    </r>
    <r>
      <rPr>
        <sz val="11"/>
        <color theme="1"/>
        <rFont val="Arial"/>
        <family val="2"/>
      </rPr>
      <t>=</t>
    </r>
  </si>
  <si>
    <r>
      <t>Output Capacitance of Selected MOSFET Small-C Above V</t>
    </r>
    <r>
      <rPr>
        <vertAlign val="subscript"/>
        <sz val="11"/>
        <color theme="1"/>
        <rFont val="Arial"/>
        <family val="2"/>
      </rPr>
      <t>x_SR</t>
    </r>
    <r>
      <rPr>
        <sz val="11"/>
        <rFont val="Arial"/>
        <family val="2"/>
      </rPr>
      <t/>
    </r>
  </si>
  <si>
    <r>
      <t xml:space="preserve"> C</t>
    </r>
    <r>
      <rPr>
        <vertAlign val="subscript"/>
        <sz val="11"/>
        <color theme="1"/>
        <rFont val="Arial"/>
        <family val="2"/>
      </rPr>
      <t xml:space="preserve">oss_SR_sm </t>
    </r>
    <r>
      <rPr>
        <sz val="11"/>
        <color theme="1"/>
        <rFont val="Arial"/>
        <family val="2"/>
      </rPr>
      <t>=</t>
    </r>
  </si>
  <si>
    <r>
      <t xml:space="preserve"> V</t>
    </r>
    <r>
      <rPr>
        <vertAlign val="subscript"/>
        <sz val="11"/>
        <color theme="1"/>
        <rFont val="Arial"/>
        <family val="2"/>
      </rPr>
      <t>x_SR</t>
    </r>
    <r>
      <rPr>
        <sz val="11"/>
        <color theme="1"/>
        <rFont val="Arial"/>
        <family val="2"/>
      </rPr>
      <t xml:space="preserve"> =</t>
    </r>
  </si>
  <si>
    <r>
      <t xml:space="preserve">Recommended </t>
    </r>
    <r>
      <rPr>
        <b/>
        <sz val="11"/>
        <color theme="1"/>
        <rFont val="Arial"/>
        <family val="2"/>
      </rPr>
      <t>Minimum</t>
    </r>
    <r>
      <rPr>
        <sz val="11"/>
        <color theme="1"/>
        <rFont val="Arial"/>
        <family val="2"/>
      </rPr>
      <t xml:space="preserve"> Input Bulk Capacitance</t>
    </r>
  </si>
  <si>
    <r>
      <t>C</t>
    </r>
    <r>
      <rPr>
        <vertAlign val="subscript"/>
        <sz val="11"/>
        <color theme="1"/>
        <rFont val="Arial"/>
        <family val="2"/>
      </rPr>
      <t>BULK_rec</t>
    </r>
    <r>
      <rPr>
        <sz val="11"/>
        <color theme="1"/>
        <rFont val="Arial"/>
        <family val="2"/>
      </rPr>
      <t xml:space="preserve"> =</t>
    </r>
  </si>
  <si>
    <r>
      <t xml:space="preserve"> C</t>
    </r>
    <r>
      <rPr>
        <vertAlign val="subscript"/>
        <sz val="11"/>
        <color theme="1"/>
        <rFont val="Arial"/>
        <family val="2"/>
      </rPr>
      <t>BULK_act</t>
    </r>
    <r>
      <rPr>
        <sz val="11"/>
        <color theme="1"/>
        <rFont val="Arial"/>
        <family val="2"/>
      </rPr>
      <t xml:space="preserve"> =</t>
    </r>
  </si>
  <si>
    <r>
      <t xml:space="preserve"> C</t>
    </r>
    <r>
      <rPr>
        <vertAlign val="subscript"/>
        <sz val="11"/>
        <color theme="1"/>
        <rFont val="Arial"/>
        <family val="2"/>
      </rPr>
      <t>BULK</t>
    </r>
    <r>
      <rPr>
        <sz val="11"/>
        <color theme="1"/>
        <rFont val="Arial"/>
        <family val="2"/>
      </rPr>
      <t xml:space="preserve"> =</t>
    </r>
  </si>
  <si>
    <r>
      <t xml:space="preserve"> V</t>
    </r>
    <r>
      <rPr>
        <vertAlign val="subscript"/>
        <sz val="11"/>
        <color theme="1"/>
        <rFont val="Arial"/>
        <family val="2"/>
      </rPr>
      <t xml:space="preserve">cin_rated </t>
    </r>
    <r>
      <rPr>
        <sz val="11"/>
        <color theme="1"/>
        <rFont val="Arial"/>
        <family val="2"/>
      </rPr>
      <t>=</t>
    </r>
  </si>
  <si>
    <r>
      <t>ESR of Output Capacitor C</t>
    </r>
    <r>
      <rPr>
        <vertAlign val="subscript"/>
        <sz val="11"/>
        <color theme="1"/>
        <rFont val="Arial"/>
        <family val="2"/>
      </rPr>
      <t>OUT</t>
    </r>
    <r>
      <rPr>
        <sz val="11"/>
        <color rgb="FF0000FF"/>
        <rFont val="Arial"/>
        <family val="2"/>
      </rPr>
      <t/>
    </r>
  </si>
  <si>
    <r>
      <t xml:space="preserve"> R</t>
    </r>
    <r>
      <rPr>
        <vertAlign val="subscript"/>
        <sz val="11"/>
        <color theme="1"/>
        <rFont val="Arial"/>
        <family val="2"/>
      </rPr>
      <t>CO</t>
    </r>
    <r>
      <rPr>
        <sz val="11"/>
        <color theme="1"/>
        <rFont val="Arial"/>
        <family val="2"/>
      </rPr>
      <t xml:space="preserve"> =</t>
    </r>
  </si>
  <si>
    <r>
      <t>m</t>
    </r>
    <r>
      <rPr>
        <sz val="11"/>
        <color theme="1"/>
        <rFont val="Calibri"/>
        <family val="2"/>
      </rPr>
      <t>Ω</t>
    </r>
  </si>
  <si>
    <r>
      <t xml:space="preserve"> V</t>
    </r>
    <r>
      <rPr>
        <vertAlign val="subscript"/>
        <sz val="11"/>
        <color theme="1"/>
        <rFont val="Arial"/>
        <family val="2"/>
      </rPr>
      <t>o_drop</t>
    </r>
    <r>
      <rPr>
        <sz val="11"/>
        <color theme="1"/>
        <rFont val="Arial"/>
        <family val="2"/>
      </rPr>
      <t xml:space="preserve"> =</t>
    </r>
  </si>
  <si>
    <r>
      <t xml:space="preserve">Select max </t>
    </r>
    <r>
      <rPr>
        <sz val="11"/>
        <color theme="1"/>
        <rFont val="Calibri"/>
        <family val="2"/>
      </rPr>
      <t>∆</t>
    </r>
    <r>
      <rPr>
        <sz val="11"/>
        <color theme="1"/>
        <rFont val="Arial"/>
        <family val="2"/>
      </rPr>
      <t>V</t>
    </r>
    <r>
      <rPr>
        <vertAlign val="subscript"/>
        <sz val="11"/>
        <color theme="1"/>
        <rFont val="Arial"/>
        <family val="2"/>
      </rPr>
      <t>o</t>
    </r>
    <r>
      <rPr>
        <sz val="11"/>
        <color theme="1"/>
        <rFont val="Arial"/>
        <family val="2"/>
      </rPr>
      <t xml:space="preserve"> based on 0% to 100% load step </t>
    </r>
  </si>
  <si>
    <r>
      <t xml:space="preserve">Recommended </t>
    </r>
    <r>
      <rPr>
        <b/>
        <sz val="11"/>
        <color theme="1"/>
        <rFont val="Arial"/>
        <family val="2"/>
      </rPr>
      <t>Minimum</t>
    </r>
    <r>
      <rPr>
        <sz val="11"/>
        <color theme="1"/>
        <rFont val="Arial"/>
        <family val="2"/>
      </rPr>
      <t xml:space="preserve"> Output Capacitance</t>
    </r>
  </si>
  <si>
    <r>
      <t xml:space="preserve"> C</t>
    </r>
    <r>
      <rPr>
        <vertAlign val="subscript"/>
        <sz val="11"/>
        <color theme="1"/>
        <rFont val="Arial"/>
        <family val="2"/>
      </rPr>
      <t xml:space="preserve">OUT_rec </t>
    </r>
    <r>
      <rPr>
        <sz val="11"/>
        <color theme="1"/>
        <rFont val="Arial"/>
        <family val="2"/>
      </rPr>
      <t>=</t>
    </r>
  </si>
  <si>
    <r>
      <t>Actual</t>
    </r>
    <r>
      <rPr>
        <b/>
        <sz val="11"/>
        <color theme="1"/>
        <rFont val="Arial"/>
        <family val="2"/>
      </rPr>
      <t xml:space="preserve"> </t>
    </r>
    <r>
      <rPr>
        <sz val="11"/>
        <color theme="1"/>
        <rFont val="Arial"/>
        <family val="2"/>
      </rPr>
      <t>Output Capacitance</t>
    </r>
  </si>
  <si>
    <r>
      <t xml:space="preserve"> C</t>
    </r>
    <r>
      <rPr>
        <vertAlign val="subscript"/>
        <sz val="11"/>
        <color theme="1"/>
        <rFont val="Arial"/>
        <family val="2"/>
      </rPr>
      <t>OUT_act</t>
    </r>
    <r>
      <rPr>
        <sz val="11"/>
        <color theme="1"/>
        <rFont val="Arial"/>
        <family val="2"/>
      </rPr>
      <t xml:space="preserve"> =</t>
    </r>
  </si>
  <si>
    <r>
      <t xml:space="preserve"> C</t>
    </r>
    <r>
      <rPr>
        <vertAlign val="subscript"/>
        <sz val="11"/>
        <color theme="1"/>
        <rFont val="Arial"/>
        <family val="2"/>
      </rPr>
      <t>OUT</t>
    </r>
    <r>
      <rPr>
        <sz val="11"/>
        <color theme="1"/>
        <rFont val="Arial"/>
        <family val="2"/>
      </rPr>
      <t xml:space="preserve"> =</t>
    </r>
  </si>
  <si>
    <r>
      <t>T</t>
    </r>
    <r>
      <rPr>
        <vertAlign val="subscript"/>
        <sz val="11"/>
        <color theme="1"/>
        <rFont val="Arial"/>
        <family val="2"/>
      </rPr>
      <t xml:space="preserve">D_LDr </t>
    </r>
    <r>
      <rPr>
        <sz val="11"/>
        <color theme="1"/>
        <rFont val="Arial"/>
        <family val="2"/>
      </rPr>
      <t>=</t>
    </r>
  </si>
  <si>
    <r>
      <t xml:space="preserve"> T</t>
    </r>
    <r>
      <rPr>
        <vertAlign val="subscript"/>
        <sz val="11"/>
        <color theme="1"/>
        <rFont val="Arial"/>
        <family val="2"/>
      </rPr>
      <t>D_HDr</t>
    </r>
    <r>
      <rPr>
        <sz val="11"/>
        <color theme="1"/>
        <rFont val="Arial"/>
        <family val="2"/>
      </rPr>
      <t xml:space="preserve"> =</t>
    </r>
  </si>
  <si>
    <r>
      <t>V</t>
    </r>
    <r>
      <rPr>
        <vertAlign val="subscript"/>
        <sz val="11"/>
        <color theme="1"/>
        <rFont val="Arial"/>
        <family val="2"/>
      </rPr>
      <t>f_BootD</t>
    </r>
    <r>
      <rPr>
        <sz val="11"/>
        <color theme="1"/>
        <rFont val="Arial"/>
        <family val="2"/>
      </rPr>
      <t xml:space="preserve"> =</t>
    </r>
  </si>
  <si>
    <r>
      <t xml:space="preserve"> C</t>
    </r>
    <r>
      <rPr>
        <vertAlign val="subscript"/>
        <sz val="11"/>
        <color theme="1"/>
        <rFont val="Arial"/>
        <family val="2"/>
      </rPr>
      <t xml:space="preserve">BootD_T </t>
    </r>
    <r>
      <rPr>
        <sz val="11"/>
        <color theme="1"/>
        <rFont val="Arial"/>
        <family val="2"/>
      </rPr>
      <t>=</t>
    </r>
  </si>
  <si>
    <r>
      <t xml:space="preserve"> I</t>
    </r>
    <r>
      <rPr>
        <vertAlign val="subscript"/>
        <sz val="11"/>
        <color theme="1"/>
        <rFont val="Arial"/>
        <family val="2"/>
      </rPr>
      <t xml:space="preserve">VCC_qcc </t>
    </r>
    <r>
      <rPr>
        <sz val="11"/>
        <color theme="1"/>
        <rFont val="Arial"/>
        <family val="2"/>
      </rPr>
      <t>=</t>
    </r>
  </si>
  <si>
    <r>
      <t>Derating Coefficient for QL and QH V</t>
    </r>
    <r>
      <rPr>
        <vertAlign val="subscript"/>
        <sz val="11"/>
        <color theme="1"/>
        <rFont val="Arial"/>
        <family val="2"/>
      </rPr>
      <t>DS</t>
    </r>
    <r>
      <rPr>
        <sz val="11"/>
        <color theme="1"/>
        <rFont val="Arial"/>
        <family val="2"/>
      </rPr>
      <t xml:space="preserve"> ratings, in percent</t>
    </r>
  </si>
  <si>
    <r>
      <t xml:space="preserve"> K</t>
    </r>
    <r>
      <rPr>
        <vertAlign val="subscript"/>
        <sz val="11"/>
        <color theme="1"/>
        <rFont val="Arial"/>
        <family val="2"/>
      </rPr>
      <t>der</t>
    </r>
    <r>
      <rPr>
        <sz val="11"/>
        <color theme="1"/>
        <rFont val="Arial"/>
        <family val="2"/>
      </rPr>
      <t xml:space="preserve"> =</t>
    </r>
  </si>
  <si>
    <r>
      <t xml:space="preserve"> V</t>
    </r>
    <r>
      <rPr>
        <vertAlign val="subscript"/>
        <sz val="11"/>
        <color theme="1"/>
        <rFont val="Arial"/>
        <family val="2"/>
      </rPr>
      <t>DS_rec</t>
    </r>
    <r>
      <rPr>
        <sz val="11"/>
        <color theme="1"/>
        <rFont val="Arial"/>
        <family val="2"/>
      </rPr>
      <t xml:space="preserve"> =</t>
    </r>
  </si>
  <si>
    <r>
      <t xml:space="preserve"> V</t>
    </r>
    <r>
      <rPr>
        <vertAlign val="subscript"/>
        <sz val="11"/>
        <color theme="1"/>
        <rFont val="Arial"/>
        <family val="2"/>
      </rPr>
      <t>DS_act</t>
    </r>
    <r>
      <rPr>
        <sz val="11"/>
        <color theme="1"/>
        <rFont val="Arial"/>
        <family val="2"/>
      </rPr>
      <t xml:space="preserve"> =</t>
    </r>
  </si>
  <si>
    <r>
      <t xml:space="preserve"> K</t>
    </r>
    <r>
      <rPr>
        <vertAlign val="subscript"/>
        <sz val="11"/>
        <color theme="1"/>
        <rFont val="Arial"/>
        <family val="2"/>
      </rPr>
      <t>TZ</t>
    </r>
    <r>
      <rPr>
        <sz val="11"/>
        <color theme="1"/>
        <rFont val="Arial"/>
        <family val="2"/>
      </rPr>
      <t xml:space="preserve"> =</t>
    </r>
  </si>
  <si>
    <r>
      <t>F</t>
    </r>
    <r>
      <rPr>
        <vertAlign val="superscript"/>
        <sz val="11"/>
        <color theme="1"/>
        <rFont val="Arial"/>
        <family val="2"/>
      </rPr>
      <t>-1</t>
    </r>
  </si>
  <si>
    <r>
      <t>R</t>
    </r>
    <r>
      <rPr>
        <vertAlign val="subscript"/>
        <sz val="11"/>
        <color theme="1"/>
        <rFont val="Arial"/>
        <family val="2"/>
      </rPr>
      <t xml:space="preserve">DSon_QH </t>
    </r>
    <r>
      <rPr>
        <sz val="11"/>
        <color theme="1"/>
        <rFont val="Arial"/>
        <family val="2"/>
      </rPr>
      <t>=</t>
    </r>
  </si>
  <si>
    <r>
      <t xml:space="preserve"> C</t>
    </r>
    <r>
      <rPr>
        <vertAlign val="subscript"/>
        <sz val="11"/>
        <color theme="1"/>
        <rFont val="Arial"/>
        <family val="2"/>
      </rPr>
      <t>OSS_QH_bg</t>
    </r>
    <r>
      <rPr>
        <sz val="11"/>
        <color theme="1"/>
        <rFont val="Arial"/>
        <family val="2"/>
      </rPr>
      <t xml:space="preserve"> =</t>
    </r>
  </si>
  <si>
    <r>
      <t xml:space="preserve"> C</t>
    </r>
    <r>
      <rPr>
        <vertAlign val="subscript"/>
        <sz val="11"/>
        <color theme="1"/>
        <rFont val="Arial"/>
        <family val="2"/>
      </rPr>
      <t xml:space="preserve">OSS_QH_sm </t>
    </r>
    <r>
      <rPr>
        <sz val="11"/>
        <color theme="1"/>
        <rFont val="Arial"/>
        <family val="2"/>
      </rPr>
      <t>=</t>
    </r>
  </si>
  <si>
    <r>
      <t xml:space="preserve"> V</t>
    </r>
    <r>
      <rPr>
        <vertAlign val="subscript"/>
        <sz val="11"/>
        <color theme="1"/>
        <rFont val="Arial"/>
        <family val="2"/>
      </rPr>
      <t>xh</t>
    </r>
    <r>
      <rPr>
        <sz val="11"/>
        <color theme="1"/>
        <rFont val="Arial"/>
        <family val="2"/>
      </rPr>
      <t xml:space="preserve"> =</t>
    </r>
  </si>
  <si>
    <r>
      <t xml:space="preserve"> I</t>
    </r>
    <r>
      <rPr>
        <vertAlign val="subscript"/>
        <sz val="11"/>
        <color theme="1"/>
        <rFont val="Arial"/>
        <family val="2"/>
      </rPr>
      <t>QH_max</t>
    </r>
    <r>
      <rPr>
        <sz val="11"/>
        <color theme="1"/>
        <rFont val="Arial"/>
        <family val="2"/>
      </rPr>
      <t xml:space="preserve"> =</t>
    </r>
  </si>
  <si>
    <r>
      <t>R</t>
    </r>
    <r>
      <rPr>
        <vertAlign val="subscript"/>
        <sz val="11"/>
        <color theme="1"/>
        <rFont val="Arial"/>
        <family val="2"/>
      </rPr>
      <t xml:space="preserve">DSon_QL </t>
    </r>
    <r>
      <rPr>
        <sz val="11"/>
        <color theme="1"/>
        <rFont val="Arial"/>
        <family val="2"/>
      </rPr>
      <t>=</t>
    </r>
  </si>
  <si>
    <r>
      <t>Output Capacitance of MOSFET</t>
    </r>
    <r>
      <rPr>
        <b/>
        <sz val="11"/>
        <color theme="1"/>
        <rFont val="Arial"/>
        <family val="2"/>
      </rPr>
      <t xml:space="preserve"> </t>
    </r>
    <r>
      <rPr>
        <sz val="11"/>
        <color theme="1"/>
        <rFont val="Arial"/>
        <family val="2"/>
      </rPr>
      <t>Big-C,</t>
    </r>
    <r>
      <rPr>
        <b/>
        <sz val="11"/>
        <color theme="1"/>
        <rFont val="Arial"/>
        <family val="2"/>
      </rPr>
      <t xml:space="preserve"> </t>
    </r>
    <r>
      <rPr>
        <sz val="11"/>
        <color theme="1"/>
        <rFont val="Arial"/>
        <family val="2"/>
      </rPr>
      <t>Below Vxl</t>
    </r>
  </si>
  <si>
    <r>
      <t>C</t>
    </r>
    <r>
      <rPr>
        <vertAlign val="subscript"/>
        <sz val="11"/>
        <color theme="1"/>
        <rFont val="Arial"/>
        <family val="2"/>
      </rPr>
      <t>OSS_QL_bg</t>
    </r>
    <r>
      <rPr>
        <sz val="11"/>
        <color theme="1"/>
        <rFont val="Arial"/>
        <family val="2"/>
      </rPr>
      <t xml:space="preserve"> =</t>
    </r>
  </si>
  <si>
    <r>
      <t xml:space="preserve"> C</t>
    </r>
    <r>
      <rPr>
        <vertAlign val="subscript"/>
        <sz val="11"/>
        <color theme="1"/>
        <rFont val="Arial"/>
        <family val="2"/>
      </rPr>
      <t xml:space="preserve">OSS_QL_sm </t>
    </r>
    <r>
      <rPr>
        <sz val="11"/>
        <color theme="1"/>
        <rFont val="Arial"/>
        <family val="2"/>
      </rPr>
      <t>=</t>
    </r>
  </si>
  <si>
    <r>
      <t xml:space="preserve"> V</t>
    </r>
    <r>
      <rPr>
        <vertAlign val="subscript"/>
        <sz val="11"/>
        <color theme="1"/>
        <rFont val="Arial"/>
        <family val="2"/>
      </rPr>
      <t>xl</t>
    </r>
    <r>
      <rPr>
        <sz val="11"/>
        <color theme="1"/>
        <rFont val="Arial"/>
        <family val="2"/>
      </rPr>
      <t xml:space="preserve"> =</t>
    </r>
  </si>
  <si>
    <r>
      <t>I</t>
    </r>
    <r>
      <rPr>
        <vertAlign val="subscript"/>
        <sz val="11"/>
        <color theme="1"/>
        <rFont val="Arial"/>
        <family val="2"/>
      </rPr>
      <t>QL_max</t>
    </r>
    <r>
      <rPr>
        <sz val="11"/>
        <color theme="1"/>
        <rFont val="Arial"/>
        <family val="2"/>
      </rPr>
      <t xml:space="preserve"> =</t>
    </r>
  </si>
  <si>
    <r>
      <t>V</t>
    </r>
    <r>
      <rPr>
        <vertAlign val="subscript"/>
        <sz val="11"/>
        <color theme="1"/>
        <rFont val="Arial"/>
        <family val="2"/>
      </rPr>
      <t>OUT</t>
    </r>
    <r>
      <rPr>
        <sz val="11"/>
        <color theme="1"/>
        <rFont val="Arial"/>
        <family val="2"/>
      </rPr>
      <t xml:space="preserve"> =</t>
    </r>
  </si>
  <si>
    <r>
      <t>P</t>
    </r>
    <r>
      <rPr>
        <vertAlign val="subscript"/>
        <sz val="11"/>
        <color theme="1"/>
        <rFont val="Arial"/>
        <family val="2"/>
      </rPr>
      <t>O_FL</t>
    </r>
    <r>
      <rPr>
        <sz val="11"/>
        <color theme="1"/>
        <rFont val="Arial"/>
        <family val="2"/>
      </rPr>
      <t xml:space="preserve"> =</t>
    </r>
  </si>
  <si>
    <r>
      <t>I</t>
    </r>
    <r>
      <rPr>
        <vertAlign val="subscript"/>
        <sz val="11"/>
        <color theme="1"/>
        <rFont val="Arial"/>
        <family val="2"/>
      </rPr>
      <t>OUT</t>
    </r>
    <r>
      <rPr>
        <sz val="11"/>
        <color theme="1"/>
        <rFont val="Arial"/>
        <family val="2"/>
      </rPr>
      <t xml:space="preserve"> =</t>
    </r>
  </si>
  <si>
    <r>
      <t xml:space="preserve"> I</t>
    </r>
    <r>
      <rPr>
        <vertAlign val="subscript"/>
        <sz val="11"/>
        <color theme="1"/>
        <rFont val="Arial"/>
        <family val="2"/>
      </rPr>
      <t>OUT_OPP</t>
    </r>
    <r>
      <rPr>
        <sz val="11"/>
        <color theme="1"/>
        <rFont val="Arial"/>
        <family val="2"/>
      </rPr>
      <t xml:space="preserve"> =</t>
    </r>
  </si>
  <si>
    <r>
      <t xml:space="preserve"> f</t>
    </r>
    <r>
      <rPr>
        <vertAlign val="subscript"/>
        <sz val="11"/>
        <color theme="1"/>
        <rFont val="Arial"/>
        <family val="2"/>
      </rPr>
      <t>cr_min</t>
    </r>
    <r>
      <rPr>
        <sz val="11"/>
        <color theme="1"/>
        <rFont val="Arial"/>
        <family val="2"/>
      </rPr>
      <t xml:space="preserve"> =</t>
    </r>
  </si>
  <si>
    <r>
      <t xml:space="preserve"> f</t>
    </r>
    <r>
      <rPr>
        <vertAlign val="subscript"/>
        <sz val="11"/>
        <color theme="1"/>
        <rFont val="Arial"/>
        <family val="2"/>
      </rPr>
      <t>BUR_standby</t>
    </r>
    <r>
      <rPr>
        <sz val="11"/>
        <color theme="1"/>
        <rFont val="Arial"/>
        <family val="2"/>
      </rPr>
      <t xml:space="preserve"> =</t>
    </r>
  </si>
  <si>
    <r>
      <t xml:space="preserve"> V</t>
    </r>
    <r>
      <rPr>
        <vertAlign val="subscript"/>
        <sz val="11"/>
        <color theme="1"/>
        <rFont val="Arial"/>
        <family val="2"/>
      </rPr>
      <t>In_type</t>
    </r>
    <r>
      <rPr>
        <sz val="11"/>
        <color theme="1"/>
        <rFont val="Arial"/>
        <family val="2"/>
      </rPr>
      <t xml:space="preserve"> =</t>
    </r>
  </si>
  <si>
    <r>
      <t xml:space="preserve"> V</t>
    </r>
    <r>
      <rPr>
        <vertAlign val="subscript"/>
        <sz val="11"/>
        <color theme="1"/>
        <rFont val="Arial"/>
        <family val="2"/>
      </rPr>
      <t>In_max</t>
    </r>
    <r>
      <rPr>
        <sz val="11"/>
        <color theme="1"/>
        <rFont val="Arial"/>
        <family val="2"/>
      </rPr>
      <t xml:space="preserve"> =</t>
    </r>
  </si>
  <si>
    <r>
      <t xml:space="preserve"> V</t>
    </r>
    <r>
      <rPr>
        <vertAlign val="subscript"/>
        <sz val="11"/>
        <color theme="1"/>
        <rFont val="Arial"/>
        <family val="2"/>
      </rPr>
      <t>In_BUR</t>
    </r>
    <r>
      <rPr>
        <sz val="11"/>
        <color theme="1"/>
        <rFont val="Arial"/>
        <family val="2"/>
      </rPr>
      <t xml:space="preserve"> =</t>
    </r>
  </si>
  <si>
    <r>
      <t>V</t>
    </r>
    <r>
      <rPr>
        <vertAlign val="subscript"/>
        <sz val="11"/>
        <color theme="1"/>
        <rFont val="Arial"/>
        <family val="2"/>
      </rPr>
      <t>In_min</t>
    </r>
    <r>
      <rPr>
        <sz val="11"/>
        <color theme="1"/>
        <rFont val="Arial"/>
        <family val="2"/>
      </rPr>
      <t xml:space="preserve"> =</t>
    </r>
  </si>
  <si>
    <r>
      <t>V</t>
    </r>
    <r>
      <rPr>
        <vertAlign val="subscript"/>
        <sz val="11"/>
        <color theme="1"/>
        <rFont val="Arial"/>
        <family val="2"/>
      </rPr>
      <t>In_Brownin</t>
    </r>
    <r>
      <rPr>
        <sz val="11"/>
        <color theme="1"/>
        <rFont val="Arial"/>
        <family val="2"/>
      </rPr>
      <t xml:space="preserve"> =    </t>
    </r>
  </si>
  <si>
    <t xml:space="preserve">"Brown-out" Input Voltage Result </t>
  </si>
  <si>
    <r>
      <t>V</t>
    </r>
    <r>
      <rPr>
        <vertAlign val="subscript"/>
        <sz val="11"/>
        <color theme="1"/>
        <rFont val="Arial"/>
        <family val="2"/>
      </rPr>
      <t>In_Brownout</t>
    </r>
    <r>
      <rPr>
        <sz val="11"/>
        <color theme="1"/>
        <rFont val="Arial"/>
        <family val="2"/>
      </rPr>
      <t xml:space="preserve"> = </t>
    </r>
  </si>
  <si>
    <r>
      <t>V</t>
    </r>
    <r>
      <rPr>
        <vertAlign val="subscript"/>
        <sz val="11"/>
        <color theme="1"/>
        <rFont val="Arial"/>
        <family val="2"/>
      </rPr>
      <t>Bulk_min_tgt</t>
    </r>
    <r>
      <rPr>
        <sz val="11"/>
        <color theme="1"/>
        <rFont val="Arial"/>
        <family val="2"/>
      </rPr>
      <t xml:space="preserve"> =</t>
    </r>
  </si>
  <si>
    <r>
      <t>Lowest instantaneous bulk voltage (to calculate C</t>
    </r>
    <r>
      <rPr>
        <vertAlign val="subscript"/>
        <sz val="11"/>
        <color theme="1"/>
        <rFont val="Arial"/>
        <family val="2"/>
      </rPr>
      <t>BULK</t>
    </r>
    <r>
      <rPr>
        <sz val="11"/>
        <color theme="1"/>
        <rFont val="Arial"/>
        <family val="2"/>
      </rPr>
      <t>)</t>
    </r>
  </si>
  <si>
    <r>
      <t>f</t>
    </r>
    <r>
      <rPr>
        <vertAlign val="subscript"/>
        <sz val="11"/>
        <color theme="1"/>
        <rFont val="Arial"/>
        <family val="2"/>
      </rPr>
      <t>LINE_min</t>
    </r>
    <r>
      <rPr>
        <sz val="11"/>
        <color theme="1"/>
        <rFont val="Arial"/>
        <family val="2"/>
      </rPr>
      <t xml:space="preserve"> =</t>
    </r>
  </si>
  <si>
    <t>VDD Supply Current, Run-state, Switching</t>
  </si>
  <si>
    <r>
      <t>V</t>
    </r>
    <r>
      <rPr>
        <vertAlign val="subscript"/>
        <sz val="11"/>
        <color theme="1"/>
        <rFont val="Arial"/>
        <family val="2"/>
      </rPr>
      <t>DD_off</t>
    </r>
    <r>
      <rPr>
        <sz val="11"/>
        <color theme="1"/>
        <rFont val="Arial"/>
        <family val="2"/>
      </rPr>
      <t xml:space="preserve"> =</t>
    </r>
  </si>
  <si>
    <r>
      <t>V</t>
    </r>
    <r>
      <rPr>
        <vertAlign val="subscript"/>
        <sz val="11"/>
        <color theme="1"/>
        <rFont val="Arial"/>
        <family val="2"/>
      </rPr>
      <t>DD_on</t>
    </r>
    <r>
      <rPr>
        <sz val="11"/>
        <color theme="1"/>
        <rFont val="Arial"/>
        <family val="2"/>
      </rPr>
      <t xml:space="preserve"> =</t>
    </r>
  </si>
  <si>
    <r>
      <t>V</t>
    </r>
    <r>
      <rPr>
        <vertAlign val="subscript"/>
        <sz val="11"/>
        <color theme="1"/>
        <rFont val="Arial"/>
        <family val="2"/>
      </rPr>
      <t>DD_max</t>
    </r>
    <r>
      <rPr>
        <sz val="11"/>
        <color theme="1"/>
        <rFont val="Arial"/>
        <family val="2"/>
      </rPr>
      <t xml:space="preserve"> =</t>
    </r>
  </si>
  <si>
    <r>
      <t>V</t>
    </r>
    <r>
      <rPr>
        <vertAlign val="subscript"/>
        <sz val="11"/>
        <color theme="1"/>
        <rFont val="Arial"/>
        <family val="2"/>
      </rPr>
      <t>DD_PCT</t>
    </r>
    <r>
      <rPr>
        <sz val="11"/>
        <color theme="1"/>
        <rFont val="Arial"/>
        <family val="2"/>
      </rPr>
      <t xml:space="preserve"> =</t>
    </r>
  </si>
  <si>
    <r>
      <t>I</t>
    </r>
    <r>
      <rPr>
        <vertAlign val="subscript"/>
        <sz val="11"/>
        <color theme="1"/>
        <rFont val="Arial"/>
        <family val="2"/>
      </rPr>
      <t>VSL_run</t>
    </r>
    <r>
      <rPr>
        <sz val="11"/>
        <color theme="1"/>
        <rFont val="Arial"/>
        <family val="2"/>
      </rPr>
      <t xml:space="preserve"> =</t>
    </r>
  </si>
  <si>
    <r>
      <t>V</t>
    </r>
    <r>
      <rPr>
        <vertAlign val="subscript"/>
        <sz val="11"/>
        <color theme="1"/>
        <rFont val="Arial"/>
        <family val="2"/>
      </rPr>
      <t xml:space="preserve">VS_OVP </t>
    </r>
    <r>
      <rPr>
        <sz val="11"/>
        <color theme="1"/>
        <rFont val="Arial"/>
        <family val="2"/>
      </rPr>
      <t>=</t>
    </r>
  </si>
  <si>
    <r>
      <t>t</t>
    </r>
    <r>
      <rPr>
        <vertAlign val="subscript"/>
        <sz val="11"/>
        <color theme="1"/>
        <rFont val="Arial"/>
        <family val="2"/>
      </rPr>
      <t>D_CS</t>
    </r>
    <r>
      <rPr>
        <sz val="11"/>
        <color theme="1"/>
        <rFont val="Arial"/>
        <family val="2"/>
      </rPr>
      <t xml:space="preserve"> =</t>
    </r>
  </si>
  <si>
    <r>
      <t xml:space="preserve"> V</t>
    </r>
    <r>
      <rPr>
        <vertAlign val="subscript"/>
        <sz val="11"/>
        <color theme="1"/>
        <rFont val="Arial"/>
        <family val="2"/>
      </rPr>
      <t>CST_max</t>
    </r>
    <r>
      <rPr>
        <sz val="11"/>
        <color theme="1"/>
        <rFont val="Arial"/>
        <family val="2"/>
      </rPr>
      <t xml:space="preserve"> =</t>
    </r>
  </si>
  <si>
    <r>
      <t xml:space="preserve"> V</t>
    </r>
    <r>
      <rPr>
        <vertAlign val="subscript"/>
        <sz val="11"/>
        <color theme="1"/>
        <rFont val="Arial"/>
        <family val="2"/>
      </rPr>
      <t>CST_OPP1</t>
    </r>
    <r>
      <rPr>
        <sz val="11"/>
        <color theme="1"/>
        <rFont val="Arial"/>
        <family val="2"/>
      </rPr>
      <t xml:space="preserve"> =</t>
    </r>
  </si>
  <si>
    <r>
      <t xml:space="preserve"> V</t>
    </r>
    <r>
      <rPr>
        <vertAlign val="subscript"/>
        <sz val="11"/>
        <color theme="1"/>
        <rFont val="Arial"/>
        <family val="2"/>
      </rPr>
      <t>CST_OPP4</t>
    </r>
    <r>
      <rPr>
        <sz val="11"/>
        <color theme="1"/>
        <rFont val="Arial"/>
        <family val="2"/>
      </rPr>
      <t xml:space="preserve"> =</t>
    </r>
  </si>
  <si>
    <r>
      <t>V</t>
    </r>
    <r>
      <rPr>
        <vertAlign val="subscript"/>
        <sz val="11"/>
        <color theme="1"/>
        <rFont val="Arial"/>
        <family val="2"/>
      </rPr>
      <t>s_clamp</t>
    </r>
    <r>
      <rPr>
        <sz val="11"/>
        <color theme="1"/>
        <rFont val="Arial"/>
        <family val="2"/>
      </rPr>
      <t xml:space="preserve"> =</t>
    </r>
  </si>
  <si>
    <r>
      <t>K</t>
    </r>
    <r>
      <rPr>
        <vertAlign val="subscript"/>
        <sz val="11"/>
        <color theme="1"/>
        <rFont val="Arial"/>
        <family val="2"/>
      </rPr>
      <t>LC</t>
    </r>
    <r>
      <rPr>
        <sz val="11"/>
        <color theme="1"/>
        <rFont val="Arial"/>
        <family val="2"/>
      </rPr>
      <t xml:space="preserve"> =</t>
    </r>
  </si>
  <si>
    <r>
      <t>K</t>
    </r>
    <r>
      <rPr>
        <vertAlign val="subscript"/>
        <sz val="11"/>
        <color theme="1"/>
        <rFont val="Arial"/>
        <family val="2"/>
      </rPr>
      <t>DM</t>
    </r>
    <r>
      <rPr>
        <sz val="11"/>
        <color theme="1"/>
        <rFont val="Arial"/>
        <family val="2"/>
      </rPr>
      <t xml:space="preserve"> =</t>
    </r>
  </si>
  <si>
    <r>
      <t>Ratio from V</t>
    </r>
    <r>
      <rPr>
        <vertAlign val="subscript"/>
        <sz val="11"/>
        <color theme="1"/>
        <rFont val="Arial"/>
        <family val="2"/>
      </rPr>
      <t>BUR</t>
    </r>
    <r>
      <rPr>
        <sz val="11"/>
        <color theme="1"/>
        <rFont val="Arial"/>
        <family val="2"/>
      </rPr>
      <t xml:space="preserve"> to V</t>
    </r>
    <r>
      <rPr>
        <vertAlign val="subscript"/>
        <sz val="11"/>
        <color theme="1"/>
        <rFont val="Arial"/>
        <family val="2"/>
      </rPr>
      <t>CST</t>
    </r>
    <r>
      <rPr>
        <sz val="11"/>
        <color theme="1"/>
        <rFont val="Arial"/>
        <family val="2"/>
      </rPr>
      <t/>
    </r>
  </si>
  <si>
    <r>
      <t>K</t>
    </r>
    <r>
      <rPr>
        <vertAlign val="subscript"/>
        <sz val="11"/>
        <color theme="1"/>
        <rFont val="Arial"/>
        <family val="2"/>
      </rPr>
      <t>BUR_CST</t>
    </r>
    <r>
      <rPr>
        <sz val="11"/>
        <color theme="1"/>
        <rFont val="Arial"/>
        <family val="2"/>
      </rPr>
      <t xml:space="preserve"> =</t>
    </r>
  </si>
  <si>
    <r>
      <t>V</t>
    </r>
    <r>
      <rPr>
        <vertAlign val="subscript"/>
        <sz val="11"/>
        <color theme="1"/>
        <rFont val="Arial"/>
        <family val="2"/>
      </rPr>
      <t>HVG</t>
    </r>
    <r>
      <rPr>
        <sz val="11"/>
        <color theme="1"/>
        <rFont val="Arial"/>
        <family val="2"/>
      </rPr>
      <t xml:space="preserve"> =</t>
    </r>
  </si>
  <si>
    <r>
      <t>I</t>
    </r>
    <r>
      <rPr>
        <vertAlign val="subscript"/>
        <sz val="11"/>
        <color theme="1"/>
        <rFont val="Arial"/>
        <family val="2"/>
      </rPr>
      <t>RUN_VDD</t>
    </r>
    <r>
      <rPr>
        <sz val="11"/>
        <color theme="1"/>
        <rFont val="Arial"/>
        <family val="2"/>
      </rPr>
      <t xml:space="preserve"> =</t>
    </r>
  </si>
  <si>
    <r>
      <t>I</t>
    </r>
    <r>
      <rPr>
        <vertAlign val="subscript"/>
        <sz val="11"/>
        <color theme="1"/>
        <rFont val="Arial"/>
        <family val="2"/>
      </rPr>
      <t>wait_VDD</t>
    </r>
    <r>
      <rPr>
        <sz val="11"/>
        <color theme="1"/>
        <rFont val="Arial"/>
        <family val="2"/>
      </rPr>
      <t xml:space="preserve"> =</t>
    </r>
  </si>
  <si>
    <r>
      <t xml:space="preserve"> t</t>
    </r>
    <r>
      <rPr>
        <vertAlign val="subscript"/>
        <sz val="11"/>
        <color theme="1"/>
        <rFont val="Arial"/>
        <family val="2"/>
      </rPr>
      <t>D_RUN_PWML</t>
    </r>
    <r>
      <rPr>
        <sz val="11"/>
        <color theme="1"/>
        <rFont val="Arial"/>
        <family val="2"/>
      </rPr>
      <t xml:space="preserve"> =</t>
    </r>
  </si>
  <si>
    <r>
      <t xml:space="preserve"> I</t>
    </r>
    <r>
      <rPr>
        <vertAlign val="subscript"/>
        <sz val="11"/>
        <color theme="1"/>
        <rFont val="Arial"/>
        <family val="2"/>
      </rPr>
      <t>start_HVG</t>
    </r>
    <r>
      <rPr>
        <sz val="11"/>
        <color theme="1"/>
        <rFont val="Arial"/>
        <family val="2"/>
      </rPr>
      <t xml:space="preserve"> =</t>
    </r>
  </si>
  <si>
    <r>
      <t>Sink-Current on V</t>
    </r>
    <r>
      <rPr>
        <vertAlign val="subscript"/>
        <sz val="11"/>
        <color theme="1"/>
        <rFont val="Arial"/>
        <family val="2"/>
      </rPr>
      <t>DD</t>
    </r>
    <r>
      <rPr>
        <sz val="11"/>
        <color theme="1"/>
        <rFont val="Arial"/>
        <family val="2"/>
      </rPr>
      <t xml:space="preserve"> pin</t>
    </r>
  </si>
  <si>
    <r>
      <t>I</t>
    </r>
    <r>
      <rPr>
        <vertAlign val="subscript"/>
        <sz val="11"/>
        <color theme="1"/>
        <rFont val="Arial"/>
        <family val="2"/>
      </rPr>
      <t>EN_VDD</t>
    </r>
    <r>
      <rPr>
        <sz val="11"/>
        <color theme="1"/>
        <rFont val="Arial"/>
        <family val="2"/>
      </rPr>
      <t xml:space="preserve"> =</t>
    </r>
  </si>
  <si>
    <r>
      <t>V</t>
    </r>
    <r>
      <rPr>
        <vertAlign val="subscript"/>
        <sz val="11"/>
        <color theme="1"/>
        <rFont val="Arial"/>
        <family val="2"/>
      </rPr>
      <t>FB_max</t>
    </r>
    <r>
      <rPr>
        <sz val="11"/>
        <color theme="1"/>
        <rFont val="Arial"/>
        <family val="2"/>
      </rPr>
      <t xml:space="preserve"> =</t>
    </r>
  </si>
  <si>
    <r>
      <t>R</t>
    </r>
    <r>
      <rPr>
        <vertAlign val="subscript"/>
        <sz val="11"/>
        <color theme="1"/>
        <rFont val="Arial"/>
        <family val="2"/>
      </rPr>
      <t>FB_int</t>
    </r>
    <r>
      <rPr>
        <sz val="11"/>
        <color theme="1"/>
        <rFont val="Arial"/>
        <family val="2"/>
      </rPr>
      <t xml:space="preserve"> =</t>
    </r>
  </si>
  <si>
    <r>
      <t>I</t>
    </r>
    <r>
      <rPr>
        <vertAlign val="subscript"/>
        <sz val="11"/>
        <color theme="1"/>
        <rFont val="Arial"/>
        <family val="2"/>
      </rPr>
      <t>FB_max</t>
    </r>
    <r>
      <rPr>
        <sz val="11"/>
        <color theme="1"/>
        <rFont val="Arial"/>
        <family val="2"/>
      </rPr>
      <t xml:space="preserve"> =</t>
    </r>
  </si>
  <si>
    <r>
      <t>Burst voltage ripple of V</t>
    </r>
    <r>
      <rPr>
        <vertAlign val="subscript"/>
        <sz val="11"/>
        <color theme="1"/>
        <rFont val="Arial"/>
        <family val="2"/>
      </rPr>
      <t>O</t>
    </r>
    <r>
      <rPr>
        <sz val="11"/>
        <color theme="1"/>
        <rFont val="Arial"/>
        <family val="2"/>
      </rPr>
      <t xml:space="preserve"> when in ABM</t>
    </r>
  </si>
  <si>
    <r>
      <rPr>
        <sz val="11"/>
        <color theme="1"/>
        <rFont val="Calibri"/>
        <family val="2"/>
      </rPr>
      <t>∆</t>
    </r>
    <r>
      <rPr>
        <sz val="11"/>
        <color theme="1"/>
        <rFont val="Arial"/>
        <family val="2"/>
      </rPr>
      <t>V</t>
    </r>
    <r>
      <rPr>
        <vertAlign val="subscript"/>
        <sz val="11"/>
        <color theme="1"/>
        <rFont val="Arial"/>
        <family val="2"/>
      </rPr>
      <t>O_ABM</t>
    </r>
    <r>
      <rPr>
        <sz val="11"/>
        <color theme="1"/>
        <rFont val="Arial"/>
        <family val="2"/>
      </rPr>
      <t xml:space="preserve"> =</t>
    </r>
  </si>
  <si>
    <r>
      <t>f</t>
    </r>
    <r>
      <rPr>
        <vertAlign val="subscript"/>
        <sz val="11"/>
        <color theme="1"/>
        <rFont val="Arial"/>
        <family val="2"/>
      </rPr>
      <t>BUR_UP</t>
    </r>
    <r>
      <rPr>
        <sz val="11"/>
        <color theme="1"/>
        <rFont val="Arial"/>
        <family val="2"/>
      </rPr>
      <t xml:space="preserve"> =</t>
    </r>
  </si>
  <si>
    <r>
      <t>f</t>
    </r>
    <r>
      <rPr>
        <vertAlign val="subscript"/>
        <sz val="11"/>
        <color theme="1"/>
        <rFont val="Arial"/>
        <family val="2"/>
      </rPr>
      <t>BUR_LR</t>
    </r>
    <r>
      <rPr>
        <sz val="11"/>
        <color theme="1"/>
        <rFont val="Arial"/>
        <family val="2"/>
      </rPr>
      <t xml:space="preserve"> =</t>
    </r>
  </si>
  <si>
    <r>
      <t>t</t>
    </r>
    <r>
      <rPr>
        <vertAlign val="subscript"/>
        <sz val="11"/>
        <color theme="1"/>
        <rFont val="Arial"/>
        <family val="2"/>
      </rPr>
      <t>FDR</t>
    </r>
    <r>
      <rPr>
        <sz val="11"/>
        <color theme="1"/>
        <rFont val="Arial"/>
        <family val="2"/>
      </rPr>
      <t xml:space="preserve"> =</t>
    </r>
  </si>
  <si>
    <r>
      <t>K</t>
    </r>
    <r>
      <rPr>
        <vertAlign val="subscript"/>
        <sz val="11"/>
        <color theme="1"/>
        <rFont val="Arial"/>
        <family val="2"/>
      </rPr>
      <t>RES</t>
    </r>
    <r>
      <rPr>
        <sz val="11"/>
        <color theme="1"/>
        <rFont val="Arial"/>
        <family val="2"/>
      </rPr>
      <t xml:space="preserve"> =</t>
    </r>
  </si>
  <si>
    <r>
      <t xml:space="preserve">Minimum </t>
    </r>
    <r>
      <rPr>
        <sz val="11"/>
        <color theme="1"/>
        <rFont val="Calibri"/>
        <family val="2"/>
      </rPr>
      <t>∆</t>
    </r>
    <r>
      <rPr>
        <sz val="11"/>
        <color theme="1"/>
        <rFont val="Arial"/>
        <family val="2"/>
      </rPr>
      <t>V for N</t>
    </r>
    <r>
      <rPr>
        <vertAlign val="subscript"/>
        <sz val="11"/>
        <color theme="1"/>
        <rFont val="Arial"/>
        <family val="2"/>
      </rPr>
      <t>A_min</t>
    </r>
    <r>
      <rPr>
        <sz val="11"/>
        <color theme="1"/>
        <rFont val="Arial"/>
        <family val="2"/>
      </rPr>
      <t xml:space="preserve"> Design Margin</t>
    </r>
  </si>
  <si>
    <r>
      <t>∆V</t>
    </r>
    <r>
      <rPr>
        <sz val="7"/>
        <color theme="1"/>
        <rFont val="Arial"/>
        <family val="2"/>
      </rPr>
      <t>_MIN</t>
    </r>
    <r>
      <rPr>
        <sz val="11"/>
        <color theme="1"/>
        <rFont val="Arial"/>
        <family val="2"/>
      </rPr>
      <t xml:space="preserve"> =</t>
    </r>
  </si>
  <si>
    <r>
      <t>ΔV</t>
    </r>
    <r>
      <rPr>
        <sz val="7"/>
        <color theme="1"/>
        <rFont val="Arial"/>
        <family val="2"/>
      </rPr>
      <t xml:space="preserve">SPIKE_SR </t>
    </r>
    <r>
      <rPr>
        <sz val="11"/>
        <color theme="1"/>
        <rFont val="Arial"/>
        <family val="2"/>
      </rPr>
      <t>=</t>
    </r>
  </si>
  <si>
    <t xml:space="preserve">Typically use 100mV or higher.          Refer to the figure at the right &gt;&gt;&gt;  </t>
  </si>
  <si>
    <t xml:space="preserve">ds specs </t>
  </si>
  <si>
    <t>(Recommended value rounded to nearest integer)</t>
  </si>
  <si>
    <r>
      <t>Choose integer turns: N</t>
    </r>
    <r>
      <rPr>
        <sz val="7"/>
        <rFont val="Arial"/>
        <family val="2"/>
      </rPr>
      <t xml:space="preserve">A_min </t>
    </r>
    <r>
      <rPr>
        <sz val="11"/>
        <rFont val="Arial"/>
        <family val="2"/>
      </rPr>
      <t>&lt; N</t>
    </r>
    <r>
      <rPr>
        <vertAlign val="subscript"/>
        <sz val="11"/>
        <rFont val="Arial"/>
        <family val="2"/>
      </rPr>
      <t>A</t>
    </r>
    <r>
      <rPr>
        <sz val="11"/>
        <rFont val="Arial"/>
        <family val="2"/>
      </rPr>
      <t xml:space="preserve"> &lt; N</t>
    </r>
    <r>
      <rPr>
        <sz val="7"/>
        <rFont val="Arial"/>
        <family val="2"/>
      </rPr>
      <t xml:space="preserve">A_max  </t>
    </r>
  </si>
  <si>
    <t>(at lowest bulk voltage)</t>
  </si>
  <si>
    <r>
      <t>C</t>
    </r>
    <r>
      <rPr>
        <vertAlign val="subscript"/>
        <sz val="11"/>
        <color theme="1"/>
        <rFont val="Arial"/>
        <family val="2"/>
      </rPr>
      <t>OSS_QH_T</t>
    </r>
    <r>
      <rPr>
        <sz val="11"/>
        <color theme="1"/>
        <rFont val="Arial"/>
        <family val="2"/>
      </rPr>
      <t xml:space="preserve"> =</t>
    </r>
  </si>
  <si>
    <r>
      <t>C</t>
    </r>
    <r>
      <rPr>
        <vertAlign val="subscript"/>
        <sz val="11"/>
        <color theme="1"/>
        <rFont val="Arial"/>
        <family val="2"/>
      </rPr>
      <t>OSS_QL_T</t>
    </r>
    <r>
      <rPr>
        <sz val="11"/>
        <color theme="1"/>
        <rFont val="Arial"/>
        <family val="2"/>
      </rPr>
      <t xml:space="preserve"> =</t>
    </r>
  </si>
  <si>
    <r>
      <t>C</t>
    </r>
    <r>
      <rPr>
        <vertAlign val="subscript"/>
        <sz val="11"/>
        <color theme="1"/>
        <rFont val="Arial"/>
        <family val="2"/>
      </rPr>
      <t>Tr</t>
    </r>
    <r>
      <rPr>
        <sz val="11"/>
        <color theme="1"/>
        <rFont val="Arial"/>
        <family val="2"/>
      </rPr>
      <t xml:space="preserve"> =</t>
    </r>
  </si>
  <si>
    <r>
      <t>C</t>
    </r>
    <r>
      <rPr>
        <vertAlign val="subscript"/>
        <sz val="11"/>
        <color theme="1"/>
        <rFont val="Arial"/>
        <family val="2"/>
      </rPr>
      <t>BootD_T</t>
    </r>
    <r>
      <rPr>
        <sz val="11"/>
        <color theme="1"/>
        <rFont val="Arial"/>
        <family val="2"/>
      </rPr>
      <t xml:space="preserve"> =</t>
    </r>
  </si>
  <si>
    <r>
      <t>C</t>
    </r>
    <r>
      <rPr>
        <vertAlign val="subscript"/>
        <sz val="11"/>
        <color theme="1"/>
        <rFont val="Arial"/>
        <family val="2"/>
      </rPr>
      <t xml:space="preserve">OSS_Qs </t>
    </r>
    <r>
      <rPr>
        <sz val="11"/>
        <color theme="1"/>
        <rFont val="Arial"/>
        <family val="2"/>
      </rPr>
      <t>=</t>
    </r>
  </si>
  <si>
    <r>
      <t>C</t>
    </r>
    <r>
      <rPr>
        <vertAlign val="subscript"/>
        <sz val="11"/>
        <color theme="1"/>
        <rFont val="Arial"/>
        <family val="2"/>
      </rPr>
      <t xml:space="preserve">reflect </t>
    </r>
    <r>
      <rPr>
        <sz val="11"/>
        <color theme="1"/>
        <rFont val="Arial"/>
        <family val="2"/>
      </rPr>
      <t>=</t>
    </r>
  </si>
  <si>
    <r>
      <t>C</t>
    </r>
    <r>
      <rPr>
        <vertAlign val="subscript"/>
        <sz val="11"/>
        <color theme="1"/>
        <rFont val="Arial"/>
        <family val="2"/>
      </rPr>
      <t xml:space="preserve">SWN_T </t>
    </r>
    <r>
      <rPr>
        <sz val="11"/>
        <color theme="1"/>
        <rFont val="Arial"/>
        <family val="2"/>
      </rPr>
      <t>=</t>
    </r>
  </si>
  <si>
    <r>
      <t>V</t>
    </r>
    <r>
      <rPr>
        <vertAlign val="subscript"/>
        <sz val="11"/>
        <color theme="1"/>
        <rFont val="Arial"/>
        <family val="2"/>
      </rPr>
      <t>O</t>
    </r>
    <r>
      <rPr>
        <sz val="11"/>
        <color theme="1"/>
        <rFont val="Arial"/>
        <family val="2"/>
      </rPr>
      <t xml:space="preserve"> Reflected to Primary Winding</t>
    </r>
  </si>
  <si>
    <r>
      <t>V</t>
    </r>
    <r>
      <rPr>
        <vertAlign val="subscript"/>
        <sz val="11"/>
        <color theme="1"/>
        <rFont val="Arial"/>
        <family val="2"/>
      </rPr>
      <t>Rfl</t>
    </r>
    <r>
      <rPr>
        <sz val="11"/>
        <color theme="1"/>
        <rFont val="Arial"/>
        <family val="2"/>
      </rPr>
      <t xml:space="preserve"> =</t>
    </r>
  </si>
  <si>
    <r>
      <t>D</t>
    </r>
    <r>
      <rPr>
        <vertAlign val="subscript"/>
        <sz val="11"/>
        <color theme="1"/>
        <rFont val="Arial"/>
        <family val="2"/>
      </rPr>
      <t>_max</t>
    </r>
    <r>
      <rPr>
        <sz val="11"/>
        <color theme="1"/>
        <rFont val="Arial"/>
        <family val="2"/>
      </rPr>
      <t xml:space="preserve"> =</t>
    </r>
  </si>
  <si>
    <r>
      <rPr>
        <b/>
        <sz val="11"/>
        <color theme="1"/>
        <rFont val="Arial"/>
        <family val="2"/>
      </rPr>
      <t>Recommended</t>
    </r>
    <r>
      <rPr>
        <sz val="11"/>
        <color theme="1"/>
        <rFont val="Arial"/>
        <family val="2"/>
      </rPr>
      <t xml:space="preserve"> Primary Magnetizing Inductance </t>
    </r>
  </si>
  <si>
    <r>
      <t>L</t>
    </r>
    <r>
      <rPr>
        <vertAlign val="subscript"/>
        <sz val="11"/>
        <color theme="1"/>
        <rFont val="Arial"/>
        <family val="2"/>
      </rPr>
      <t>M_rec</t>
    </r>
    <r>
      <rPr>
        <sz val="11"/>
        <color theme="1"/>
        <rFont val="Arial"/>
        <family val="2"/>
      </rPr>
      <t xml:space="preserve"> =</t>
    </r>
  </si>
  <si>
    <t>Expected Clamp Cap DC-Bias Reduction, in negative percent</t>
  </si>
  <si>
    <r>
      <t>D</t>
    </r>
    <r>
      <rPr>
        <vertAlign val="subscript"/>
        <sz val="11"/>
        <color theme="1"/>
        <rFont val="Arial"/>
        <family val="2"/>
      </rPr>
      <t>rea_clamp</t>
    </r>
    <r>
      <rPr>
        <sz val="11"/>
        <color theme="1"/>
        <rFont val="Arial"/>
        <family val="2"/>
      </rPr>
      <t>=</t>
    </r>
  </si>
  <si>
    <r>
      <rPr>
        <b/>
        <sz val="11"/>
        <color theme="1"/>
        <rFont val="Arial"/>
        <family val="2"/>
      </rPr>
      <t>Recommended</t>
    </r>
    <r>
      <rPr>
        <sz val="11"/>
        <color theme="1"/>
        <rFont val="Arial"/>
        <family val="2"/>
      </rPr>
      <t xml:space="preserve"> Clamp Cap </t>
    </r>
    <r>
      <rPr>
        <b/>
        <sz val="11"/>
        <color theme="1"/>
        <rFont val="Arial"/>
        <family val="2"/>
      </rPr>
      <t xml:space="preserve">Initial </t>
    </r>
    <r>
      <rPr>
        <sz val="11"/>
        <color theme="1"/>
        <rFont val="Arial"/>
        <family val="2"/>
      </rPr>
      <t>Capacitance</t>
    </r>
  </si>
  <si>
    <r>
      <t>C</t>
    </r>
    <r>
      <rPr>
        <vertAlign val="subscript"/>
        <sz val="11"/>
        <color theme="1"/>
        <rFont val="Arial"/>
        <family val="2"/>
      </rPr>
      <t xml:space="preserve">clamp_rec </t>
    </r>
    <r>
      <rPr>
        <sz val="11"/>
        <color theme="1"/>
        <rFont val="Arial"/>
        <family val="2"/>
      </rPr>
      <t>=</t>
    </r>
  </si>
  <si>
    <r>
      <rPr>
        <b/>
        <sz val="11"/>
        <color theme="1"/>
        <rFont val="Arial"/>
        <family val="2"/>
      </rPr>
      <t xml:space="preserve">Actual </t>
    </r>
    <r>
      <rPr>
        <sz val="11"/>
        <color theme="1"/>
        <rFont val="Arial"/>
        <family val="2"/>
      </rPr>
      <t>Clamp Cap Nominal Capacitance Selected</t>
    </r>
  </si>
  <si>
    <r>
      <t>C</t>
    </r>
    <r>
      <rPr>
        <vertAlign val="subscript"/>
        <sz val="11"/>
        <color theme="1"/>
        <rFont val="Arial"/>
        <family val="2"/>
      </rPr>
      <t>clamp_act</t>
    </r>
    <r>
      <rPr>
        <sz val="11"/>
        <color theme="1"/>
        <rFont val="Arial"/>
        <family val="2"/>
      </rPr>
      <t xml:space="preserve"> =</t>
    </r>
  </si>
  <si>
    <r>
      <t xml:space="preserve">Select closest standard value </t>
    </r>
    <r>
      <rPr>
        <sz val="11"/>
        <color theme="1"/>
        <rFont val="Calibri"/>
        <family val="2"/>
      </rPr>
      <t>≥</t>
    </r>
    <r>
      <rPr>
        <sz val="11"/>
        <color theme="1"/>
        <rFont val="Arial"/>
        <family val="2"/>
      </rPr>
      <t xml:space="preserve"> recommended value</t>
    </r>
  </si>
  <si>
    <r>
      <rPr>
        <b/>
        <sz val="11"/>
        <color theme="1"/>
        <rFont val="Arial"/>
        <family val="2"/>
      </rPr>
      <t>Effective</t>
    </r>
    <r>
      <rPr>
        <sz val="11"/>
        <color theme="1"/>
        <rFont val="Arial"/>
        <family val="2"/>
      </rPr>
      <t xml:space="preserve"> Clamp</t>
    </r>
    <r>
      <rPr>
        <b/>
        <sz val="11"/>
        <color theme="1"/>
        <rFont val="Arial"/>
        <family val="2"/>
      </rPr>
      <t xml:space="preserve"> </t>
    </r>
    <r>
      <rPr>
        <sz val="11"/>
        <color theme="1"/>
        <rFont val="Arial"/>
        <family val="2"/>
      </rPr>
      <t>Capacitance under DC Bias</t>
    </r>
  </si>
  <si>
    <r>
      <t>C</t>
    </r>
    <r>
      <rPr>
        <vertAlign val="subscript"/>
        <sz val="11"/>
        <color theme="1"/>
        <rFont val="Arial"/>
        <family val="2"/>
      </rPr>
      <t xml:space="preserve">clamp_eff </t>
    </r>
    <r>
      <rPr>
        <sz val="11"/>
        <color theme="1"/>
        <rFont val="Arial"/>
        <family val="2"/>
      </rPr>
      <t>=</t>
    </r>
  </si>
  <si>
    <r>
      <t>C</t>
    </r>
    <r>
      <rPr>
        <vertAlign val="subscript"/>
        <sz val="11"/>
        <color theme="1"/>
        <rFont val="Arial"/>
        <family val="2"/>
      </rPr>
      <t>clamp</t>
    </r>
    <r>
      <rPr>
        <sz val="11"/>
        <color theme="1"/>
        <rFont val="Arial"/>
        <family val="2"/>
      </rPr>
      <t xml:space="preserve"> =</t>
    </r>
  </si>
  <si>
    <r>
      <rPr>
        <b/>
        <sz val="11"/>
        <color theme="1"/>
        <rFont val="Arial"/>
        <family val="2"/>
      </rPr>
      <t>Recommended</t>
    </r>
    <r>
      <rPr>
        <sz val="11"/>
        <color theme="1"/>
        <rFont val="Arial"/>
        <family val="2"/>
      </rPr>
      <t xml:space="preserve"> Bleed Resistance</t>
    </r>
  </si>
  <si>
    <r>
      <t>R</t>
    </r>
    <r>
      <rPr>
        <vertAlign val="subscript"/>
        <sz val="11"/>
        <color theme="1"/>
        <rFont val="Arial"/>
        <family val="2"/>
      </rPr>
      <t>BLEED_rec</t>
    </r>
    <r>
      <rPr>
        <sz val="11"/>
        <color theme="1"/>
        <rFont val="Arial"/>
        <family val="2"/>
      </rPr>
      <t xml:space="preserve"> =</t>
    </r>
  </si>
  <si>
    <r>
      <rPr>
        <b/>
        <sz val="11"/>
        <color theme="1"/>
        <rFont val="Arial"/>
        <family val="2"/>
      </rPr>
      <t xml:space="preserve">Actual </t>
    </r>
    <r>
      <rPr>
        <sz val="11"/>
        <color theme="1"/>
        <rFont val="Arial"/>
        <family val="2"/>
      </rPr>
      <t>Bleed Resistance Selected</t>
    </r>
  </si>
  <si>
    <r>
      <t>R</t>
    </r>
    <r>
      <rPr>
        <vertAlign val="subscript"/>
        <sz val="11"/>
        <color theme="1"/>
        <rFont val="Arial"/>
        <family val="2"/>
      </rPr>
      <t>BLEED_act</t>
    </r>
    <r>
      <rPr>
        <sz val="11"/>
        <color theme="1"/>
        <rFont val="Arial"/>
        <family val="2"/>
      </rPr>
      <t xml:space="preserve"> =</t>
    </r>
  </si>
  <si>
    <r>
      <t>R</t>
    </r>
    <r>
      <rPr>
        <vertAlign val="subscript"/>
        <sz val="11"/>
        <color theme="1"/>
        <rFont val="Arial"/>
        <family val="2"/>
      </rPr>
      <t>BLEED</t>
    </r>
    <r>
      <rPr>
        <sz val="11"/>
        <color theme="1"/>
        <rFont val="Arial"/>
        <family val="2"/>
      </rPr>
      <t xml:space="preserve"> =</t>
    </r>
  </si>
  <si>
    <r>
      <t>T</t>
    </r>
    <r>
      <rPr>
        <vertAlign val="subscript"/>
        <sz val="11"/>
        <color theme="1"/>
        <rFont val="Arial"/>
        <family val="2"/>
      </rPr>
      <t>D_CS_filter</t>
    </r>
    <r>
      <rPr>
        <sz val="11"/>
        <color theme="1"/>
        <rFont val="Arial"/>
        <family val="2"/>
      </rPr>
      <t xml:space="preserve"> =</t>
    </r>
  </si>
  <si>
    <r>
      <t>R</t>
    </r>
    <r>
      <rPr>
        <vertAlign val="subscript"/>
        <sz val="11"/>
        <color theme="1"/>
        <rFont val="Arial"/>
        <family val="2"/>
      </rPr>
      <t xml:space="preserve">CS_rec </t>
    </r>
    <r>
      <rPr>
        <sz val="11"/>
        <color theme="1"/>
        <rFont val="Arial"/>
        <family val="2"/>
      </rPr>
      <t>=</t>
    </r>
  </si>
  <si>
    <r>
      <t>R</t>
    </r>
    <r>
      <rPr>
        <vertAlign val="subscript"/>
        <sz val="11"/>
        <color theme="1"/>
        <rFont val="Arial"/>
        <family val="2"/>
      </rPr>
      <t xml:space="preserve">CS_act </t>
    </r>
    <r>
      <rPr>
        <sz val="11"/>
        <color theme="1"/>
        <rFont val="Arial"/>
        <family val="2"/>
      </rPr>
      <t>=</t>
    </r>
  </si>
  <si>
    <r>
      <t>R</t>
    </r>
    <r>
      <rPr>
        <vertAlign val="subscript"/>
        <sz val="11"/>
        <color theme="1"/>
        <rFont val="Arial"/>
        <family val="2"/>
      </rPr>
      <t xml:space="preserve">CS </t>
    </r>
    <r>
      <rPr>
        <sz val="11"/>
        <color theme="1"/>
        <rFont val="Arial"/>
        <family val="2"/>
      </rPr>
      <t>=</t>
    </r>
  </si>
  <si>
    <r>
      <t>i</t>
    </r>
    <r>
      <rPr>
        <vertAlign val="subscript"/>
        <sz val="11"/>
        <color theme="1"/>
        <rFont val="Arial"/>
        <family val="2"/>
      </rPr>
      <t>QL_RMS</t>
    </r>
    <r>
      <rPr>
        <sz val="11"/>
        <color theme="1"/>
        <rFont val="Arial"/>
        <family val="2"/>
      </rPr>
      <t xml:space="preserve"> =</t>
    </r>
  </si>
  <si>
    <r>
      <t>P</t>
    </r>
    <r>
      <rPr>
        <vertAlign val="subscript"/>
        <sz val="11"/>
        <color theme="1"/>
        <rFont val="Arial"/>
        <family val="2"/>
      </rPr>
      <t>Rcs</t>
    </r>
    <r>
      <rPr>
        <sz val="11"/>
        <color theme="1"/>
        <rFont val="Arial"/>
        <family val="2"/>
      </rPr>
      <t xml:space="preserve"> =</t>
    </r>
  </si>
  <si>
    <t xml:space="preserve">Ω </t>
  </si>
  <si>
    <t xml:space="preserve">Ω                                                       </t>
  </si>
  <si>
    <r>
      <rPr>
        <b/>
        <sz val="11"/>
        <color theme="1"/>
        <rFont val="Arial"/>
        <family val="2"/>
      </rPr>
      <t>Recommended</t>
    </r>
    <r>
      <rPr>
        <sz val="11"/>
        <color theme="1"/>
        <rFont val="Arial"/>
        <family val="2"/>
      </rPr>
      <t xml:space="preserve"> R</t>
    </r>
    <r>
      <rPr>
        <vertAlign val="subscript"/>
        <sz val="11"/>
        <color theme="1"/>
        <rFont val="Arial"/>
        <family val="2"/>
      </rPr>
      <t>DM</t>
    </r>
    <r>
      <rPr>
        <sz val="11"/>
        <color theme="1"/>
        <rFont val="Arial"/>
        <family val="2"/>
      </rPr>
      <t xml:space="preserve"> Resistor</t>
    </r>
  </si>
  <si>
    <r>
      <t>R</t>
    </r>
    <r>
      <rPr>
        <vertAlign val="subscript"/>
        <sz val="11"/>
        <color theme="1"/>
        <rFont val="Arial"/>
        <family val="2"/>
      </rPr>
      <t>DM_rec</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</si>
  <si>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DM</t>
    </r>
    <r>
      <rPr>
        <sz val="11"/>
        <color theme="1"/>
        <rFont val="Arial"/>
        <family val="2"/>
      </rPr>
      <t xml:space="preserve"> Resistor</t>
    </r>
  </si>
  <si>
    <r>
      <t>R</t>
    </r>
    <r>
      <rPr>
        <vertAlign val="subscript"/>
        <sz val="11"/>
        <color theme="1"/>
        <rFont val="Arial"/>
        <family val="2"/>
      </rPr>
      <t>DM_act</t>
    </r>
    <r>
      <rPr>
        <sz val="11"/>
        <color theme="1"/>
        <rFont val="Arial"/>
        <family val="2"/>
      </rPr>
      <t xml:space="preserve"> =</t>
    </r>
  </si>
  <si>
    <r>
      <t>R</t>
    </r>
    <r>
      <rPr>
        <vertAlign val="subscript"/>
        <sz val="11"/>
        <color theme="1"/>
        <rFont val="Arial"/>
        <family val="2"/>
      </rPr>
      <t>DM</t>
    </r>
    <r>
      <rPr>
        <sz val="11"/>
        <color theme="1"/>
        <rFont val="Arial"/>
        <family val="2"/>
      </rPr>
      <t xml:space="preserve"> Resistor Used in Calculations</t>
    </r>
  </si>
  <si>
    <r>
      <t>R</t>
    </r>
    <r>
      <rPr>
        <vertAlign val="subscript"/>
        <sz val="11"/>
        <color theme="1"/>
        <rFont val="Arial"/>
        <family val="2"/>
      </rPr>
      <t>DM</t>
    </r>
    <r>
      <rPr>
        <sz val="11"/>
        <color theme="1"/>
        <rFont val="Arial"/>
        <family val="2"/>
      </rPr>
      <t xml:space="preserve"> =</t>
    </r>
  </si>
  <si>
    <r>
      <t>T</t>
    </r>
    <r>
      <rPr>
        <vertAlign val="subscript"/>
        <sz val="11"/>
        <color theme="1"/>
        <rFont val="Arial"/>
        <family val="2"/>
      </rPr>
      <t>Z_min</t>
    </r>
    <r>
      <rPr>
        <sz val="11"/>
        <color theme="1"/>
        <rFont val="Arial"/>
        <family val="2"/>
      </rPr>
      <t xml:space="preserve"> =</t>
    </r>
  </si>
  <si>
    <r>
      <rPr>
        <b/>
        <sz val="11"/>
        <color theme="1"/>
        <rFont val="Arial"/>
        <family val="2"/>
      </rPr>
      <t xml:space="preserve">Recommended </t>
    </r>
    <r>
      <rPr>
        <sz val="11"/>
        <color theme="1"/>
        <rFont val="Arial"/>
        <family val="2"/>
      </rPr>
      <t>RTZ Resistor</t>
    </r>
  </si>
  <si>
    <r>
      <t>R</t>
    </r>
    <r>
      <rPr>
        <vertAlign val="subscript"/>
        <sz val="11"/>
        <color theme="1"/>
        <rFont val="Arial"/>
        <family val="2"/>
      </rPr>
      <t>TZ_rec</t>
    </r>
    <r>
      <rPr>
        <sz val="11"/>
        <color theme="1"/>
        <rFont val="Arial"/>
        <family val="2"/>
      </rPr>
      <t xml:space="preserve"> =</t>
    </r>
  </si>
  <si>
    <r>
      <rPr>
        <b/>
        <sz val="11"/>
        <color theme="1"/>
        <rFont val="Arial"/>
        <family val="2"/>
      </rPr>
      <t xml:space="preserve">Actual </t>
    </r>
    <r>
      <rPr>
        <sz val="11"/>
        <color theme="1"/>
        <rFont val="Arial"/>
        <family val="2"/>
      </rPr>
      <t>RTZ Resistor</t>
    </r>
  </si>
  <si>
    <r>
      <t>R</t>
    </r>
    <r>
      <rPr>
        <vertAlign val="subscript"/>
        <sz val="11"/>
        <color theme="1"/>
        <rFont val="Arial"/>
        <family val="2"/>
      </rPr>
      <t>TZ_act</t>
    </r>
    <r>
      <rPr>
        <sz val="11"/>
        <color theme="1"/>
        <rFont val="Arial"/>
        <family val="2"/>
      </rPr>
      <t xml:space="preserve"> =</t>
    </r>
  </si>
  <si>
    <r>
      <t>R</t>
    </r>
    <r>
      <rPr>
        <vertAlign val="subscript"/>
        <sz val="11"/>
        <color theme="1"/>
        <rFont val="Arial"/>
        <family val="2"/>
      </rPr>
      <t>TZ</t>
    </r>
    <r>
      <rPr>
        <sz val="11"/>
        <color theme="1"/>
        <rFont val="Arial"/>
        <family val="2"/>
      </rPr>
      <t xml:space="preserve"> =</t>
    </r>
  </si>
  <si>
    <r>
      <t>V</t>
    </r>
    <r>
      <rPr>
        <vertAlign val="subscript"/>
        <sz val="11"/>
        <color theme="1"/>
        <rFont val="Arial"/>
        <family val="2"/>
      </rPr>
      <t>CST_BUR</t>
    </r>
    <r>
      <rPr>
        <sz val="11"/>
        <color theme="1"/>
        <rFont val="Arial"/>
        <family val="2"/>
      </rPr>
      <t xml:space="preserve"> =</t>
    </r>
  </si>
  <si>
    <r>
      <t>Equivalent BUR Voltage Target Based on V</t>
    </r>
    <r>
      <rPr>
        <vertAlign val="subscript"/>
        <sz val="11"/>
        <color theme="1"/>
        <rFont val="Arial"/>
        <family val="2"/>
      </rPr>
      <t>CST_BUR</t>
    </r>
  </si>
  <si>
    <r>
      <t>V</t>
    </r>
    <r>
      <rPr>
        <vertAlign val="subscript"/>
        <sz val="11"/>
        <color theme="1"/>
        <rFont val="Arial"/>
        <family val="2"/>
      </rPr>
      <t>BUR_tgt</t>
    </r>
    <r>
      <rPr>
        <sz val="11"/>
        <color theme="1"/>
        <rFont val="Arial"/>
        <family val="2"/>
      </rPr>
      <t xml:space="preserve"> =</t>
    </r>
  </si>
  <si>
    <r>
      <rPr>
        <b/>
        <sz val="11"/>
        <color theme="1"/>
        <rFont val="Arial"/>
        <family val="2"/>
      </rPr>
      <t xml:space="preserve">Recommended </t>
    </r>
    <r>
      <rPr>
        <sz val="11"/>
        <color theme="1"/>
        <rFont val="Arial"/>
        <family val="2"/>
      </rPr>
      <t>R</t>
    </r>
    <r>
      <rPr>
        <vertAlign val="subscript"/>
        <sz val="11"/>
        <color theme="1"/>
        <rFont val="Arial"/>
        <family val="2"/>
      </rPr>
      <t>BUR2_rec</t>
    </r>
    <r>
      <rPr>
        <sz val="11"/>
        <color theme="1"/>
        <rFont val="Arial"/>
        <family val="2"/>
      </rPr>
      <t xml:space="preserve"> Resistor</t>
    </r>
  </si>
  <si>
    <r>
      <t>R</t>
    </r>
    <r>
      <rPr>
        <vertAlign val="subscript"/>
        <sz val="11"/>
        <color theme="1"/>
        <rFont val="Arial"/>
        <family val="2"/>
      </rPr>
      <t>BUR2_rec</t>
    </r>
    <r>
      <rPr>
        <sz val="11"/>
        <color theme="1"/>
        <rFont val="Arial"/>
        <family val="2"/>
      </rPr>
      <t xml:space="preserve"> =</t>
    </r>
  </si>
  <si>
    <r>
      <rPr>
        <b/>
        <sz val="11"/>
        <color theme="1"/>
        <rFont val="Arial"/>
        <family val="2"/>
      </rPr>
      <t xml:space="preserve">Actual </t>
    </r>
    <r>
      <rPr>
        <sz val="11"/>
        <color theme="1"/>
        <rFont val="Arial"/>
        <family val="2"/>
      </rPr>
      <t>R</t>
    </r>
    <r>
      <rPr>
        <vertAlign val="subscript"/>
        <sz val="11"/>
        <color theme="1"/>
        <rFont val="Arial"/>
        <family val="2"/>
      </rPr>
      <t>BUR2_act</t>
    </r>
    <r>
      <rPr>
        <sz val="11"/>
        <color theme="1"/>
        <rFont val="Arial"/>
        <family val="2"/>
      </rPr>
      <t xml:space="preserve"> Resistor</t>
    </r>
  </si>
  <si>
    <r>
      <t>R</t>
    </r>
    <r>
      <rPr>
        <vertAlign val="subscript"/>
        <sz val="11"/>
        <color theme="1"/>
        <rFont val="Arial"/>
        <family val="2"/>
      </rPr>
      <t>BUR2_act</t>
    </r>
    <r>
      <rPr>
        <sz val="11"/>
        <color theme="1"/>
        <rFont val="Arial"/>
        <family val="2"/>
      </rPr>
      <t xml:space="preserve"> =</t>
    </r>
  </si>
  <si>
    <r>
      <t>R</t>
    </r>
    <r>
      <rPr>
        <vertAlign val="subscript"/>
        <sz val="11"/>
        <color theme="1"/>
        <rFont val="Arial"/>
        <family val="2"/>
      </rPr>
      <t>BUR2</t>
    </r>
    <r>
      <rPr>
        <sz val="11"/>
        <color theme="1"/>
        <rFont val="Arial"/>
        <family val="2"/>
      </rPr>
      <t xml:space="preserve"> Resistor Used in Calculations</t>
    </r>
  </si>
  <si>
    <r>
      <t>R</t>
    </r>
    <r>
      <rPr>
        <vertAlign val="subscript"/>
        <sz val="11"/>
        <color theme="1"/>
        <rFont val="Arial"/>
        <family val="2"/>
      </rPr>
      <t xml:space="preserve">BUR2 </t>
    </r>
    <r>
      <rPr>
        <sz val="11"/>
        <color theme="1"/>
        <rFont val="Arial"/>
        <family val="2"/>
      </rPr>
      <t>=</t>
    </r>
  </si>
  <si>
    <r>
      <rPr>
        <b/>
        <sz val="11"/>
        <color theme="1"/>
        <rFont val="Arial"/>
        <family val="2"/>
      </rPr>
      <t xml:space="preserve">Recommended </t>
    </r>
    <r>
      <rPr>
        <sz val="11"/>
        <color theme="1"/>
        <rFont val="Arial"/>
        <family val="2"/>
      </rPr>
      <t>R</t>
    </r>
    <r>
      <rPr>
        <vertAlign val="subscript"/>
        <sz val="11"/>
        <color theme="1"/>
        <rFont val="Arial"/>
        <family val="2"/>
      </rPr>
      <t>BUR1_rec</t>
    </r>
    <r>
      <rPr>
        <sz val="11"/>
        <color theme="1"/>
        <rFont val="Arial"/>
        <family val="2"/>
      </rPr>
      <t xml:space="preserve"> Resistor</t>
    </r>
  </si>
  <si>
    <r>
      <t>R</t>
    </r>
    <r>
      <rPr>
        <vertAlign val="subscript"/>
        <sz val="11"/>
        <color theme="1"/>
        <rFont val="Arial"/>
        <family val="2"/>
      </rPr>
      <t>BUR1_rec</t>
    </r>
    <r>
      <rPr>
        <sz val="11"/>
        <color theme="1"/>
        <rFont val="Arial"/>
        <family val="2"/>
      </rPr>
      <t xml:space="preserve"> =</t>
    </r>
  </si>
  <si>
    <r>
      <rPr>
        <b/>
        <sz val="11"/>
        <color theme="1"/>
        <rFont val="Arial"/>
        <family val="2"/>
      </rPr>
      <t xml:space="preserve">Actual </t>
    </r>
    <r>
      <rPr>
        <sz val="11"/>
        <color theme="1"/>
        <rFont val="Arial"/>
        <family val="2"/>
      </rPr>
      <t>R</t>
    </r>
    <r>
      <rPr>
        <vertAlign val="subscript"/>
        <sz val="11"/>
        <color theme="1"/>
        <rFont val="Arial"/>
        <family val="2"/>
      </rPr>
      <t>BUR1_act</t>
    </r>
    <r>
      <rPr>
        <sz val="11"/>
        <color theme="1"/>
        <rFont val="Arial"/>
        <family val="2"/>
      </rPr>
      <t xml:space="preserve"> Resistor</t>
    </r>
  </si>
  <si>
    <r>
      <t>R</t>
    </r>
    <r>
      <rPr>
        <vertAlign val="subscript"/>
        <sz val="11"/>
        <color theme="1"/>
        <rFont val="Arial"/>
        <family val="2"/>
      </rPr>
      <t>BUR1_act</t>
    </r>
    <r>
      <rPr>
        <sz val="11"/>
        <color theme="1"/>
        <rFont val="Arial"/>
        <family val="2"/>
      </rPr>
      <t xml:space="preserve"> =</t>
    </r>
  </si>
  <si>
    <r>
      <t>R</t>
    </r>
    <r>
      <rPr>
        <vertAlign val="subscript"/>
        <sz val="11"/>
        <color theme="1"/>
        <rFont val="Arial"/>
        <family val="2"/>
      </rPr>
      <t>BUR1</t>
    </r>
    <r>
      <rPr>
        <sz val="11"/>
        <color theme="1"/>
        <rFont val="Arial"/>
        <family val="2"/>
      </rPr>
      <t xml:space="preserve"> Resistor Used in Calculations</t>
    </r>
  </si>
  <si>
    <r>
      <t>R</t>
    </r>
    <r>
      <rPr>
        <vertAlign val="subscript"/>
        <sz val="11"/>
        <color theme="1"/>
        <rFont val="Arial"/>
        <family val="2"/>
      </rPr>
      <t xml:space="preserve">BUR1 </t>
    </r>
    <r>
      <rPr>
        <sz val="11"/>
        <color theme="1"/>
        <rFont val="Arial"/>
        <family val="2"/>
      </rPr>
      <t>=</t>
    </r>
  </si>
  <si>
    <r>
      <t>V</t>
    </r>
    <r>
      <rPr>
        <vertAlign val="subscript"/>
        <sz val="11"/>
        <color theme="1"/>
        <rFont val="Arial"/>
        <family val="2"/>
      </rPr>
      <t xml:space="preserve">BUR </t>
    </r>
    <r>
      <rPr>
        <sz val="11"/>
        <color theme="1"/>
        <rFont val="Arial"/>
        <family val="2"/>
      </rPr>
      <t>=</t>
    </r>
  </si>
  <si>
    <r>
      <rPr>
        <b/>
        <sz val="11"/>
        <color theme="1"/>
        <rFont val="Arial"/>
        <family val="2"/>
      </rPr>
      <t xml:space="preserve">Maximum </t>
    </r>
    <r>
      <rPr>
        <sz val="11"/>
        <color theme="1"/>
        <rFont val="Arial"/>
        <family val="2"/>
      </rPr>
      <t>C</t>
    </r>
    <r>
      <rPr>
        <vertAlign val="subscript"/>
        <sz val="11"/>
        <color theme="1"/>
        <rFont val="Arial"/>
        <family val="2"/>
      </rPr>
      <t>BUR</t>
    </r>
    <r>
      <rPr>
        <sz val="11"/>
        <color theme="1"/>
        <rFont val="Arial"/>
        <family val="2"/>
      </rPr>
      <t xml:space="preserve"> Capacitance</t>
    </r>
  </si>
  <si>
    <r>
      <t>C</t>
    </r>
    <r>
      <rPr>
        <vertAlign val="subscript"/>
        <sz val="11"/>
        <color theme="1"/>
        <rFont val="Arial"/>
        <family val="2"/>
      </rPr>
      <t>BUR_max</t>
    </r>
    <r>
      <rPr>
        <sz val="11"/>
        <color theme="1"/>
        <rFont val="Arial"/>
        <family val="2"/>
      </rPr>
      <t xml:space="preserve"> =</t>
    </r>
  </si>
  <si>
    <r>
      <rPr>
        <b/>
        <sz val="11"/>
        <color theme="1"/>
        <rFont val="Arial"/>
        <family val="2"/>
      </rPr>
      <t xml:space="preserve">Actual </t>
    </r>
    <r>
      <rPr>
        <sz val="11"/>
        <color theme="1"/>
        <rFont val="Arial"/>
        <family val="2"/>
      </rPr>
      <t>C</t>
    </r>
    <r>
      <rPr>
        <vertAlign val="subscript"/>
        <sz val="11"/>
        <color theme="1"/>
        <rFont val="Arial"/>
        <family val="2"/>
      </rPr>
      <t>BUR</t>
    </r>
    <r>
      <rPr>
        <sz val="11"/>
        <color theme="1"/>
        <rFont val="Arial"/>
        <family val="2"/>
      </rPr>
      <t xml:space="preserve"> Capacitance</t>
    </r>
  </si>
  <si>
    <r>
      <t>C</t>
    </r>
    <r>
      <rPr>
        <vertAlign val="subscript"/>
        <sz val="11"/>
        <color theme="1"/>
        <rFont val="Arial"/>
        <family val="2"/>
      </rPr>
      <t>BUR_act</t>
    </r>
    <r>
      <rPr>
        <sz val="11"/>
        <color theme="1"/>
        <rFont val="Arial"/>
        <family val="2"/>
      </rPr>
      <t xml:space="preserve"> =</t>
    </r>
  </si>
  <si>
    <r>
      <t>C</t>
    </r>
    <r>
      <rPr>
        <vertAlign val="subscript"/>
        <sz val="11"/>
        <color theme="1"/>
        <rFont val="Arial"/>
        <family val="2"/>
      </rPr>
      <t>BUR</t>
    </r>
    <r>
      <rPr>
        <sz val="11"/>
        <color theme="1"/>
        <rFont val="Arial"/>
        <family val="2"/>
      </rPr>
      <t xml:space="preserve"> Capacitance Used in Calculations</t>
    </r>
  </si>
  <si>
    <r>
      <t>C</t>
    </r>
    <r>
      <rPr>
        <vertAlign val="subscript"/>
        <sz val="11"/>
        <color theme="1"/>
        <rFont val="Arial"/>
        <family val="2"/>
      </rPr>
      <t xml:space="preserve">BUR </t>
    </r>
    <r>
      <rPr>
        <sz val="11"/>
        <color theme="1"/>
        <rFont val="Arial"/>
        <family val="2"/>
      </rPr>
      <t>=</t>
    </r>
  </si>
  <si>
    <r>
      <rPr>
        <b/>
        <sz val="11"/>
        <color theme="1"/>
        <rFont val="Arial"/>
        <family val="2"/>
      </rPr>
      <t>Recommended</t>
    </r>
    <r>
      <rPr>
        <sz val="11"/>
        <color theme="1"/>
        <rFont val="Arial"/>
        <family val="2"/>
      </rPr>
      <t xml:space="preserve"> Capacitance on SWS</t>
    </r>
  </si>
  <si>
    <r>
      <t>C</t>
    </r>
    <r>
      <rPr>
        <vertAlign val="subscript"/>
        <sz val="11"/>
        <color theme="1"/>
        <rFont val="Arial"/>
        <family val="2"/>
      </rPr>
      <t>SWS_rec</t>
    </r>
    <r>
      <rPr>
        <sz val="11"/>
        <color theme="1"/>
        <rFont val="Arial"/>
        <family val="2"/>
      </rPr>
      <t xml:space="preserve"> =</t>
    </r>
  </si>
  <si>
    <r>
      <rPr>
        <b/>
        <sz val="11"/>
        <color theme="1"/>
        <rFont val="Arial"/>
        <family val="2"/>
      </rPr>
      <t>Actual</t>
    </r>
    <r>
      <rPr>
        <sz val="11"/>
        <color theme="1"/>
        <rFont val="Arial"/>
        <family val="2"/>
      </rPr>
      <t xml:space="preserve"> Capacitance</t>
    </r>
  </si>
  <si>
    <r>
      <t>C</t>
    </r>
    <r>
      <rPr>
        <vertAlign val="subscript"/>
        <sz val="11"/>
        <color theme="1"/>
        <rFont val="Arial"/>
        <family val="2"/>
      </rPr>
      <t xml:space="preserve">SWS_act </t>
    </r>
    <r>
      <rPr>
        <sz val="11"/>
        <color theme="1"/>
        <rFont val="Arial"/>
        <family val="2"/>
      </rPr>
      <t>=</t>
    </r>
  </si>
  <si>
    <r>
      <t>C</t>
    </r>
    <r>
      <rPr>
        <vertAlign val="subscript"/>
        <sz val="11"/>
        <color theme="1"/>
        <rFont val="Arial"/>
        <family val="2"/>
      </rPr>
      <t>SWS</t>
    </r>
    <r>
      <rPr>
        <sz val="11"/>
        <color theme="1"/>
        <rFont val="Arial"/>
        <family val="2"/>
      </rPr>
      <t xml:space="preserve"> =</t>
    </r>
  </si>
  <si>
    <r>
      <t>R</t>
    </r>
    <r>
      <rPr>
        <vertAlign val="subscript"/>
        <sz val="11"/>
        <color theme="1"/>
        <rFont val="Arial"/>
        <family val="2"/>
      </rPr>
      <t>SWS_rec</t>
    </r>
    <r>
      <rPr>
        <sz val="11"/>
        <color theme="1"/>
        <rFont val="Arial"/>
        <family val="2"/>
      </rPr>
      <t xml:space="preserve"> =</t>
    </r>
  </si>
  <si>
    <r>
      <rPr>
        <b/>
        <sz val="11"/>
        <color theme="1"/>
        <rFont val="Arial"/>
        <family val="2"/>
      </rPr>
      <t>Actual</t>
    </r>
    <r>
      <rPr>
        <sz val="11"/>
        <color theme="1"/>
        <rFont val="Arial"/>
        <family val="2"/>
      </rPr>
      <t xml:space="preserve"> Resistor</t>
    </r>
  </si>
  <si>
    <r>
      <t>R</t>
    </r>
    <r>
      <rPr>
        <vertAlign val="subscript"/>
        <sz val="11"/>
        <color theme="1"/>
        <rFont val="Arial"/>
        <family val="2"/>
      </rPr>
      <t>SWS_act</t>
    </r>
    <r>
      <rPr>
        <sz val="11"/>
        <color theme="1"/>
        <rFont val="Arial"/>
        <family val="2"/>
      </rPr>
      <t xml:space="preserve"> =</t>
    </r>
  </si>
  <si>
    <r>
      <t>R</t>
    </r>
    <r>
      <rPr>
        <vertAlign val="subscript"/>
        <sz val="11"/>
        <color theme="1"/>
        <rFont val="Arial"/>
        <family val="2"/>
      </rPr>
      <t>SWS</t>
    </r>
    <r>
      <rPr>
        <sz val="11"/>
        <color theme="1"/>
        <rFont val="Arial"/>
        <family val="2"/>
      </rPr>
      <t xml:space="preserve"> =</t>
    </r>
  </si>
  <si>
    <r>
      <rPr>
        <b/>
        <sz val="11"/>
        <color theme="1"/>
        <rFont val="Arial"/>
        <family val="2"/>
      </rPr>
      <t>Minimum</t>
    </r>
    <r>
      <rPr>
        <sz val="11"/>
        <color theme="1"/>
        <rFont val="Arial"/>
        <family val="2"/>
      </rPr>
      <t xml:space="preserve"> R</t>
    </r>
    <r>
      <rPr>
        <vertAlign val="subscript"/>
        <sz val="11"/>
        <color theme="1"/>
        <rFont val="Arial"/>
        <family val="2"/>
      </rPr>
      <t>HVG</t>
    </r>
    <r>
      <rPr>
        <sz val="11"/>
        <color theme="1"/>
        <rFont val="Arial"/>
        <family val="2"/>
      </rPr>
      <t xml:space="preserve"> Resistor</t>
    </r>
  </si>
  <si>
    <r>
      <t>R</t>
    </r>
    <r>
      <rPr>
        <vertAlign val="subscript"/>
        <sz val="11"/>
        <color theme="1"/>
        <rFont val="Arial"/>
        <family val="2"/>
      </rPr>
      <t>HVG_min</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</si>
  <si>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HVG</t>
    </r>
    <r>
      <rPr>
        <sz val="11"/>
        <color theme="1"/>
        <rFont val="Arial"/>
        <family val="2"/>
      </rPr>
      <t xml:space="preserve"> resistor</t>
    </r>
  </si>
  <si>
    <r>
      <t>R</t>
    </r>
    <r>
      <rPr>
        <vertAlign val="subscript"/>
        <sz val="11"/>
        <color theme="1"/>
        <rFont val="Arial"/>
        <family val="2"/>
      </rPr>
      <t>HVG_act</t>
    </r>
    <r>
      <rPr>
        <sz val="11"/>
        <color theme="1"/>
        <rFont val="Arial"/>
        <family val="2"/>
      </rPr>
      <t xml:space="preserve"> =</t>
    </r>
  </si>
  <si>
    <r>
      <t>1M</t>
    </r>
    <r>
      <rPr>
        <sz val="11"/>
        <color theme="1"/>
        <rFont val="Calibri"/>
        <family val="2"/>
      </rPr>
      <t>Ω</t>
    </r>
    <r>
      <rPr>
        <sz val="11"/>
        <color theme="1"/>
        <rFont val="Arial"/>
        <family val="2"/>
      </rPr>
      <t xml:space="preserve"> is recommended</t>
    </r>
  </si>
  <si>
    <r>
      <t>R</t>
    </r>
    <r>
      <rPr>
        <vertAlign val="subscript"/>
        <sz val="11"/>
        <color theme="1"/>
        <rFont val="Arial"/>
        <family val="2"/>
      </rPr>
      <t>HVG</t>
    </r>
    <r>
      <rPr>
        <sz val="11"/>
        <color theme="1"/>
        <rFont val="Arial"/>
        <family val="2"/>
      </rPr>
      <t xml:space="preserve"> Resistor Used in Calculations</t>
    </r>
  </si>
  <si>
    <r>
      <t>R</t>
    </r>
    <r>
      <rPr>
        <vertAlign val="subscript"/>
        <sz val="11"/>
        <color theme="1"/>
        <rFont val="Arial"/>
        <family val="2"/>
      </rPr>
      <t>HVG</t>
    </r>
    <r>
      <rPr>
        <sz val="11"/>
        <color theme="1"/>
        <rFont val="Arial"/>
        <family val="2"/>
      </rPr>
      <t xml:space="preserve"> =</t>
    </r>
  </si>
  <si>
    <r>
      <rPr>
        <b/>
        <sz val="11"/>
        <color theme="1"/>
        <rFont val="Arial"/>
        <family val="2"/>
      </rPr>
      <t>Minimum</t>
    </r>
    <r>
      <rPr>
        <sz val="11"/>
        <color theme="1"/>
        <rFont val="Arial"/>
        <family val="2"/>
      </rPr>
      <t xml:space="preserve"> C</t>
    </r>
    <r>
      <rPr>
        <vertAlign val="subscript"/>
        <sz val="11"/>
        <color theme="1"/>
        <rFont val="Arial"/>
        <family val="2"/>
      </rPr>
      <t>HVG</t>
    </r>
    <r>
      <rPr>
        <sz val="11"/>
        <color theme="1"/>
        <rFont val="Arial"/>
        <family val="2"/>
      </rPr>
      <t xml:space="preserve"> Capacitance</t>
    </r>
  </si>
  <si>
    <r>
      <t>C</t>
    </r>
    <r>
      <rPr>
        <vertAlign val="subscript"/>
        <sz val="11"/>
        <color theme="1"/>
        <rFont val="Arial"/>
        <family val="2"/>
      </rPr>
      <t>HVG_min</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</si>
  <si>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HVG</t>
    </r>
    <r>
      <rPr>
        <sz val="11"/>
        <color theme="1"/>
        <rFont val="Arial"/>
        <family val="2"/>
      </rPr>
      <t xml:space="preserve"> Capacitance</t>
    </r>
  </si>
  <si>
    <r>
      <t>C</t>
    </r>
    <r>
      <rPr>
        <vertAlign val="subscript"/>
        <sz val="11"/>
        <color theme="1"/>
        <rFont val="Arial"/>
        <family val="2"/>
      </rPr>
      <t>HVG_act</t>
    </r>
    <r>
      <rPr>
        <sz val="11"/>
        <color theme="1"/>
        <rFont val="Arial"/>
        <family val="2"/>
      </rPr>
      <t xml:space="preserve"> =</t>
    </r>
  </si>
  <si>
    <r>
      <t>C</t>
    </r>
    <r>
      <rPr>
        <vertAlign val="subscript"/>
        <sz val="11"/>
        <color theme="1"/>
        <rFont val="Arial"/>
        <family val="2"/>
      </rPr>
      <t>HVG</t>
    </r>
    <r>
      <rPr>
        <sz val="11"/>
        <color theme="1"/>
        <rFont val="Arial"/>
        <family val="2"/>
      </rPr>
      <t xml:space="preserve"> Capacitance Used in Calculations</t>
    </r>
  </si>
  <si>
    <r>
      <t>C</t>
    </r>
    <r>
      <rPr>
        <vertAlign val="subscript"/>
        <sz val="11"/>
        <color theme="1"/>
        <rFont val="Arial"/>
        <family val="2"/>
      </rPr>
      <t>HVG</t>
    </r>
    <r>
      <rPr>
        <sz val="11"/>
        <color theme="1"/>
        <rFont val="Arial"/>
        <family val="2"/>
      </rPr>
      <t xml:space="preserve"> =</t>
    </r>
  </si>
  <si>
    <r>
      <rPr>
        <b/>
        <sz val="11"/>
        <color theme="1"/>
        <rFont val="Arial"/>
        <family val="2"/>
      </rPr>
      <t>Minimum</t>
    </r>
    <r>
      <rPr>
        <sz val="11"/>
        <color theme="1"/>
        <rFont val="Arial"/>
        <family val="2"/>
      </rPr>
      <t xml:space="preserve"> C</t>
    </r>
    <r>
      <rPr>
        <vertAlign val="subscript"/>
        <sz val="11"/>
        <color theme="1"/>
        <rFont val="Arial"/>
        <family val="2"/>
      </rPr>
      <t>REF</t>
    </r>
    <r>
      <rPr>
        <sz val="11"/>
        <color theme="1"/>
        <rFont val="Arial"/>
        <family val="2"/>
      </rPr>
      <t xml:space="preserve"> Capacitance</t>
    </r>
  </si>
  <si>
    <r>
      <t>C</t>
    </r>
    <r>
      <rPr>
        <vertAlign val="subscript"/>
        <sz val="11"/>
        <color theme="1"/>
        <rFont val="Arial"/>
        <family val="2"/>
      </rPr>
      <t>REF_min</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</si>
  <si>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REF</t>
    </r>
    <r>
      <rPr>
        <sz val="11"/>
        <color theme="1"/>
        <rFont val="Arial"/>
        <family val="2"/>
      </rPr>
      <t xml:space="preserve"> Capacitance</t>
    </r>
  </si>
  <si>
    <r>
      <t>C</t>
    </r>
    <r>
      <rPr>
        <vertAlign val="subscript"/>
        <sz val="11"/>
        <color theme="1"/>
        <rFont val="Arial"/>
        <family val="2"/>
      </rPr>
      <t>REF_act</t>
    </r>
    <r>
      <rPr>
        <sz val="11"/>
        <color theme="1"/>
        <rFont val="Arial"/>
        <family val="2"/>
      </rPr>
      <t xml:space="preserve"> =</t>
    </r>
  </si>
  <si>
    <r>
      <t>C</t>
    </r>
    <r>
      <rPr>
        <vertAlign val="subscript"/>
        <sz val="11"/>
        <color theme="1"/>
        <rFont val="Arial"/>
        <family val="2"/>
      </rPr>
      <t>REF</t>
    </r>
    <r>
      <rPr>
        <sz val="11"/>
        <color theme="1"/>
        <rFont val="Arial"/>
        <family val="2"/>
      </rPr>
      <t xml:space="preserve"> Capacitance Used in Calculations</t>
    </r>
  </si>
  <si>
    <r>
      <t>C</t>
    </r>
    <r>
      <rPr>
        <vertAlign val="subscript"/>
        <sz val="11"/>
        <color theme="1"/>
        <rFont val="Arial"/>
        <family val="2"/>
      </rPr>
      <t>REF</t>
    </r>
    <r>
      <rPr>
        <sz val="11"/>
        <color theme="1"/>
        <rFont val="Arial"/>
        <family val="2"/>
      </rPr>
      <t xml:space="preserve"> =</t>
    </r>
  </si>
  <si>
    <r>
      <t>Suggested 10*C</t>
    </r>
    <r>
      <rPr>
        <vertAlign val="subscript"/>
        <sz val="11"/>
        <color theme="1"/>
        <rFont val="Arial"/>
        <family val="2"/>
      </rPr>
      <t>boot</t>
    </r>
  </si>
  <si>
    <r>
      <t xml:space="preserve">Recommend </t>
    </r>
    <r>
      <rPr>
        <sz val="11"/>
        <color theme="1"/>
        <rFont val="Calibri"/>
        <family val="2"/>
      </rPr>
      <t>≥</t>
    </r>
    <r>
      <rPr>
        <sz val="11"/>
        <color theme="1"/>
        <rFont val="Arial"/>
        <family val="2"/>
      </rPr>
      <t xml:space="preserve"> 10*R</t>
    </r>
    <r>
      <rPr>
        <vertAlign val="subscript"/>
        <sz val="11"/>
        <color theme="1"/>
        <rFont val="Arial"/>
        <family val="2"/>
      </rPr>
      <t>CS</t>
    </r>
  </si>
  <si>
    <t xml:space="preserve">For high side driver </t>
  </si>
  <si>
    <r>
      <t>C</t>
    </r>
    <r>
      <rPr>
        <vertAlign val="subscript"/>
        <sz val="11"/>
        <color theme="1"/>
        <rFont val="Arial"/>
        <family val="2"/>
      </rPr>
      <t>boot_min</t>
    </r>
    <r>
      <rPr>
        <sz val="11"/>
        <color theme="1"/>
        <rFont val="Arial"/>
        <family val="2"/>
      </rPr>
      <t xml:space="preserve"> =</t>
    </r>
  </si>
  <si>
    <r>
      <t>C</t>
    </r>
    <r>
      <rPr>
        <vertAlign val="subscript"/>
        <sz val="11"/>
        <color theme="1"/>
        <rFont val="Arial"/>
        <family val="2"/>
      </rPr>
      <t>boot_max</t>
    </r>
    <r>
      <rPr>
        <sz val="11"/>
        <color theme="1"/>
        <rFont val="Arial"/>
        <family val="2"/>
      </rPr>
      <t xml:space="preserve"> =</t>
    </r>
  </si>
  <si>
    <r>
      <t>C</t>
    </r>
    <r>
      <rPr>
        <vertAlign val="subscript"/>
        <sz val="11"/>
        <color theme="1"/>
        <rFont val="Arial"/>
        <family val="2"/>
      </rPr>
      <t>boot</t>
    </r>
    <r>
      <rPr>
        <sz val="11"/>
        <color theme="1"/>
        <rFont val="Arial"/>
        <family val="2"/>
      </rPr>
      <t xml:space="preserve"> =</t>
    </r>
  </si>
  <si>
    <r>
      <rPr>
        <b/>
        <sz val="11"/>
        <color theme="1"/>
        <rFont val="Arial"/>
        <family val="2"/>
      </rPr>
      <t>Minimum</t>
    </r>
    <r>
      <rPr>
        <sz val="11"/>
        <color theme="1"/>
        <rFont val="Arial"/>
        <family val="2"/>
      </rPr>
      <t xml:space="preserve"> C</t>
    </r>
    <r>
      <rPr>
        <vertAlign val="subscript"/>
        <sz val="11"/>
        <color theme="1"/>
        <rFont val="Arial"/>
        <family val="2"/>
      </rPr>
      <t>DD2</t>
    </r>
    <r>
      <rPr>
        <sz val="11"/>
        <color theme="1"/>
        <rFont val="Arial"/>
        <family val="2"/>
      </rPr>
      <t/>
    </r>
  </si>
  <si>
    <r>
      <t>C</t>
    </r>
    <r>
      <rPr>
        <vertAlign val="subscript"/>
        <sz val="11"/>
        <color theme="1"/>
        <rFont val="Arial"/>
        <family val="2"/>
      </rPr>
      <t xml:space="preserve">DD2_min </t>
    </r>
    <r>
      <rPr>
        <sz val="11"/>
        <color theme="1"/>
        <rFont val="Arial"/>
        <family val="2"/>
      </rPr>
      <t>=</t>
    </r>
  </si>
  <si>
    <r>
      <t>C</t>
    </r>
    <r>
      <rPr>
        <vertAlign val="subscript"/>
        <sz val="11"/>
        <color theme="1"/>
        <rFont val="Arial"/>
        <family val="2"/>
      </rPr>
      <t>DD2</t>
    </r>
    <r>
      <rPr>
        <sz val="11"/>
        <color theme="1"/>
        <rFont val="Arial"/>
        <family val="2"/>
      </rPr>
      <t xml:space="preserve"> Used in Calculations</t>
    </r>
  </si>
  <si>
    <r>
      <t>C</t>
    </r>
    <r>
      <rPr>
        <vertAlign val="subscript"/>
        <sz val="11"/>
        <color theme="1"/>
        <rFont val="Arial"/>
        <family val="2"/>
      </rPr>
      <t xml:space="preserve">DD2 </t>
    </r>
    <r>
      <rPr>
        <sz val="11"/>
        <color theme="1"/>
        <rFont val="Arial"/>
        <family val="2"/>
      </rPr>
      <t>=</t>
    </r>
  </si>
  <si>
    <r>
      <rPr>
        <b/>
        <sz val="11"/>
        <color theme="1"/>
        <rFont val="Arial"/>
        <family val="2"/>
      </rPr>
      <t>Minimum</t>
    </r>
    <r>
      <rPr>
        <sz val="11"/>
        <color theme="1"/>
        <rFont val="Arial"/>
        <family val="2"/>
      </rPr>
      <t xml:space="preserve"> R</t>
    </r>
    <r>
      <rPr>
        <vertAlign val="subscript"/>
        <sz val="11"/>
        <color theme="1"/>
        <rFont val="Arial"/>
        <family val="2"/>
      </rPr>
      <t>DD2</t>
    </r>
  </si>
  <si>
    <r>
      <t>R</t>
    </r>
    <r>
      <rPr>
        <vertAlign val="subscript"/>
        <sz val="11"/>
        <color theme="1"/>
        <rFont val="Arial"/>
        <family val="2"/>
      </rPr>
      <t xml:space="preserve">DD2_min </t>
    </r>
    <r>
      <rPr>
        <sz val="11"/>
        <color theme="1"/>
        <rFont val="Arial"/>
        <family val="2"/>
      </rPr>
      <t>=</t>
    </r>
  </si>
  <si>
    <r>
      <t>R</t>
    </r>
    <r>
      <rPr>
        <vertAlign val="subscript"/>
        <sz val="11"/>
        <color theme="1"/>
        <rFont val="Arial"/>
        <family val="2"/>
      </rPr>
      <t>DD2</t>
    </r>
    <r>
      <rPr>
        <sz val="11"/>
        <color theme="1"/>
        <rFont val="Arial"/>
        <family val="2"/>
      </rPr>
      <t xml:space="preserve"> Used in Calculations</t>
    </r>
  </si>
  <si>
    <r>
      <t>R</t>
    </r>
    <r>
      <rPr>
        <vertAlign val="subscript"/>
        <sz val="11"/>
        <color theme="1"/>
        <rFont val="Arial"/>
        <family val="2"/>
      </rPr>
      <t xml:space="preserve">DD2 </t>
    </r>
    <r>
      <rPr>
        <sz val="11"/>
        <color theme="1"/>
        <rFont val="Arial"/>
        <family val="2"/>
      </rPr>
      <t>=</t>
    </r>
  </si>
  <si>
    <r>
      <t>V</t>
    </r>
    <r>
      <rPr>
        <vertAlign val="subscript"/>
        <sz val="11"/>
        <color theme="1"/>
        <rFont val="Arial"/>
        <family val="2"/>
      </rPr>
      <t>DD</t>
    </r>
    <r>
      <rPr>
        <sz val="11"/>
        <color theme="1"/>
        <rFont val="Arial"/>
        <family val="2"/>
      </rPr>
      <t xml:space="preserve"> =</t>
    </r>
  </si>
  <si>
    <r>
      <rPr>
        <b/>
        <sz val="11"/>
        <color theme="1"/>
        <rFont val="Arial"/>
        <family val="2"/>
      </rPr>
      <t>Minimum</t>
    </r>
    <r>
      <rPr>
        <sz val="11"/>
        <color theme="1"/>
        <rFont val="Arial"/>
        <family val="2"/>
      </rPr>
      <t xml:space="preserve"> Recommended R</t>
    </r>
    <r>
      <rPr>
        <vertAlign val="subscript"/>
        <sz val="11"/>
        <color theme="1"/>
        <rFont val="Arial"/>
        <family val="2"/>
      </rPr>
      <t>DD1</t>
    </r>
    <r>
      <rPr>
        <sz val="11"/>
        <color theme="1"/>
        <rFont val="Arial"/>
        <family val="2"/>
      </rPr>
      <t/>
    </r>
  </si>
  <si>
    <r>
      <t>R</t>
    </r>
    <r>
      <rPr>
        <vertAlign val="subscript"/>
        <sz val="11"/>
        <color theme="1"/>
        <rFont val="Arial"/>
        <family val="2"/>
      </rPr>
      <t>DD1_min</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</si>
  <si>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DD1</t>
    </r>
    <r>
      <rPr>
        <sz val="11"/>
        <rFont val="Arial"/>
        <family val="2"/>
      </rPr>
      <t/>
    </r>
  </si>
  <si>
    <r>
      <t>R</t>
    </r>
    <r>
      <rPr>
        <vertAlign val="subscript"/>
        <sz val="11"/>
        <color theme="1"/>
        <rFont val="Arial"/>
        <family val="2"/>
      </rPr>
      <t>DD1_act</t>
    </r>
    <r>
      <rPr>
        <sz val="11"/>
        <color theme="1"/>
        <rFont val="Arial"/>
        <family val="2"/>
      </rPr>
      <t xml:space="preserve"> =</t>
    </r>
  </si>
  <si>
    <r>
      <t>R</t>
    </r>
    <r>
      <rPr>
        <vertAlign val="subscript"/>
        <sz val="11"/>
        <color theme="1"/>
        <rFont val="Arial"/>
        <family val="2"/>
      </rPr>
      <t>DD1</t>
    </r>
    <r>
      <rPr>
        <sz val="11"/>
        <color theme="1"/>
        <rFont val="Arial"/>
        <family val="2"/>
      </rPr>
      <t xml:space="preserve"> Used in Calculations</t>
    </r>
  </si>
  <si>
    <r>
      <t>R</t>
    </r>
    <r>
      <rPr>
        <vertAlign val="subscript"/>
        <sz val="11"/>
        <color theme="1"/>
        <rFont val="Arial"/>
        <family val="2"/>
      </rPr>
      <t>DD1</t>
    </r>
    <r>
      <rPr>
        <sz val="11"/>
        <color theme="1"/>
        <rFont val="Arial"/>
        <family val="2"/>
      </rPr>
      <t xml:space="preserve"> =</t>
    </r>
  </si>
  <si>
    <r>
      <t>Approximate Time for V</t>
    </r>
    <r>
      <rPr>
        <vertAlign val="subscript"/>
        <sz val="11"/>
        <color theme="1"/>
        <rFont val="Arial"/>
        <family val="2"/>
      </rPr>
      <t>HVG</t>
    </r>
    <r>
      <rPr>
        <sz val="11"/>
        <color theme="1"/>
        <rFont val="Arial"/>
        <family val="2"/>
      </rPr>
      <t xml:space="preserve"> to Settle to Regulation After Start-Up</t>
    </r>
  </si>
  <si>
    <r>
      <t>T</t>
    </r>
    <r>
      <rPr>
        <vertAlign val="subscript"/>
        <sz val="11"/>
        <color theme="1"/>
        <rFont val="Arial"/>
        <family val="2"/>
      </rPr>
      <t>HVG</t>
    </r>
    <r>
      <rPr>
        <sz val="11"/>
        <color theme="1"/>
        <rFont val="Arial"/>
        <family val="2"/>
      </rPr>
      <t xml:space="preserve"> =</t>
    </r>
  </si>
  <si>
    <r>
      <t>V</t>
    </r>
    <r>
      <rPr>
        <vertAlign val="subscript"/>
        <sz val="11"/>
        <color theme="1"/>
        <rFont val="Arial"/>
        <family val="2"/>
      </rPr>
      <t>O</t>
    </r>
    <r>
      <rPr>
        <sz val="11"/>
        <color theme="1"/>
        <rFont val="Arial"/>
        <family val="2"/>
      </rPr>
      <t xml:space="preserve"> Rise Time to Regulation</t>
    </r>
  </si>
  <si>
    <r>
      <t>T</t>
    </r>
    <r>
      <rPr>
        <vertAlign val="subscript"/>
        <sz val="11"/>
        <color theme="1"/>
        <rFont val="Arial"/>
        <family val="2"/>
      </rPr>
      <t>SS_max</t>
    </r>
    <r>
      <rPr>
        <sz val="11"/>
        <color theme="1"/>
        <rFont val="Arial"/>
        <family val="2"/>
      </rPr>
      <t xml:space="preserve"> =</t>
    </r>
  </si>
  <si>
    <r>
      <t>D</t>
    </r>
    <r>
      <rPr>
        <vertAlign val="subscript"/>
        <sz val="11"/>
        <color theme="1"/>
        <rFont val="Arial"/>
        <family val="2"/>
      </rPr>
      <t xml:space="preserve">rea_CDD1 </t>
    </r>
    <r>
      <rPr>
        <sz val="11"/>
        <color theme="1"/>
        <rFont val="Arial"/>
        <family val="2"/>
      </rPr>
      <t>=</t>
    </r>
  </si>
  <si>
    <r>
      <rPr>
        <b/>
        <sz val="11"/>
        <color theme="1"/>
        <rFont val="Arial"/>
        <family val="2"/>
      </rPr>
      <t>Recommended</t>
    </r>
    <r>
      <rPr>
        <sz val="11"/>
        <color theme="1"/>
        <rFont val="Arial"/>
        <family val="2"/>
      </rPr>
      <t xml:space="preserve"> C</t>
    </r>
    <r>
      <rPr>
        <vertAlign val="subscript"/>
        <sz val="11"/>
        <color theme="1"/>
        <rFont val="Arial"/>
        <family val="2"/>
      </rPr>
      <t>DD1</t>
    </r>
    <r>
      <rPr>
        <sz val="11"/>
        <color theme="1"/>
        <rFont val="Arial"/>
        <family val="2"/>
      </rPr>
      <t xml:space="preserve"> Nominal Capacitance</t>
    </r>
  </si>
  <si>
    <r>
      <t>C</t>
    </r>
    <r>
      <rPr>
        <vertAlign val="subscript"/>
        <sz val="11"/>
        <color theme="1"/>
        <rFont val="Arial"/>
        <family val="2"/>
      </rPr>
      <t>DD1_rec</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</si>
  <si>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DD1</t>
    </r>
    <r>
      <rPr>
        <sz val="11"/>
        <color theme="1"/>
        <rFont val="Arial"/>
        <family val="2"/>
      </rPr>
      <t xml:space="preserve"> Capacitance</t>
    </r>
  </si>
  <si>
    <r>
      <t>C</t>
    </r>
    <r>
      <rPr>
        <vertAlign val="subscript"/>
        <sz val="11"/>
        <color theme="1"/>
        <rFont val="Arial"/>
        <family val="2"/>
      </rPr>
      <t>DD1_act</t>
    </r>
    <r>
      <rPr>
        <sz val="11"/>
        <color theme="1"/>
        <rFont val="Arial"/>
        <family val="2"/>
      </rPr>
      <t xml:space="preserve"> =</t>
    </r>
  </si>
  <si>
    <r>
      <t xml:space="preserve">Select standard value </t>
    </r>
    <r>
      <rPr>
        <sz val="11"/>
        <color theme="1"/>
        <rFont val="Calibri"/>
        <family val="2"/>
      </rPr>
      <t>≥</t>
    </r>
    <r>
      <rPr>
        <sz val="11"/>
        <color theme="1"/>
        <rFont val="Arial"/>
        <family val="2"/>
      </rPr>
      <t xml:space="preserve"> recommended</t>
    </r>
  </si>
  <si>
    <r>
      <t>C</t>
    </r>
    <r>
      <rPr>
        <vertAlign val="subscript"/>
        <sz val="11"/>
        <color theme="1"/>
        <rFont val="Arial"/>
        <family val="2"/>
      </rPr>
      <t>DD1</t>
    </r>
    <r>
      <rPr>
        <sz val="11"/>
        <color theme="1"/>
        <rFont val="Arial"/>
        <family val="2"/>
      </rPr>
      <t xml:space="preserve"> Capacitance Used in Calculations</t>
    </r>
  </si>
  <si>
    <r>
      <t>C</t>
    </r>
    <r>
      <rPr>
        <vertAlign val="subscript"/>
        <sz val="11"/>
        <color theme="1"/>
        <rFont val="Arial"/>
        <family val="2"/>
      </rPr>
      <t>DD1</t>
    </r>
    <r>
      <rPr>
        <sz val="11"/>
        <color theme="1"/>
        <rFont val="Arial"/>
        <family val="2"/>
      </rPr>
      <t xml:space="preserve"> =</t>
    </r>
  </si>
  <si>
    <t>Suggested start from 1MΩ; can reduce to improve ABM stability, but no smaller than 510kΩ or will affect start up and OPP</t>
  </si>
  <si>
    <r>
      <rPr>
        <b/>
        <sz val="11"/>
        <color theme="1"/>
        <rFont val="Arial"/>
        <family val="2"/>
      </rPr>
      <t>Maximum</t>
    </r>
    <r>
      <rPr>
        <sz val="11"/>
        <color theme="1"/>
        <rFont val="Arial"/>
        <family val="2"/>
      </rPr>
      <t xml:space="preserve"> FB Pin Resistor</t>
    </r>
  </si>
  <si>
    <r>
      <t>R</t>
    </r>
    <r>
      <rPr>
        <vertAlign val="subscript"/>
        <sz val="11"/>
        <color theme="1"/>
        <rFont val="Arial"/>
        <family val="2"/>
      </rPr>
      <t>FB_max</t>
    </r>
    <r>
      <rPr>
        <sz val="11"/>
        <color theme="1"/>
        <rFont val="Arial"/>
        <family val="2"/>
      </rPr>
      <t xml:space="preserve"> =</t>
    </r>
  </si>
  <si>
    <r>
      <rPr>
        <b/>
        <sz val="11"/>
        <color theme="1"/>
        <rFont val="Arial"/>
        <family val="2"/>
      </rPr>
      <t>Actual</t>
    </r>
    <r>
      <rPr>
        <sz val="11"/>
        <color theme="1"/>
        <rFont val="Arial"/>
        <family val="2"/>
      </rPr>
      <t xml:space="preserve"> FB Pin Resistor</t>
    </r>
  </si>
  <si>
    <r>
      <t>R</t>
    </r>
    <r>
      <rPr>
        <vertAlign val="subscript"/>
        <sz val="11"/>
        <color theme="1"/>
        <rFont val="Arial"/>
        <family val="2"/>
      </rPr>
      <t>FB_act</t>
    </r>
    <r>
      <rPr>
        <sz val="11"/>
        <color theme="1"/>
        <rFont val="Arial"/>
        <family val="2"/>
      </rPr>
      <t xml:space="preserve"> =</t>
    </r>
  </si>
  <si>
    <r>
      <t>R</t>
    </r>
    <r>
      <rPr>
        <vertAlign val="subscript"/>
        <sz val="11"/>
        <color theme="1"/>
        <rFont val="Arial"/>
        <family val="2"/>
      </rPr>
      <t>FB</t>
    </r>
    <r>
      <rPr>
        <sz val="11"/>
        <color theme="1"/>
        <rFont val="Arial"/>
        <family val="2"/>
      </rPr>
      <t xml:space="preserve"> =</t>
    </r>
  </si>
  <si>
    <r>
      <t>Recommended C</t>
    </r>
    <r>
      <rPr>
        <vertAlign val="subscript"/>
        <sz val="11"/>
        <color theme="1"/>
        <rFont val="Arial"/>
        <family val="2"/>
      </rPr>
      <t>FB</t>
    </r>
    <r>
      <rPr>
        <sz val="11"/>
        <color theme="1"/>
        <rFont val="Arial"/>
        <family val="2"/>
      </rPr>
      <t/>
    </r>
  </si>
  <si>
    <r>
      <t>C</t>
    </r>
    <r>
      <rPr>
        <vertAlign val="subscript"/>
        <sz val="11"/>
        <color theme="1"/>
        <rFont val="Arial"/>
        <family val="2"/>
      </rPr>
      <t>FB</t>
    </r>
    <r>
      <rPr>
        <sz val="11"/>
        <color theme="1"/>
        <rFont val="Arial"/>
        <family val="2"/>
      </rPr>
      <t xml:space="preserve"> =</t>
    </r>
  </si>
  <si>
    <r>
      <t>Recommended R</t>
    </r>
    <r>
      <rPr>
        <vertAlign val="subscript"/>
        <sz val="11"/>
        <color theme="1"/>
        <rFont val="Arial"/>
        <family val="2"/>
      </rPr>
      <t>COMP</t>
    </r>
  </si>
  <si>
    <r>
      <rPr>
        <b/>
        <sz val="11"/>
        <color theme="1"/>
        <rFont val="Arial"/>
        <family val="2"/>
      </rPr>
      <t>Recommended</t>
    </r>
    <r>
      <rPr>
        <sz val="11"/>
        <color theme="1"/>
        <rFont val="Arial"/>
        <family val="2"/>
      </rPr>
      <t xml:space="preserve"> Bias Resistor2</t>
    </r>
  </si>
  <si>
    <r>
      <t>R</t>
    </r>
    <r>
      <rPr>
        <vertAlign val="subscript"/>
        <sz val="11"/>
        <color theme="1"/>
        <rFont val="Arial"/>
        <family val="2"/>
      </rPr>
      <t xml:space="preserve">bias2_rec </t>
    </r>
    <r>
      <rPr>
        <sz val="11"/>
        <color theme="1"/>
        <rFont val="Arial"/>
        <family val="2"/>
      </rPr>
      <t>=</t>
    </r>
  </si>
  <si>
    <r>
      <rPr>
        <b/>
        <sz val="11"/>
        <color theme="1"/>
        <rFont val="Arial"/>
        <family val="2"/>
      </rPr>
      <t>Actual</t>
    </r>
    <r>
      <rPr>
        <sz val="11"/>
        <color theme="1"/>
        <rFont val="Arial"/>
        <family val="2"/>
      </rPr>
      <t xml:space="preserve"> Bias Resistor2</t>
    </r>
  </si>
  <si>
    <r>
      <t>R</t>
    </r>
    <r>
      <rPr>
        <vertAlign val="subscript"/>
        <sz val="11"/>
        <color theme="1"/>
        <rFont val="Arial"/>
        <family val="2"/>
      </rPr>
      <t xml:space="preserve">bias2_act </t>
    </r>
    <r>
      <rPr>
        <sz val="11"/>
        <color theme="1"/>
        <rFont val="Arial"/>
        <family val="2"/>
      </rPr>
      <t>=</t>
    </r>
  </si>
  <si>
    <r>
      <t>R</t>
    </r>
    <r>
      <rPr>
        <vertAlign val="subscript"/>
        <sz val="11"/>
        <color theme="1"/>
        <rFont val="Arial"/>
        <family val="2"/>
      </rPr>
      <t xml:space="preserve">bias2 </t>
    </r>
    <r>
      <rPr>
        <sz val="11"/>
        <color theme="1"/>
        <rFont val="Arial"/>
        <family val="2"/>
      </rPr>
      <t>=</t>
    </r>
  </si>
  <si>
    <r>
      <t>R</t>
    </r>
    <r>
      <rPr>
        <vertAlign val="subscript"/>
        <sz val="11"/>
        <color theme="1"/>
        <rFont val="Arial"/>
        <family val="2"/>
      </rPr>
      <t>bias1_max_SBP</t>
    </r>
    <r>
      <rPr>
        <sz val="11"/>
        <color theme="1"/>
        <rFont val="Arial"/>
        <family val="2"/>
      </rPr>
      <t xml:space="preserve"> =</t>
    </r>
  </si>
  <si>
    <r>
      <t>R</t>
    </r>
    <r>
      <rPr>
        <vertAlign val="subscript"/>
        <sz val="11"/>
        <color theme="1"/>
        <rFont val="Arial"/>
        <family val="2"/>
      </rPr>
      <t>bias1_max_ABM</t>
    </r>
    <r>
      <rPr>
        <sz val="11"/>
        <color theme="1"/>
        <rFont val="Arial"/>
        <family val="2"/>
      </rPr>
      <t xml:space="preserve"> =</t>
    </r>
  </si>
  <si>
    <r>
      <t>Maximum for R</t>
    </r>
    <r>
      <rPr>
        <vertAlign val="subscript"/>
        <sz val="11"/>
        <color theme="1"/>
        <rFont val="Arial"/>
        <family val="2"/>
      </rPr>
      <t>bias1</t>
    </r>
    <r>
      <rPr>
        <sz val="11"/>
        <color theme="1"/>
        <rFont val="Arial"/>
        <family val="2"/>
      </rPr>
      <t/>
    </r>
  </si>
  <si>
    <r>
      <t>R</t>
    </r>
    <r>
      <rPr>
        <vertAlign val="subscript"/>
        <sz val="11"/>
        <color theme="1"/>
        <rFont val="Arial"/>
        <family val="2"/>
      </rPr>
      <t>bias1_max</t>
    </r>
    <r>
      <rPr>
        <sz val="11"/>
        <color theme="1"/>
        <rFont val="Arial"/>
        <family val="2"/>
      </rPr>
      <t xml:space="preserve"> =</t>
    </r>
  </si>
  <si>
    <r>
      <t>Minimum for R</t>
    </r>
    <r>
      <rPr>
        <vertAlign val="subscript"/>
        <sz val="11"/>
        <color theme="1"/>
        <rFont val="Arial"/>
        <family val="2"/>
      </rPr>
      <t>bias1</t>
    </r>
    <r>
      <rPr>
        <sz val="11"/>
        <color theme="1"/>
        <rFont val="Arial"/>
        <family val="2"/>
      </rPr>
      <t/>
    </r>
  </si>
  <si>
    <r>
      <t>R</t>
    </r>
    <r>
      <rPr>
        <vertAlign val="subscript"/>
        <sz val="11"/>
        <color theme="1"/>
        <rFont val="Arial"/>
        <family val="2"/>
      </rPr>
      <t>bias1_min</t>
    </r>
    <r>
      <rPr>
        <sz val="11"/>
        <color theme="1"/>
        <rFont val="Arial"/>
        <family val="2"/>
      </rPr>
      <t xml:space="preserve"> =</t>
    </r>
  </si>
  <si>
    <r>
      <t>R</t>
    </r>
    <r>
      <rPr>
        <vertAlign val="subscript"/>
        <sz val="11"/>
        <color theme="1"/>
        <rFont val="Arial"/>
        <family val="2"/>
      </rPr>
      <t>bias1</t>
    </r>
    <r>
      <rPr>
        <sz val="11"/>
        <color theme="1"/>
        <rFont val="Arial"/>
        <family val="2"/>
      </rPr>
      <t xml:space="preserve"> Used in Calculations</t>
    </r>
  </si>
  <si>
    <r>
      <t>R</t>
    </r>
    <r>
      <rPr>
        <vertAlign val="subscript"/>
        <sz val="11"/>
        <color theme="1"/>
        <rFont val="Arial"/>
        <family val="2"/>
      </rPr>
      <t>bias1</t>
    </r>
    <r>
      <rPr>
        <sz val="11"/>
        <color theme="1"/>
        <rFont val="Arial"/>
        <family val="2"/>
      </rPr>
      <t xml:space="preserve"> =</t>
    </r>
  </si>
  <si>
    <r>
      <rPr>
        <b/>
        <sz val="11"/>
        <color theme="1"/>
        <rFont val="Arial"/>
        <family val="2"/>
      </rPr>
      <t>Recommended</t>
    </r>
    <r>
      <rPr>
        <sz val="11"/>
        <color theme="1"/>
        <rFont val="Arial"/>
        <family val="2"/>
      </rPr>
      <t xml:space="preserve"> Maximum R</t>
    </r>
    <r>
      <rPr>
        <vertAlign val="subscript"/>
        <sz val="11"/>
        <color theme="1"/>
        <rFont val="Arial"/>
        <family val="2"/>
      </rPr>
      <t>Vo2</t>
    </r>
    <r>
      <rPr>
        <sz val="11"/>
        <color theme="1"/>
        <rFont val="Arial"/>
        <family val="2"/>
      </rPr>
      <t xml:space="preserve"> Resistor</t>
    </r>
  </si>
  <si>
    <r>
      <t>R</t>
    </r>
    <r>
      <rPr>
        <vertAlign val="subscript"/>
        <sz val="11"/>
        <color theme="1"/>
        <rFont val="Arial"/>
        <family val="2"/>
      </rPr>
      <t>vo2_rec_max</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</si>
  <si>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Vo2</t>
    </r>
    <r>
      <rPr>
        <sz val="11"/>
        <color theme="1"/>
        <rFont val="Arial"/>
        <family val="2"/>
      </rPr>
      <t xml:space="preserve"> Resistor</t>
    </r>
  </si>
  <si>
    <r>
      <t>R</t>
    </r>
    <r>
      <rPr>
        <vertAlign val="subscript"/>
        <sz val="11"/>
        <color theme="1"/>
        <rFont val="Arial"/>
        <family val="2"/>
      </rPr>
      <t xml:space="preserve">vo2_act </t>
    </r>
    <r>
      <rPr>
        <sz val="11"/>
        <color theme="1"/>
        <rFont val="Arial"/>
        <family val="2"/>
      </rPr>
      <t>=</t>
    </r>
  </si>
  <si>
    <r>
      <t>R</t>
    </r>
    <r>
      <rPr>
        <vertAlign val="subscript"/>
        <sz val="11"/>
        <color theme="1"/>
        <rFont val="Arial"/>
        <family val="2"/>
      </rPr>
      <t>Vo2</t>
    </r>
    <r>
      <rPr>
        <sz val="11"/>
        <color theme="1"/>
        <rFont val="Arial"/>
        <family val="2"/>
      </rPr>
      <t xml:space="preserve"> Resistor Used in Calculations</t>
    </r>
  </si>
  <si>
    <r>
      <t>R</t>
    </r>
    <r>
      <rPr>
        <vertAlign val="subscript"/>
        <sz val="11"/>
        <color theme="1"/>
        <rFont val="Arial"/>
        <family val="2"/>
      </rPr>
      <t>vo2</t>
    </r>
    <r>
      <rPr>
        <sz val="11"/>
        <color theme="1"/>
        <rFont val="Arial"/>
        <family val="2"/>
      </rPr>
      <t xml:space="preserve"> =</t>
    </r>
  </si>
  <si>
    <r>
      <rPr>
        <b/>
        <sz val="11"/>
        <color theme="1"/>
        <rFont val="Arial"/>
        <family val="2"/>
      </rPr>
      <t>Recommended</t>
    </r>
    <r>
      <rPr>
        <sz val="11"/>
        <color theme="1"/>
        <rFont val="Arial"/>
        <family val="2"/>
      </rPr>
      <t xml:space="preserve"> R</t>
    </r>
    <r>
      <rPr>
        <vertAlign val="subscript"/>
        <sz val="11"/>
        <color theme="1"/>
        <rFont val="Arial"/>
        <family val="2"/>
      </rPr>
      <t>Vo1</t>
    </r>
    <r>
      <rPr>
        <sz val="11"/>
        <color theme="1"/>
        <rFont val="Arial"/>
        <family val="2"/>
      </rPr>
      <t xml:space="preserve"> Resistor</t>
    </r>
  </si>
  <si>
    <r>
      <t>R</t>
    </r>
    <r>
      <rPr>
        <vertAlign val="subscript"/>
        <sz val="11"/>
        <color theme="1"/>
        <rFont val="Arial"/>
        <family val="2"/>
      </rPr>
      <t>vo1_rec</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</si>
  <si>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Vo1</t>
    </r>
    <r>
      <rPr>
        <sz val="11"/>
        <color theme="1"/>
        <rFont val="Arial"/>
        <family val="2"/>
      </rPr>
      <t xml:space="preserve"> Resistor</t>
    </r>
  </si>
  <si>
    <r>
      <t>R</t>
    </r>
    <r>
      <rPr>
        <vertAlign val="subscript"/>
        <sz val="11"/>
        <color theme="1"/>
        <rFont val="Arial"/>
        <family val="2"/>
      </rPr>
      <t>vo1_act</t>
    </r>
    <r>
      <rPr>
        <sz val="11"/>
        <color theme="1"/>
        <rFont val="Arial"/>
        <family val="2"/>
      </rPr>
      <t xml:space="preserve"> =</t>
    </r>
  </si>
  <si>
    <r>
      <t>R</t>
    </r>
    <r>
      <rPr>
        <vertAlign val="subscript"/>
        <sz val="11"/>
        <color theme="1"/>
        <rFont val="Arial"/>
        <family val="2"/>
      </rPr>
      <t>Vo1</t>
    </r>
    <r>
      <rPr>
        <sz val="11"/>
        <color theme="1"/>
        <rFont val="Arial"/>
        <family val="2"/>
      </rPr>
      <t xml:space="preserve"> Resistor Used in Calculations</t>
    </r>
  </si>
  <si>
    <r>
      <t>R</t>
    </r>
    <r>
      <rPr>
        <vertAlign val="subscript"/>
        <sz val="11"/>
        <color theme="1"/>
        <rFont val="Arial"/>
        <family val="2"/>
      </rPr>
      <t xml:space="preserve">vo1 </t>
    </r>
    <r>
      <rPr>
        <sz val="11"/>
        <color theme="1"/>
        <rFont val="Arial"/>
        <family val="2"/>
      </rPr>
      <t>=</t>
    </r>
  </si>
  <si>
    <r>
      <t>V</t>
    </r>
    <r>
      <rPr>
        <vertAlign val="subscript"/>
        <sz val="11"/>
        <color theme="1"/>
        <rFont val="Arial"/>
        <family val="2"/>
      </rPr>
      <t>o_typ</t>
    </r>
    <r>
      <rPr>
        <sz val="11"/>
        <color theme="1"/>
        <rFont val="Arial"/>
        <family val="2"/>
      </rPr>
      <t xml:space="preserve"> =</t>
    </r>
  </si>
  <si>
    <r>
      <rPr>
        <b/>
        <sz val="11"/>
        <color theme="1"/>
        <rFont val="Arial"/>
        <family val="2"/>
      </rPr>
      <t>Recommended</t>
    </r>
    <r>
      <rPr>
        <sz val="11"/>
        <color theme="1"/>
        <rFont val="Arial"/>
        <family val="2"/>
      </rPr>
      <t xml:space="preserve"> C</t>
    </r>
    <r>
      <rPr>
        <vertAlign val="subscript"/>
        <sz val="11"/>
        <color theme="1"/>
        <rFont val="Arial"/>
        <family val="2"/>
      </rPr>
      <t>diff</t>
    </r>
  </si>
  <si>
    <r>
      <t>C</t>
    </r>
    <r>
      <rPr>
        <vertAlign val="subscript"/>
        <sz val="11"/>
        <color theme="1"/>
        <rFont val="Arial"/>
        <family val="2"/>
      </rPr>
      <t>diff_rec</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</si>
  <si>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diff</t>
    </r>
  </si>
  <si>
    <r>
      <t>C</t>
    </r>
    <r>
      <rPr>
        <vertAlign val="subscript"/>
        <sz val="11"/>
        <color theme="1"/>
        <rFont val="Arial"/>
        <family val="2"/>
      </rPr>
      <t>diff_act</t>
    </r>
    <r>
      <rPr>
        <sz val="11"/>
        <color theme="1"/>
        <rFont val="Arial"/>
        <family val="2"/>
      </rPr>
      <t xml:space="preserve"> =</t>
    </r>
  </si>
  <si>
    <r>
      <t>C</t>
    </r>
    <r>
      <rPr>
        <vertAlign val="subscript"/>
        <sz val="11"/>
        <color theme="1"/>
        <rFont val="Arial"/>
        <family val="2"/>
      </rPr>
      <t xml:space="preserve">diff </t>
    </r>
    <r>
      <rPr>
        <sz val="11"/>
        <color theme="1"/>
        <rFont val="Arial"/>
        <family val="2"/>
      </rPr>
      <t>Used in Calculations</t>
    </r>
  </si>
  <si>
    <r>
      <t>C</t>
    </r>
    <r>
      <rPr>
        <vertAlign val="subscript"/>
        <sz val="11"/>
        <color theme="1"/>
        <rFont val="Arial"/>
        <family val="2"/>
      </rPr>
      <t>diff</t>
    </r>
    <r>
      <rPr>
        <sz val="11"/>
        <color theme="1"/>
        <rFont val="Arial"/>
        <family val="2"/>
      </rPr>
      <t xml:space="preserve"> =</t>
    </r>
  </si>
  <si>
    <r>
      <rPr>
        <b/>
        <sz val="11"/>
        <color theme="1"/>
        <rFont val="Arial"/>
        <family val="2"/>
      </rPr>
      <t>Recommended</t>
    </r>
    <r>
      <rPr>
        <sz val="11"/>
        <color theme="1"/>
        <rFont val="Arial"/>
        <family val="2"/>
      </rPr>
      <t xml:space="preserve"> R</t>
    </r>
    <r>
      <rPr>
        <vertAlign val="subscript"/>
        <sz val="11"/>
        <color theme="1"/>
        <rFont val="Arial"/>
        <family val="2"/>
      </rPr>
      <t>diff</t>
    </r>
  </si>
  <si>
    <r>
      <t>R</t>
    </r>
    <r>
      <rPr>
        <vertAlign val="subscript"/>
        <sz val="11"/>
        <color theme="1"/>
        <rFont val="Arial"/>
        <family val="2"/>
      </rPr>
      <t>diff_rec</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</si>
  <si>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diff</t>
    </r>
  </si>
  <si>
    <r>
      <t>R</t>
    </r>
    <r>
      <rPr>
        <vertAlign val="subscript"/>
        <sz val="11"/>
        <color theme="1"/>
        <rFont val="Arial"/>
        <family val="2"/>
      </rPr>
      <t>diff_act</t>
    </r>
    <r>
      <rPr>
        <sz val="11"/>
        <color theme="1"/>
        <rFont val="Arial"/>
        <family val="2"/>
      </rPr>
      <t xml:space="preserve"> =</t>
    </r>
  </si>
  <si>
    <r>
      <t>R</t>
    </r>
    <r>
      <rPr>
        <vertAlign val="subscript"/>
        <sz val="11"/>
        <color theme="1"/>
        <rFont val="Arial"/>
        <family val="2"/>
      </rPr>
      <t xml:space="preserve">diff </t>
    </r>
    <r>
      <rPr>
        <sz val="11"/>
        <color theme="1"/>
        <rFont val="Arial"/>
        <family val="2"/>
      </rPr>
      <t>Used in Calculations</t>
    </r>
  </si>
  <si>
    <r>
      <t>R</t>
    </r>
    <r>
      <rPr>
        <vertAlign val="subscript"/>
        <sz val="11"/>
        <color theme="1"/>
        <rFont val="Arial"/>
        <family val="2"/>
      </rPr>
      <t>diff</t>
    </r>
    <r>
      <rPr>
        <sz val="11"/>
        <color theme="1"/>
        <rFont val="Arial"/>
        <family val="2"/>
      </rPr>
      <t xml:space="preserve"> =</t>
    </r>
  </si>
  <si>
    <r>
      <rPr>
        <b/>
        <sz val="11"/>
        <color theme="1"/>
        <rFont val="Arial"/>
        <family val="2"/>
      </rPr>
      <t>Recommended</t>
    </r>
    <r>
      <rPr>
        <sz val="11"/>
        <color theme="1"/>
        <rFont val="Arial"/>
        <family val="2"/>
      </rPr>
      <t xml:space="preserve"> C</t>
    </r>
    <r>
      <rPr>
        <vertAlign val="subscript"/>
        <sz val="11"/>
        <color theme="1"/>
        <rFont val="Arial"/>
        <family val="2"/>
      </rPr>
      <t>int</t>
    </r>
  </si>
  <si>
    <r>
      <t>C</t>
    </r>
    <r>
      <rPr>
        <vertAlign val="subscript"/>
        <sz val="11"/>
        <color theme="1"/>
        <rFont val="Arial"/>
        <family val="2"/>
      </rPr>
      <t>int_rec</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</si>
  <si>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int</t>
    </r>
  </si>
  <si>
    <r>
      <t>C</t>
    </r>
    <r>
      <rPr>
        <vertAlign val="subscript"/>
        <sz val="11"/>
        <color theme="1"/>
        <rFont val="Arial"/>
        <family val="2"/>
      </rPr>
      <t>int_act</t>
    </r>
    <r>
      <rPr>
        <sz val="11"/>
        <color theme="1"/>
        <rFont val="Arial"/>
        <family val="2"/>
      </rPr>
      <t xml:space="preserve"> =</t>
    </r>
  </si>
  <si>
    <r>
      <t>C</t>
    </r>
    <r>
      <rPr>
        <vertAlign val="subscript"/>
        <sz val="11"/>
        <color theme="1"/>
        <rFont val="Arial"/>
        <family val="2"/>
      </rPr>
      <t xml:space="preserve">int </t>
    </r>
    <r>
      <rPr>
        <sz val="11"/>
        <color theme="1"/>
        <rFont val="Arial"/>
        <family val="2"/>
      </rPr>
      <t>Used in Calculations</t>
    </r>
  </si>
  <si>
    <r>
      <t>C</t>
    </r>
    <r>
      <rPr>
        <vertAlign val="subscript"/>
        <sz val="11"/>
        <color theme="1"/>
        <rFont val="Arial"/>
        <family val="2"/>
      </rPr>
      <t>int</t>
    </r>
    <r>
      <rPr>
        <sz val="11"/>
        <color theme="1"/>
        <rFont val="Arial"/>
        <family val="2"/>
      </rPr>
      <t xml:space="preserve"> =</t>
    </r>
  </si>
  <si>
    <r>
      <t>R</t>
    </r>
    <r>
      <rPr>
        <vertAlign val="subscript"/>
        <sz val="11"/>
        <color theme="1"/>
        <rFont val="Arial"/>
        <family val="2"/>
      </rPr>
      <t xml:space="preserve">int </t>
    </r>
    <r>
      <rPr>
        <sz val="11"/>
        <color theme="1"/>
        <rFont val="Arial"/>
        <family val="2"/>
      </rPr>
      <t>Used in Calculations</t>
    </r>
  </si>
  <si>
    <r>
      <t>R</t>
    </r>
    <r>
      <rPr>
        <vertAlign val="subscript"/>
        <sz val="11"/>
        <color theme="1"/>
        <rFont val="Arial"/>
        <family val="2"/>
      </rPr>
      <t>int</t>
    </r>
    <r>
      <rPr>
        <sz val="11"/>
        <color theme="1"/>
        <rFont val="Arial"/>
        <family val="2"/>
      </rPr>
      <t xml:space="preserve"> =</t>
    </r>
  </si>
  <si>
    <t xml:space="preserve">AUX Power on Primary Side  </t>
  </si>
  <si>
    <r>
      <t xml:space="preserve">Resistor Divider of VS Pin  </t>
    </r>
    <r>
      <rPr>
        <b/>
        <i/>
        <sz val="12"/>
        <color rgb="FFFFFF00"/>
        <rFont val="Arial"/>
        <family val="2"/>
      </rPr>
      <t>(This calculation block not used.)</t>
    </r>
  </si>
  <si>
    <t>AC</t>
  </si>
  <si>
    <r>
      <t>Result should match original target V</t>
    </r>
    <r>
      <rPr>
        <vertAlign val="subscript"/>
        <sz val="11"/>
        <color theme="1"/>
        <rFont val="Arial"/>
        <family val="2"/>
      </rPr>
      <t>O</t>
    </r>
    <r>
      <rPr>
        <sz val="11"/>
        <color theme="1"/>
        <rFont val="Arial"/>
        <family val="2"/>
      </rPr>
      <t xml:space="preserve"> closely (see "Input Here" sheet, cell </t>
    </r>
    <r>
      <rPr>
        <b/>
        <sz val="11"/>
        <color theme="1"/>
        <rFont val="Arial"/>
        <family val="2"/>
      </rPr>
      <t>D28</t>
    </r>
    <r>
      <rPr>
        <sz val="11"/>
        <color theme="1"/>
        <rFont val="Arial"/>
        <family val="2"/>
      </rPr>
      <t>)</t>
    </r>
  </si>
  <si>
    <r>
      <t xml:space="preserve">Verify with target on "Input Here" sheet (cell </t>
    </r>
    <r>
      <rPr>
        <b/>
        <sz val="11"/>
        <color theme="1"/>
        <rFont val="Arial"/>
        <family val="2"/>
      </rPr>
      <t>D29</t>
    </r>
    <r>
      <rPr>
        <sz val="11"/>
        <color theme="1"/>
        <rFont val="Arial"/>
        <family val="2"/>
      </rPr>
      <t>)</t>
    </r>
  </si>
  <si>
    <r>
      <t>Reduction Factor for C</t>
    </r>
    <r>
      <rPr>
        <vertAlign val="subscript"/>
        <sz val="11"/>
        <color theme="1"/>
        <rFont val="Arial"/>
        <family val="2"/>
      </rPr>
      <t>DD1</t>
    </r>
    <r>
      <rPr>
        <sz val="11"/>
        <color theme="1"/>
        <rFont val="Arial"/>
        <family val="2"/>
      </rPr>
      <t xml:space="preserve"> due to DC-Bias Effect, in Negative Percent</t>
    </r>
  </si>
  <si>
    <r>
      <rPr>
        <sz val="11"/>
        <color theme="1"/>
        <rFont val="Calibri"/>
        <family val="2"/>
      </rPr>
      <t>±</t>
    </r>
    <r>
      <rPr>
        <sz val="11"/>
        <color theme="1"/>
        <rFont val="Arial"/>
        <family val="2"/>
      </rPr>
      <t xml:space="preserve">% tolerance NOT included.  Not valid for DC input. See </t>
    </r>
    <r>
      <rPr>
        <b/>
        <sz val="11"/>
        <color theme="1"/>
        <rFont val="Arial"/>
        <family val="2"/>
      </rPr>
      <t>F24</t>
    </r>
    <r>
      <rPr>
        <sz val="11"/>
        <color theme="1"/>
        <rFont val="Arial"/>
        <family val="2"/>
      </rPr>
      <t>.</t>
    </r>
  </si>
  <si>
    <t>Reference voltage at REF pin</t>
  </si>
  <si>
    <r>
      <t>V</t>
    </r>
    <r>
      <rPr>
        <vertAlign val="subscript"/>
        <sz val="11"/>
        <color theme="1"/>
        <rFont val="Arial"/>
        <family val="2"/>
      </rPr>
      <t>REF</t>
    </r>
    <r>
      <rPr>
        <sz val="11"/>
        <color theme="1"/>
        <rFont val="Arial"/>
        <family val="2"/>
      </rPr>
      <t>=</t>
    </r>
  </si>
  <si>
    <r>
      <t xml:space="preserve">Check against </t>
    </r>
    <r>
      <rPr>
        <b/>
        <sz val="11"/>
        <color theme="1"/>
        <rFont val="Arial"/>
        <family val="2"/>
      </rPr>
      <t>D86</t>
    </r>
    <r>
      <rPr>
        <sz val="11"/>
        <color theme="1"/>
        <rFont val="Arial"/>
        <family val="2"/>
      </rPr>
      <t xml:space="preserve">.  Iterate </t>
    </r>
    <r>
      <rPr>
        <b/>
        <sz val="11"/>
        <color theme="1"/>
        <rFont val="Arial"/>
        <family val="2"/>
      </rPr>
      <t>D86</t>
    </r>
    <r>
      <rPr>
        <sz val="11"/>
        <color theme="1"/>
        <rFont val="Arial"/>
        <family val="2"/>
      </rPr>
      <t xml:space="preserve">, </t>
    </r>
    <r>
      <rPr>
        <b/>
        <sz val="11"/>
        <color theme="1"/>
        <rFont val="Arial"/>
        <family val="2"/>
      </rPr>
      <t>D95</t>
    </r>
    <r>
      <rPr>
        <sz val="11"/>
        <color theme="1"/>
        <rFont val="Arial"/>
        <family val="2"/>
      </rPr>
      <t xml:space="preserve">, </t>
    </r>
    <r>
      <rPr>
        <b/>
        <sz val="11"/>
        <color theme="1"/>
        <rFont val="Arial"/>
        <family val="2"/>
      </rPr>
      <t>D98</t>
    </r>
    <r>
      <rPr>
        <sz val="11"/>
        <color theme="1"/>
        <rFont val="Arial"/>
        <family val="2"/>
      </rPr>
      <t xml:space="preserve"> to converge close enough.</t>
    </r>
  </si>
  <si>
    <t>TI Literature Number</t>
  </si>
  <si>
    <t>Version Suffix</t>
  </si>
  <si>
    <t>Release Date</t>
  </si>
  <si>
    <t xml:space="preserve"> Changes Made</t>
  </si>
  <si>
    <t>D</t>
  </si>
  <si>
    <t>C</t>
  </si>
  <si>
    <t>Mar 2020</t>
  </si>
  <si>
    <t xml:space="preserve">SLUC664 </t>
  </si>
  <si>
    <t>Mar 2023</t>
  </si>
  <si>
    <t xml:space="preserve"> 1.  Improved several equations from version B.
 2.  Improved several text issues from version B.</t>
  </si>
  <si>
    <t xml:space="preserve"> (QL can be different than QH)</t>
  </si>
  <si>
    <r>
      <t>Start w</t>
    </r>
    <r>
      <rPr>
        <sz val="11"/>
        <rFont val="Arial"/>
        <family val="2"/>
      </rPr>
      <t xml:space="preserve">ith 50% ~ 60% of power level set at cell </t>
    </r>
    <r>
      <rPr>
        <b/>
        <sz val="11"/>
        <rFont val="Arial"/>
        <family val="2"/>
      </rPr>
      <t>D30</t>
    </r>
  </si>
  <si>
    <t>For universal AC-line, enter 47;  (cell not used for DC input)</t>
  </si>
  <si>
    <r>
      <t>Enter neare</t>
    </r>
    <r>
      <rPr>
        <sz val="11"/>
        <rFont val="Arial"/>
        <family val="2"/>
      </rPr>
      <t>st standard value, 1% tolerance recommended</t>
    </r>
  </si>
  <si>
    <r>
      <t>Should be close</t>
    </r>
    <r>
      <rPr>
        <sz val="11"/>
        <rFont val="Arial"/>
        <family val="2"/>
      </rPr>
      <t xml:space="preserve"> to V</t>
    </r>
    <r>
      <rPr>
        <vertAlign val="subscript"/>
        <sz val="11"/>
        <rFont val="Arial"/>
        <family val="2"/>
      </rPr>
      <t>BUR</t>
    </r>
    <r>
      <rPr>
        <sz val="11"/>
        <rFont val="Arial"/>
        <family val="2"/>
      </rPr>
      <t xml:space="preserve"> target at </t>
    </r>
    <r>
      <rPr>
        <b/>
        <sz val="11"/>
        <rFont val="Arial"/>
        <family val="2"/>
      </rPr>
      <t xml:space="preserve">D115 </t>
    </r>
  </si>
  <si>
    <t>(Based on resistor-divider current = 500 x Iref current)</t>
  </si>
  <si>
    <r>
      <t>Enter nearest stan</t>
    </r>
    <r>
      <rPr>
        <sz val="11"/>
        <rFont val="Arial"/>
        <family val="2"/>
      </rPr>
      <t xml:space="preserve">dard value, 1% tolerance recommended </t>
    </r>
  </si>
  <si>
    <r>
      <t xml:space="preserve">Verify with target on "Input Here" sheet (cell </t>
    </r>
    <r>
      <rPr>
        <b/>
        <sz val="11"/>
        <color theme="1"/>
        <rFont val="Arial"/>
        <family val="2"/>
      </rPr>
      <t>D20</t>
    </r>
    <r>
      <rPr>
        <sz val="11"/>
        <color theme="1"/>
        <rFont val="Arial"/>
        <family val="2"/>
      </rPr>
      <t xml:space="preserve">) </t>
    </r>
  </si>
  <si>
    <t>(when using Aux-winding arrangement shown below)</t>
  </si>
  <si>
    <r>
      <t xml:space="preserve">Trade </t>
    </r>
    <r>
      <rPr>
        <b/>
        <sz val="11"/>
        <rFont val="Arial"/>
        <family val="2"/>
      </rPr>
      <t>off ABM</t>
    </r>
    <r>
      <rPr>
        <b/>
        <sz val="11"/>
        <color theme="1"/>
        <rFont val="Arial"/>
        <family val="2"/>
      </rPr>
      <t xml:space="preserve"> stability with efficiency:</t>
    </r>
  </si>
  <si>
    <r>
      <t>Recommended Minimum L</t>
    </r>
    <r>
      <rPr>
        <vertAlign val="subscript"/>
        <sz val="11"/>
        <rFont val="Arial"/>
        <family val="2"/>
      </rPr>
      <t>DAMP</t>
    </r>
  </si>
  <si>
    <r>
      <t>Recommended Minimum R</t>
    </r>
    <r>
      <rPr>
        <vertAlign val="subscript"/>
        <sz val="11"/>
        <rFont val="Arial"/>
        <family val="2"/>
      </rPr>
      <t>DAMP</t>
    </r>
  </si>
  <si>
    <r>
      <t xml:space="preserve"> Choose L</t>
    </r>
    <r>
      <rPr>
        <vertAlign val="subscript"/>
        <sz val="11"/>
        <rFont val="Calibri"/>
        <family val="2"/>
        <scheme val="minor"/>
      </rPr>
      <t>DAMP</t>
    </r>
    <r>
      <rPr>
        <sz val="7"/>
        <rFont val="Calibri"/>
        <family val="2"/>
        <scheme val="minor"/>
      </rPr>
      <t xml:space="preserve"> </t>
    </r>
    <r>
      <rPr>
        <sz val="11"/>
        <rFont val="Calibri"/>
        <family val="2"/>
        <scheme val="minor"/>
      </rPr>
      <t>&gt; 0.13*L</t>
    </r>
    <r>
      <rPr>
        <vertAlign val="subscript"/>
        <sz val="11"/>
        <rFont val="Calibri"/>
        <family val="2"/>
        <scheme val="minor"/>
      </rPr>
      <t>O</t>
    </r>
    <r>
      <rPr>
        <sz val="11"/>
        <rFont val="Calibri"/>
        <family val="2"/>
        <scheme val="minor"/>
      </rPr>
      <t>, but &lt; L</t>
    </r>
    <r>
      <rPr>
        <vertAlign val="subscript"/>
        <sz val="11"/>
        <rFont val="Calibri"/>
        <family val="2"/>
        <scheme val="minor"/>
      </rPr>
      <t>O</t>
    </r>
    <r>
      <rPr>
        <sz val="11"/>
        <rFont val="Calibri"/>
        <family val="2"/>
        <scheme val="minor"/>
      </rPr>
      <t xml:space="preserve"> </t>
    </r>
  </si>
  <si>
    <r>
      <t xml:space="preserve"> Later, tune L</t>
    </r>
    <r>
      <rPr>
        <vertAlign val="subscript"/>
        <sz val="11"/>
        <rFont val="Arial"/>
        <family val="2"/>
      </rPr>
      <t>DAMP</t>
    </r>
    <r>
      <rPr>
        <sz val="11"/>
        <rFont val="Arial"/>
        <family val="2"/>
      </rPr>
      <t xml:space="preserve"> value based on waveforms, as below</t>
    </r>
  </si>
  <si>
    <r>
      <t xml:space="preserve"> Choose R</t>
    </r>
    <r>
      <rPr>
        <vertAlign val="subscript"/>
        <sz val="11"/>
        <rFont val="Calibri"/>
        <family val="2"/>
        <scheme val="minor"/>
      </rPr>
      <t>DAMP</t>
    </r>
    <r>
      <rPr>
        <sz val="7"/>
        <rFont val="Calibri"/>
        <family val="2"/>
        <scheme val="minor"/>
      </rPr>
      <t xml:space="preserve"> </t>
    </r>
    <r>
      <rPr>
        <sz val="11"/>
        <rFont val="Calibri"/>
        <family val="2"/>
      </rPr>
      <t>≥</t>
    </r>
    <r>
      <rPr>
        <sz val="11"/>
        <rFont val="Calibri"/>
        <family val="2"/>
        <scheme val="minor"/>
      </rPr>
      <t xml:space="preserve"> </t>
    </r>
    <r>
      <rPr>
        <sz val="16"/>
        <rFont val="Calibri"/>
        <family val="2"/>
        <scheme val="minor"/>
      </rPr>
      <t>√</t>
    </r>
    <r>
      <rPr>
        <sz val="11"/>
        <rFont val="Calibri"/>
        <family val="2"/>
        <scheme val="minor"/>
      </rPr>
      <t>(L</t>
    </r>
    <r>
      <rPr>
        <vertAlign val="subscript"/>
        <sz val="11"/>
        <rFont val="Calibri"/>
        <family val="2"/>
        <scheme val="minor"/>
      </rPr>
      <t>O</t>
    </r>
    <r>
      <rPr>
        <sz val="11"/>
        <rFont val="Calibri"/>
        <family val="2"/>
        <scheme val="minor"/>
      </rPr>
      <t>/C</t>
    </r>
    <r>
      <rPr>
        <vertAlign val="subscript"/>
        <sz val="11"/>
        <rFont val="Calibri"/>
        <family val="2"/>
        <scheme val="minor"/>
      </rPr>
      <t>O1</t>
    </r>
    <r>
      <rPr>
        <sz val="11"/>
        <rFont val="Calibri"/>
        <family val="2"/>
        <scheme val="minor"/>
      </rPr>
      <t>), but &lt; 5*</t>
    </r>
    <r>
      <rPr>
        <sz val="16"/>
        <rFont val="Calibri"/>
        <family val="2"/>
        <scheme val="minor"/>
      </rPr>
      <t>√</t>
    </r>
    <r>
      <rPr>
        <sz val="11"/>
        <rFont val="Calibri"/>
        <family val="2"/>
        <scheme val="minor"/>
      </rPr>
      <t>(L</t>
    </r>
    <r>
      <rPr>
        <vertAlign val="subscript"/>
        <sz val="11"/>
        <rFont val="Calibri"/>
        <family val="2"/>
        <scheme val="minor"/>
      </rPr>
      <t>O</t>
    </r>
    <r>
      <rPr>
        <sz val="11"/>
        <rFont val="Calibri"/>
        <family val="2"/>
        <scheme val="minor"/>
      </rPr>
      <t>/C</t>
    </r>
    <r>
      <rPr>
        <vertAlign val="subscript"/>
        <sz val="11"/>
        <rFont val="Calibri"/>
        <family val="2"/>
        <scheme val="minor"/>
      </rPr>
      <t>O1</t>
    </r>
    <r>
      <rPr>
        <sz val="11"/>
        <rFont val="Calibri"/>
        <family val="2"/>
        <scheme val="minor"/>
      </rPr>
      <t xml:space="preserve">) </t>
    </r>
  </si>
  <si>
    <r>
      <t xml:space="preserve"> Later, tune R</t>
    </r>
    <r>
      <rPr>
        <vertAlign val="subscript"/>
        <sz val="11"/>
        <rFont val="Arial"/>
        <family val="2"/>
      </rPr>
      <t>DAMP</t>
    </r>
    <r>
      <rPr>
        <sz val="11"/>
        <rFont val="Arial"/>
        <family val="2"/>
      </rPr>
      <t xml:space="preserve"> value based on waveforms, as below</t>
    </r>
  </si>
  <si>
    <r>
      <t xml:space="preserve"> Capacitance change (negative number) based on V</t>
    </r>
    <r>
      <rPr>
        <vertAlign val="subscript"/>
        <sz val="11"/>
        <rFont val="Arial"/>
        <family val="2"/>
      </rPr>
      <t>O</t>
    </r>
    <r>
      <rPr>
        <sz val="11"/>
        <rFont val="Arial"/>
        <family val="2"/>
      </rPr>
      <t xml:space="preserve">   </t>
    </r>
    <r>
      <rPr>
        <b/>
        <sz val="11"/>
        <rFont val="Arial"/>
        <family val="2"/>
      </rPr>
      <t>===&gt;</t>
    </r>
    <r>
      <rPr>
        <sz val="11"/>
        <rFont val="Arial"/>
        <family val="2"/>
      </rPr>
      <t xml:space="preserve"> </t>
    </r>
  </si>
  <si>
    <r>
      <t xml:space="preserve"> Later, tune C</t>
    </r>
    <r>
      <rPr>
        <vertAlign val="subscript"/>
        <sz val="11"/>
        <rFont val="Arial"/>
        <family val="2"/>
      </rPr>
      <t>O1</t>
    </r>
    <r>
      <rPr>
        <sz val="11"/>
        <rFont val="Arial"/>
        <family val="2"/>
      </rPr>
      <t xml:space="preserve"> value based on prototype waveform</t>
    </r>
  </si>
  <si>
    <r>
      <t xml:space="preserve"> (C</t>
    </r>
    <r>
      <rPr>
        <vertAlign val="subscript"/>
        <sz val="11"/>
        <rFont val="Arial"/>
        <family val="2"/>
      </rPr>
      <t>O1</t>
    </r>
    <r>
      <rPr>
        <sz val="11"/>
        <rFont val="Arial"/>
        <family val="2"/>
      </rPr>
      <t xml:space="preserve"> may consist of multiple capacitors in parallel)</t>
    </r>
  </si>
  <si>
    <r>
      <t>R</t>
    </r>
    <r>
      <rPr>
        <vertAlign val="subscript"/>
        <sz val="11"/>
        <color theme="1"/>
        <rFont val="Arial"/>
        <family val="2"/>
      </rPr>
      <t xml:space="preserve">COMP </t>
    </r>
    <r>
      <rPr>
        <sz val="11"/>
        <color theme="1"/>
        <rFont val="Arial"/>
        <family val="2"/>
      </rPr>
      <t>=</t>
    </r>
  </si>
  <si>
    <r>
      <t>Note:  if Rbias1_min &gt; Rbias1_max,  then set Rbias1 = Rbias1_</t>
    </r>
    <r>
      <rPr>
        <b/>
        <sz val="11"/>
        <color theme="1"/>
        <rFont val="Arial"/>
        <family val="2"/>
      </rPr>
      <t>max</t>
    </r>
  </si>
  <si>
    <t>SLUC664D</t>
  </si>
  <si>
    <r>
      <t xml:space="preserve"> </t>
    </r>
    <r>
      <rPr>
        <sz val="12"/>
        <color theme="1"/>
        <rFont val="Arial"/>
        <family val="2"/>
      </rPr>
      <t>η</t>
    </r>
    <r>
      <rPr>
        <sz val="7"/>
        <color theme="1"/>
        <rFont val="Arial"/>
        <family val="2"/>
      </rPr>
      <t xml:space="preserve">_min </t>
    </r>
    <r>
      <rPr>
        <sz val="11"/>
        <color theme="1"/>
        <rFont val="Arial"/>
        <family val="2"/>
      </rPr>
      <t>=</t>
    </r>
  </si>
  <si>
    <r>
      <t>f</t>
    </r>
    <r>
      <rPr>
        <vertAlign val="subscript"/>
        <sz val="11"/>
        <color theme="1"/>
        <rFont val="Arial"/>
        <family val="2"/>
      </rPr>
      <t xml:space="preserve">SW_min </t>
    </r>
    <r>
      <rPr>
        <sz val="11"/>
        <color theme="1"/>
        <rFont val="Arial"/>
        <family val="2"/>
      </rPr>
      <t>=</t>
    </r>
  </si>
  <si>
    <r>
      <t>C</t>
    </r>
    <r>
      <rPr>
        <vertAlign val="subscript"/>
        <sz val="11"/>
        <color theme="1"/>
        <rFont val="Arial"/>
        <family val="2"/>
      </rPr>
      <t xml:space="preserve">oss_QH_T </t>
    </r>
    <r>
      <rPr>
        <sz val="11"/>
        <color theme="1"/>
        <rFont val="Arial"/>
        <family val="2"/>
      </rPr>
      <t>=</t>
    </r>
  </si>
  <si>
    <r>
      <t xml:space="preserve"> C</t>
    </r>
    <r>
      <rPr>
        <vertAlign val="subscript"/>
        <sz val="11"/>
        <color theme="1"/>
        <rFont val="Arial"/>
        <family val="2"/>
      </rPr>
      <t xml:space="preserve">oss_QL_T </t>
    </r>
    <r>
      <rPr>
        <sz val="11"/>
        <color theme="1"/>
        <rFont val="Arial"/>
        <family val="2"/>
      </rPr>
      <t>=</t>
    </r>
  </si>
  <si>
    <r>
      <t xml:space="preserve"> C</t>
    </r>
    <r>
      <rPr>
        <vertAlign val="subscript"/>
        <sz val="11"/>
        <color theme="1"/>
        <rFont val="Arial"/>
        <family val="2"/>
      </rPr>
      <t>OSS_SR_T</t>
    </r>
    <r>
      <rPr>
        <sz val="11"/>
        <color theme="1"/>
        <rFont val="Arial"/>
        <family val="2"/>
      </rPr>
      <t xml:space="preserve"> =</t>
    </r>
  </si>
  <si>
    <r>
      <t xml:space="preserve"> C</t>
    </r>
    <r>
      <rPr>
        <vertAlign val="subscript"/>
        <sz val="11"/>
        <color theme="1"/>
        <rFont val="Arial"/>
        <family val="2"/>
      </rPr>
      <t xml:space="preserve">OSS_SR_H </t>
    </r>
    <r>
      <rPr>
        <sz val="11"/>
        <color theme="1"/>
        <rFont val="Arial"/>
        <family val="2"/>
      </rPr>
      <t>=</t>
    </r>
  </si>
  <si>
    <r>
      <t xml:space="preserve"> V</t>
    </r>
    <r>
      <rPr>
        <vertAlign val="subscript"/>
        <sz val="11"/>
        <color theme="1"/>
        <rFont val="Arial"/>
        <family val="2"/>
      </rPr>
      <t xml:space="preserve">f_SR </t>
    </r>
    <r>
      <rPr>
        <sz val="11"/>
        <color theme="1"/>
        <rFont val="Arial"/>
        <family val="2"/>
      </rPr>
      <t>=</t>
    </r>
  </si>
  <si>
    <r>
      <t xml:space="preserve"> I</t>
    </r>
    <r>
      <rPr>
        <vertAlign val="subscript"/>
        <sz val="11"/>
        <color theme="1"/>
        <rFont val="Arial"/>
        <family val="2"/>
      </rPr>
      <t xml:space="preserve">D_SR_max </t>
    </r>
    <r>
      <rPr>
        <sz val="11"/>
        <color theme="1"/>
        <rFont val="Arial"/>
        <family val="2"/>
      </rPr>
      <t>=</t>
    </r>
  </si>
  <si>
    <r>
      <t xml:space="preserve"> V</t>
    </r>
    <r>
      <rPr>
        <vertAlign val="subscript"/>
        <sz val="11"/>
        <rFont val="Arial"/>
        <family val="2"/>
      </rPr>
      <t xml:space="preserve">CE_sat_opto </t>
    </r>
    <r>
      <rPr>
        <sz val="11"/>
        <rFont val="Arial"/>
        <family val="2"/>
      </rPr>
      <t>=</t>
    </r>
  </si>
  <si>
    <r>
      <t>V</t>
    </r>
    <r>
      <rPr>
        <vertAlign val="subscript"/>
        <sz val="11"/>
        <rFont val="Arial"/>
        <family val="2"/>
      </rPr>
      <t xml:space="preserve">D_LED </t>
    </r>
    <r>
      <rPr>
        <sz val="11"/>
        <rFont val="Arial"/>
        <family val="2"/>
      </rPr>
      <t>=</t>
    </r>
  </si>
  <si>
    <r>
      <t xml:space="preserve"> f</t>
    </r>
    <r>
      <rPr>
        <vertAlign val="subscript"/>
        <sz val="11"/>
        <rFont val="Arial"/>
        <family val="2"/>
      </rPr>
      <t xml:space="preserve">p_opto </t>
    </r>
    <r>
      <rPr>
        <sz val="11"/>
        <rFont val="Arial"/>
        <family val="2"/>
      </rPr>
      <t>=</t>
    </r>
  </si>
  <si>
    <r>
      <t>CTR</t>
    </r>
    <r>
      <rPr>
        <vertAlign val="subscript"/>
        <sz val="11"/>
        <rFont val="Arial"/>
        <family val="2"/>
      </rPr>
      <t xml:space="preserve">max </t>
    </r>
    <r>
      <rPr>
        <sz val="11"/>
        <rFont val="Arial"/>
        <family val="2"/>
      </rPr>
      <t>=</t>
    </r>
  </si>
  <si>
    <r>
      <t xml:space="preserve"> CTR</t>
    </r>
    <r>
      <rPr>
        <vertAlign val="subscript"/>
        <sz val="11"/>
        <rFont val="Arial"/>
        <family val="2"/>
      </rPr>
      <t xml:space="preserve">min </t>
    </r>
    <r>
      <rPr>
        <sz val="11"/>
        <rFont val="Arial"/>
        <family val="2"/>
      </rPr>
      <t>=</t>
    </r>
  </si>
  <si>
    <r>
      <t xml:space="preserve"> K</t>
    </r>
    <r>
      <rPr>
        <vertAlign val="subscript"/>
        <sz val="11"/>
        <rFont val="Arial"/>
        <family val="2"/>
      </rPr>
      <t xml:space="preserve">CTR_Temp </t>
    </r>
    <r>
      <rPr>
        <sz val="11"/>
        <rFont val="Arial"/>
        <family val="2"/>
      </rPr>
      <t>=</t>
    </r>
  </si>
  <si>
    <r>
      <t xml:space="preserve"> I</t>
    </r>
    <r>
      <rPr>
        <vertAlign val="subscript"/>
        <sz val="11"/>
        <color theme="1"/>
        <rFont val="Arial"/>
        <family val="2"/>
      </rPr>
      <t xml:space="preserve">KA_min </t>
    </r>
    <r>
      <rPr>
        <sz val="11"/>
        <color theme="1"/>
        <rFont val="Arial"/>
        <family val="2"/>
      </rPr>
      <t>=</t>
    </r>
  </si>
  <si>
    <r>
      <t xml:space="preserve"> V</t>
    </r>
    <r>
      <rPr>
        <vertAlign val="subscript"/>
        <sz val="11"/>
        <color theme="1"/>
        <rFont val="Arial"/>
        <family val="2"/>
      </rPr>
      <t xml:space="preserve">ref_431 </t>
    </r>
    <r>
      <rPr>
        <sz val="11"/>
        <color theme="1"/>
        <rFont val="Arial"/>
        <family val="2"/>
      </rPr>
      <t>=</t>
    </r>
  </si>
  <si>
    <r>
      <t xml:space="preserve"> I</t>
    </r>
    <r>
      <rPr>
        <vertAlign val="subscript"/>
        <sz val="11"/>
        <rFont val="Arial"/>
        <family val="2"/>
      </rPr>
      <t xml:space="preserve">ref_431_typ </t>
    </r>
    <r>
      <rPr>
        <sz val="11"/>
        <rFont val="Arial"/>
        <family val="2"/>
      </rPr>
      <t>=</t>
    </r>
  </si>
  <si>
    <r>
      <t xml:space="preserve"> C</t>
    </r>
    <r>
      <rPr>
        <vertAlign val="subscript"/>
        <sz val="11"/>
        <color theme="1"/>
        <rFont val="Arial"/>
        <family val="2"/>
      </rPr>
      <t xml:space="preserve">OSS_Qs </t>
    </r>
    <r>
      <rPr>
        <sz val="11"/>
        <color theme="1"/>
        <rFont val="Arial"/>
        <family val="2"/>
      </rPr>
      <t>=</t>
    </r>
  </si>
  <si>
    <r>
      <t xml:space="preserve"> V</t>
    </r>
    <r>
      <rPr>
        <vertAlign val="subscript"/>
        <sz val="11"/>
        <color theme="1"/>
        <rFont val="Arial"/>
        <family val="2"/>
      </rPr>
      <t xml:space="preserve">gs_Qs </t>
    </r>
    <r>
      <rPr>
        <sz val="11"/>
        <color theme="1"/>
        <rFont val="Arial"/>
        <family val="2"/>
      </rPr>
      <t>=</t>
    </r>
  </si>
  <si>
    <r>
      <t xml:space="preserve"> L</t>
    </r>
    <r>
      <rPr>
        <vertAlign val="subscript"/>
        <sz val="11"/>
        <color theme="1"/>
        <rFont val="Arial"/>
        <family val="2"/>
      </rPr>
      <t xml:space="preserve">Qs </t>
    </r>
    <r>
      <rPr>
        <sz val="11"/>
        <color theme="1"/>
        <rFont val="Arial"/>
        <family val="2"/>
      </rPr>
      <t>=</t>
    </r>
  </si>
  <si>
    <r>
      <t xml:space="preserve"> C</t>
    </r>
    <r>
      <rPr>
        <vertAlign val="subscript"/>
        <sz val="11"/>
        <color theme="1"/>
        <rFont val="Arial"/>
        <family val="2"/>
      </rPr>
      <t xml:space="preserve">ISS_Qs </t>
    </r>
    <r>
      <rPr>
        <sz val="11"/>
        <color theme="1"/>
        <rFont val="Arial"/>
        <family val="2"/>
      </rPr>
      <t>=</t>
    </r>
  </si>
  <si>
    <r>
      <t xml:space="preserve"> V</t>
    </r>
    <r>
      <rPr>
        <vertAlign val="subscript"/>
        <sz val="11"/>
        <color theme="1"/>
        <rFont val="Arial"/>
        <family val="2"/>
      </rPr>
      <t xml:space="preserve">th_Qs </t>
    </r>
    <r>
      <rPr>
        <sz val="11"/>
        <color theme="1"/>
        <rFont val="Arial"/>
        <family val="2"/>
      </rPr>
      <t>=</t>
    </r>
  </si>
  <si>
    <r>
      <t xml:space="preserve"> C</t>
    </r>
    <r>
      <rPr>
        <vertAlign val="subscript"/>
        <sz val="11"/>
        <color theme="1"/>
        <rFont val="Arial"/>
        <family val="2"/>
      </rPr>
      <t xml:space="preserve">Daux_T </t>
    </r>
    <r>
      <rPr>
        <sz val="11"/>
        <color theme="1"/>
        <rFont val="Arial"/>
        <family val="2"/>
      </rPr>
      <t>=</t>
    </r>
  </si>
  <si>
    <r>
      <t xml:space="preserve"> C</t>
    </r>
    <r>
      <rPr>
        <vertAlign val="subscript"/>
        <sz val="11"/>
        <color theme="1"/>
        <rFont val="Arial"/>
        <family val="2"/>
      </rPr>
      <t xml:space="preserve">Daux_H </t>
    </r>
    <r>
      <rPr>
        <sz val="11"/>
        <color theme="1"/>
        <rFont val="Arial"/>
        <family val="2"/>
      </rPr>
      <t>=</t>
    </r>
  </si>
  <si>
    <r>
      <t xml:space="preserve"> V</t>
    </r>
    <r>
      <rPr>
        <vertAlign val="subscript"/>
        <sz val="11"/>
        <color theme="1"/>
        <rFont val="Arial"/>
        <family val="2"/>
      </rPr>
      <t xml:space="preserve">f_Daux </t>
    </r>
    <r>
      <rPr>
        <sz val="11"/>
        <color theme="1"/>
        <rFont val="Arial"/>
        <family val="2"/>
      </rPr>
      <t>=</t>
    </r>
  </si>
  <si>
    <r>
      <t xml:space="preserve"> I</t>
    </r>
    <r>
      <rPr>
        <vertAlign val="subscript"/>
        <sz val="11"/>
        <color theme="1"/>
        <rFont val="Arial"/>
        <family val="2"/>
      </rPr>
      <t xml:space="preserve">Daux_max </t>
    </r>
    <r>
      <rPr>
        <sz val="11"/>
        <color theme="1"/>
        <rFont val="Arial"/>
        <family val="2"/>
      </rPr>
      <t>=</t>
    </r>
  </si>
  <si>
    <t>This product is designed as an aid for customers of Texas Instruments.  No warranties, either expressed or implied, with respect to this software or its fitness for any particular purpose, are claimed by Texas Instruments or by the author.  This software is licensed solely on an "as is" basis.  
The entire risk as to its quality and performance is with the customer.</t>
  </si>
  <si>
    <r>
      <t>ΔV</t>
    </r>
    <r>
      <rPr>
        <sz val="7"/>
        <color theme="1"/>
        <rFont val="Arial"/>
        <family val="2"/>
      </rPr>
      <t xml:space="preserve">CLAMP </t>
    </r>
    <r>
      <rPr>
        <sz val="11"/>
        <color theme="1"/>
        <rFont val="Arial"/>
        <family val="2"/>
      </rPr>
      <t>=</t>
    </r>
  </si>
  <si>
    <r>
      <t>Assumes 110mV hysteresis at ABM-to-LPM due to 2.7</t>
    </r>
    <r>
      <rPr>
        <sz val="11"/>
        <color theme="1"/>
        <rFont val="Calibri"/>
        <family val="2"/>
      </rPr>
      <t>µ</t>
    </r>
    <r>
      <rPr>
        <sz val="11"/>
        <color theme="1"/>
        <rFont val="Arial"/>
        <family val="2"/>
      </rPr>
      <t xml:space="preserve">A hysteresis current </t>
    </r>
  </si>
  <si>
    <t>For voltage-loop compensation</t>
  </si>
  <si>
    <r>
      <t xml:space="preserve">Estimated with </t>
    </r>
    <r>
      <rPr>
        <b/>
        <sz val="11"/>
        <color theme="1"/>
        <rFont val="Arial"/>
        <family val="2"/>
      </rPr>
      <t>full</t>
    </r>
    <r>
      <rPr>
        <sz val="11"/>
        <color theme="1"/>
        <rFont val="Arial"/>
        <family val="2"/>
      </rPr>
      <t xml:space="preserve"> external load applied.</t>
    </r>
  </si>
  <si>
    <r>
      <t>C</t>
    </r>
    <r>
      <rPr>
        <vertAlign val="subscript"/>
        <sz val="11"/>
        <color theme="1"/>
        <rFont val="Arial"/>
        <family val="2"/>
      </rPr>
      <t>DD2</t>
    </r>
    <r>
      <rPr>
        <sz val="11"/>
        <color theme="1"/>
        <rFont val="Arial"/>
        <family val="2"/>
      </rPr>
      <t xml:space="preserve"> value can be lower if switch circuit is used to reduce stand-by power loss (ref: UCC28780EVM-002 uses 0.044uF)</t>
    </r>
  </si>
  <si>
    <t>~22kΩ is recommended</t>
  </si>
  <si>
    <t>Voltage-Loop Stability in AAM</t>
  </si>
  <si>
    <t>C3216JB1E336M160AC  (x2)</t>
  </si>
  <si>
    <r>
      <t>V</t>
    </r>
    <r>
      <rPr>
        <vertAlign val="subscript"/>
        <sz val="11"/>
        <rFont val="Arial"/>
        <family val="2"/>
      </rPr>
      <t>BUR1</t>
    </r>
    <r>
      <rPr>
        <sz val="11"/>
        <rFont val="Arial"/>
        <family val="2"/>
      </rPr>
      <t xml:space="preserve"> - V</t>
    </r>
    <r>
      <rPr>
        <vertAlign val="subscript"/>
        <sz val="11"/>
        <rFont val="Arial"/>
        <family val="2"/>
      </rPr>
      <t>BUR2</t>
    </r>
    <r>
      <rPr>
        <sz val="11"/>
        <rFont val="Arial"/>
        <family val="2"/>
      </rPr>
      <t xml:space="preserve"> =</t>
    </r>
  </si>
  <si>
    <r>
      <t>V</t>
    </r>
    <r>
      <rPr>
        <vertAlign val="subscript"/>
        <sz val="11"/>
        <rFont val="Arial"/>
        <family val="2"/>
      </rPr>
      <t>BUR1</t>
    </r>
    <r>
      <rPr>
        <sz val="11"/>
        <rFont val="Arial"/>
        <family val="2"/>
      </rPr>
      <t xml:space="preserve"> - V</t>
    </r>
    <r>
      <rPr>
        <vertAlign val="subscript"/>
        <sz val="11"/>
        <rFont val="Arial"/>
        <family val="2"/>
      </rPr>
      <t>BUR2</t>
    </r>
    <r>
      <rPr>
        <sz val="11"/>
        <rFont val="Arial"/>
        <family val="2"/>
      </rPr>
      <t xml:space="preserve"> &gt; 0.100 V</t>
    </r>
  </si>
  <si>
    <r>
      <t>Trade-off of lower V</t>
    </r>
    <r>
      <rPr>
        <vertAlign val="subscript"/>
        <sz val="11"/>
        <color rgb="FFFF0000"/>
        <rFont val="Arial"/>
        <family val="2"/>
      </rPr>
      <t>BUR2</t>
    </r>
    <r>
      <rPr>
        <sz val="11"/>
        <color rgb="FFFF0000"/>
        <rFont val="Arial"/>
        <family val="2"/>
      </rPr>
      <t xml:space="preserve"> setting:</t>
    </r>
  </si>
  <si>
    <t xml:space="preserve"> 1.  Improved text at various locations. 
 2.  Added helpful notes to aid design decisions at various locations.
 3.  Added 1.414* factors where missing from equation involving AC voltage. 
 4.  Revised Co1 and Lo calculations in 'Secondary Resonance and ARC' sheet.
 5.  Added row 11 in 'Burst Mode for USB-PD' sheet.</t>
  </si>
  <si>
    <t>LMG2610</t>
    <phoneticPr fontId="28" type="noConversion"/>
  </si>
  <si>
    <t>UCC27710</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</si>
</sst>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00000000000000000"/>
    <numFmt numFmtId="167" formatCode="0.0000"/>
  </numFmts>
  <fonts count="111">
    <font>
      <sz val="11"/>
      <color theme="1"/>
      <name val="Calibri"/>
      <family val="2"/>
      <charset val="136"/>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4"/>
      <color indexed="9"/>
      <name val="Arial"/>
      <family val="2"/>
    </font>
    <font>
      <b/>
      <sz val="12"/>
      <name val="Arial"/>
      <family val="2"/>
    </font>
    <font>
      <sz val="11"/>
      <color theme="1"/>
      <name val="Arial"/>
      <family val="2"/>
    </font>
    <font>
      <b/>
      <sz val="12"/>
      <color theme="0"/>
      <name val="Arial"/>
      <family val="2"/>
    </font>
    <font>
      <b/>
      <i/>
      <sz val="11"/>
      <color rgb="FFFF0000"/>
      <name val="Arial"/>
      <family val="2"/>
    </font>
    <font>
      <vertAlign val="subscript"/>
      <sz val="11"/>
      <color theme="1"/>
      <name val="Arial"/>
      <family val="2"/>
    </font>
    <font>
      <b/>
      <sz val="14"/>
      <color rgb="FFFF0000"/>
      <name val="Arial"/>
      <family val="2"/>
    </font>
    <font>
      <b/>
      <i/>
      <sz val="12"/>
      <color theme="0"/>
      <name val="Arial"/>
      <family val="2"/>
    </font>
    <font>
      <b/>
      <sz val="11"/>
      <color theme="1"/>
      <name val="Arial"/>
      <family val="2"/>
    </font>
    <font>
      <b/>
      <sz val="16"/>
      <color theme="1"/>
      <name val="Arial"/>
      <family val="2"/>
    </font>
    <font>
      <b/>
      <i/>
      <sz val="16"/>
      <color theme="0"/>
      <name val="Arial"/>
      <family val="2"/>
    </font>
    <font>
      <sz val="11"/>
      <name val="Arial"/>
      <family val="2"/>
    </font>
    <font>
      <b/>
      <sz val="11"/>
      <color theme="0"/>
      <name val="Arial"/>
      <family val="2"/>
    </font>
    <font>
      <vertAlign val="subscript"/>
      <sz val="11"/>
      <name val="Arial"/>
      <family val="2"/>
    </font>
    <font>
      <b/>
      <i/>
      <vertAlign val="subscript"/>
      <sz val="12"/>
      <color theme="0"/>
      <name val="Arial"/>
      <family val="2"/>
    </font>
    <font>
      <b/>
      <sz val="14"/>
      <color theme="1"/>
      <name val="Arial"/>
      <family val="2"/>
    </font>
    <font>
      <sz val="12"/>
      <name val="Arial"/>
      <family val="2"/>
    </font>
    <font>
      <vertAlign val="subscript"/>
      <sz val="12"/>
      <name val="Arial"/>
      <family val="2"/>
    </font>
    <font>
      <sz val="9"/>
      <name val="Calibri"/>
      <family val="2"/>
      <charset val="136"/>
      <scheme val="minor"/>
    </font>
    <font>
      <sz val="11"/>
      <name val="Calibri"/>
      <family val="2"/>
      <charset val="136"/>
      <scheme val="minor"/>
    </font>
    <font>
      <i/>
      <sz val="11"/>
      <name val="Arial"/>
      <family val="2"/>
    </font>
    <font>
      <sz val="11"/>
      <color theme="1"/>
      <name val="Calibri"/>
      <family val="2"/>
    </font>
    <font>
      <b/>
      <sz val="11"/>
      <name val="Arial"/>
      <family val="2"/>
    </font>
    <font>
      <sz val="12"/>
      <color theme="1"/>
      <name val="Arial"/>
      <family val="2"/>
    </font>
    <font>
      <b/>
      <sz val="12"/>
      <color rgb="FFFF0000"/>
      <name val="Arial"/>
      <family val="2"/>
    </font>
    <font>
      <b/>
      <vertAlign val="subscript"/>
      <sz val="12"/>
      <color rgb="FFFF0000"/>
      <name val="Arial"/>
      <family val="2"/>
    </font>
    <font>
      <sz val="12"/>
      <color theme="1"/>
      <name val="Calibri"/>
      <family val="2"/>
    </font>
    <font>
      <sz val="11"/>
      <color theme="1"/>
      <name val="FangSong"/>
      <family val="3"/>
      <charset val="134"/>
    </font>
    <font>
      <b/>
      <vertAlign val="subscript"/>
      <sz val="11"/>
      <color theme="1"/>
      <name val="Arial"/>
      <family val="2"/>
    </font>
    <font>
      <b/>
      <vertAlign val="superscript"/>
      <sz val="11"/>
      <color theme="1"/>
      <name val="Arial"/>
      <family val="2"/>
    </font>
    <font>
      <b/>
      <sz val="11"/>
      <color rgb="FFFF0000"/>
      <name val="Arial"/>
      <family val="2"/>
    </font>
    <font>
      <b/>
      <sz val="16"/>
      <color rgb="FFFF0000"/>
      <name val="Arial"/>
      <family val="2"/>
    </font>
    <font>
      <b/>
      <sz val="22"/>
      <color rgb="FFFF0000"/>
      <name val="Arial"/>
      <family val="2"/>
    </font>
    <font>
      <sz val="11"/>
      <color rgb="FFFF0000"/>
      <name val="Arial"/>
      <family val="2"/>
    </font>
    <font>
      <vertAlign val="subscript"/>
      <sz val="11"/>
      <color rgb="FFFF0000"/>
      <name val="Arial"/>
      <family val="2"/>
    </font>
    <font>
      <b/>
      <sz val="11"/>
      <color rgb="FFFF00FF"/>
      <name val="Calibri"/>
      <family val="2"/>
      <scheme val="minor"/>
    </font>
    <font>
      <sz val="11"/>
      <color rgb="FFFF00FF"/>
      <name val="Arial"/>
      <family val="2"/>
    </font>
    <font>
      <b/>
      <sz val="11"/>
      <color rgb="FFFF0000"/>
      <name val="Calibri"/>
      <family val="2"/>
      <scheme val="minor"/>
    </font>
    <font>
      <b/>
      <sz val="11"/>
      <color rgb="FFFF00FF"/>
      <name val="Arial"/>
      <family val="2"/>
    </font>
    <font>
      <b/>
      <sz val="14"/>
      <color rgb="FFFF0000"/>
      <name val="Calibri"/>
      <family val="2"/>
      <scheme val="minor"/>
    </font>
    <font>
      <b/>
      <i/>
      <sz val="11"/>
      <color rgb="FF0000FF"/>
      <name val="Arial"/>
      <family val="2"/>
    </font>
    <font>
      <b/>
      <sz val="11"/>
      <color rgb="FFFF66FF"/>
      <name val="Calibri"/>
      <family val="2"/>
      <scheme val="minor"/>
    </font>
    <font>
      <b/>
      <sz val="11"/>
      <color rgb="FF0000FF"/>
      <name val="Wingdings 2"/>
      <family val="1"/>
      <charset val="2"/>
    </font>
    <font>
      <sz val="11"/>
      <color rgb="FF0000FF"/>
      <name val="Calibri"/>
      <family val="2"/>
      <scheme val="minor"/>
    </font>
    <font>
      <b/>
      <sz val="22"/>
      <color rgb="FFFF0000"/>
      <name val="Calibri"/>
      <family val="2"/>
      <scheme val="minor"/>
    </font>
    <font>
      <sz val="7"/>
      <name val="Arial"/>
      <family val="2"/>
    </font>
    <font>
      <sz val="11"/>
      <name val="Calibri"/>
      <family val="2"/>
    </font>
    <font>
      <b/>
      <i/>
      <sz val="11"/>
      <name val="Arial"/>
      <family val="2"/>
    </font>
    <font>
      <b/>
      <sz val="11"/>
      <name val="Calibri"/>
      <family val="2"/>
      <scheme val="minor"/>
    </font>
    <font>
      <sz val="11"/>
      <name val="Calibri"/>
      <family val="2"/>
      <scheme val="minor"/>
    </font>
    <font>
      <sz val="7"/>
      <name val="Calibri"/>
      <family val="2"/>
      <scheme val="minor"/>
    </font>
    <font>
      <sz val="11"/>
      <color rgb="FFFF0000"/>
      <name val="Calibri"/>
      <family val="2"/>
      <charset val="136"/>
      <scheme val="minor"/>
    </font>
    <font>
      <sz val="11"/>
      <color rgb="FFFF0000"/>
      <name val="Wingdings 2"/>
      <family val="1"/>
      <charset val="2"/>
    </font>
    <font>
      <b/>
      <sz val="12"/>
      <color rgb="FFFF0000"/>
      <name val="Calibri"/>
      <family val="2"/>
      <scheme val="minor"/>
    </font>
    <font>
      <b/>
      <sz val="7"/>
      <color rgb="FFFF0000"/>
      <name val="Calibri"/>
      <family val="2"/>
      <scheme val="minor"/>
    </font>
    <font>
      <b/>
      <sz val="22"/>
      <name val="Calibri"/>
      <family val="2"/>
      <scheme val="minor"/>
    </font>
    <font>
      <b/>
      <sz val="12"/>
      <color rgb="FFFF66FF"/>
      <name val="Arial"/>
      <family val="2"/>
    </font>
    <font>
      <sz val="11"/>
      <color rgb="FFFF66FF"/>
      <name val="Calibri"/>
      <family val="2"/>
      <charset val="136"/>
      <scheme val="minor"/>
    </font>
    <font>
      <b/>
      <sz val="12"/>
      <color rgb="FFFF66FF"/>
      <name val="Calibri"/>
      <family val="2"/>
      <scheme val="minor"/>
    </font>
    <font>
      <sz val="12"/>
      <color theme="1"/>
      <name val="Calibri"/>
      <family val="2"/>
      <charset val="136"/>
      <scheme val="minor"/>
    </font>
    <font>
      <b/>
      <sz val="14"/>
      <color theme="6" tint="-0.249977111117893"/>
      <name val="Arial"/>
      <family val="2"/>
    </font>
    <font>
      <b/>
      <vertAlign val="subscript"/>
      <sz val="11"/>
      <color theme="0"/>
      <name val="Arial"/>
      <family val="2"/>
    </font>
    <font>
      <sz val="11"/>
      <color rgb="FFFF66FF"/>
      <name val="Calibri"/>
      <family val="2"/>
      <scheme val="minor"/>
    </font>
    <font>
      <b/>
      <i/>
      <sz val="12"/>
      <color rgb="FFFF66FF"/>
      <name val="Arial"/>
      <family val="2"/>
    </font>
    <font>
      <i/>
      <sz val="11"/>
      <color rgb="FFFF0000"/>
      <name val="Arial"/>
      <family val="2"/>
    </font>
    <font>
      <sz val="11"/>
      <color rgb="FF0000FF"/>
      <name val="Arial"/>
      <family val="2"/>
    </font>
    <font>
      <sz val="11"/>
      <color rgb="FF0000FF"/>
      <name val="Calibri"/>
      <family val="2"/>
      <charset val="136"/>
      <scheme val="minor"/>
    </font>
    <font>
      <vertAlign val="subscript"/>
      <sz val="11"/>
      <name val="Calibri"/>
      <family val="2"/>
      <scheme val="minor"/>
    </font>
    <font>
      <sz val="16"/>
      <name val="Calibri"/>
      <family val="2"/>
      <scheme val="minor"/>
    </font>
    <font>
      <b/>
      <vertAlign val="subscript"/>
      <sz val="11"/>
      <color rgb="FFFF0000"/>
      <name val="Arial"/>
      <family val="2"/>
    </font>
    <font>
      <b/>
      <sz val="14"/>
      <color rgb="FF0000FF"/>
      <name val="Calibri"/>
      <family val="2"/>
      <scheme val="minor"/>
    </font>
    <font>
      <sz val="7.7"/>
      <color theme="1"/>
      <name val="Arial"/>
      <family val="2"/>
    </font>
    <font>
      <b/>
      <sz val="12"/>
      <color theme="1"/>
      <name val="Calibri"/>
      <family val="2"/>
      <scheme val="minor"/>
    </font>
    <font>
      <b/>
      <sz val="11"/>
      <color theme="0"/>
      <name val="Calibri"/>
      <family val="2"/>
      <charset val="136"/>
      <scheme val="minor"/>
    </font>
    <font>
      <sz val="12"/>
      <color rgb="FFFF0000"/>
      <name val="Arial"/>
      <family val="2"/>
    </font>
    <font>
      <vertAlign val="subscript"/>
      <sz val="12"/>
      <color rgb="FFFF0000"/>
      <name val="Arial"/>
      <family val="2"/>
    </font>
    <font>
      <b/>
      <i/>
      <sz val="12"/>
      <color rgb="FFFFFF00"/>
      <name val="Arial"/>
      <family val="2"/>
    </font>
    <font>
      <b/>
      <vertAlign val="subscript"/>
      <sz val="12"/>
      <color rgb="FFFF0000"/>
      <name val="Calibri"/>
      <family val="2"/>
      <scheme val="minor"/>
    </font>
    <font>
      <sz val="11"/>
      <color theme="1"/>
      <name val="Calibri"/>
      <family val="2"/>
      <charset val="136"/>
      <scheme val="minor"/>
    </font>
    <font>
      <sz val="11"/>
      <color rgb="FFFF0000"/>
      <name val="Calibri"/>
      <family val="2"/>
      <scheme val="minor"/>
    </font>
    <font>
      <sz val="10"/>
      <color theme="1"/>
      <name val="Arial"/>
      <family val="2"/>
    </font>
    <font>
      <vertAlign val="subscript"/>
      <sz val="10"/>
      <color theme="1"/>
      <name val="Arial"/>
      <family val="2"/>
    </font>
    <font>
      <b/>
      <sz val="12"/>
      <color theme="1"/>
      <name val="Arial"/>
      <family val="2"/>
    </font>
    <font>
      <sz val="11"/>
      <color rgb="FFFF00FF"/>
      <name val="Calibri"/>
      <family val="2"/>
      <scheme val="minor"/>
    </font>
    <font>
      <sz val="16"/>
      <color rgb="FFFF00FF"/>
      <name val="Calibri"/>
      <family val="2"/>
      <scheme val="minor"/>
    </font>
    <font>
      <sz val="14"/>
      <color rgb="FFFF00FF"/>
      <name val="Calibri"/>
      <family val="2"/>
      <scheme val="minor"/>
    </font>
    <font>
      <sz val="14"/>
      <color theme="1"/>
      <name val="Calibri"/>
      <family val="2"/>
      <charset val="136"/>
      <scheme val="minor"/>
    </font>
    <font>
      <sz val="14"/>
      <color theme="1"/>
      <name val="Calibri"/>
      <family val="2"/>
      <scheme val="minor"/>
    </font>
    <font>
      <vertAlign val="superscript"/>
      <sz val="11"/>
      <color theme="1"/>
      <name val="Arial"/>
      <family val="2"/>
    </font>
    <font>
      <b/>
      <i/>
      <sz val="11"/>
      <color theme="1"/>
      <name val="Arial"/>
      <family val="2"/>
    </font>
    <font>
      <sz val="7"/>
      <color theme="1"/>
      <name val="Arial"/>
      <family val="2"/>
    </font>
    <font>
      <sz val="16"/>
      <color theme="1"/>
      <name val="Calibri"/>
      <family val="2"/>
      <charset val="136"/>
      <scheme val="minor"/>
    </font>
    <font>
      <sz val="12"/>
      <color theme="1"/>
      <name val="Calibri"/>
      <family val="2"/>
      <scheme val="minor"/>
    </font>
    <font>
      <sz val="11"/>
      <color theme="1"/>
      <name val="Wingdings 2"/>
      <family val="1"/>
      <charset val="2"/>
    </font>
    <font>
      <sz val="14"/>
      <name val="Arial"/>
      <family val="2"/>
    </font>
    <font>
      <b/>
      <sz val="9"/>
      <color rgb="FFFF00FF"/>
      <name val="Arial"/>
      <family val="2"/>
    </font>
    <font>
      <sz val="11"/>
      <color rgb="FFFF00FF"/>
      <name val="Calibri"/>
      <family val="2"/>
      <charset val="136"/>
      <scheme val="minor"/>
    </font>
    <font>
      <b/>
      <sz val="11"/>
      <color rgb="FF00B050"/>
      <name val="Calibri"/>
      <family val="2"/>
      <scheme val="minor"/>
    </font>
    <font>
      <b/>
      <sz val="11"/>
      <color rgb="FF00B050"/>
      <name val="Arial"/>
      <family val="2"/>
    </font>
    <font>
      <b/>
      <sz val="11"/>
      <color theme="1"/>
      <name val="Calibri"/>
      <family val="2"/>
      <scheme val="minor"/>
    </font>
    <font>
      <sz val="6"/>
      <name val="Calibri"/>
      <family val="3"/>
      <charset val="128"/>
      <scheme val="minor"/>
    </font>
  </fonts>
  <fills count="10">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bgColor theme="4"/>
      </patternFill>
    </fill>
    <fill>
      <patternFill patternType="solid">
        <fgColor theme="4" tint="0.79998168889431442"/>
        <bgColor theme="4" tint="0.79998168889431442"/>
      </patternFill>
    </fill>
  </fills>
  <borders count="6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s>
  <cellStyleXfs count="9">
    <xf numFmtId="0" fontId="0" fillId="0" borderId="0">
      <alignment vertical="center"/>
    </xf>
    <xf numFmtId="0" fontId="9" fillId="0" borderId="0"/>
    <xf numFmtId="0" fontId="8" fillId="0" borderId="0"/>
    <xf numFmtId="0" fontId="7" fillId="0" borderId="0"/>
    <xf numFmtId="0" fontId="6" fillId="0" borderId="0"/>
    <xf numFmtId="0" fontId="5" fillId="0" borderId="0"/>
    <xf numFmtId="0" fontId="5" fillId="0" borderId="0"/>
    <xf numFmtId="0" fontId="5" fillId="0" borderId="0"/>
    <xf numFmtId="0" fontId="5" fillId="0" borderId="0"/>
  </cellStyleXfs>
  <cellXfs count="631">
    <xf numFmtId="0" fontId="0" fillId="0" borderId="0" xfId="0">
      <alignment vertical="center"/>
    </xf>
    <xf numFmtId="0" fontId="12" fillId="4" borderId="11" xfId="1" applyFont="1" applyFill="1" applyBorder="1" applyAlignment="1" applyProtection="1">
      <alignment horizontal="center" vertical="center"/>
      <protection locked="0"/>
    </xf>
    <xf numFmtId="0" fontId="12" fillId="2" borderId="8" xfId="1" applyFont="1" applyFill="1" applyBorder="1" applyAlignment="1">
      <alignment vertical="center"/>
    </xf>
    <xf numFmtId="0" fontId="12" fillId="2" borderId="10" xfId="1" applyFont="1" applyFill="1" applyBorder="1" applyAlignment="1">
      <alignment vertical="center"/>
    </xf>
    <xf numFmtId="164" fontId="12" fillId="4" borderId="5" xfId="1" applyNumberFormat="1" applyFont="1" applyFill="1" applyBorder="1" applyAlignment="1" applyProtection="1">
      <alignment horizontal="center" vertical="center"/>
      <protection locked="0"/>
    </xf>
    <xf numFmtId="0" fontId="12" fillId="2" borderId="19" xfId="1" applyFont="1" applyFill="1" applyBorder="1" applyAlignment="1">
      <alignment vertical="center"/>
    </xf>
    <xf numFmtId="0" fontId="12" fillId="2" borderId="22" xfId="1" applyFont="1" applyFill="1" applyBorder="1" applyAlignment="1">
      <alignment vertical="center"/>
    </xf>
    <xf numFmtId="0" fontId="12" fillId="2" borderId="23" xfId="1" applyFont="1" applyFill="1" applyBorder="1" applyAlignment="1">
      <alignment vertical="center"/>
    </xf>
    <xf numFmtId="0" fontId="12" fillId="0" borderId="19" xfId="1" applyFont="1" applyBorder="1" applyAlignment="1">
      <alignment horizontal="center" vertical="center"/>
    </xf>
    <xf numFmtId="0" fontId="12" fillId="2" borderId="26" xfId="1" applyFont="1" applyFill="1" applyBorder="1" applyAlignment="1">
      <alignment vertical="center"/>
    </xf>
    <xf numFmtId="0" fontId="12" fillId="2" borderId="36" xfId="1" applyFont="1" applyFill="1" applyBorder="1" applyAlignment="1">
      <alignment vertical="center"/>
    </xf>
    <xf numFmtId="0" fontId="0" fillId="2" borderId="0" xfId="0" applyFill="1">
      <alignment vertical="center"/>
    </xf>
    <xf numFmtId="0" fontId="29" fillId="2" borderId="0" xfId="0" applyFont="1" applyFill="1">
      <alignment vertical="center"/>
    </xf>
    <xf numFmtId="0" fontId="12" fillId="2" borderId="5" xfId="1" applyFont="1" applyFill="1" applyBorder="1" applyAlignment="1">
      <alignment horizontal="right" vertical="center"/>
    </xf>
    <xf numFmtId="0" fontId="12" fillId="2" borderId="28" xfId="1" applyFont="1" applyFill="1" applyBorder="1" applyAlignment="1">
      <alignment horizontal="right" vertical="center"/>
    </xf>
    <xf numFmtId="0" fontId="12" fillId="2" borderId="11" xfId="1" applyFont="1" applyFill="1" applyBorder="1" applyAlignment="1">
      <alignment horizontal="right" vertical="center"/>
    </xf>
    <xf numFmtId="0" fontId="17" fillId="3" borderId="38" xfId="1" applyFont="1" applyFill="1" applyBorder="1" applyAlignment="1">
      <alignment horizontal="right" vertical="center"/>
    </xf>
    <xf numFmtId="0" fontId="12" fillId="2" borderId="22" xfId="2" applyFont="1" applyFill="1" applyBorder="1"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164" fontId="21" fillId="4" borderId="5" xfId="1" applyNumberFormat="1" applyFont="1" applyFill="1" applyBorder="1" applyAlignment="1" applyProtection="1">
      <alignment horizontal="center" vertical="center"/>
      <protection locked="0"/>
    </xf>
    <xf numFmtId="0" fontId="45" fillId="0" borderId="0" xfId="0" applyFont="1">
      <alignment vertical="center"/>
    </xf>
    <xf numFmtId="0" fontId="52" fillId="0" borderId="0" xfId="0" applyFont="1">
      <alignment vertical="center"/>
    </xf>
    <xf numFmtId="0" fontId="21" fillId="4" borderId="5" xfId="1" applyFont="1" applyFill="1" applyBorder="1" applyAlignment="1" applyProtection="1">
      <alignment horizontal="center" vertical="center"/>
      <protection locked="0"/>
    </xf>
    <xf numFmtId="0" fontId="21" fillId="4" borderId="28" xfId="1" applyFont="1" applyFill="1" applyBorder="1" applyAlignment="1" applyProtection="1">
      <alignment horizontal="center" vertical="center"/>
      <protection locked="0"/>
    </xf>
    <xf numFmtId="0" fontId="21" fillId="4" borderId="11" xfId="1" applyFont="1" applyFill="1" applyBorder="1" applyAlignment="1" applyProtection="1">
      <alignment horizontal="center" vertical="center"/>
      <protection locked="0"/>
    </xf>
    <xf numFmtId="164" fontId="21" fillId="4" borderId="11" xfId="1" applyNumberFormat="1" applyFont="1" applyFill="1" applyBorder="1" applyAlignment="1" applyProtection="1">
      <alignment horizontal="center" vertical="center"/>
      <protection locked="0"/>
    </xf>
    <xf numFmtId="0" fontId="21" fillId="4" borderId="5" xfId="0" applyFont="1" applyFill="1" applyBorder="1" applyAlignment="1" applyProtection="1">
      <alignment horizontal="center" vertical="center"/>
      <protection locked="0"/>
    </xf>
    <xf numFmtId="164" fontId="12" fillId="4" borderId="21" xfId="1" applyNumberFormat="1" applyFont="1" applyFill="1" applyBorder="1" applyAlignment="1" applyProtection="1">
      <alignment horizontal="center" vertical="center"/>
      <protection locked="0"/>
    </xf>
    <xf numFmtId="0" fontId="51" fillId="0" borderId="0" xfId="0" applyFont="1">
      <alignment vertical="center"/>
    </xf>
    <xf numFmtId="0" fontId="69" fillId="0" borderId="0" xfId="0" applyFont="1">
      <alignment vertical="center"/>
    </xf>
    <xf numFmtId="1" fontId="12" fillId="4" borderId="5" xfId="1" applyNumberFormat="1" applyFont="1" applyFill="1" applyBorder="1" applyAlignment="1" applyProtection="1">
      <alignment horizontal="center" vertical="center"/>
      <protection locked="0"/>
    </xf>
    <xf numFmtId="2" fontId="21" fillId="4" borderId="5" xfId="1" applyNumberFormat="1" applyFont="1" applyFill="1" applyBorder="1" applyAlignment="1" applyProtection="1">
      <alignment horizontal="center" vertical="center"/>
      <protection locked="0"/>
    </xf>
    <xf numFmtId="165" fontId="21" fillId="4" borderId="5" xfId="1" applyNumberFormat="1" applyFont="1" applyFill="1" applyBorder="1" applyAlignment="1" applyProtection="1">
      <alignment horizontal="center" vertical="center"/>
      <protection locked="0"/>
    </xf>
    <xf numFmtId="1" fontId="21" fillId="4" borderId="5" xfId="1" applyNumberFormat="1" applyFont="1" applyFill="1" applyBorder="1" applyAlignment="1" applyProtection="1">
      <alignment horizontal="center" vertical="center"/>
      <protection locked="0"/>
    </xf>
    <xf numFmtId="0" fontId="67" fillId="0" borderId="0" xfId="0" applyFont="1">
      <alignment vertical="center"/>
    </xf>
    <xf numFmtId="0" fontId="21" fillId="0" borderId="5" xfId="0" applyFont="1" applyBorder="1" applyAlignment="1">
      <alignment horizontal="center" vertical="center"/>
    </xf>
    <xf numFmtId="164" fontId="21" fillId="4" borderId="19" xfId="1" applyNumberFormat="1" applyFont="1" applyFill="1" applyBorder="1" applyAlignment="1" applyProtection="1">
      <alignment horizontal="center" vertical="center"/>
      <protection locked="0"/>
    </xf>
    <xf numFmtId="0" fontId="17" fillId="3" borderId="37" xfId="1" applyFont="1" applyFill="1" applyBorder="1" applyAlignment="1">
      <alignment vertical="center"/>
    </xf>
    <xf numFmtId="0" fontId="17" fillId="3" borderId="38" xfId="1" applyFont="1" applyFill="1" applyBorder="1" applyAlignment="1">
      <alignment vertical="center"/>
    </xf>
    <xf numFmtId="0" fontId="17" fillId="3" borderId="39" xfId="1" applyFont="1" applyFill="1" applyBorder="1" applyAlignment="1">
      <alignment vertical="center"/>
    </xf>
    <xf numFmtId="0" fontId="12" fillId="4" borderId="28" xfId="1" applyFont="1" applyFill="1" applyBorder="1" applyAlignment="1" applyProtection="1">
      <alignment horizontal="center" vertical="center"/>
      <protection locked="0"/>
    </xf>
    <xf numFmtId="0" fontId="12" fillId="4" borderId="19" xfId="1" applyFont="1" applyFill="1" applyBorder="1" applyAlignment="1" applyProtection="1">
      <alignment horizontal="center" vertical="center"/>
      <protection locked="0"/>
    </xf>
    <xf numFmtId="0" fontId="12" fillId="2" borderId="19" xfId="1" applyFont="1" applyFill="1" applyBorder="1" applyAlignment="1">
      <alignment horizontal="left" vertical="center"/>
    </xf>
    <xf numFmtId="0" fontId="12" fillId="2" borderId="23" xfId="1" applyFont="1" applyFill="1" applyBorder="1" applyAlignment="1">
      <alignment horizontal="left" vertical="center"/>
    </xf>
    <xf numFmtId="0" fontId="21" fillId="2" borderId="5" xfId="1" applyFont="1" applyFill="1" applyBorder="1" applyAlignment="1">
      <alignment horizontal="left" vertical="center"/>
    </xf>
    <xf numFmtId="0" fontId="12" fillId="2" borderId="5" xfId="1" applyFont="1" applyFill="1" applyBorder="1" applyAlignment="1">
      <alignment horizontal="left" vertical="center"/>
    </xf>
    <xf numFmtId="0" fontId="12" fillId="2" borderId="11" xfId="1" applyFont="1" applyFill="1" applyBorder="1" applyAlignment="1">
      <alignment horizontal="left" vertical="center"/>
    </xf>
    <xf numFmtId="0" fontId="17" fillId="3" borderId="37" xfId="1" applyFont="1" applyFill="1" applyBorder="1" applyAlignment="1">
      <alignment horizontal="left" vertical="center"/>
    </xf>
    <xf numFmtId="0" fontId="17" fillId="3" borderId="38" xfId="1" applyFont="1" applyFill="1" applyBorder="1" applyAlignment="1">
      <alignment horizontal="left" vertical="center"/>
    </xf>
    <xf numFmtId="0" fontId="17" fillId="3" borderId="39" xfId="1" applyFont="1" applyFill="1" applyBorder="1" applyAlignment="1">
      <alignment horizontal="left" vertical="center"/>
    </xf>
    <xf numFmtId="164" fontId="46" fillId="0" borderId="0" xfId="1" applyNumberFormat="1" applyFont="1" applyAlignment="1">
      <alignment vertical="center"/>
    </xf>
    <xf numFmtId="0" fontId="76" fillId="0" borderId="0" xfId="0" applyFont="1">
      <alignment vertical="center"/>
    </xf>
    <xf numFmtId="1" fontId="12" fillId="0" borderId="5" xfId="1" applyNumberFormat="1" applyFont="1" applyBorder="1" applyAlignment="1">
      <alignment horizontal="center" vertical="center"/>
    </xf>
    <xf numFmtId="0" fontId="12" fillId="0" borderId="5" xfId="1" applyFont="1" applyBorder="1" applyAlignment="1">
      <alignment horizontal="center" vertical="center"/>
    </xf>
    <xf numFmtId="1" fontId="12" fillId="0" borderId="21" xfId="1" applyNumberFormat="1" applyFont="1" applyBorder="1" applyAlignment="1">
      <alignment horizontal="center" vertical="center"/>
    </xf>
    <xf numFmtId="1" fontId="12" fillId="0" borderId="11" xfId="1" applyNumberFormat="1" applyFont="1" applyBorder="1" applyAlignment="1">
      <alignment horizontal="center" vertical="center"/>
    </xf>
    <xf numFmtId="0" fontId="4" fillId="0" borderId="0" xfId="0" applyFont="1">
      <alignment vertical="center"/>
    </xf>
    <xf numFmtId="0" fontId="53" fillId="0" borderId="0" xfId="0" applyFont="1">
      <alignment vertical="center"/>
    </xf>
    <xf numFmtId="0" fontId="93" fillId="0" borderId="0" xfId="0" applyFont="1">
      <alignment vertical="center"/>
    </xf>
    <xf numFmtId="0" fontId="89" fillId="0" borderId="0" xfId="0" applyFont="1">
      <alignment vertical="center"/>
    </xf>
    <xf numFmtId="0" fontId="94" fillId="0" borderId="0" xfId="0" applyFont="1">
      <alignment vertical="center"/>
    </xf>
    <xf numFmtId="0" fontId="95" fillId="0" borderId="0" xfId="0" applyFont="1">
      <alignment vertical="center"/>
    </xf>
    <xf numFmtId="0" fontId="72" fillId="0" borderId="0" xfId="0" applyFont="1">
      <alignment vertical="center"/>
    </xf>
    <xf numFmtId="2" fontId="12" fillId="4" borderId="5" xfId="1" applyNumberFormat="1" applyFont="1" applyFill="1" applyBorder="1" applyAlignment="1" applyProtection="1">
      <alignment horizontal="center" vertical="center"/>
      <protection locked="0"/>
    </xf>
    <xf numFmtId="2" fontId="12" fillId="4" borderId="19" xfId="1" applyNumberFormat="1" applyFont="1" applyFill="1" applyBorder="1" applyAlignment="1" applyProtection="1">
      <alignment horizontal="center" vertical="center"/>
      <protection locked="0"/>
    </xf>
    <xf numFmtId="0" fontId="12" fillId="4" borderId="5" xfId="1" applyFont="1" applyFill="1" applyBorder="1" applyAlignment="1" applyProtection="1">
      <alignment horizontal="center" vertical="center"/>
      <protection locked="0"/>
    </xf>
    <xf numFmtId="164" fontId="12" fillId="4" borderId="19" xfId="1" applyNumberFormat="1" applyFont="1" applyFill="1" applyBorder="1" applyAlignment="1" applyProtection="1">
      <alignment horizontal="center" vertical="center"/>
      <protection locked="0"/>
    </xf>
    <xf numFmtId="165" fontId="12" fillId="4" borderId="5" xfId="1" applyNumberFormat="1" applyFont="1" applyFill="1" applyBorder="1" applyAlignment="1" applyProtection="1">
      <alignment horizontal="center" vertical="center"/>
      <protection locked="0"/>
    </xf>
    <xf numFmtId="0" fontId="12" fillId="4" borderId="30" xfId="1" applyFont="1" applyFill="1" applyBorder="1" applyAlignment="1" applyProtection="1">
      <alignment horizontal="center" vertical="center"/>
      <protection locked="0"/>
    </xf>
    <xf numFmtId="0" fontId="12" fillId="4" borderId="43" xfId="1" applyFont="1" applyFill="1" applyBorder="1" applyAlignment="1" applyProtection="1">
      <alignment horizontal="center" vertical="center"/>
      <protection locked="0"/>
    </xf>
    <xf numFmtId="0" fontId="12" fillId="4" borderId="22" xfId="1" applyFont="1" applyFill="1" applyBorder="1" applyAlignment="1" applyProtection="1">
      <alignment horizontal="center" vertical="center"/>
      <protection locked="0"/>
    </xf>
    <xf numFmtId="11" fontId="0" fillId="0" borderId="0" xfId="0" applyNumberFormat="1">
      <alignment vertical="center"/>
    </xf>
    <xf numFmtId="0" fontId="96" fillId="0" borderId="0" xfId="0" applyFont="1">
      <alignment vertical="center"/>
    </xf>
    <xf numFmtId="0" fontId="101" fillId="0" borderId="0" xfId="0" applyFont="1">
      <alignment vertical="center"/>
    </xf>
    <xf numFmtId="0" fontId="102" fillId="0" borderId="0" xfId="0" applyFont="1">
      <alignment vertical="center"/>
    </xf>
    <xf numFmtId="0" fontId="12" fillId="2" borderId="8" xfId="1" applyFont="1" applyFill="1" applyBorder="1" applyAlignment="1">
      <alignment vertical="center" wrapText="1"/>
    </xf>
    <xf numFmtId="0" fontId="12" fillId="2" borderId="21" xfId="1" applyFont="1" applyFill="1" applyBorder="1" applyAlignment="1">
      <alignment horizontal="left" vertical="center"/>
    </xf>
    <xf numFmtId="0" fontId="12" fillId="2" borderId="24" xfId="1" applyFont="1" applyFill="1" applyBorder="1" applyAlignment="1">
      <alignment horizontal="left" vertical="center"/>
    </xf>
    <xf numFmtId="0" fontId="12" fillId="4" borderId="21" xfId="1" applyFont="1" applyFill="1" applyBorder="1" applyAlignment="1" applyProtection="1">
      <alignment horizontal="center" vertical="center"/>
      <protection locked="0"/>
    </xf>
    <xf numFmtId="0" fontId="12" fillId="2" borderId="36" xfId="1" applyFont="1" applyFill="1" applyBorder="1" applyAlignment="1">
      <alignment vertical="center" wrapText="1"/>
    </xf>
    <xf numFmtId="0" fontId="12" fillId="0" borderId="0" xfId="0" applyFont="1">
      <alignment vertical="center"/>
    </xf>
    <xf numFmtId="1" fontId="21" fillId="2" borderId="5" xfId="1" applyNumberFormat="1" applyFont="1" applyFill="1" applyBorder="1" applyAlignment="1" applyProtection="1">
      <alignment horizontal="center" vertical="center"/>
      <protection hidden="1"/>
    </xf>
    <xf numFmtId="0" fontId="12" fillId="0" borderId="5" xfId="1" applyFont="1" applyBorder="1" applyAlignment="1">
      <alignment horizontal="right" vertical="center"/>
    </xf>
    <xf numFmtId="0" fontId="12" fillId="2" borderId="26" xfId="1" applyFont="1" applyFill="1" applyBorder="1" applyAlignment="1">
      <alignment horizontal="left" vertical="center"/>
    </xf>
    <xf numFmtId="0" fontId="12" fillId="2" borderId="22" xfId="1" applyFont="1" applyFill="1" applyBorder="1" applyAlignment="1">
      <alignment horizontal="left" vertical="center"/>
    </xf>
    <xf numFmtId="0" fontId="12" fillId="2" borderId="19" xfId="2" applyFont="1" applyFill="1" applyBorder="1" applyAlignment="1">
      <alignment horizontal="left" vertical="center"/>
    </xf>
    <xf numFmtId="0" fontId="12" fillId="2" borderId="23" xfId="2" applyFont="1" applyFill="1" applyBorder="1" applyAlignment="1">
      <alignment horizontal="left" vertical="center"/>
    </xf>
    <xf numFmtId="0" fontId="18" fillId="2" borderId="23" xfId="2" applyFont="1" applyFill="1" applyBorder="1" applyAlignment="1">
      <alignment horizontal="left" vertical="center"/>
    </xf>
    <xf numFmtId="0" fontId="18" fillId="2" borderId="26" xfId="2" applyFont="1" applyFill="1" applyBorder="1" applyAlignment="1">
      <alignment horizontal="left" vertical="center"/>
    </xf>
    <xf numFmtId="165" fontId="12" fillId="4" borderId="30" xfId="1" applyNumberFormat="1" applyFont="1" applyFill="1" applyBorder="1" applyAlignment="1" applyProtection="1">
      <alignment horizontal="center" vertical="center"/>
      <protection locked="0"/>
    </xf>
    <xf numFmtId="165" fontId="12" fillId="4" borderId="11" xfId="1" applyNumberFormat="1" applyFont="1" applyFill="1" applyBorder="1" applyAlignment="1" applyProtection="1">
      <alignment horizontal="center" vertical="center"/>
      <protection locked="0"/>
    </xf>
    <xf numFmtId="0" fontId="12" fillId="2" borderId="10" xfId="1" applyFont="1" applyFill="1" applyBorder="1" applyAlignment="1">
      <alignment vertical="center" wrapText="1"/>
    </xf>
    <xf numFmtId="0" fontId="3" fillId="0" borderId="0" xfId="0" applyFont="1">
      <alignment vertical="center"/>
    </xf>
    <xf numFmtId="0" fontId="18" fillId="0" borderId="0" xfId="0" applyFont="1">
      <alignment vertical="center"/>
    </xf>
    <xf numFmtId="0" fontId="96" fillId="0" borderId="0" xfId="0" applyFont="1" applyAlignment="1">
      <alignment horizontal="right" vertical="center"/>
    </xf>
    <xf numFmtId="164" fontId="12" fillId="2" borderId="28" xfId="1" applyNumberFormat="1" applyFont="1" applyFill="1" applyBorder="1" applyAlignment="1">
      <alignment vertical="center"/>
    </xf>
    <xf numFmtId="164" fontId="12" fillId="2" borderId="11" xfId="1" applyNumberFormat="1" applyFont="1" applyFill="1" applyBorder="1" applyAlignment="1">
      <alignment vertical="center"/>
    </xf>
    <xf numFmtId="0" fontId="0" fillId="2" borderId="0" xfId="0" applyFill="1" applyAlignment="1">
      <alignment horizontal="right" vertical="center"/>
    </xf>
    <xf numFmtId="0" fontId="73" fillId="3" borderId="38" xfId="1" applyFont="1" applyFill="1" applyBorder="1" applyAlignment="1">
      <alignment horizontal="right" vertical="center"/>
    </xf>
    <xf numFmtId="164" fontId="12" fillId="2" borderId="5" xfId="1" applyNumberFormat="1" applyFont="1" applyFill="1" applyBorder="1" applyAlignment="1">
      <alignment vertical="center"/>
    </xf>
    <xf numFmtId="0" fontId="90" fillId="2" borderId="23" xfId="1" applyFont="1" applyFill="1" applyBorder="1" applyAlignment="1">
      <alignment horizontal="left" vertical="center"/>
    </xf>
    <xf numFmtId="0" fontId="12" fillId="2" borderId="45" xfId="1" applyFont="1" applyFill="1" applyBorder="1" applyAlignment="1">
      <alignment vertical="center"/>
    </xf>
    <xf numFmtId="0" fontId="12" fillId="2" borderId="30" xfId="1" applyFont="1" applyFill="1" applyBorder="1" applyAlignment="1">
      <alignment horizontal="right" vertical="center"/>
    </xf>
    <xf numFmtId="164" fontId="12" fillId="2" borderId="30" xfId="1" applyNumberFormat="1" applyFont="1" applyFill="1" applyBorder="1" applyAlignment="1">
      <alignment vertical="center"/>
    </xf>
    <xf numFmtId="0" fontId="12" fillId="2" borderId="30" xfId="1" applyFont="1" applyFill="1" applyBorder="1" applyAlignment="1">
      <alignment horizontal="left" vertical="center"/>
    </xf>
    <xf numFmtId="164" fontId="12" fillId="0" borderId="5" xfId="1" applyNumberFormat="1" applyFont="1" applyBorder="1" applyAlignment="1">
      <alignment vertical="center"/>
    </xf>
    <xf numFmtId="0" fontId="12" fillId="0" borderId="5" xfId="1" applyFont="1" applyBorder="1" applyAlignment="1">
      <alignment horizontal="left" vertical="center"/>
    </xf>
    <xf numFmtId="0" fontId="90" fillId="0" borderId="23" xfId="1" applyFont="1" applyBorder="1" applyAlignment="1">
      <alignment horizontal="left" vertical="center"/>
    </xf>
    <xf numFmtId="0" fontId="90" fillId="0" borderId="24" xfId="1" applyFont="1" applyBorder="1" applyAlignment="1">
      <alignment horizontal="left" vertical="center"/>
    </xf>
    <xf numFmtId="0" fontId="90" fillId="2" borderId="26" xfId="1" applyFont="1" applyFill="1" applyBorder="1" applyAlignment="1">
      <alignment horizontal="left" vertical="center"/>
    </xf>
    <xf numFmtId="0" fontId="12" fillId="0" borderId="19" xfId="1" applyFont="1" applyBorder="1" applyAlignment="1">
      <alignment horizontal="left" vertical="center"/>
    </xf>
    <xf numFmtId="0" fontId="90" fillId="2" borderId="23" xfId="2" applyFont="1" applyFill="1" applyBorder="1" applyAlignment="1">
      <alignment horizontal="left" vertical="center"/>
    </xf>
    <xf numFmtId="0" fontId="33" fillId="0" borderId="9" xfId="1" applyFont="1" applyBorder="1" applyAlignment="1">
      <alignment horizontal="left" vertical="center"/>
    </xf>
    <xf numFmtId="164" fontId="12" fillId="0" borderId="30" xfId="1" applyNumberFormat="1" applyFont="1" applyBorder="1" applyAlignment="1">
      <alignment vertical="center"/>
    </xf>
    <xf numFmtId="0" fontId="12" fillId="0" borderId="41" xfId="1" applyFont="1" applyBorder="1" applyAlignment="1">
      <alignment horizontal="left" vertical="center"/>
    </xf>
    <xf numFmtId="0" fontId="33" fillId="2" borderId="23" xfId="2" applyFont="1" applyFill="1" applyBorder="1" applyAlignment="1">
      <alignment horizontal="left" vertical="center"/>
    </xf>
    <xf numFmtId="0" fontId="90" fillId="2" borderId="26" xfId="2" applyFont="1" applyFill="1" applyBorder="1" applyAlignment="1">
      <alignment horizontal="left" vertical="center"/>
    </xf>
    <xf numFmtId="0" fontId="17" fillId="3" borderId="7" xfId="1" applyFont="1" applyFill="1" applyBorder="1" applyAlignment="1">
      <alignment horizontal="left" vertical="center"/>
    </xf>
    <xf numFmtId="0" fontId="17" fillId="3" borderId="2" xfId="1" applyFont="1" applyFill="1" applyBorder="1" applyAlignment="1">
      <alignment horizontal="left" vertical="center"/>
    </xf>
    <xf numFmtId="0" fontId="90" fillId="2" borderId="42" xfId="1" applyFont="1" applyFill="1" applyBorder="1" applyAlignment="1">
      <alignment horizontal="left" vertical="center"/>
    </xf>
    <xf numFmtId="0" fontId="12" fillId="2" borderId="41" xfId="1" applyFont="1" applyFill="1" applyBorder="1" applyAlignment="1">
      <alignment horizontal="left" vertical="center"/>
    </xf>
    <xf numFmtId="0" fontId="86" fillId="3" borderId="38" xfId="1" applyFont="1" applyFill="1" applyBorder="1" applyAlignment="1">
      <alignment horizontal="right" vertical="center"/>
    </xf>
    <xf numFmtId="0" fontId="83" fillId="8" borderId="56" xfId="0" applyFont="1" applyFill="1" applyBorder="1" applyAlignment="1">
      <alignment horizontal="center" vertical="center"/>
    </xf>
    <xf numFmtId="0" fontId="0" fillId="9" borderId="56" xfId="0" applyFill="1" applyBorder="1" applyAlignment="1">
      <alignment horizontal="center" vertical="center"/>
    </xf>
    <xf numFmtId="0" fontId="0" fillId="0" borderId="56" xfId="0" applyBorder="1" applyAlignment="1">
      <alignment horizontal="center" vertical="center"/>
    </xf>
    <xf numFmtId="0" fontId="54" fillId="0" borderId="0" xfId="0" applyFont="1">
      <alignment vertical="center"/>
    </xf>
    <xf numFmtId="0" fontId="29" fillId="0" borderId="0" xfId="0" applyFont="1">
      <alignment vertical="center"/>
    </xf>
    <xf numFmtId="0" fontId="65" fillId="0" borderId="0" xfId="0" applyFont="1">
      <alignment vertical="center"/>
    </xf>
    <xf numFmtId="0" fontId="21" fillId="0" borderId="5" xfId="0" applyFont="1" applyBorder="1" applyAlignment="1">
      <alignment horizontal="right" vertical="center"/>
    </xf>
    <xf numFmtId="0" fontId="21" fillId="0" borderId="21" xfId="0" applyFont="1" applyBorder="1">
      <alignment vertical="center"/>
    </xf>
    <xf numFmtId="0" fontId="29" fillId="0" borderId="51" xfId="0" applyFont="1" applyBorder="1">
      <alignment vertical="center"/>
    </xf>
    <xf numFmtId="0" fontId="21" fillId="0" borderId="43" xfId="0" applyFont="1" applyBorder="1">
      <alignment vertical="center"/>
    </xf>
    <xf numFmtId="0" fontId="21" fillId="0" borderId="52" xfId="0" applyFont="1" applyBorder="1">
      <alignment vertical="center"/>
    </xf>
    <xf numFmtId="0" fontId="21" fillId="0" borderId="0" xfId="0" applyFont="1">
      <alignment vertical="center"/>
    </xf>
    <xf numFmtId="0" fontId="21" fillId="2" borderId="5" xfId="0" applyFont="1" applyFill="1" applyBorder="1" applyAlignment="1">
      <alignment horizontal="center" vertical="center"/>
    </xf>
    <xf numFmtId="0" fontId="21" fillId="0" borderId="41" xfId="0" applyFont="1" applyBorder="1">
      <alignment vertical="center"/>
    </xf>
    <xf numFmtId="0" fontId="21" fillId="0" borderId="29" xfId="0" applyFont="1" applyBorder="1">
      <alignment vertical="center"/>
    </xf>
    <xf numFmtId="165" fontId="21" fillId="0" borderId="5" xfId="0" applyNumberFormat="1" applyFont="1" applyBorder="1" applyAlignment="1">
      <alignment horizontal="center" vertical="center"/>
    </xf>
    <xf numFmtId="0" fontId="21" fillId="0" borderId="30" xfId="0" applyFont="1" applyBorder="1">
      <alignment vertical="center"/>
    </xf>
    <xf numFmtId="0" fontId="21" fillId="0" borderId="0" xfId="0" applyFont="1" applyAlignment="1">
      <alignment horizontal="center" vertical="center"/>
    </xf>
    <xf numFmtId="0" fontId="21" fillId="0" borderId="5" xfId="0" applyFont="1" applyBorder="1">
      <alignment vertical="center"/>
    </xf>
    <xf numFmtId="0" fontId="21" fillId="0" borderId="0" xfId="0" applyFont="1" applyAlignment="1">
      <alignment horizontal="right" vertical="center"/>
    </xf>
    <xf numFmtId="0" fontId="0" fillId="0" borderId="0" xfId="0" applyAlignment="1">
      <alignment vertical="center" wrapText="1"/>
    </xf>
    <xf numFmtId="0" fontId="43" fillId="0" borderId="0" xfId="0" applyFont="1">
      <alignment vertical="center"/>
    </xf>
    <xf numFmtId="165" fontId="21" fillId="0" borderId="0" xfId="0" applyNumberFormat="1" applyFont="1" applyAlignment="1" applyProtection="1">
      <alignment horizontal="center" vertical="center"/>
      <protection hidden="1"/>
    </xf>
    <xf numFmtId="0" fontId="42" fillId="0" borderId="0" xfId="0" applyFont="1">
      <alignment vertical="center"/>
    </xf>
    <xf numFmtId="0" fontId="47" fillId="0" borderId="0" xfId="0" applyFont="1">
      <alignment vertical="center"/>
    </xf>
    <xf numFmtId="0" fontId="18" fillId="0" borderId="49" xfId="0" applyFont="1" applyBorder="1">
      <alignment vertical="center"/>
    </xf>
    <xf numFmtId="0" fontId="45" fillId="0" borderId="0" xfId="0" applyFont="1" applyAlignment="1">
      <alignment horizontal="left" vertical="center"/>
    </xf>
    <xf numFmtId="0" fontId="29" fillId="2" borderId="0" xfId="0" applyFont="1" applyFill="1" applyAlignment="1">
      <alignment horizontal="left" vertical="center"/>
    </xf>
    <xf numFmtId="0" fontId="0" fillId="2" borderId="0" xfId="0" applyFill="1" applyAlignment="1">
      <alignment horizontal="center" vertical="center"/>
    </xf>
    <xf numFmtId="0" fontId="58" fillId="2" borderId="0" xfId="0" applyFont="1" applyFill="1" applyAlignment="1">
      <alignment horizontal="left" vertical="center"/>
    </xf>
    <xf numFmtId="0" fontId="29" fillId="2" borderId="0" xfId="0" applyFont="1" applyFill="1" applyAlignment="1">
      <alignment horizontal="center" vertical="center"/>
    </xf>
    <xf numFmtId="0" fontId="12" fillId="0" borderId="0" xfId="0" applyFont="1" applyAlignment="1">
      <alignment horizontal="left" vertical="center"/>
    </xf>
    <xf numFmtId="0" fontId="40" fillId="0" borderId="0" xfId="0" applyFont="1">
      <alignment vertical="center"/>
    </xf>
    <xf numFmtId="0" fontId="61" fillId="0" borderId="0" xfId="0" applyFont="1">
      <alignment vertical="center"/>
    </xf>
    <xf numFmtId="0" fontId="48" fillId="0" borderId="0" xfId="0" applyFont="1">
      <alignment vertical="center"/>
    </xf>
    <xf numFmtId="0" fontId="62" fillId="0" borderId="0" xfId="0" applyFont="1">
      <alignment vertical="center"/>
    </xf>
    <xf numFmtId="0" fontId="32" fillId="0" borderId="0" xfId="0" applyFont="1" applyAlignment="1">
      <alignment horizontal="center" vertical="center" wrapText="1"/>
    </xf>
    <xf numFmtId="0" fontId="21" fillId="0" borderId="0" xfId="0" applyFont="1" applyAlignment="1">
      <alignment horizontal="center" vertical="center" wrapText="1"/>
    </xf>
    <xf numFmtId="0" fontId="97" fillId="0" borderId="0" xfId="0" quotePrefix="1" applyFont="1">
      <alignment vertical="center"/>
    </xf>
    <xf numFmtId="0" fontId="49" fillId="0" borderId="0" xfId="0" applyFont="1">
      <alignment vertical="center"/>
    </xf>
    <xf numFmtId="0" fontId="80" fillId="0" borderId="0" xfId="0" applyFont="1">
      <alignment vertical="center"/>
    </xf>
    <xf numFmtId="0" fontId="12" fillId="0" borderId="19" xfId="0" applyFont="1" applyBorder="1" applyAlignment="1" applyProtection="1">
      <alignment horizontal="left" vertical="center"/>
      <protection locked="0"/>
    </xf>
    <xf numFmtId="0" fontId="0" fillId="0" borderId="0" xfId="0" applyProtection="1">
      <alignment vertical="center"/>
      <protection hidden="1"/>
    </xf>
    <xf numFmtId="0" fontId="12" fillId="2" borderId="0" xfId="1" applyFont="1" applyFill="1" applyAlignment="1" applyProtection="1">
      <alignment vertical="center"/>
      <protection hidden="1"/>
    </xf>
    <xf numFmtId="0" fontId="66" fillId="2" borderId="0" xfId="1" applyFont="1" applyFill="1" applyAlignment="1" applyProtection="1">
      <alignment horizontal="center" vertical="center"/>
      <protection hidden="1"/>
    </xf>
    <xf numFmtId="0" fontId="12" fillId="2" borderId="0" xfId="1" applyFont="1" applyFill="1" applyAlignment="1" applyProtection="1">
      <alignment horizontal="center" vertical="center"/>
      <protection hidden="1"/>
    </xf>
    <xf numFmtId="0" fontId="30" fillId="2" borderId="0" xfId="1" applyFont="1" applyFill="1" applyAlignment="1" applyProtection="1">
      <alignment horizontal="left" vertical="center" wrapText="1"/>
      <protection hidden="1"/>
    </xf>
    <xf numFmtId="0" fontId="14" fillId="2" borderId="0" xfId="1" applyFont="1" applyFill="1" applyAlignment="1" applyProtection="1">
      <alignment horizontal="left" vertical="center" wrapText="1"/>
      <protection hidden="1"/>
    </xf>
    <xf numFmtId="0" fontId="0" fillId="2" borderId="0" xfId="0" applyFill="1" applyProtection="1">
      <alignment vertical="center"/>
      <protection hidden="1"/>
    </xf>
    <xf numFmtId="0" fontId="29" fillId="2" borderId="0" xfId="0" applyFont="1" applyFill="1" applyProtection="1">
      <alignment vertical="center"/>
      <protection hidden="1"/>
    </xf>
    <xf numFmtId="0" fontId="12" fillId="2" borderId="8" xfId="1" applyFont="1" applyFill="1" applyBorder="1" applyAlignment="1" applyProtection="1">
      <alignment vertical="center"/>
      <protection hidden="1"/>
    </xf>
    <xf numFmtId="0" fontId="12" fillId="2" borderId="5" xfId="1" applyFont="1" applyFill="1" applyBorder="1" applyAlignment="1" applyProtection="1">
      <alignment horizontal="right" vertical="center"/>
      <protection hidden="1"/>
    </xf>
    <xf numFmtId="165" fontId="12" fillId="7" borderId="5" xfId="1" applyNumberFormat="1" applyFont="1" applyFill="1" applyBorder="1" applyAlignment="1" applyProtection="1">
      <alignment horizontal="center" vertical="center"/>
      <protection hidden="1"/>
    </xf>
    <xf numFmtId="0" fontId="12" fillId="2" borderId="19" xfId="1" applyFont="1" applyFill="1" applyBorder="1" applyAlignment="1" applyProtection="1">
      <alignment vertical="center"/>
      <protection hidden="1"/>
    </xf>
    <xf numFmtId="0" fontId="12" fillId="2" borderId="23" xfId="1" applyFont="1" applyFill="1" applyBorder="1" applyAlignment="1" applyProtection="1">
      <alignment vertical="center"/>
      <protection hidden="1"/>
    </xf>
    <xf numFmtId="1" fontId="12" fillId="7" borderId="5" xfId="1" applyNumberFormat="1" applyFont="1" applyFill="1" applyBorder="1" applyAlignment="1" applyProtection="1">
      <alignment horizontal="center" vertical="center"/>
      <protection hidden="1"/>
    </xf>
    <xf numFmtId="0" fontId="12" fillId="2" borderId="8" xfId="1" applyFont="1" applyFill="1" applyBorder="1" applyAlignment="1" applyProtection="1">
      <alignment vertical="center" wrapText="1"/>
      <protection hidden="1"/>
    </xf>
    <xf numFmtId="0" fontId="12" fillId="2" borderId="23" xfId="1" applyFont="1" applyFill="1" applyBorder="1" applyAlignment="1" applyProtection="1">
      <alignment horizontal="left" vertical="center"/>
      <protection hidden="1"/>
    </xf>
    <xf numFmtId="0" fontId="12" fillId="7" borderId="19" xfId="1" applyFont="1" applyFill="1" applyBorder="1" applyAlignment="1" applyProtection="1">
      <alignment horizontal="center" vertical="center"/>
      <protection hidden="1"/>
    </xf>
    <xf numFmtId="0" fontId="12" fillId="7" borderId="5" xfId="1" applyFont="1" applyFill="1" applyBorder="1" applyAlignment="1" applyProtection="1">
      <alignment horizontal="center" vertical="center"/>
      <protection hidden="1"/>
    </xf>
    <xf numFmtId="0" fontId="12" fillId="2" borderId="36" xfId="1" applyFont="1" applyFill="1" applyBorder="1" applyAlignment="1" applyProtection="1">
      <alignment vertical="center"/>
      <protection hidden="1"/>
    </xf>
    <xf numFmtId="0" fontId="12" fillId="2" borderId="28" xfId="1" applyFont="1" applyFill="1" applyBorder="1" applyAlignment="1" applyProtection="1">
      <alignment horizontal="right" vertical="center"/>
      <protection hidden="1"/>
    </xf>
    <xf numFmtId="0" fontId="12" fillId="7" borderId="21" xfId="1" applyFont="1" applyFill="1" applyBorder="1" applyAlignment="1" applyProtection="1">
      <alignment horizontal="center" vertical="center"/>
      <protection hidden="1"/>
    </xf>
    <xf numFmtId="0" fontId="12" fillId="2" borderId="21" xfId="1" applyFont="1" applyFill="1" applyBorder="1" applyAlignment="1" applyProtection="1">
      <alignment horizontal="left" vertical="center"/>
      <protection hidden="1"/>
    </xf>
    <xf numFmtId="164" fontId="12" fillId="7" borderId="21" xfId="1" applyNumberFormat="1" applyFont="1" applyFill="1" applyBorder="1" applyAlignment="1" applyProtection="1">
      <alignment horizontal="center" vertical="center"/>
      <protection hidden="1"/>
    </xf>
    <xf numFmtId="0" fontId="12" fillId="2" borderId="24" xfId="1" applyFont="1" applyFill="1" applyBorder="1" applyAlignment="1" applyProtection="1">
      <alignment horizontal="left" vertical="center"/>
      <protection hidden="1"/>
    </xf>
    <xf numFmtId="11" fontId="12" fillId="7" borderId="21" xfId="1" applyNumberFormat="1" applyFont="1" applyFill="1" applyBorder="1" applyAlignment="1" applyProtection="1">
      <alignment horizontal="center" vertical="center"/>
      <protection hidden="1"/>
    </xf>
    <xf numFmtId="0" fontId="12" fillId="2" borderId="19" xfId="1" applyFont="1" applyFill="1" applyBorder="1" applyAlignment="1" applyProtection="1">
      <alignment vertical="center" wrapText="1"/>
      <protection hidden="1"/>
    </xf>
    <xf numFmtId="0" fontId="12" fillId="0" borderId="0" xfId="1" applyFont="1" applyAlignment="1" applyProtection="1">
      <alignment horizontal="left" vertical="center"/>
      <protection hidden="1"/>
    </xf>
    <xf numFmtId="0" fontId="92" fillId="2" borderId="24" xfId="1" applyFont="1" applyFill="1" applyBorder="1" applyAlignment="1" applyProtection="1">
      <alignment horizontal="left" vertical="center"/>
      <protection hidden="1"/>
    </xf>
    <xf numFmtId="0" fontId="12" fillId="0" borderId="0" xfId="0" applyFont="1" applyProtection="1">
      <alignment vertical="center"/>
      <protection hidden="1"/>
    </xf>
    <xf numFmtId="0" fontId="12" fillId="2" borderId="19" xfId="2" applyFont="1" applyFill="1" applyBorder="1" applyAlignment="1" applyProtection="1">
      <alignment vertical="center"/>
      <protection hidden="1"/>
    </xf>
    <xf numFmtId="0" fontId="12" fillId="4" borderId="36" xfId="1" applyFont="1" applyFill="1" applyBorder="1" applyAlignment="1" applyProtection="1">
      <alignment vertical="center"/>
      <protection hidden="1"/>
    </xf>
    <xf numFmtId="0" fontId="12" fillId="4" borderId="28" xfId="1" applyFont="1" applyFill="1" applyBorder="1" applyAlignment="1" applyProtection="1">
      <alignment horizontal="right" vertical="center"/>
      <protection hidden="1"/>
    </xf>
    <xf numFmtId="0" fontId="12" fillId="4" borderId="21" xfId="1" applyFont="1" applyFill="1" applyBorder="1" applyAlignment="1" applyProtection="1">
      <alignment vertical="center" wrapText="1"/>
      <protection hidden="1"/>
    </xf>
    <xf numFmtId="0" fontId="12" fillId="4" borderId="24" xfId="1" applyFont="1" applyFill="1" applyBorder="1" applyAlignment="1" applyProtection="1">
      <alignment horizontal="left" vertical="center"/>
      <protection hidden="1"/>
    </xf>
    <xf numFmtId="0" fontId="12" fillId="2" borderId="36" xfId="1" applyFont="1" applyFill="1" applyBorder="1" applyAlignment="1" applyProtection="1">
      <alignment vertical="center" wrapText="1"/>
      <protection hidden="1"/>
    </xf>
    <xf numFmtId="0" fontId="12" fillId="2" borderId="21" xfId="1" applyFont="1" applyFill="1" applyBorder="1" applyAlignment="1" applyProtection="1">
      <alignment vertical="center" wrapText="1"/>
      <protection hidden="1"/>
    </xf>
    <xf numFmtId="0" fontId="12" fillId="4" borderId="36" xfId="1" applyFont="1" applyFill="1" applyBorder="1" applyAlignment="1" applyProtection="1">
      <alignment vertical="center" wrapText="1"/>
      <protection hidden="1"/>
    </xf>
    <xf numFmtId="0" fontId="12" fillId="4" borderId="21" xfId="1" applyFont="1" applyFill="1" applyBorder="1" applyAlignment="1" applyProtection="1">
      <alignment horizontal="left" vertical="center"/>
      <protection hidden="1"/>
    </xf>
    <xf numFmtId="0" fontId="12" fillId="4" borderId="8" xfId="1" applyFont="1" applyFill="1" applyBorder="1" applyAlignment="1" applyProtection="1">
      <alignment vertical="center" wrapText="1"/>
      <protection hidden="1"/>
    </xf>
    <xf numFmtId="0" fontId="12" fillId="4" borderId="5" xfId="1" applyFont="1" applyFill="1" applyBorder="1" applyAlignment="1" applyProtection="1">
      <alignment horizontal="right" vertical="center"/>
      <protection hidden="1"/>
    </xf>
    <xf numFmtId="0" fontId="12" fillId="4" borderId="6" xfId="1" applyFont="1" applyFill="1" applyBorder="1" applyAlignment="1" applyProtection="1">
      <alignment horizontal="left" vertical="center"/>
      <protection hidden="1"/>
    </xf>
    <xf numFmtId="0" fontId="12" fillId="4" borderId="23" xfId="1" applyFont="1" applyFill="1" applyBorder="1" applyAlignment="1" applyProtection="1">
      <alignment horizontal="left" vertical="center"/>
      <protection hidden="1"/>
    </xf>
    <xf numFmtId="0" fontId="12" fillId="4" borderId="10" xfId="1" applyFont="1" applyFill="1" applyBorder="1" applyAlignment="1" applyProtection="1">
      <alignment vertical="center"/>
      <protection hidden="1"/>
    </xf>
    <xf numFmtId="0" fontId="12" fillId="4" borderId="11" xfId="1" applyFont="1" applyFill="1" applyBorder="1" applyAlignment="1" applyProtection="1">
      <alignment horizontal="right" vertical="center"/>
      <protection hidden="1"/>
    </xf>
    <xf numFmtId="0" fontId="12" fillId="4" borderId="25" xfId="1" applyFont="1" applyFill="1" applyBorder="1" applyAlignment="1" applyProtection="1">
      <alignment horizontal="left" vertical="center"/>
      <protection hidden="1"/>
    </xf>
    <xf numFmtId="0" fontId="12" fillId="4" borderId="26" xfId="1" applyFont="1" applyFill="1" applyBorder="1" applyAlignment="1" applyProtection="1">
      <alignment horizontal="left" vertical="center"/>
      <protection hidden="1"/>
    </xf>
    <xf numFmtId="0" fontId="0" fillId="0" borderId="0" xfId="0" applyAlignment="1" applyProtection="1">
      <alignment horizontal="right" vertical="center"/>
      <protection hidden="1"/>
    </xf>
    <xf numFmtId="0" fontId="74" fillId="2" borderId="0" xfId="1" applyFont="1" applyFill="1" applyAlignment="1" applyProtection="1">
      <alignment horizontal="left" vertical="center" wrapText="1"/>
      <protection hidden="1"/>
    </xf>
    <xf numFmtId="0" fontId="21" fillId="2" borderId="8" xfId="1" applyFont="1" applyFill="1" applyBorder="1" applyAlignment="1" applyProtection="1">
      <alignment vertical="center"/>
      <protection hidden="1"/>
    </xf>
    <xf numFmtId="0" fontId="26" fillId="2" borderId="30" xfId="1" applyFont="1" applyFill="1" applyBorder="1" applyAlignment="1" applyProtection="1">
      <alignment horizontal="right" vertical="center"/>
      <protection hidden="1"/>
    </xf>
    <xf numFmtId="164" fontId="21" fillId="2" borderId="5" xfId="1" applyNumberFormat="1" applyFont="1" applyFill="1" applyBorder="1" applyAlignment="1" applyProtection="1">
      <alignment horizontal="center" vertical="center"/>
      <protection hidden="1"/>
    </xf>
    <xf numFmtId="0" fontId="3" fillId="0" borderId="0" xfId="0" applyFont="1" applyProtection="1">
      <alignment vertical="center"/>
      <protection hidden="1"/>
    </xf>
    <xf numFmtId="0" fontId="0" fillId="0" borderId="0" xfId="0" quotePrefix="1" applyProtection="1">
      <alignment vertical="center"/>
      <protection hidden="1"/>
    </xf>
    <xf numFmtId="0" fontId="21" fillId="2" borderId="5" xfId="1" applyFont="1" applyFill="1" applyBorder="1" applyAlignment="1" applyProtection="1">
      <alignment horizontal="right" vertical="center"/>
      <protection hidden="1"/>
    </xf>
    <xf numFmtId="0" fontId="21" fillId="4" borderId="8" xfId="1" applyFont="1" applyFill="1" applyBorder="1" applyAlignment="1" applyProtection="1">
      <alignment vertical="center"/>
      <protection hidden="1"/>
    </xf>
    <xf numFmtId="0" fontId="21" fillId="4" borderId="5" xfId="1" applyFont="1" applyFill="1" applyBorder="1" applyAlignment="1" applyProtection="1">
      <alignment horizontal="right" vertical="center"/>
      <protection hidden="1"/>
    </xf>
    <xf numFmtId="0" fontId="0" fillId="4" borderId="19" xfId="0" applyFill="1" applyBorder="1" applyProtection="1">
      <alignment vertical="center"/>
      <protection hidden="1"/>
    </xf>
    <xf numFmtId="0" fontId="21" fillId="4" borderId="23" xfId="1" applyFont="1" applyFill="1" applyBorder="1" applyAlignment="1" applyProtection="1">
      <alignment horizontal="left" vertical="center"/>
      <protection hidden="1"/>
    </xf>
    <xf numFmtId="0" fontId="21" fillId="4" borderId="41" xfId="1" applyFont="1" applyFill="1" applyBorder="1" applyAlignment="1" applyProtection="1">
      <alignment horizontal="center" vertical="center"/>
      <protection hidden="1"/>
    </xf>
    <xf numFmtId="0" fontId="21" fillId="4" borderId="42" xfId="1" applyFont="1" applyFill="1" applyBorder="1" applyAlignment="1" applyProtection="1">
      <alignment horizontal="left" vertical="center"/>
      <protection hidden="1"/>
    </xf>
    <xf numFmtId="165" fontId="21" fillId="2" borderId="5" xfId="1" applyNumberFormat="1" applyFont="1" applyFill="1" applyBorder="1" applyAlignment="1" applyProtection="1">
      <alignment horizontal="center" vertical="center"/>
      <protection hidden="1"/>
    </xf>
    <xf numFmtId="0" fontId="21" fillId="2" borderId="19" xfId="1" applyFont="1" applyFill="1" applyBorder="1" applyAlignment="1" applyProtection="1">
      <alignment horizontal="center" vertical="center"/>
      <protection hidden="1"/>
    </xf>
    <xf numFmtId="0" fontId="21" fillId="2" borderId="23" xfId="1" applyFont="1" applyFill="1" applyBorder="1" applyAlignment="1" applyProtection="1">
      <alignment horizontal="left" vertical="center"/>
      <protection hidden="1"/>
    </xf>
    <xf numFmtId="0" fontId="33" fillId="4" borderId="19" xfId="1" applyFont="1" applyFill="1" applyBorder="1" applyAlignment="1" applyProtection="1">
      <alignment horizontal="left" vertical="center"/>
      <protection hidden="1"/>
    </xf>
    <xf numFmtId="1" fontId="12" fillId="2" borderId="5" xfId="1" applyNumberFormat="1" applyFont="1" applyFill="1" applyBorder="1" applyAlignment="1" applyProtection="1">
      <alignment horizontal="center" vertical="center"/>
      <protection hidden="1"/>
    </xf>
    <xf numFmtId="0" fontId="12" fillId="2" borderId="19" xfId="1" applyFont="1" applyFill="1" applyBorder="1" applyAlignment="1" applyProtection="1">
      <alignment horizontal="left" vertical="center"/>
      <protection hidden="1"/>
    </xf>
    <xf numFmtId="0" fontId="12" fillId="0" borderId="5" xfId="1" applyFont="1" applyBorder="1" applyAlignment="1" applyProtection="1">
      <alignment horizontal="right" vertical="center"/>
      <protection hidden="1"/>
    </xf>
    <xf numFmtId="164" fontId="12" fillId="0" borderId="5" xfId="1" applyNumberFormat="1" applyFont="1" applyBorder="1" applyAlignment="1" applyProtection="1">
      <alignment horizontal="center" vertical="center"/>
      <protection hidden="1"/>
    </xf>
    <xf numFmtId="0" fontId="3" fillId="0" borderId="0" xfId="0" applyFont="1" applyAlignment="1" applyProtection="1">
      <alignment horizontal="right" vertical="center"/>
      <protection hidden="1"/>
    </xf>
    <xf numFmtId="0" fontId="3" fillId="0" borderId="0" xfId="0" quotePrefix="1" applyFont="1" applyProtection="1">
      <alignment vertical="center"/>
      <protection hidden="1"/>
    </xf>
    <xf numFmtId="0" fontId="21" fillId="4" borderId="36" xfId="1" applyFont="1" applyFill="1" applyBorder="1" applyAlignment="1" applyProtection="1">
      <alignment vertical="center"/>
      <protection hidden="1"/>
    </xf>
    <xf numFmtId="164" fontId="21" fillId="4" borderId="5" xfId="1" applyNumberFormat="1" applyFont="1" applyFill="1" applyBorder="1" applyAlignment="1" applyProtection="1">
      <alignment horizontal="right" vertical="center"/>
      <protection hidden="1"/>
    </xf>
    <xf numFmtId="0" fontId="21" fillId="4" borderId="19" xfId="1" applyFont="1" applyFill="1" applyBorder="1" applyAlignment="1" applyProtection="1">
      <alignment vertical="center" wrapText="1"/>
      <protection hidden="1"/>
    </xf>
    <xf numFmtId="0" fontId="21" fillId="4" borderId="23" xfId="1" applyFont="1" applyFill="1" applyBorder="1" applyAlignment="1" applyProtection="1">
      <alignment vertical="center"/>
      <protection hidden="1"/>
    </xf>
    <xf numFmtId="0" fontId="21" fillId="2" borderId="19" xfId="1" applyFont="1" applyFill="1" applyBorder="1" applyAlignment="1" applyProtection="1">
      <alignment vertical="center" wrapText="1"/>
      <protection hidden="1"/>
    </xf>
    <xf numFmtId="0" fontId="21" fillId="2" borderId="23" xfId="1" applyFont="1" applyFill="1" applyBorder="1" applyAlignment="1" applyProtection="1">
      <alignment vertical="center"/>
      <protection hidden="1"/>
    </xf>
    <xf numFmtId="0" fontId="21" fillId="4" borderId="19" xfId="1" applyFont="1" applyFill="1" applyBorder="1" applyAlignment="1" applyProtection="1">
      <alignment vertical="center"/>
      <protection hidden="1"/>
    </xf>
    <xf numFmtId="0" fontId="21" fillId="4" borderId="10" xfId="1" applyFont="1" applyFill="1" applyBorder="1" applyAlignment="1" applyProtection="1">
      <alignment vertical="center"/>
      <protection hidden="1"/>
    </xf>
    <xf numFmtId="0" fontId="21" fillId="4" borderId="11" xfId="1" applyFont="1" applyFill="1" applyBorder="1" applyAlignment="1" applyProtection="1">
      <alignment horizontal="right" vertical="center"/>
      <protection hidden="1"/>
    </xf>
    <xf numFmtId="0" fontId="21" fillId="4" borderId="22" xfId="2" applyFont="1" applyFill="1" applyBorder="1" applyAlignment="1" applyProtection="1">
      <alignment vertical="center"/>
      <protection hidden="1"/>
    </xf>
    <xf numFmtId="0" fontId="21" fillId="4" borderId="26" xfId="1" applyFont="1" applyFill="1" applyBorder="1" applyAlignment="1" applyProtection="1">
      <alignment vertical="center"/>
      <protection hidden="1"/>
    </xf>
    <xf numFmtId="0" fontId="12" fillId="2" borderId="0" xfId="1" applyFont="1" applyFill="1" applyAlignment="1" applyProtection="1">
      <alignment horizontal="right" vertical="center"/>
      <protection hidden="1"/>
    </xf>
    <xf numFmtId="0" fontId="12" fillId="2" borderId="19" xfId="1" applyFont="1" applyFill="1" applyBorder="1" applyAlignment="1" applyProtection="1">
      <alignment horizontal="center" vertical="center"/>
      <protection hidden="1"/>
    </xf>
    <xf numFmtId="0" fontId="12" fillId="2" borderId="5" xfId="1" applyFont="1" applyFill="1" applyBorder="1" applyAlignment="1" applyProtection="1">
      <alignment horizontal="center" vertical="center"/>
      <protection hidden="1"/>
    </xf>
    <xf numFmtId="1" fontId="12" fillId="2" borderId="21" xfId="1" applyNumberFormat="1" applyFont="1" applyFill="1" applyBorder="1" applyAlignment="1" applyProtection="1">
      <alignment horizontal="center" vertical="center"/>
      <protection hidden="1"/>
    </xf>
    <xf numFmtId="0" fontId="12" fillId="2" borderId="10" xfId="1" applyFont="1" applyFill="1" applyBorder="1" applyAlignment="1" applyProtection="1">
      <alignment vertical="center"/>
      <protection hidden="1"/>
    </xf>
    <xf numFmtId="0" fontId="12" fillId="2" borderId="11" xfId="1" applyFont="1" applyFill="1" applyBorder="1" applyAlignment="1" applyProtection="1">
      <alignment horizontal="right" vertical="center"/>
      <protection hidden="1"/>
    </xf>
    <xf numFmtId="1" fontId="12" fillId="2" borderId="11" xfId="1" applyNumberFormat="1" applyFont="1" applyFill="1" applyBorder="1" applyAlignment="1" applyProtection="1">
      <alignment horizontal="center" vertical="center"/>
      <protection hidden="1"/>
    </xf>
    <xf numFmtId="0" fontId="12" fillId="2" borderId="22" xfId="1" applyFont="1" applyFill="1" applyBorder="1" applyAlignment="1" applyProtection="1">
      <alignment vertical="center"/>
      <protection hidden="1"/>
    </xf>
    <xf numFmtId="0" fontId="12" fillId="2" borderId="26" xfId="1" applyFont="1" applyFill="1" applyBorder="1" applyAlignment="1" applyProtection="1">
      <alignment vertical="center"/>
      <protection hidden="1"/>
    </xf>
    <xf numFmtId="0" fontId="12" fillId="4" borderId="19" xfId="1" applyFont="1" applyFill="1" applyBorder="1" applyAlignment="1" applyProtection="1">
      <alignment horizontal="left" vertical="center"/>
      <protection hidden="1"/>
    </xf>
    <xf numFmtId="0" fontId="12" fillId="4" borderId="23" xfId="1" applyFont="1" applyFill="1" applyBorder="1" applyAlignment="1" applyProtection="1">
      <alignment horizontal="left" vertical="center" wrapText="1"/>
      <protection hidden="1"/>
    </xf>
    <xf numFmtId="164" fontId="12" fillId="2" borderId="28" xfId="1" applyNumberFormat="1" applyFont="1" applyFill="1" applyBorder="1" applyAlignment="1" applyProtection="1">
      <alignment horizontal="center" vertical="center"/>
      <protection hidden="1"/>
    </xf>
    <xf numFmtId="164" fontId="12" fillId="4" borderId="5" xfId="1" applyNumberFormat="1" applyFont="1" applyFill="1" applyBorder="1" applyAlignment="1" applyProtection="1">
      <alignment horizontal="right" vertical="center"/>
      <protection hidden="1"/>
    </xf>
    <xf numFmtId="0" fontId="12" fillId="0" borderId="23" xfId="1" applyFont="1" applyBorder="1" applyAlignment="1" applyProtection="1">
      <alignment horizontal="left" vertical="center"/>
      <protection hidden="1"/>
    </xf>
    <xf numFmtId="0" fontId="12" fillId="2" borderId="11" xfId="1" applyFont="1" applyFill="1" applyBorder="1" applyAlignment="1" applyProtection="1">
      <alignment horizontal="center" vertical="center"/>
      <protection hidden="1"/>
    </xf>
    <xf numFmtId="0" fontId="12" fillId="2" borderId="22" xfId="1" applyFont="1" applyFill="1" applyBorder="1" applyAlignment="1" applyProtection="1">
      <alignment horizontal="left" vertical="center"/>
      <protection hidden="1"/>
    </xf>
    <xf numFmtId="0" fontId="12" fillId="2" borderId="26" xfId="1" applyFont="1" applyFill="1" applyBorder="1" applyAlignment="1" applyProtection="1">
      <alignment horizontal="left" vertical="center"/>
      <protection hidden="1"/>
    </xf>
    <xf numFmtId="0" fontId="17" fillId="3" borderId="37" xfId="1" applyFont="1" applyFill="1" applyBorder="1" applyAlignment="1" applyProtection="1">
      <alignment horizontal="left" vertical="center"/>
      <protection hidden="1"/>
    </xf>
    <xf numFmtId="0" fontId="17" fillId="3" borderId="38" xfId="1" applyFont="1" applyFill="1" applyBorder="1" applyAlignment="1" applyProtection="1">
      <alignment horizontal="right" vertical="center"/>
      <protection hidden="1"/>
    </xf>
    <xf numFmtId="0" fontId="17" fillId="3" borderId="38" xfId="1" applyFont="1" applyFill="1" applyBorder="1" applyAlignment="1" applyProtection="1">
      <alignment horizontal="center" vertical="center"/>
      <protection hidden="1"/>
    </xf>
    <xf numFmtId="0" fontId="17" fillId="3" borderId="38" xfId="1" applyFont="1" applyFill="1" applyBorder="1" applyAlignment="1" applyProtection="1">
      <alignment horizontal="left" vertical="center"/>
      <protection hidden="1"/>
    </xf>
    <xf numFmtId="0" fontId="17" fillId="3" borderId="39" xfId="1" applyFont="1" applyFill="1" applyBorder="1" applyAlignment="1" applyProtection="1">
      <alignment horizontal="left" vertical="center"/>
      <protection hidden="1"/>
    </xf>
    <xf numFmtId="0" fontId="12" fillId="2" borderId="23" xfId="2" applyFont="1" applyFill="1" applyBorder="1" applyAlignment="1" applyProtection="1">
      <alignment vertical="center"/>
      <protection hidden="1"/>
    </xf>
    <xf numFmtId="0" fontId="12" fillId="4" borderId="19" xfId="2" applyFont="1" applyFill="1" applyBorder="1" applyAlignment="1" applyProtection="1">
      <alignment vertical="center"/>
      <protection hidden="1"/>
    </xf>
    <xf numFmtId="0" fontId="12" fillId="4" borderId="23" xfId="2" applyFont="1" applyFill="1" applyBorder="1" applyAlignment="1" applyProtection="1">
      <alignment vertical="center"/>
      <protection hidden="1"/>
    </xf>
    <xf numFmtId="0" fontId="12" fillId="2" borderId="28" xfId="1" applyFont="1" applyFill="1" applyBorder="1" applyAlignment="1" applyProtection="1">
      <alignment horizontal="center" vertical="center"/>
      <protection hidden="1"/>
    </xf>
    <xf numFmtId="165" fontId="12" fillId="2" borderId="28" xfId="1" applyNumberFormat="1" applyFont="1" applyFill="1" applyBorder="1" applyAlignment="1" applyProtection="1">
      <alignment horizontal="center" vertical="center"/>
      <protection hidden="1"/>
    </xf>
    <xf numFmtId="0" fontId="12" fillId="0" borderId="36" xfId="1" applyFont="1" applyBorder="1" applyAlignment="1" applyProtection="1">
      <alignment vertical="center"/>
      <protection hidden="1"/>
    </xf>
    <xf numFmtId="0" fontId="12" fillId="0" borderId="28" xfId="1" applyFont="1" applyBorder="1" applyAlignment="1" applyProtection="1">
      <alignment horizontal="center" vertical="center"/>
      <protection hidden="1"/>
    </xf>
    <xf numFmtId="0" fontId="12" fillId="2" borderId="21" xfId="2" applyFont="1" applyFill="1" applyBorder="1" applyAlignment="1" applyProtection="1">
      <alignment vertical="center"/>
      <protection hidden="1"/>
    </xf>
    <xf numFmtId="0" fontId="12" fillId="2" borderId="24" xfId="2" applyFont="1" applyFill="1" applyBorder="1" applyAlignment="1" applyProtection="1">
      <alignment vertical="center"/>
      <protection hidden="1"/>
    </xf>
    <xf numFmtId="0" fontId="12" fillId="2" borderId="57" xfId="1" applyFont="1" applyFill="1" applyBorder="1" applyAlignment="1" applyProtection="1">
      <alignment horizontal="right" vertical="center"/>
      <protection hidden="1"/>
    </xf>
    <xf numFmtId="165" fontId="12" fillId="2" borderId="11" xfId="1" applyNumberFormat="1" applyFont="1" applyFill="1" applyBorder="1" applyAlignment="1" applyProtection="1">
      <alignment horizontal="center" vertical="center"/>
      <protection hidden="1"/>
    </xf>
    <xf numFmtId="0" fontId="12" fillId="2" borderId="22" xfId="2" applyFont="1" applyFill="1" applyBorder="1" applyAlignment="1" applyProtection="1">
      <alignment vertical="center"/>
      <protection hidden="1"/>
    </xf>
    <xf numFmtId="0" fontId="12" fillId="2" borderId="26" xfId="2" applyFont="1" applyFill="1" applyBorder="1" applyAlignment="1" applyProtection="1">
      <alignment vertical="center"/>
      <protection hidden="1"/>
    </xf>
    <xf numFmtId="0" fontId="12" fillId="4" borderId="8" xfId="1" applyFont="1" applyFill="1" applyBorder="1" applyAlignment="1" applyProtection="1">
      <alignment vertical="center"/>
      <protection hidden="1"/>
    </xf>
    <xf numFmtId="0" fontId="12" fillId="4" borderId="23" xfId="2" applyFont="1" applyFill="1" applyBorder="1" applyAlignment="1" applyProtection="1">
      <alignment horizontal="left" vertical="center" wrapText="1"/>
      <protection hidden="1"/>
    </xf>
    <xf numFmtId="164" fontId="12" fillId="2" borderId="5" xfId="1" applyNumberFormat="1" applyFont="1" applyFill="1" applyBorder="1" applyAlignment="1" applyProtection="1">
      <alignment horizontal="center" vertical="center"/>
      <protection hidden="1"/>
    </xf>
    <xf numFmtId="0" fontId="12" fillId="2" borderId="41" xfId="2" applyFont="1" applyFill="1" applyBorder="1" applyAlignment="1" applyProtection="1">
      <alignment horizontal="left" vertical="center"/>
      <protection hidden="1"/>
    </xf>
    <xf numFmtId="0" fontId="12" fillId="2" borderId="42" xfId="2" applyFont="1" applyFill="1" applyBorder="1" applyAlignment="1" applyProtection="1">
      <alignment horizontal="left" vertical="center"/>
      <protection hidden="1"/>
    </xf>
    <xf numFmtId="164" fontId="12" fillId="2" borderId="11" xfId="1" applyNumberFormat="1" applyFont="1" applyFill="1" applyBorder="1" applyAlignment="1" applyProtection="1">
      <alignment horizontal="center" vertical="center"/>
      <protection hidden="1"/>
    </xf>
    <xf numFmtId="0" fontId="12" fillId="2" borderId="22" xfId="2" applyFont="1" applyFill="1" applyBorder="1" applyAlignment="1" applyProtection="1">
      <alignment horizontal="left" vertical="center"/>
      <protection hidden="1"/>
    </xf>
    <xf numFmtId="0" fontId="12" fillId="2" borderId="26" xfId="2" applyFont="1" applyFill="1" applyBorder="1" applyAlignment="1" applyProtection="1">
      <alignment horizontal="left" vertical="center"/>
      <protection hidden="1"/>
    </xf>
    <xf numFmtId="1" fontId="12" fillId="2" borderId="28" xfId="1" applyNumberFormat="1" applyFont="1" applyFill="1" applyBorder="1" applyAlignment="1" applyProtection="1">
      <alignment horizontal="center" vertical="center"/>
      <protection hidden="1"/>
    </xf>
    <xf numFmtId="164" fontId="12" fillId="2" borderId="0" xfId="1" applyNumberFormat="1" applyFont="1" applyFill="1" applyAlignment="1" applyProtection="1">
      <alignment horizontal="center" vertical="center"/>
      <protection hidden="1"/>
    </xf>
    <xf numFmtId="0" fontId="12" fillId="2" borderId="0" xfId="2" applyFont="1" applyFill="1" applyAlignment="1" applyProtection="1">
      <alignment horizontal="left" vertical="center"/>
      <protection hidden="1"/>
    </xf>
    <xf numFmtId="165" fontId="12" fillId="2" borderId="5" xfId="1" applyNumberFormat="1" applyFont="1" applyFill="1" applyBorder="1" applyAlignment="1" applyProtection="1">
      <alignment horizontal="center" vertical="center"/>
      <protection hidden="1"/>
    </xf>
    <xf numFmtId="0" fontId="12" fillId="2" borderId="4" xfId="2" applyFont="1" applyFill="1" applyBorder="1" applyAlignment="1" applyProtection="1">
      <alignment horizontal="left" vertical="center"/>
      <protection hidden="1"/>
    </xf>
    <xf numFmtId="0" fontId="102" fillId="0" borderId="0" xfId="0" applyFont="1" applyProtection="1">
      <alignment vertical="center"/>
      <protection hidden="1"/>
    </xf>
    <xf numFmtId="2" fontId="12" fillId="2" borderId="5" xfId="1" applyNumberFormat="1" applyFont="1" applyFill="1" applyBorder="1" applyAlignment="1" applyProtection="1">
      <alignment horizontal="center" vertical="center"/>
      <protection hidden="1"/>
    </xf>
    <xf numFmtId="164" fontId="12" fillId="2" borderId="30" xfId="1" applyNumberFormat="1" applyFont="1" applyFill="1" applyBorder="1" applyAlignment="1" applyProtection="1">
      <alignment horizontal="center" vertical="center"/>
      <protection hidden="1"/>
    </xf>
    <xf numFmtId="0" fontId="12" fillId="2" borderId="19" xfId="2" applyFont="1" applyFill="1" applyBorder="1" applyAlignment="1" applyProtection="1">
      <alignment horizontal="left" vertical="center"/>
      <protection hidden="1"/>
    </xf>
    <xf numFmtId="0" fontId="12" fillId="2" borderId="23" xfId="2" applyFont="1" applyFill="1" applyBorder="1" applyAlignment="1" applyProtection="1">
      <alignment horizontal="left" vertical="center"/>
      <protection hidden="1"/>
    </xf>
    <xf numFmtId="1" fontId="12" fillId="2" borderId="30" xfId="1" applyNumberFormat="1" applyFont="1" applyFill="1" applyBorder="1" applyAlignment="1" applyProtection="1">
      <alignment horizontal="center" vertical="center"/>
      <protection hidden="1"/>
    </xf>
    <xf numFmtId="0" fontId="12" fillId="2" borderId="23" xfId="1" applyFont="1" applyFill="1" applyBorder="1" applyAlignment="1" applyProtection="1">
      <alignment horizontal="right" vertical="center"/>
      <protection hidden="1"/>
    </xf>
    <xf numFmtId="0" fontId="12" fillId="2" borderId="43" xfId="2" applyFont="1" applyFill="1" applyBorder="1" applyAlignment="1" applyProtection="1">
      <alignment horizontal="left" vertical="center"/>
      <protection hidden="1"/>
    </xf>
    <xf numFmtId="0" fontId="12" fillId="2" borderId="14" xfId="2" applyFont="1" applyFill="1" applyBorder="1" applyAlignment="1" applyProtection="1">
      <alignment horizontal="left" vertical="center"/>
      <protection hidden="1"/>
    </xf>
    <xf numFmtId="0" fontId="12" fillId="2" borderId="21" xfId="2" applyFont="1" applyFill="1" applyBorder="1" applyAlignment="1" applyProtection="1">
      <alignment horizontal="left" vertical="center"/>
      <protection hidden="1"/>
    </xf>
    <xf numFmtId="0" fontId="12" fillId="2" borderId="24" xfId="2" applyFont="1" applyFill="1" applyBorder="1" applyAlignment="1" applyProtection="1">
      <alignment horizontal="left" vertical="center"/>
      <protection hidden="1"/>
    </xf>
    <xf numFmtId="0" fontId="12" fillId="4" borderId="21" xfId="2" applyFont="1" applyFill="1" applyBorder="1" applyAlignment="1" applyProtection="1">
      <alignment horizontal="left" vertical="center"/>
      <protection hidden="1"/>
    </xf>
    <xf numFmtId="0" fontId="12" fillId="4" borderId="41" xfId="2" applyFont="1" applyFill="1" applyBorder="1" applyAlignment="1" applyProtection="1">
      <alignment horizontal="left" vertical="center"/>
      <protection hidden="1"/>
    </xf>
    <xf numFmtId="0" fontId="12" fillId="4" borderId="42" xfId="2" applyFont="1" applyFill="1" applyBorder="1" applyAlignment="1" applyProtection="1">
      <alignment horizontal="left" vertical="center"/>
      <protection hidden="1"/>
    </xf>
    <xf numFmtId="0" fontId="12" fillId="4" borderId="42" xfId="2" applyFont="1" applyFill="1" applyBorder="1" applyAlignment="1" applyProtection="1">
      <alignment horizontal="left" vertical="center" wrapText="1"/>
      <protection hidden="1"/>
    </xf>
    <xf numFmtId="0" fontId="12" fillId="4" borderId="22" xfId="1" applyFont="1" applyFill="1" applyBorder="1" applyAlignment="1" applyProtection="1">
      <alignment horizontal="left" vertical="center"/>
      <protection hidden="1"/>
    </xf>
    <xf numFmtId="0" fontId="12" fillId="4" borderId="19" xfId="2" applyFont="1" applyFill="1" applyBorder="1" applyAlignment="1" applyProtection="1">
      <alignment horizontal="left" vertical="center"/>
      <protection hidden="1"/>
    </xf>
    <xf numFmtId="0" fontId="12" fillId="4" borderId="24" xfId="2" applyFont="1" applyFill="1" applyBorder="1" applyAlignment="1" applyProtection="1">
      <alignment horizontal="left" vertical="center"/>
      <protection hidden="1"/>
    </xf>
    <xf numFmtId="165" fontId="12" fillId="2" borderId="30" xfId="1" applyNumberFormat="1" applyFont="1" applyFill="1" applyBorder="1" applyAlignment="1" applyProtection="1">
      <alignment horizontal="center" vertical="center"/>
      <protection hidden="1"/>
    </xf>
    <xf numFmtId="0" fontId="12" fillId="2" borderId="9" xfId="2" applyFont="1" applyFill="1" applyBorder="1" applyAlignment="1" applyProtection="1">
      <alignment horizontal="left" vertical="center" wrapText="1"/>
      <protection hidden="1"/>
    </xf>
    <xf numFmtId="0" fontId="12" fillId="2" borderId="42" xfId="1" applyFont="1" applyFill="1" applyBorder="1" applyAlignment="1" applyProtection="1">
      <alignment horizontal="left" vertical="center"/>
      <protection hidden="1"/>
    </xf>
    <xf numFmtId="0" fontId="12" fillId="4" borderId="10" xfId="1" applyFont="1" applyFill="1" applyBorder="1" applyAlignment="1" applyProtection="1">
      <alignment vertical="center" wrapText="1"/>
      <protection hidden="1"/>
    </xf>
    <xf numFmtId="0" fontId="12" fillId="4" borderId="22" xfId="2" applyFont="1" applyFill="1" applyBorder="1" applyAlignment="1" applyProtection="1">
      <alignment horizontal="left" vertical="center"/>
      <protection hidden="1"/>
    </xf>
    <xf numFmtId="0" fontId="17" fillId="3" borderId="50" xfId="1" applyFont="1" applyFill="1" applyBorder="1" applyAlignment="1" applyProtection="1">
      <alignment horizontal="left" vertical="center"/>
      <protection hidden="1"/>
    </xf>
    <xf numFmtId="0" fontId="17" fillId="2" borderId="19" xfId="1" applyFont="1" applyFill="1" applyBorder="1" applyAlignment="1" applyProtection="1">
      <alignment horizontal="right" vertical="center"/>
      <protection hidden="1"/>
    </xf>
    <xf numFmtId="0" fontId="17" fillId="2" borderId="49" xfId="1" applyFont="1" applyFill="1" applyBorder="1" applyAlignment="1" applyProtection="1">
      <alignment horizontal="center" vertical="center"/>
      <protection hidden="1"/>
    </xf>
    <xf numFmtId="0" fontId="17" fillId="2" borderId="49" xfId="1" applyFont="1" applyFill="1" applyBorder="1" applyAlignment="1" applyProtection="1">
      <alignment horizontal="left" vertical="center"/>
      <protection hidden="1"/>
    </xf>
    <xf numFmtId="0" fontId="17" fillId="2" borderId="42" xfId="1" applyFont="1" applyFill="1" applyBorder="1" applyAlignment="1" applyProtection="1">
      <alignment horizontal="left" vertical="center"/>
      <protection hidden="1"/>
    </xf>
    <xf numFmtId="0" fontId="17" fillId="3" borderId="8" xfId="1" applyFont="1" applyFill="1" applyBorder="1" applyAlignment="1" applyProtection="1">
      <alignment vertical="center" wrapText="1"/>
      <protection hidden="1"/>
    </xf>
    <xf numFmtId="0" fontId="75" fillId="2" borderId="5" xfId="1" applyFont="1" applyFill="1" applyBorder="1" applyAlignment="1" applyProtection="1">
      <alignment horizontal="right" vertical="center"/>
      <protection hidden="1"/>
    </xf>
    <xf numFmtId="164" fontId="75" fillId="2" borderId="5" xfId="1" applyNumberFormat="1" applyFont="1" applyFill="1" applyBorder="1" applyAlignment="1" applyProtection="1">
      <alignment horizontal="center" vertical="center"/>
      <protection hidden="1"/>
    </xf>
    <xf numFmtId="0" fontId="12" fillId="2" borderId="10" xfId="1" applyFont="1" applyFill="1" applyBorder="1" applyAlignment="1" applyProtection="1">
      <alignment vertical="center" wrapText="1"/>
      <protection hidden="1"/>
    </xf>
    <xf numFmtId="0" fontId="0" fillId="0" borderId="0" xfId="0" applyAlignment="1" applyProtection="1">
      <alignment horizontal="center" vertical="center"/>
      <protection hidden="1"/>
    </xf>
    <xf numFmtId="1" fontId="12" fillId="4" borderId="28" xfId="1" applyNumberFormat="1" applyFont="1" applyFill="1" applyBorder="1" applyAlignment="1" applyProtection="1">
      <alignment horizontal="center" vertical="center"/>
      <protection locked="0"/>
    </xf>
    <xf numFmtId="0" fontId="40" fillId="0" borderId="0" xfId="0" applyFont="1" applyAlignment="1">
      <alignment vertical="center" wrapText="1"/>
    </xf>
    <xf numFmtId="0" fontId="93" fillId="0" borderId="0" xfId="0" applyFont="1" applyAlignment="1">
      <alignment horizontal="center" vertical="center" wrapText="1"/>
    </xf>
    <xf numFmtId="0" fontId="25" fillId="2" borderId="10" xfId="3" applyFont="1" applyFill="1" applyBorder="1" applyAlignment="1">
      <alignment vertical="center"/>
    </xf>
    <xf numFmtId="0" fontId="33" fillId="2" borderId="47" xfId="3" applyFont="1" applyFill="1" applyBorder="1" applyAlignment="1">
      <alignment vertical="center"/>
    </xf>
    <xf numFmtId="164" fontId="33" fillId="2" borderId="38" xfId="3" applyNumberFormat="1" applyFont="1" applyFill="1" applyBorder="1" applyAlignment="1">
      <alignment vertical="center"/>
    </xf>
    <xf numFmtId="0" fontId="33" fillId="2" borderId="38" xfId="3" applyFont="1" applyFill="1" applyBorder="1" applyAlignment="1">
      <alignment vertical="center"/>
    </xf>
    <xf numFmtId="0" fontId="33" fillId="2" borderId="39" xfId="3" applyFont="1" applyFill="1" applyBorder="1" applyAlignment="1">
      <alignment vertical="center"/>
    </xf>
    <xf numFmtId="0" fontId="33" fillId="2" borderId="19" xfId="3" applyFont="1" applyFill="1" applyBorder="1" applyAlignment="1">
      <alignment vertical="center"/>
    </xf>
    <xf numFmtId="164" fontId="33" fillId="2" borderId="20" xfId="3" applyNumberFormat="1" applyFont="1" applyFill="1" applyBorder="1" applyAlignment="1">
      <alignment vertical="center"/>
    </xf>
    <xf numFmtId="0" fontId="34" fillId="2" borderId="48" xfId="3" applyFont="1" applyFill="1" applyBorder="1" applyAlignment="1">
      <alignment horizontal="center" vertical="center"/>
    </xf>
    <xf numFmtId="0" fontId="34" fillId="2" borderId="32" xfId="3" applyFont="1" applyFill="1" applyBorder="1" applyAlignment="1">
      <alignment horizontal="center" vertical="center"/>
    </xf>
    <xf numFmtId="0" fontId="33" fillId="2" borderId="7" xfId="3" applyFont="1" applyFill="1" applyBorder="1" applyAlignment="1">
      <alignment vertical="center"/>
    </xf>
    <xf numFmtId="0" fontId="33" fillId="2" borderId="7" xfId="3" applyFont="1" applyFill="1" applyBorder="1" applyAlignment="1">
      <alignment horizontal="left" vertical="center"/>
    </xf>
    <xf numFmtId="0" fontId="33" fillId="2" borderId="47" xfId="3" applyFont="1" applyFill="1" applyBorder="1" applyAlignment="1">
      <alignment horizontal="left" vertical="center"/>
    </xf>
    <xf numFmtId="0" fontId="33" fillId="2" borderId="20" xfId="3" applyFont="1" applyFill="1" applyBorder="1" applyAlignment="1">
      <alignment vertical="center"/>
    </xf>
    <xf numFmtId="0" fontId="33" fillId="2" borderId="23" xfId="3" applyFont="1" applyFill="1" applyBorder="1" applyAlignment="1">
      <alignment vertical="center"/>
    </xf>
    <xf numFmtId="0" fontId="34" fillId="0" borderId="0" xfId="0" quotePrefix="1" applyFont="1">
      <alignment vertical="center"/>
    </xf>
    <xf numFmtId="0" fontId="26" fillId="2" borderId="19" xfId="3" applyFont="1" applyFill="1" applyBorder="1" applyAlignment="1">
      <alignment vertical="center"/>
    </xf>
    <xf numFmtId="165" fontId="26" fillId="2" borderId="20" xfId="3" applyNumberFormat="1" applyFont="1" applyFill="1" applyBorder="1" applyAlignment="1">
      <alignment vertical="center"/>
    </xf>
    <xf numFmtId="0" fontId="26" fillId="2" borderId="20" xfId="3" applyFont="1" applyFill="1" applyBorder="1" applyAlignment="1">
      <alignment vertical="center"/>
    </xf>
    <xf numFmtId="0" fontId="26" fillId="2" borderId="23" xfId="3" applyFont="1" applyFill="1" applyBorder="1" applyAlignment="1">
      <alignment vertical="center"/>
    </xf>
    <xf numFmtId="2" fontId="26" fillId="2" borderId="20" xfId="3" applyNumberFormat="1" applyFont="1" applyFill="1" applyBorder="1" applyAlignment="1">
      <alignment vertical="center"/>
    </xf>
    <xf numFmtId="164" fontId="26" fillId="2" borderId="20" xfId="3" applyNumberFormat="1" applyFont="1" applyFill="1" applyBorder="1" applyAlignment="1">
      <alignment vertical="center"/>
    </xf>
    <xf numFmtId="1" fontId="26" fillId="2" borderId="20" xfId="3" applyNumberFormat="1" applyFont="1" applyFill="1" applyBorder="1" applyAlignment="1">
      <alignment vertical="center"/>
    </xf>
    <xf numFmtId="164" fontId="26" fillId="2" borderId="19" xfId="3" applyNumberFormat="1" applyFont="1" applyFill="1" applyBorder="1" applyAlignment="1">
      <alignment vertical="center"/>
    </xf>
    <xf numFmtId="0" fontId="96" fillId="0" borderId="0" xfId="0" applyFont="1" applyProtection="1">
      <alignment vertical="center"/>
      <protection hidden="1"/>
    </xf>
    <xf numFmtId="0" fontId="32" fillId="2" borderId="0" xfId="1" applyFont="1" applyFill="1" applyAlignment="1" applyProtection="1">
      <alignment horizontal="right" vertical="center" wrapText="1"/>
      <protection hidden="1"/>
    </xf>
    <xf numFmtId="0" fontId="104" fillId="2" borderId="0" xfId="1" applyFont="1" applyFill="1" applyAlignment="1" applyProtection="1">
      <alignment horizontal="left" vertical="center"/>
      <protection hidden="1"/>
    </xf>
    <xf numFmtId="0" fontId="10" fillId="2" borderId="0" xfId="1" applyFont="1" applyFill="1" applyAlignment="1" applyProtection="1">
      <alignment horizontal="center" vertical="center" wrapText="1"/>
      <protection hidden="1"/>
    </xf>
    <xf numFmtId="0" fontId="69" fillId="0" borderId="0" xfId="0" applyFont="1" applyProtection="1">
      <alignment vertical="center"/>
      <protection hidden="1"/>
    </xf>
    <xf numFmtId="0" fontId="4" fillId="0" borderId="0" xfId="0" applyFont="1" applyProtection="1">
      <alignment vertical="center"/>
      <protection hidden="1"/>
    </xf>
    <xf numFmtId="0" fontId="4" fillId="0" borderId="0" xfId="0" quotePrefix="1" applyFont="1" applyProtection="1">
      <alignment vertical="center"/>
      <protection hidden="1"/>
    </xf>
    <xf numFmtId="0" fontId="68" fillId="2" borderId="0" xfId="0" applyFont="1" applyFill="1" applyAlignment="1" applyProtection="1">
      <alignment horizontal="right" vertical="center"/>
      <protection hidden="1"/>
    </xf>
    <xf numFmtId="0" fontId="82" fillId="2" borderId="0" xfId="0" applyFont="1" applyFill="1" applyAlignment="1" applyProtection="1">
      <alignment horizontal="right" vertical="center"/>
      <protection hidden="1"/>
    </xf>
    <xf numFmtId="0" fontId="82" fillId="2" borderId="0" xfId="0" applyFont="1" applyFill="1" applyAlignment="1" applyProtection="1">
      <alignment horizontal="center" vertical="center"/>
      <protection hidden="1"/>
    </xf>
    <xf numFmtId="0" fontId="82" fillId="2" borderId="0" xfId="0" applyFont="1" applyFill="1" applyProtection="1">
      <alignment vertical="center"/>
      <protection hidden="1"/>
    </xf>
    <xf numFmtId="0" fontId="45" fillId="2" borderId="0" xfId="0" applyFont="1" applyFill="1" applyProtection="1">
      <alignment vertical="center"/>
      <protection hidden="1"/>
    </xf>
    <xf numFmtId="0" fontId="12" fillId="2" borderId="45" xfId="4" applyFont="1" applyFill="1" applyBorder="1" applyAlignment="1" applyProtection="1">
      <alignment vertical="center"/>
      <protection hidden="1"/>
    </xf>
    <xf numFmtId="0" fontId="12" fillId="2" borderId="41" xfId="4" applyFont="1" applyFill="1" applyBorder="1" applyAlignment="1" applyProtection="1">
      <alignment horizontal="center" vertical="center"/>
      <protection hidden="1"/>
    </xf>
    <xf numFmtId="0" fontId="12" fillId="2" borderId="53" xfId="1" applyFont="1" applyFill="1" applyBorder="1" applyAlignment="1" applyProtection="1">
      <alignment vertical="center"/>
      <protection hidden="1"/>
    </xf>
    <xf numFmtId="0" fontId="12" fillId="2" borderId="20" xfId="1" applyFont="1" applyFill="1" applyBorder="1" applyAlignment="1" applyProtection="1">
      <alignment horizontal="left" vertical="center"/>
      <protection hidden="1"/>
    </xf>
    <xf numFmtId="0" fontId="88" fillId="0" borderId="14" xfId="0" applyFont="1" applyBorder="1" applyProtection="1">
      <alignment vertical="center"/>
      <protection hidden="1"/>
    </xf>
    <xf numFmtId="0" fontId="12" fillId="2" borderId="53" xfId="1" applyFont="1" applyFill="1" applyBorder="1" applyAlignment="1" applyProtection="1">
      <alignment vertical="center" wrapText="1"/>
      <protection hidden="1"/>
    </xf>
    <xf numFmtId="0" fontId="12" fillId="2" borderId="5" xfId="1" applyFont="1" applyFill="1" applyBorder="1" applyAlignment="1" applyProtection="1">
      <alignment horizontal="right" vertical="center" wrapText="1"/>
      <protection hidden="1"/>
    </xf>
    <xf numFmtId="0" fontId="88" fillId="2" borderId="13" xfId="0" applyFont="1" applyFill="1" applyBorder="1" applyProtection="1">
      <alignment vertical="center"/>
      <protection hidden="1"/>
    </xf>
    <xf numFmtId="0" fontId="88" fillId="2" borderId="0" xfId="0" applyFont="1" applyFill="1" applyAlignment="1" applyProtection="1">
      <alignment horizontal="right" vertical="center"/>
      <protection hidden="1"/>
    </xf>
    <xf numFmtId="0" fontId="88" fillId="2" borderId="0" xfId="0" applyFont="1" applyFill="1" applyProtection="1">
      <alignment vertical="center"/>
      <protection hidden="1"/>
    </xf>
    <xf numFmtId="0" fontId="12" fillId="2" borderId="54" xfId="1" applyFont="1" applyFill="1" applyBorder="1" applyAlignment="1" applyProtection="1">
      <alignment vertical="center"/>
      <protection hidden="1"/>
    </xf>
    <xf numFmtId="0" fontId="12" fillId="0" borderId="53" xfId="1" applyFont="1" applyBorder="1" applyAlignment="1" applyProtection="1">
      <alignment vertical="center"/>
      <protection hidden="1"/>
    </xf>
    <xf numFmtId="0" fontId="12" fillId="2" borderId="20" xfId="1" applyFont="1" applyFill="1" applyBorder="1" applyAlignment="1" applyProtection="1">
      <alignment vertical="center"/>
      <protection hidden="1"/>
    </xf>
    <xf numFmtId="0" fontId="12" fillId="2" borderId="41" xfId="1" applyFont="1" applyFill="1" applyBorder="1" applyAlignment="1" applyProtection="1">
      <alignment vertical="center"/>
      <protection hidden="1"/>
    </xf>
    <xf numFmtId="0" fontId="12" fillId="2" borderId="55" xfId="1" applyFont="1" applyFill="1" applyBorder="1" applyAlignment="1" applyProtection="1">
      <alignment vertical="center"/>
      <protection hidden="1"/>
    </xf>
    <xf numFmtId="0" fontId="12" fillId="2" borderId="21" xfId="1" applyFont="1" applyFill="1" applyBorder="1" applyAlignment="1" applyProtection="1">
      <alignment vertical="center"/>
      <protection hidden="1"/>
    </xf>
    <xf numFmtId="0" fontId="12" fillId="2" borderId="53" xfId="1" applyFont="1" applyFill="1" applyBorder="1" applyAlignment="1" applyProtection="1">
      <alignment horizontal="left" vertical="center"/>
      <protection hidden="1"/>
    </xf>
    <xf numFmtId="0" fontId="88" fillId="0" borderId="19" xfId="0" applyFont="1" applyBorder="1" applyProtection="1">
      <alignment vertical="center"/>
      <protection hidden="1"/>
    </xf>
    <xf numFmtId="0" fontId="12" fillId="2" borderId="19" xfId="1" quotePrefix="1" applyFont="1" applyFill="1" applyBorder="1" applyAlignment="1" applyProtection="1">
      <alignment vertical="center"/>
      <protection hidden="1"/>
    </xf>
    <xf numFmtId="0" fontId="18" fillId="2" borderId="8" xfId="1" applyFont="1" applyFill="1" applyBorder="1" applyAlignment="1" applyProtection="1">
      <alignment vertical="center"/>
      <protection hidden="1"/>
    </xf>
    <xf numFmtId="0" fontId="18" fillId="2" borderId="20" xfId="1" applyFont="1" applyFill="1" applyBorder="1" applyAlignment="1" applyProtection="1">
      <alignment horizontal="right" vertical="center"/>
      <protection hidden="1"/>
    </xf>
    <xf numFmtId="0" fontId="12" fillId="0" borderId="19" xfId="1" applyFont="1" applyBorder="1" applyAlignment="1" applyProtection="1">
      <alignment horizontal="center" vertical="center"/>
      <protection hidden="1"/>
    </xf>
    <xf numFmtId="0" fontId="12" fillId="2" borderId="20" xfId="1" applyFont="1" applyFill="1" applyBorder="1" applyAlignment="1" applyProtection="1">
      <alignment horizontal="left" vertical="center" wrapText="1"/>
      <protection hidden="1"/>
    </xf>
    <xf numFmtId="0" fontId="12" fillId="2" borderId="23" xfId="1" applyFont="1" applyFill="1" applyBorder="1" applyAlignment="1" applyProtection="1">
      <alignment horizontal="left" vertical="center" wrapText="1"/>
      <protection hidden="1"/>
    </xf>
    <xf numFmtId="0" fontId="63" fillId="0" borderId="0" xfId="0" applyFont="1" applyProtection="1">
      <alignment vertical="center"/>
      <protection hidden="1"/>
    </xf>
    <xf numFmtId="0" fontId="12" fillId="2" borderId="27" xfId="1" applyFont="1" applyFill="1" applyBorder="1" applyAlignment="1" applyProtection="1">
      <alignment horizontal="right" vertical="center"/>
      <protection hidden="1"/>
    </xf>
    <xf numFmtId="0" fontId="12" fillId="2" borderId="6" xfId="1" applyFont="1" applyFill="1" applyBorder="1" applyAlignment="1" applyProtection="1">
      <alignment vertical="center"/>
      <protection hidden="1"/>
    </xf>
    <xf numFmtId="0" fontId="12" fillId="2" borderId="24" xfId="1" applyFont="1" applyFill="1" applyBorder="1" applyAlignment="1" applyProtection="1">
      <alignment vertical="center"/>
      <protection hidden="1"/>
    </xf>
    <xf numFmtId="1" fontId="12" fillId="2" borderId="19" xfId="1" applyNumberFormat="1" applyFont="1" applyFill="1" applyBorder="1" applyAlignment="1" applyProtection="1">
      <alignment horizontal="center" vertical="center"/>
      <protection hidden="1"/>
    </xf>
    <xf numFmtId="0" fontId="18" fillId="2" borderId="8" xfId="1" applyFont="1" applyFill="1" applyBorder="1" applyAlignment="1" applyProtection="1">
      <alignment vertical="center" wrapText="1"/>
      <protection hidden="1"/>
    </xf>
    <xf numFmtId="0" fontId="18" fillId="2" borderId="20" xfId="1" applyFont="1" applyFill="1" applyBorder="1" applyAlignment="1" applyProtection="1">
      <alignment horizontal="right" vertical="center" wrapText="1"/>
      <protection hidden="1"/>
    </xf>
    <xf numFmtId="0" fontId="12" fillId="2" borderId="14" xfId="1" applyFont="1" applyFill="1" applyBorder="1" applyAlignment="1" applyProtection="1">
      <alignment vertical="center"/>
      <protection hidden="1"/>
    </xf>
    <xf numFmtId="1" fontId="12" fillId="2" borderId="22" xfId="1" applyNumberFormat="1" applyFont="1" applyFill="1" applyBorder="1" applyAlignment="1" applyProtection="1">
      <alignment horizontal="center" vertical="center"/>
      <protection hidden="1"/>
    </xf>
    <xf numFmtId="0" fontId="18" fillId="2" borderId="25" xfId="1" applyFont="1" applyFill="1" applyBorder="1" applyAlignment="1" applyProtection="1">
      <alignment horizontal="left" vertical="center"/>
      <protection hidden="1"/>
    </xf>
    <xf numFmtId="0" fontId="18" fillId="2" borderId="26" xfId="1" applyFont="1" applyFill="1" applyBorder="1" applyAlignment="1" applyProtection="1">
      <alignment horizontal="left" vertical="center"/>
      <protection hidden="1"/>
    </xf>
    <xf numFmtId="0" fontId="12" fillId="2" borderId="0" xfId="1" applyFont="1" applyFill="1" applyAlignment="1" applyProtection="1">
      <alignment vertical="center" wrapText="1"/>
      <protection hidden="1"/>
    </xf>
    <xf numFmtId="0" fontId="12" fillId="2" borderId="0" xfId="1" applyFont="1" applyFill="1" applyAlignment="1" applyProtection="1">
      <alignment horizontal="left" vertical="center"/>
      <protection hidden="1"/>
    </xf>
    <xf numFmtId="0" fontId="12" fillId="2" borderId="50" xfId="1" applyFont="1" applyFill="1" applyBorder="1" applyAlignment="1" applyProtection="1">
      <alignment horizontal="left" vertical="center"/>
      <protection hidden="1"/>
    </xf>
    <xf numFmtId="0" fontId="12" fillId="2" borderId="8" xfId="1" applyFont="1" applyFill="1" applyBorder="1" applyAlignment="1" applyProtection="1">
      <alignment horizontal="left" vertical="center"/>
      <protection hidden="1"/>
    </xf>
    <xf numFmtId="0" fontId="12" fillId="2" borderId="54" xfId="1" applyFont="1" applyFill="1" applyBorder="1" applyAlignment="1" applyProtection="1">
      <alignment vertical="center" wrapText="1"/>
      <protection hidden="1"/>
    </xf>
    <xf numFmtId="0" fontId="12" fillId="0" borderId="22" xfId="1" applyFont="1" applyBorder="1" applyAlignment="1" applyProtection="1">
      <alignment horizontal="center" vertical="center"/>
      <protection hidden="1"/>
    </xf>
    <xf numFmtId="0" fontId="12" fillId="2" borderId="25" xfId="1" applyFont="1" applyFill="1" applyBorder="1" applyAlignment="1" applyProtection="1">
      <alignment vertical="center"/>
      <protection hidden="1"/>
    </xf>
    <xf numFmtId="0" fontId="18" fillId="2" borderId="23" xfId="1" applyFont="1" applyFill="1" applyBorder="1" applyAlignment="1" applyProtection="1">
      <alignment horizontal="left" vertical="center"/>
      <protection hidden="1"/>
    </xf>
    <xf numFmtId="0" fontId="103" fillId="0" borderId="0" xfId="0" applyFont="1" applyProtection="1">
      <alignment vertical="center"/>
      <protection hidden="1"/>
    </xf>
    <xf numFmtId="0" fontId="21" fillId="2" borderId="8" xfId="1" applyFont="1" applyFill="1" applyBorder="1" applyAlignment="1" applyProtection="1">
      <alignment horizontal="left" vertical="center"/>
      <protection hidden="1"/>
    </xf>
    <xf numFmtId="0" fontId="21" fillId="2" borderId="53" xfId="1" applyFont="1" applyFill="1" applyBorder="1" applyAlignment="1" applyProtection="1">
      <alignment vertical="center"/>
      <protection hidden="1"/>
    </xf>
    <xf numFmtId="0" fontId="21" fillId="2" borderId="19" xfId="1" applyFont="1" applyFill="1" applyBorder="1" applyAlignment="1" applyProtection="1">
      <alignment vertical="center"/>
      <protection hidden="1"/>
    </xf>
    <xf numFmtId="0" fontId="21" fillId="2" borderId="55" xfId="1" applyFont="1" applyFill="1" applyBorder="1" applyAlignment="1" applyProtection="1">
      <alignment vertical="center"/>
      <protection hidden="1"/>
    </xf>
    <xf numFmtId="0" fontId="21" fillId="2" borderId="28" xfId="1" applyFont="1" applyFill="1" applyBorder="1" applyAlignment="1" applyProtection="1">
      <alignment horizontal="right" vertical="center"/>
      <protection hidden="1"/>
    </xf>
    <xf numFmtId="0" fontId="21" fillId="2" borderId="54" xfId="1" applyFont="1" applyFill="1" applyBorder="1" applyAlignment="1" applyProtection="1">
      <alignment vertical="center"/>
      <protection hidden="1"/>
    </xf>
    <xf numFmtId="0" fontId="21" fillId="2" borderId="11" xfId="1" applyFont="1" applyFill="1" applyBorder="1" applyAlignment="1" applyProtection="1">
      <alignment horizontal="right" vertical="center"/>
      <protection hidden="1"/>
    </xf>
    <xf numFmtId="0" fontId="21" fillId="2" borderId="22" xfId="1" applyFont="1" applyFill="1" applyBorder="1" applyAlignment="1" applyProtection="1">
      <alignment vertical="center"/>
      <protection hidden="1"/>
    </xf>
    <xf numFmtId="0" fontId="12" fillId="2" borderId="6" xfId="1" applyFont="1" applyFill="1" applyBorder="1" applyAlignment="1" applyProtection="1">
      <alignment horizontal="left" vertical="center" wrapText="1"/>
      <protection hidden="1"/>
    </xf>
    <xf numFmtId="0" fontId="12" fillId="2" borderId="24" xfId="1" applyFont="1" applyFill="1" applyBorder="1" applyAlignment="1" applyProtection="1">
      <alignment horizontal="left" vertical="center" wrapText="1"/>
      <protection hidden="1"/>
    </xf>
    <xf numFmtId="0" fontId="12" fillId="2" borderId="49" xfId="1" applyFont="1" applyFill="1" applyBorder="1" applyAlignment="1" applyProtection="1">
      <alignment vertical="center"/>
      <protection hidden="1"/>
    </xf>
    <xf numFmtId="0" fontId="12" fillId="2" borderId="42" xfId="1" applyFont="1" applyFill="1" applyBorder="1" applyAlignment="1" applyProtection="1">
      <alignment vertical="center"/>
      <protection hidden="1"/>
    </xf>
    <xf numFmtId="0" fontId="48" fillId="2" borderId="23" xfId="2" applyFont="1" applyFill="1" applyBorder="1" applyAlignment="1" applyProtection="1">
      <alignment vertical="center"/>
      <protection hidden="1"/>
    </xf>
    <xf numFmtId="0" fontId="105" fillId="2" borderId="0" xfId="1" applyFont="1" applyFill="1" applyAlignment="1" applyProtection="1">
      <alignment horizontal="left" vertical="center"/>
      <protection hidden="1"/>
    </xf>
    <xf numFmtId="0" fontId="32" fillId="2" borderId="0" xfId="1" applyFont="1" applyFill="1" applyAlignment="1" applyProtection="1">
      <alignment horizontal="center" vertical="center"/>
      <protection hidden="1"/>
    </xf>
    <xf numFmtId="0" fontId="45" fillId="2" borderId="14" xfId="0" applyFont="1" applyFill="1" applyBorder="1" applyAlignment="1" applyProtection="1">
      <alignment horizontal="right" vertical="center"/>
      <protection hidden="1"/>
    </xf>
    <xf numFmtId="0" fontId="45" fillId="0" borderId="0" xfId="0" applyFont="1" applyProtection="1">
      <alignment vertical="center"/>
      <protection hidden="1"/>
    </xf>
    <xf numFmtId="0" fontId="106" fillId="0" borderId="0" xfId="0" applyFont="1">
      <alignment vertical="center"/>
    </xf>
    <xf numFmtId="0" fontId="46" fillId="0" borderId="0" xfId="1" applyFont="1" applyAlignment="1">
      <alignment vertical="center"/>
    </xf>
    <xf numFmtId="167" fontId="106" fillId="0" borderId="0" xfId="0" applyNumberFormat="1" applyFont="1">
      <alignment vertical="center"/>
    </xf>
    <xf numFmtId="164" fontId="93" fillId="0" borderId="0" xfId="0" applyNumberFormat="1" applyFont="1">
      <alignment vertical="center"/>
    </xf>
    <xf numFmtId="0" fontId="108" fillId="2" borderId="23" xfId="2" applyFont="1" applyFill="1" applyBorder="1" applyAlignment="1" applyProtection="1">
      <alignment horizontal="right" vertical="center"/>
      <protection hidden="1"/>
    </xf>
    <xf numFmtId="0" fontId="107" fillId="0" borderId="0" xfId="0" applyFont="1">
      <alignment vertical="center"/>
    </xf>
    <xf numFmtId="164" fontId="95" fillId="0" borderId="0" xfId="0" applyNumberFormat="1" applyFont="1">
      <alignment vertical="center"/>
    </xf>
    <xf numFmtId="0" fontId="48" fillId="2" borderId="23" xfId="1" applyFont="1" applyFill="1" applyBorder="1" applyAlignment="1" applyProtection="1">
      <alignment horizontal="left" vertical="center"/>
      <protection hidden="1"/>
    </xf>
    <xf numFmtId="0" fontId="106" fillId="0" borderId="0" xfId="0" applyFont="1" applyAlignment="1">
      <alignment horizontal="right" vertical="center"/>
    </xf>
    <xf numFmtId="0" fontId="106" fillId="0" borderId="0" xfId="0" quotePrefix="1" applyFont="1">
      <alignment vertical="center"/>
    </xf>
    <xf numFmtId="0" fontId="67" fillId="0" borderId="0" xfId="0" quotePrefix="1" applyFont="1">
      <alignment vertical="center"/>
    </xf>
    <xf numFmtId="0" fontId="93" fillId="0" borderId="0" xfId="0" applyFont="1" applyProtection="1">
      <alignment vertical="center"/>
      <protection hidden="1"/>
    </xf>
    <xf numFmtId="166" fontId="26" fillId="2" borderId="21" xfId="1" applyNumberFormat="1" applyFont="1" applyFill="1" applyBorder="1" applyAlignment="1" applyProtection="1">
      <alignment horizontal="left" vertical="center"/>
      <protection hidden="1"/>
    </xf>
    <xf numFmtId="166" fontId="26" fillId="2" borderId="24" xfId="1" applyNumberFormat="1" applyFont="1" applyFill="1" applyBorder="1" applyAlignment="1" applyProtection="1">
      <alignment horizontal="left" vertical="center"/>
      <protection hidden="1"/>
    </xf>
    <xf numFmtId="0" fontId="26" fillId="2" borderId="21" xfId="1" applyFont="1" applyFill="1" applyBorder="1" applyAlignment="1" applyProtection="1">
      <alignment vertical="center"/>
      <protection hidden="1"/>
    </xf>
    <xf numFmtId="0" fontId="26" fillId="2" borderId="24" xfId="1" applyFont="1" applyFill="1" applyBorder="1" applyAlignment="1" applyProtection="1">
      <alignment vertical="center"/>
      <protection hidden="1"/>
    </xf>
    <xf numFmtId="1" fontId="12" fillId="7" borderId="19" xfId="1" applyNumberFormat="1" applyFont="1" applyFill="1" applyBorder="1" applyAlignment="1" applyProtection="1">
      <alignment horizontal="center" vertical="center"/>
      <protection hidden="1"/>
    </xf>
    <xf numFmtId="0" fontId="109" fillId="0" borderId="58" xfId="0" applyFont="1" applyBorder="1" applyAlignment="1" applyProtection="1">
      <alignment horizontal="center" wrapText="1"/>
      <protection hidden="1"/>
    </xf>
    <xf numFmtId="0" fontId="109" fillId="0" borderId="59" xfId="0" applyFont="1" applyBorder="1" applyAlignment="1" applyProtection="1">
      <alignment horizontal="center" wrapText="1"/>
      <protection hidden="1"/>
    </xf>
    <xf numFmtId="0" fontId="109" fillId="0" borderId="59" xfId="0" applyFont="1" applyBorder="1" applyAlignment="1" applyProtection="1">
      <alignment horizontal="center"/>
      <protection hidden="1"/>
    </xf>
    <xf numFmtId="0" fontId="109" fillId="0" borderId="60" xfId="0" applyFont="1" applyBorder="1" applyAlignment="1" applyProtection="1">
      <protection hidden="1"/>
    </xf>
    <xf numFmtId="0" fontId="0" fillId="0" borderId="8"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17" fontId="0" fillId="0" borderId="5" xfId="0" quotePrefix="1" applyNumberFormat="1" applyBorder="1" applyAlignment="1" applyProtection="1">
      <alignment horizontal="center" vertical="center"/>
      <protection hidden="1"/>
    </xf>
    <xf numFmtId="0" fontId="1" fillId="0" borderId="44" xfId="0" quotePrefix="1" applyFont="1" applyBorder="1" applyAlignment="1" applyProtection="1">
      <alignment vertical="center" wrapText="1"/>
      <protection hidden="1"/>
    </xf>
    <xf numFmtId="0" fontId="0" fillId="0" borderId="10"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17" fontId="0" fillId="0" borderId="11" xfId="0" quotePrefix="1" applyNumberFormat="1" applyBorder="1" applyAlignment="1" applyProtection="1">
      <alignment horizontal="center" vertical="center"/>
      <protection hidden="1"/>
    </xf>
    <xf numFmtId="0" fontId="1" fillId="0" borderId="12" xfId="0" quotePrefix="1" applyFont="1" applyBorder="1" applyAlignment="1" applyProtection="1">
      <alignment vertical="center" wrapText="1"/>
      <protection hidden="1"/>
    </xf>
    <xf numFmtId="0" fontId="21" fillId="2" borderId="42" xfId="1" applyFont="1" applyFill="1" applyBorder="1" applyAlignment="1" applyProtection="1">
      <alignment horizontal="left" vertical="center"/>
      <protection hidden="1"/>
    </xf>
    <xf numFmtId="0" fontId="21" fillId="2" borderId="19" xfId="2" applyFont="1" applyFill="1" applyBorder="1" applyAlignment="1" applyProtection="1">
      <alignment vertical="center"/>
      <protection hidden="1"/>
    </xf>
    <xf numFmtId="0" fontId="48" fillId="0" borderId="0" xfId="1" applyFont="1" applyAlignment="1">
      <alignment vertical="center"/>
    </xf>
    <xf numFmtId="0" fontId="59" fillId="0" borderId="61" xfId="0" applyFont="1" applyBorder="1" applyAlignment="1" applyProtection="1">
      <alignment horizontal="center" vertical="center" wrapText="1"/>
      <protection hidden="1"/>
    </xf>
    <xf numFmtId="0" fontId="59" fillId="0" borderId="62" xfId="0" applyFont="1" applyBorder="1" applyAlignment="1" applyProtection="1">
      <alignment horizontal="center" vertical="center" wrapText="1"/>
      <protection hidden="1"/>
    </xf>
    <xf numFmtId="17" fontId="59" fillId="0" borderId="62" xfId="0" quotePrefix="1" applyNumberFormat="1" applyFont="1" applyBorder="1" applyAlignment="1" applyProtection="1">
      <alignment horizontal="center" vertical="center"/>
      <protection hidden="1"/>
    </xf>
    <xf numFmtId="0" fontId="59" fillId="0" borderId="34" xfId="0" quotePrefix="1" applyFont="1" applyBorder="1" applyAlignment="1" applyProtection="1">
      <alignment vertical="center" wrapText="1"/>
      <protection hidden="1"/>
    </xf>
    <xf numFmtId="0" fontId="21" fillId="0" borderId="0" xfId="0" applyFont="1" applyAlignment="1">
      <alignment vertical="center" wrapText="1"/>
    </xf>
    <xf numFmtId="0" fontId="0" fillId="0" borderId="23" xfId="0" applyBorder="1" applyAlignment="1" applyProtection="1">
      <alignment horizontal="left" vertical="center"/>
      <protection hidden="1"/>
    </xf>
    <xf numFmtId="0" fontId="12" fillId="4" borderId="19" xfId="1" applyFont="1" applyFill="1" applyBorder="1" applyAlignment="1" applyProtection="1">
      <alignment horizontal="center" vertical="center"/>
      <protection locked="0"/>
    </xf>
    <xf numFmtId="0" fontId="12" fillId="4" borderId="27" xfId="1" applyFont="1" applyFill="1" applyBorder="1" applyAlignment="1" applyProtection="1">
      <alignment horizontal="center" vertical="center"/>
      <protection locked="0"/>
    </xf>
    <xf numFmtId="0" fontId="21" fillId="4" borderId="19" xfId="1" applyFont="1" applyFill="1" applyBorder="1" applyAlignment="1" applyProtection="1">
      <alignment horizontal="center" vertical="center"/>
      <protection locked="0"/>
    </xf>
    <xf numFmtId="0" fontId="21" fillId="4" borderId="27" xfId="1" applyFont="1" applyFill="1" applyBorder="1" applyAlignment="1" applyProtection="1">
      <alignment horizontal="center" vertical="center"/>
      <protection locked="0"/>
    </xf>
    <xf numFmtId="0" fontId="12" fillId="2" borderId="20" xfId="1" applyFont="1" applyFill="1" applyBorder="1" applyAlignment="1" applyProtection="1">
      <alignment horizontal="left" vertical="center"/>
      <protection hidden="1"/>
    </xf>
    <xf numFmtId="0" fontId="12" fillId="2" borderId="23" xfId="1" applyFont="1" applyFill="1" applyBorder="1" applyAlignment="1" applyProtection="1">
      <alignment horizontal="left" vertical="center"/>
      <protection hidden="1"/>
    </xf>
    <xf numFmtId="0" fontId="21" fillId="2" borderId="40" xfId="1" applyFont="1" applyFill="1" applyBorder="1" applyAlignment="1" applyProtection="1">
      <alignment horizontal="left" vertical="center" wrapText="1"/>
      <protection hidden="1"/>
    </xf>
    <xf numFmtId="0" fontId="32" fillId="2" borderId="12" xfId="1" applyFont="1" applyFill="1" applyBorder="1" applyAlignment="1" applyProtection="1">
      <alignment horizontal="left" vertical="center" wrapText="1"/>
      <protection hidden="1"/>
    </xf>
    <xf numFmtId="0" fontId="12" fillId="2" borderId="20" xfId="1" applyFont="1" applyFill="1" applyBorder="1" applyAlignment="1" applyProtection="1">
      <alignment horizontal="left" vertical="center" wrapText="1"/>
      <protection hidden="1"/>
    </xf>
    <xf numFmtId="0" fontId="12" fillId="2" borderId="23" xfId="1" applyFont="1" applyFill="1" applyBorder="1" applyAlignment="1" applyProtection="1">
      <alignment horizontal="left" vertical="center" wrapText="1"/>
      <protection hidden="1"/>
    </xf>
    <xf numFmtId="0" fontId="21" fillId="2" borderId="20" xfId="1" applyFont="1" applyFill="1" applyBorder="1" applyAlignment="1" applyProtection="1">
      <alignment horizontal="center" vertical="center"/>
      <protection hidden="1"/>
    </xf>
    <xf numFmtId="0" fontId="21" fillId="2" borderId="23" xfId="1" applyFont="1" applyFill="1" applyBorder="1" applyAlignment="1" applyProtection="1">
      <alignment horizontal="center" vertical="center"/>
      <protection hidden="1"/>
    </xf>
    <xf numFmtId="0" fontId="12" fillId="2" borderId="20" xfId="1" applyFont="1" applyFill="1" applyBorder="1" applyAlignment="1" applyProtection="1">
      <alignment horizontal="center" vertical="center"/>
      <protection hidden="1"/>
    </xf>
    <xf numFmtId="0" fontId="12" fillId="2" borderId="23" xfId="1" applyFont="1" applyFill="1" applyBorder="1" applyAlignment="1" applyProtection="1">
      <alignment horizontal="center" vertical="center"/>
      <protection hidden="1"/>
    </xf>
    <xf numFmtId="0" fontId="12" fillId="2" borderId="40" xfId="1" applyFont="1" applyFill="1" applyBorder="1" applyAlignment="1" applyProtection="1">
      <alignment horizontal="left" vertical="center" wrapText="1"/>
      <protection hidden="1"/>
    </xf>
    <xf numFmtId="0" fontId="18" fillId="2" borderId="12" xfId="1" applyFont="1" applyFill="1" applyBorder="1" applyAlignment="1" applyProtection="1">
      <alignment horizontal="left" vertical="center" wrapText="1"/>
      <protection hidden="1"/>
    </xf>
    <xf numFmtId="0" fontId="12" fillId="2" borderId="27" xfId="1" applyFont="1" applyFill="1" applyBorder="1" applyAlignment="1" applyProtection="1">
      <alignment horizontal="left" vertical="center" wrapText="1"/>
      <protection hidden="1"/>
    </xf>
    <xf numFmtId="0" fontId="18" fillId="2" borderId="9" xfId="1" applyFont="1" applyFill="1" applyBorder="1" applyAlignment="1" applyProtection="1">
      <alignment horizontal="left" vertical="center" wrapText="1"/>
      <protection hidden="1"/>
    </xf>
    <xf numFmtId="0" fontId="30" fillId="2" borderId="27" xfId="1" applyFont="1" applyFill="1" applyBorder="1" applyAlignment="1" applyProtection="1">
      <alignment horizontal="left" vertical="center" wrapText="1"/>
      <protection hidden="1"/>
    </xf>
    <xf numFmtId="0" fontId="57" fillId="2" borderId="9" xfId="1" applyFont="1" applyFill="1" applyBorder="1" applyAlignment="1" applyProtection="1">
      <alignment horizontal="left" vertical="center" wrapText="1"/>
      <protection hidden="1"/>
    </xf>
    <xf numFmtId="0" fontId="22" fillId="3" borderId="37" xfId="1" applyFont="1" applyFill="1" applyBorder="1" applyAlignment="1" applyProtection="1">
      <alignment horizontal="left" vertical="center"/>
      <protection hidden="1"/>
    </xf>
    <xf numFmtId="0" fontId="22" fillId="3" borderId="38" xfId="1" applyFont="1" applyFill="1" applyBorder="1" applyAlignment="1" applyProtection="1">
      <alignment horizontal="left" vertical="center"/>
      <protection hidden="1"/>
    </xf>
    <xf numFmtId="0" fontId="32" fillId="3" borderId="38" xfId="1" applyFont="1" applyFill="1" applyBorder="1" applyAlignment="1" applyProtection="1">
      <alignment horizontal="left" vertical="center"/>
      <protection hidden="1"/>
    </xf>
    <xf numFmtId="0" fontId="32" fillId="3" borderId="39" xfId="1" applyFont="1" applyFill="1" applyBorder="1" applyAlignment="1" applyProtection="1">
      <alignment horizontal="left" vertical="center"/>
      <protection hidden="1"/>
    </xf>
    <xf numFmtId="0" fontId="12" fillId="2" borderId="5" xfId="1" applyFont="1" applyFill="1" applyBorder="1" applyAlignment="1" applyProtection="1">
      <alignment horizontal="left" vertical="center"/>
      <protection hidden="1"/>
    </xf>
    <xf numFmtId="0" fontId="12" fillId="2" borderId="9" xfId="1" applyFont="1" applyFill="1" applyBorder="1" applyAlignment="1" applyProtection="1">
      <alignment horizontal="left" vertical="center"/>
      <protection hidden="1"/>
    </xf>
    <xf numFmtId="0" fontId="50" fillId="2" borderId="27" xfId="1" applyFont="1" applyFill="1" applyBorder="1" applyAlignment="1" applyProtection="1">
      <alignment horizontal="left" vertical="center" wrapText="1"/>
      <protection hidden="1"/>
    </xf>
    <xf numFmtId="0" fontId="14" fillId="2" borderId="9" xfId="1" applyFont="1" applyFill="1" applyBorder="1" applyAlignment="1" applyProtection="1">
      <alignment horizontal="left" vertical="center" wrapText="1"/>
      <protection hidden="1"/>
    </xf>
    <xf numFmtId="0" fontId="12" fillId="2" borderId="11" xfId="1" applyFont="1" applyFill="1" applyBorder="1" applyAlignment="1" applyProtection="1">
      <alignment horizontal="left" vertical="center"/>
      <protection hidden="1"/>
    </xf>
    <xf numFmtId="0" fontId="12" fillId="2" borderId="12" xfId="1" applyFont="1" applyFill="1" applyBorder="1" applyAlignment="1" applyProtection="1">
      <alignment horizontal="left" vertical="center"/>
      <protection hidden="1"/>
    </xf>
    <xf numFmtId="0" fontId="30" fillId="2" borderId="40" xfId="1" applyFont="1" applyFill="1" applyBorder="1" applyAlignment="1" applyProtection="1">
      <alignment horizontal="left" vertical="center" wrapText="1"/>
      <protection hidden="1"/>
    </xf>
    <xf numFmtId="0" fontId="14" fillId="2" borderId="12" xfId="1" applyFont="1" applyFill="1" applyBorder="1" applyAlignment="1" applyProtection="1">
      <alignment horizontal="left" vertical="center" wrapText="1"/>
      <protection hidden="1"/>
    </xf>
    <xf numFmtId="0" fontId="22" fillId="3" borderId="39" xfId="1" applyFont="1" applyFill="1" applyBorder="1" applyAlignment="1" applyProtection="1">
      <alignment horizontal="left" vertical="center"/>
      <protection hidden="1"/>
    </xf>
    <xf numFmtId="0" fontId="21" fillId="2" borderId="27" xfId="1" applyFont="1" applyFill="1" applyBorder="1" applyAlignment="1" applyProtection="1">
      <alignment horizontal="left" vertical="center" wrapText="1"/>
      <protection hidden="1"/>
    </xf>
    <xf numFmtId="0" fontId="12" fillId="2" borderId="9" xfId="1" applyFont="1" applyFill="1" applyBorder="1" applyAlignment="1" applyProtection="1">
      <alignment horizontal="left" vertical="center" wrapText="1"/>
      <protection hidden="1"/>
    </xf>
    <xf numFmtId="0" fontId="12" fillId="2" borderId="29" xfId="1" applyFont="1" applyFill="1" applyBorder="1" applyAlignment="1" applyProtection="1">
      <alignment horizontal="left" vertical="center" wrapText="1"/>
      <protection hidden="1"/>
    </xf>
    <xf numFmtId="0" fontId="12" fillId="2" borderId="31" xfId="1" applyFont="1" applyFill="1" applyBorder="1" applyAlignment="1" applyProtection="1">
      <alignment horizontal="left" vertical="center" wrapText="1"/>
      <protection hidden="1"/>
    </xf>
    <xf numFmtId="0" fontId="57" fillId="2" borderId="27" xfId="1" applyFont="1" applyFill="1" applyBorder="1" applyAlignment="1" applyProtection="1">
      <alignment horizontal="left" vertical="center" wrapText="1"/>
      <protection hidden="1"/>
    </xf>
    <xf numFmtId="0" fontId="21" fillId="2" borderId="5" xfId="1" applyFont="1" applyFill="1" applyBorder="1" applyAlignment="1" applyProtection="1">
      <alignment horizontal="left" vertical="center"/>
      <protection hidden="1"/>
    </xf>
    <xf numFmtId="0" fontId="21" fillId="2" borderId="9" xfId="1" applyFont="1" applyFill="1" applyBorder="1" applyAlignment="1" applyProtection="1">
      <alignment horizontal="left" vertical="center"/>
      <protection hidden="1"/>
    </xf>
    <xf numFmtId="0" fontId="32" fillId="2" borderId="9" xfId="1" applyFont="1" applyFill="1" applyBorder="1" applyAlignment="1" applyProtection="1">
      <alignment horizontal="left" vertical="center" wrapText="1"/>
      <protection hidden="1"/>
    </xf>
    <xf numFmtId="0" fontId="12" fillId="2" borderId="20" xfId="1" quotePrefix="1" applyFont="1" applyFill="1" applyBorder="1" applyAlignment="1" applyProtection="1">
      <alignment horizontal="left" vertical="center"/>
      <protection hidden="1"/>
    </xf>
    <xf numFmtId="0" fontId="12" fillId="2" borderId="25" xfId="1" applyFont="1" applyFill="1" applyBorder="1" applyAlignment="1" applyProtection="1">
      <alignment horizontal="left" vertical="center" wrapText="1"/>
      <protection hidden="1"/>
    </xf>
    <xf numFmtId="0" fontId="99" fillId="2" borderId="26" xfId="1" applyFont="1" applyFill="1" applyBorder="1" applyAlignment="1" applyProtection="1">
      <alignment horizontal="left" vertical="center" wrapText="1"/>
      <protection hidden="1"/>
    </xf>
    <xf numFmtId="0" fontId="12" fillId="2" borderId="51" xfId="1" applyFont="1" applyFill="1" applyBorder="1" applyAlignment="1" applyProtection="1">
      <alignment horizontal="left" vertical="center" wrapText="1"/>
      <protection hidden="1"/>
    </xf>
    <xf numFmtId="0" fontId="12" fillId="2" borderId="35" xfId="1" applyFont="1" applyFill="1" applyBorder="1" applyAlignment="1" applyProtection="1">
      <alignment horizontal="left" vertical="center" wrapText="1"/>
      <protection hidden="1"/>
    </xf>
    <xf numFmtId="0" fontId="12" fillId="2" borderId="6" xfId="1" applyFont="1" applyFill="1" applyBorder="1" applyAlignment="1" applyProtection="1">
      <alignment horizontal="left" vertical="center"/>
      <protection hidden="1"/>
    </xf>
    <xf numFmtId="0" fontId="12" fillId="2" borderId="24" xfId="1" applyFont="1" applyFill="1" applyBorder="1" applyAlignment="1" applyProtection="1">
      <alignment horizontal="left" vertical="center"/>
      <protection hidden="1"/>
    </xf>
    <xf numFmtId="0" fontId="22" fillId="3" borderId="32" xfId="1" applyFont="1" applyFill="1" applyBorder="1" applyAlignment="1" applyProtection="1">
      <alignment horizontal="left" vertical="center"/>
      <protection hidden="1"/>
    </xf>
    <xf numFmtId="0" fontId="22" fillId="3" borderId="46" xfId="1" applyFont="1" applyFill="1" applyBorder="1" applyAlignment="1" applyProtection="1">
      <alignment horizontal="left" vertical="center"/>
      <protection hidden="1"/>
    </xf>
    <xf numFmtId="0" fontId="22" fillId="3" borderId="33" xfId="1" applyFont="1" applyFill="1" applyBorder="1" applyAlignment="1" applyProtection="1">
      <alignment horizontal="left" vertical="center"/>
      <protection hidden="1"/>
    </xf>
    <xf numFmtId="0" fontId="22" fillId="3" borderId="34" xfId="1" applyFont="1" applyFill="1" applyBorder="1" applyAlignment="1" applyProtection="1">
      <alignment horizontal="left" vertical="center"/>
      <protection hidden="1"/>
    </xf>
    <xf numFmtId="0" fontId="25" fillId="2" borderId="3" xfId="1" applyFont="1" applyFill="1" applyBorder="1" applyAlignment="1" applyProtection="1">
      <alignment horizontal="center" vertical="center"/>
      <protection hidden="1"/>
    </xf>
    <xf numFmtId="0" fontId="25" fillId="2" borderId="15" xfId="1" applyFont="1" applyFill="1" applyBorder="1" applyAlignment="1" applyProtection="1">
      <alignment horizontal="center" vertical="center"/>
      <protection hidden="1"/>
    </xf>
    <xf numFmtId="0" fontId="25" fillId="2" borderId="4" xfId="1" applyFont="1" applyFill="1" applyBorder="1" applyAlignment="1" applyProtection="1">
      <alignment horizontal="center" vertical="center"/>
      <protection hidden="1"/>
    </xf>
    <xf numFmtId="0" fontId="21" fillId="2" borderId="16" xfId="1" applyFont="1" applyFill="1" applyBorder="1" applyAlignment="1" applyProtection="1">
      <alignment horizontal="center" vertical="center" wrapText="1"/>
      <protection hidden="1"/>
    </xf>
    <xf numFmtId="0" fontId="21" fillId="2" borderId="17" xfId="1" applyFont="1" applyFill="1" applyBorder="1" applyAlignment="1" applyProtection="1">
      <alignment horizontal="center" vertical="center" wrapText="1"/>
      <protection hidden="1"/>
    </xf>
    <xf numFmtId="0" fontId="21" fillId="2" borderId="18" xfId="1" applyFont="1" applyFill="1" applyBorder="1" applyAlignment="1" applyProtection="1">
      <alignment horizontal="center" vertical="center" wrapText="1"/>
      <protection hidden="1"/>
    </xf>
    <xf numFmtId="0" fontId="20" fillId="3" borderId="1" xfId="1" applyFont="1" applyFill="1" applyBorder="1" applyAlignment="1" applyProtection="1">
      <alignment horizontal="center" vertical="center"/>
      <protection hidden="1"/>
    </xf>
    <xf numFmtId="0" fontId="20" fillId="3" borderId="7" xfId="1" applyFont="1" applyFill="1" applyBorder="1" applyAlignment="1" applyProtection="1">
      <alignment horizontal="center" vertical="center"/>
      <protection hidden="1"/>
    </xf>
    <xf numFmtId="0" fontId="20" fillId="3" borderId="2" xfId="1" applyFont="1" applyFill="1" applyBorder="1" applyAlignment="1" applyProtection="1">
      <alignment horizontal="center" vertical="center"/>
      <protection hidden="1"/>
    </xf>
    <xf numFmtId="0" fontId="20" fillId="3" borderId="3" xfId="1" applyFont="1" applyFill="1" applyBorder="1" applyAlignment="1" applyProtection="1">
      <alignment horizontal="center" vertical="center"/>
      <protection hidden="1"/>
    </xf>
    <xf numFmtId="0" fontId="20" fillId="3" borderId="15" xfId="1" applyFont="1" applyFill="1" applyBorder="1" applyAlignment="1" applyProtection="1">
      <alignment horizontal="center" vertical="center"/>
      <protection hidden="1"/>
    </xf>
    <xf numFmtId="0" fontId="20" fillId="3" borderId="4" xfId="1" applyFont="1" applyFill="1" applyBorder="1" applyAlignment="1" applyProtection="1">
      <alignment horizontal="center" vertical="center"/>
      <protection hidden="1"/>
    </xf>
    <xf numFmtId="0" fontId="13" fillId="3" borderId="32" xfId="1" applyFont="1" applyFill="1" applyBorder="1" applyAlignment="1" applyProtection="1">
      <alignment horizontal="left" vertical="center"/>
      <protection hidden="1"/>
    </xf>
    <xf numFmtId="0" fontId="13" fillId="3" borderId="46" xfId="1" applyFont="1" applyFill="1" applyBorder="1" applyAlignment="1" applyProtection="1">
      <alignment horizontal="left" vertical="center"/>
      <protection hidden="1"/>
    </xf>
    <xf numFmtId="0" fontId="13" fillId="3" borderId="33" xfId="1" applyFont="1" applyFill="1" applyBorder="1" applyAlignment="1" applyProtection="1">
      <alignment horizontal="left" vertical="center"/>
      <protection hidden="1"/>
    </xf>
    <xf numFmtId="0" fontId="13" fillId="3" borderId="34" xfId="1" applyFont="1" applyFill="1" applyBorder="1" applyAlignment="1" applyProtection="1">
      <alignment horizontal="left" vertical="center"/>
      <protection hidden="1"/>
    </xf>
    <xf numFmtId="0" fontId="21" fillId="2" borderId="20" xfId="1" applyFont="1" applyFill="1" applyBorder="1" applyAlignment="1" applyProtection="1">
      <alignment horizontal="left" vertical="center"/>
      <protection hidden="1"/>
    </xf>
    <xf numFmtId="0" fontId="21" fillId="2" borderId="23" xfId="1" applyFont="1" applyFill="1" applyBorder="1" applyAlignment="1" applyProtection="1">
      <alignment horizontal="left" vertical="center"/>
      <protection hidden="1"/>
    </xf>
    <xf numFmtId="0" fontId="12" fillId="2" borderId="49" xfId="4" applyFont="1" applyFill="1" applyBorder="1" applyAlignment="1" applyProtection="1">
      <alignment horizontal="left" vertical="center"/>
      <protection hidden="1"/>
    </xf>
    <xf numFmtId="0" fontId="88" fillId="0" borderId="42" xfId="0" applyFont="1" applyBorder="1" applyAlignment="1" applyProtection="1">
      <alignment horizontal="left" vertical="center"/>
      <protection hidden="1"/>
    </xf>
    <xf numFmtId="0" fontId="88" fillId="0" borderId="23" xfId="0" applyFont="1" applyBorder="1" applyAlignment="1" applyProtection="1">
      <alignment horizontal="left" vertical="center"/>
      <protection hidden="1"/>
    </xf>
    <xf numFmtId="0" fontId="13" fillId="3" borderId="37" xfId="1" applyFont="1" applyFill="1" applyBorder="1" applyAlignment="1" applyProtection="1">
      <alignment horizontal="left" vertical="center"/>
      <protection hidden="1"/>
    </xf>
    <xf numFmtId="0" fontId="13" fillId="3" borderId="38" xfId="1" applyFont="1" applyFill="1" applyBorder="1" applyAlignment="1" applyProtection="1">
      <alignment horizontal="left" vertical="center"/>
      <protection hidden="1"/>
    </xf>
    <xf numFmtId="0" fontId="13" fillId="3" borderId="39" xfId="1" applyFont="1" applyFill="1" applyBorder="1" applyAlignment="1" applyProtection="1">
      <alignment horizontal="left" vertical="center"/>
      <protection hidden="1"/>
    </xf>
    <xf numFmtId="0" fontId="12" fillId="2" borderId="25" xfId="1" applyFont="1" applyFill="1" applyBorder="1" applyAlignment="1" applyProtection="1">
      <alignment horizontal="left" vertical="center"/>
      <protection hidden="1"/>
    </xf>
    <xf numFmtId="0" fontId="88" fillId="0" borderId="26" xfId="0" applyFont="1" applyBorder="1" applyAlignment="1" applyProtection="1">
      <alignment horizontal="left" vertical="center"/>
      <protection hidden="1"/>
    </xf>
    <xf numFmtId="0" fontId="10" fillId="3" borderId="0" xfId="1" applyFont="1" applyFill="1" applyAlignment="1" applyProtection="1">
      <alignment horizontal="center" vertical="center" wrapText="1"/>
      <protection hidden="1"/>
    </xf>
    <xf numFmtId="0" fontId="11" fillId="2" borderId="1" xfId="1" applyFont="1" applyFill="1" applyBorder="1" applyAlignment="1" applyProtection="1">
      <alignment horizontal="left" vertical="center"/>
      <protection hidden="1"/>
    </xf>
    <xf numFmtId="0" fontId="11" fillId="2" borderId="7" xfId="1" applyFont="1" applyFill="1" applyBorder="1" applyAlignment="1" applyProtection="1">
      <alignment horizontal="left" vertical="center"/>
      <protection hidden="1"/>
    </xf>
    <xf numFmtId="0" fontId="11" fillId="2" borderId="2" xfId="1" applyFont="1" applyFill="1" applyBorder="1" applyAlignment="1" applyProtection="1">
      <alignment horizontal="left" vertical="center"/>
      <protection hidden="1"/>
    </xf>
    <xf numFmtId="0" fontId="12" fillId="2" borderId="13" xfId="1" applyFont="1" applyFill="1" applyBorder="1" applyAlignment="1" applyProtection="1">
      <alignment horizontal="center" vertical="center" wrapText="1"/>
      <protection hidden="1"/>
    </xf>
    <xf numFmtId="0" fontId="12" fillId="2" borderId="0" xfId="1" applyFont="1" applyFill="1" applyAlignment="1" applyProtection="1">
      <alignment horizontal="center" vertical="center" wrapText="1"/>
      <protection hidden="1"/>
    </xf>
    <xf numFmtId="0" fontId="12" fillId="2" borderId="14" xfId="1" applyFont="1" applyFill="1" applyBorder="1" applyAlignment="1" applyProtection="1">
      <alignment horizontal="center" vertical="center" wrapText="1"/>
      <protection hidden="1"/>
    </xf>
    <xf numFmtId="0" fontId="12" fillId="2" borderId="3" xfId="1" applyFont="1" applyFill="1" applyBorder="1" applyAlignment="1" applyProtection="1">
      <alignment horizontal="center" vertical="center" wrapText="1"/>
      <protection hidden="1"/>
    </xf>
    <xf numFmtId="0" fontId="12" fillId="2" borderId="15" xfId="1" applyFont="1" applyFill="1" applyBorder="1" applyAlignment="1" applyProtection="1">
      <alignment horizontal="center" vertical="center" wrapText="1"/>
      <protection hidden="1"/>
    </xf>
    <xf numFmtId="0" fontId="12" fillId="2" borderId="4" xfId="1" applyFont="1" applyFill="1" applyBorder="1" applyAlignment="1" applyProtection="1">
      <alignment horizontal="center" vertical="center" wrapText="1"/>
      <protection hidden="1"/>
    </xf>
    <xf numFmtId="0" fontId="19" fillId="2" borderId="1" xfId="1" applyFont="1" applyFill="1" applyBorder="1" applyAlignment="1" applyProtection="1">
      <alignment horizontal="center" vertical="center" wrapText="1"/>
      <protection hidden="1"/>
    </xf>
    <xf numFmtId="0" fontId="19" fillId="2" borderId="7" xfId="1" applyFont="1" applyFill="1" applyBorder="1" applyAlignment="1" applyProtection="1">
      <alignment horizontal="center" vertical="center" wrapText="1"/>
      <protection hidden="1"/>
    </xf>
    <xf numFmtId="0" fontId="19" fillId="2" borderId="2" xfId="1" applyFont="1" applyFill="1" applyBorder="1" applyAlignment="1" applyProtection="1">
      <alignment horizontal="center" vertical="center" wrapText="1"/>
      <protection hidden="1"/>
    </xf>
    <xf numFmtId="0" fontId="16" fillId="2" borderId="13" xfId="1" applyFont="1" applyFill="1" applyBorder="1" applyAlignment="1" applyProtection="1">
      <alignment horizontal="center" vertical="center"/>
      <protection hidden="1"/>
    </xf>
    <xf numFmtId="0" fontId="16" fillId="2" borderId="0" xfId="1" applyFont="1" applyFill="1" applyAlignment="1" applyProtection="1">
      <alignment horizontal="center" vertical="center"/>
      <protection hidden="1"/>
    </xf>
    <xf numFmtId="0" fontId="16" fillId="2" borderId="14" xfId="1" applyFont="1" applyFill="1" applyBorder="1" applyAlignment="1" applyProtection="1">
      <alignment horizontal="center" vertical="center"/>
      <protection hidden="1"/>
    </xf>
    <xf numFmtId="0" fontId="12" fillId="4" borderId="20" xfId="1" applyFont="1" applyFill="1" applyBorder="1" applyAlignment="1" applyProtection="1">
      <alignment horizontal="center" vertical="center"/>
      <protection locked="0"/>
    </xf>
    <xf numFmtId="0" fontId="12" fillId="2" borderId="26" xfId="1" applyFont="1" applyFill="1" applyBorder="1" applyAlignment="1" applyProtection="1">
      <alignment horizontal="left" vertical="center" wrapText="1"/>
      <protection hidden="1"/>
    </xf>
    <xf numFmtId="0" fontId="21" fillId="2" borderId="9" xfId="1" applyFont="1" applyFill="1" applyBorder="1" applyAlignment="1" applyProtection="1">
      <alignment horizontal="left" vertical="center" wrapText="1"/>
      <protection hidden="1"/>
    </xf>
    <xf numFmtId="0" fontId="40" fillId="2" borderId="9" xfId="1" applyFont="1" applyFill="1" applyBorder="1" applyAlignment="1" applyProtection="1">
      <alignment horizontal="left" vertical="center" wrapText="1"/>
      <protection hidden="1"/>
    </xf>
    <xf numFmtId="0" fontId="14" fillId="2" borderId="27" xfId="1" applyFont="1" applyFill="1" applyBorder="1" applyAlignment="1" applyProtection="1">
      <alignment horizontal="left" vertical="center" wrapText="1"/>
      <protection hidden="1"/>
    </xf>
    <xf numFmtId="0" fontId="12" fillId="2" borderId="19" xfId="1" applyFont="1" applyFill="1" applyBorder="1" applyAlignment="1" applyProtection="1">
      <alignment horizontal="center" vertical="center"/>
      <protection hidden="1"/>
    </xf>
    <xf numFmtId="0" fontId="12" fillId="2" borderId="27" xfId="1" applyFont="1" applyFill="1" applyBorder="1" applyAlignment="1" applyProtection="1">
      <alignment horizontal="center" vertical="center"/>
      <protection hidden="1"/>
    </xf>
    <xf numFmtId="0" fontId="12" fillId="2" borderId="35" xfId="2" applyFont="1" applyFill="1" applyBorder="1" applyAlignment="1" applyProtection="1">
      <alignment horizontal="center" vertical="center" wrapText="1"/>
      <protection hidden="1"/>
    </xf>
    <xf numFmtId="0" fontId="12" fillId="2" borderId="44" xfId="2" applyFont="1" applyFill="1" applyBorder="1" applyAlignment="1" applyProtection="1">
      <alignment horizontal="center" vertical="center"/>
      <protection hidden="1"/>
    </xf>
    <xf numFmtId="0" fontId="12" fillId="2" borderId="31" xfId="2" applyFont="1" applyFill="1" applyBorder="1" applyAlignment="1" applyProtection="1">
      <alignment horizontal="center" vertical="center"/>
      <protection hidden="1"/>
    </xf>
    <xf numFmtId="0" fontId="12" fillId="2" borderId="19" xfId="2" applyFont="1" applyFill="1" applyBorder="1" applyAlignment="1" applyProtection="1">
      <alignment horizontal="left" vertical="center"/>
      <protection hidden="1"/>
    </xf>
    <xf numFmtId="0" fontId="12" fillId="2" borderId="23" xfId="2" applyFont="1" applyFill="1" applyBorder="1" applyAlignment="1" applyProtection="1">
      <alignment horizontal="left" vertical="center"/>
      <protection hidden="1"/>
    </xf>
    <xf numFmtId="0" fontId="12" fillId="4" borderId="41" xfId="2" applyFont="1" applyFill="1" applyBorder="1" applyAlignment="1" applyProtection="1">
      <alignment horizontal="left" vertical="center"/>
      <protection hidden="1"/>
    </xf>
    <xf numFmtId="0" fontId="12" fillId="4" borderId="42" xfId="2" applyFont="1" applyFill="1" applyBorder="1" applyAlignment="1" applyProtection="1">
      <alignment horizontal="left" vertical="center"/>
      <protection hidden="1"/>
    </xf>
    <xf numFmtId="0" fontId="17" fillId="3" borderId="32" xfId="1" applyFont="1" applyFill="1" applyBorder="1" applyAlignment="1" applyProtection="1">
      <alignment horizontal="left" vertical="center"/>
      <protection hidden="1"/>
    </xf>
    <xf numFmtId="0" fontId="17" fillId="3" borderId="33" xfId="1" applyFont="1" applyFill="1" applyBorder="1" applyAlignment="1" applyProtection="1">
      <alignment horizontal="left" vertical="center"/>
      <protection hidden="1"/>
    </xf>
    <xf numFmtId="0" fontId="17" fillId="3" borderId="34" xfId="1" applyFont="1" applyFill="1" applyBorder="1" applyAlignment="1" applyProtection="1">
      <alignment horizontal="left" vertical="center"/>
      <protection hidden="1"/>
    </xf>
    <xf numFmtId="0" fontId="17" fillId="3" borderId="37" xfId="1" applyFont="1" applyFill="1" applyBorder="1" applyAlignment="1" applyProtection="1">
      <alignment horizontal="left" vertical="center"/>
      <protection hidden="1"/>
    </xf>
    <xf numFmtId="0" fontId="17" fillId="3" borderId="38" xfId="1" applyFont="1" applyFill="1" applyBorder="1" applyAlignment="1" applyProtection="1">
      <alignment horizontal="left" vertical="center"/>
      <protection hidden="1"/>
    </xf>
    <xf numFmtId="0" fontId="17" fillId="3" borderId="39" xfId="1" applyFont="1" applyFill="1" applyBorder="1" applyAlignment="1" applyProtection="1">
      <alignment horizontal="left" vertical="center"/>
      <protection hidden="1"/>
    </xf>
    <xf numFmtId="0" fontId="12" fillId="2" borderId="22" xfId="2" applyFont="1" applyFill="1" applyBorder="1" applyAlignment="1" applyProtection="1">
      <alignment horizontal="left" vertical="center"/>
      <protection hidden="1"/>
    </xf>
    <xf numFmtId="0" fontId="12" fillId="2" borderId="26" xfId="2" applyFont="1" applyFill="1" applyBorder="1" applyAlignment="1" applyProtection="1">
      <alignment horizontal="left" vertical="center"/>
      <protection hidden="1"/>
    </xf>
    <xf numFmtId="0" fontId="33" fillId="6" borderId="16" xfId="3" applyFont="1" applyFill="1" applyBorder="1" applyAlignment="1">
      <alignment horizontal="center" vertical="center"/>
    </xf>
    <xf numFmtId="0" fontId="33" fillId="6" borderId="17" xfId="3" applyFont="1" applyFill="1" applyBorder="1" applyAlignment="1">
      <alignment horizontal="center" vertical="center"/>
    </xf>
    <xf numFmtId="0" fontId="33" fillId="6" borderId="18" xfId="3" applyFont="1" applyFill="1" applyBorder="1" applyAlignment="1">
      <alignment horizontal="center" vertical="center"/>
    </xf>
    <xf numFmtId="0" fontId="34" fillId="2" borderId="32" xfId="3" applyFont="1" applyFill="1" applyBorder="1" applyAlignment="1">
      <alignment horizontal="center" vertical="center"/>
    </xf>
    <xf numFmtId="0" fontId="34" fillId="2" borderId="8" xfId="3" applyFont="1" applyFill="1" applyBorder="1" applyAlignment="1">
      <alignment horizontal="center" vertical="center"/>
    </xf>
    <xf numFmtId="0" fontId="33" fillId="2" borderId="46" xfId="3" applyFont="1" applyFill="1" applyBorder="1" applyAlignment="1">
      <alignment horizontal="left" vertical="center"/>
    </xf>
    <xf numFmtId="0" fontId="33" fillId="2" borderId="33" xfId="3" applyFont="1" applyFill="1" applyBorder="1" applyAlignment="1">
      <alignment horizontal="left" vertical="center"/>
    </xf>
    <xf numFmtId="0" fontId="33" fillId="2" borderId="34" xfId="3" applyFont="1" applyFill="1" applyBorder="1" applyAlignment="1">
      <alignment horizontal="left" vertical="center"/>
    </xf>
    <xf numFmtId="0" fontId="33" fillId="2" borderId="27" xfId="3" applyFont="1" applyFill="1" applyBorder="1" applyAlignment="1">
      <alignment horizontal="left" vertical="center"/>
    </xf>
    <xf numFmtId="0" fontId="33" fillId="2" borderId="9" xfId="3" applyFont="1" applyFill="1" applyBorder="1" applyAlignment="1">
      <alignment horizontal="left" vertical="center"/>
    </xf>
    <xf numFmtId="0" fontId="34" fillId="2" borderId="45" xfId="3" applyFont="1" applyFill="1" applyBorder="1" applyAlignment="1">
      <alignment horizontal="center" vertical="center"/>
    </xf>
    <xf numFmtId="0" fontId="34" fillId="2" borderId="32" xfId="3" applyFont="1" applyFill="1" applyBorder="1" applyAlignment="1">
      <alignment horizontal="center" vertical="center" wrapText="1"/>
    </xf>
    <xf numFmtId="0" fontId="41" fillId="5" borderId="32" xfId="3" applyFont="1" applyFill="1" applyBorder="1" applyAlignment="1">
      <alignment horizontal="center" vertical="center"/>
    </xf>
    <xf numFmtId="0" fontId="19" fillId="5" borderId="33" xfId="3" applyFont="1" applyFill="1" applyBorder="1" applyAlignment="1">
      <alignment horizontal="center" vertical="center"/>
    </xf>
    <xf numFmtId="0" fontId="19" fillId="5" borderId="34" xfId="3" applyFont="1" applyFill="1" applyBorder="1" applyAlignment="1">
      <alignment horizontal="center" vertical="center"/>
    </xf>
    <xf numFmtId="0" fontId="25" fillId="2" borderId="11" xfId="3" applyFont="1" applyFill="1" applyBorder="1" applyAlignment="1">
      <alignment horizontal="left" vertical="center"/>
    </xf>
    <xf numFmtId="0" fontId="25" fillId="2" borderId="12" xfId="3" applyFont="1" applyFill="1" applyBorder="1" applyAlignment="1">
      <alignment horizontal="left" vertical="center"/>
    </xf>
    <xf numFmtId="0" fontId="21" fillId="0" borderId="5" xfId="0" applyFont="1" applyBorder="1" applyAlignment="1">
      <alignment horizontal="left" vertical="center"/>
    </xf>
    <xf numFmtId="0" fontId="12" fillId="4" borderId="5" xfId="0" applyFont="1" applyFill="1" applyBorder="1" applyAlignment="1" applyProtection="1">
      <alignment horizontal="center" vertical="center"/>
      <protection locked="0"/>
    </xf>
    <xf numFmtId="1" fontId="21" fillId="0" borderId="5" xfId="0" applyNumberFormat="1" applyFont="1" applyBorder="1" applyAlignment="1" applyProtection="1">
      <alignment horizontal="center" vertical="center"/>
      <protection hidden="1"/>
    </xf>
    <xf numFmtId="0" fontId="12" fillId="4" borderId="19" xfId="0" applyFont="1" applyFill="1" applyBorder="1" applyAlignment="1" applyProtection="1">
      <alignment horizontal="center" vertical="center"/>
      <protection locked="0"/>
    </xf>
    <xf numFmtId="0" fontId="12" fillId="4" borderId="20" xfId="0" applyFont="1" applyFill="1" applyBorder="1" applyAlignment="1" applyProtection="1">
      <alignment horizontal="center" vertical="center"/>
      <protection locked="0"/>
    </xf>
    <xf numFmtId="0" fontId="12" fillId="4" borderId="27" xfId="0" applyFont="1" applyFill="1" applyBorder="1" applyAlignment="1" applyProtection="1">
      <alignment horizontal="center" vertical="center"/>
      <protection locked="0"/>
    </xf>
    <xf numFmtId="0" fontId="12" fillId="0" borderId="5" xfId="0" applyFont="1" applyBorder="1" applyAlignment="1" applyProtection="1">
      <alignment horizontal="center" vertical="center"/>
      <protection hidden="1"/>
    </xf>
    <xf numFmtId="0" fontId="12" fillId="0" borderId="5" xfId="0" applyFont="1" applyBorder="1" applyAlignment="1">
      <alignment horizontal="left" vertical="center"/>
    </xf>
    <xf numFmtId="2" fontId="21" fillId="0" borderId="5" xfId="0" applyNumberFormat="1" applyFont="1" applyBorder="1" applyAlignment="1" applyProtection="1">
      <alignment horizontal="center" vertical="center"/>
      <protection hidden="1"/>
    </xf>
    <xf numFmtId="0" fontId="40" fillId="0" borderId="0" xfId="0" applyFont="1" applyAlignment="1">
      <alignment horizontal="left" vertical="center"/>
    </xf>
    <xf numFmtId="2" fontId="12" fillId="0" borderId="5" xfId="0" applyNumberFormat="1" applyFont="1" applyBorder="1" applyAlignment="1" applyProtection="1">
      <alignment horizontal="center" vertical="center"/>
      <protection hidden="1"/>
    </xf>
    <xf numFmtId="0" fontId="12" fillId="0" borderId="0" xfId="0" applyFont="1" applyAlignment="1">
      <alignment horizontal="right" vertical="center"/>
    </xf>
    <xf numFmtId="0" fontId="32" fillId="0" borderId="0" xfId="0" applyFont="1" applyAlignment="1">
      <alignment horizontal="center" vertical="center" wrapText="1"/>
    </xf>
    <xf numFmtId="0" fontId="21" fillId="0" borderId="0" xfId="0" applyFont="1" applyAlignment="1">
      <alignment horizontal="center" vertical="center" wrapText="1"/>
    </xf>
    <xf numFmtId="0" fontId="59" fillId="0" borderId="5" xfId="0" applyFont="1" applyBorder="1" applyAlignment="1">
      <alignment horizontal="left" vertical="center"/>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21" fillId="0" borderId="27" xfId="0" applyFont="1" applyBorder="1" applyAlignment="1">
      <alignment horizontal="left" vertical="center"/>
    </xf>
    <xf numFmtId="0" fontId="45" fillId="0" borderId="5" xfId="0" applyFont="1" applyBorder="1" applyAlignment="1">
      <alignment horizontal="left" vertical="center"/>
    </xf>
    <xf numFmtId="0" fontId="2" fillId="0" borderId="5" xfId="0" applyFont="1" applyBorder="1" applyAlignment="1">
      <alignment horizontal="left" vertical="center"/>
    </xf>
    <xf numFmtId="0" fontId="107" fillId="0" borderId="5" xfId="0" applyFont="1" applyBorder="1" applyAlignment="1">
      <alignment horizontal="left" vertical="center"/>
    </xf>
    <xf numFmtId="0" fontId="4" fillId="0" borderId="5" xfId="0" applyFont="1" applyBorder="1" applyAlignment="1">
      <alignment horizontal="left" vertical="center"/>
    </xf>
    <xf numFmtId="0" fontId="12" fillId="0" borderId="0" xfId="0" applyFont="1" applyAlignment="1">
      <alignment horizontal="center" vertical="center"/>
    </xf>
    <xf numFmtId="0" fontId="21" fillId="0" borderId="19" xfId="0" applyFont="1" applyBorder="1" applyAlignment="1">
      <alignment horizontal="right" vertical="center"/>
    </xf>
    <xf numFmtId="0" fontId="21" fillId="0" borderId="20" xfId="0" applyFont="1" applyBorder="1" applyAlignment="1">
      <alignment horizontal="right" vertical="center"/>
    </xf>
    <xf numFmtId="0" fontId="21" fillId="0" borderId="27" xfId="0" applyFont="1" applyBorder="1" applyAlignment="1">
      <alignment horizontal="right" vertical="center"/>
    </xf>
    <xf numFmtId="0" fontId="21" fillId="0" borderId="5" xfId="0" applyFont="1" applyBorder="1" applyAlignment="1">
      <alignment horizontal="center" vertical="center"/>
    </xf>
    <xf numFmtId="0" fontId="21" fillId="0" borderId="27" xfId="0" applyFont="1" applyBorder="1" applyAlignment="1">
      <alignment horizontal="center" vertical="center"/>
    </xf>
    <xf numFmtId="0" fontId="29" fillId="0" borderId="5"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17" fillId="3" borderId="37" xfId="1" applyFont="1" applyFill="1" applyBorder="1" applyAlignment="1">
      <alignment horizontal="left" vertical="center"/>
    </xf>
    <xf numFmtId="0" fontId="17" fillId="3" borderId="38" xfId="1" applyFont="1" applyFill="1" applyBorder="1" applyAlignment="1">
      <alignment horizontal="left" vertical="center"/>
    </xf>
    <xf numFmtId="0" fontId="17" fillId="3" borderId="39" xfId="1" applyFont="1" applyFill="1" applyBorder="1" applyAlignment="1">
      <alignment horizontal="left" vertical="center"/>
    </xf>
  </cellXfs>
  <cellStyles count="9">
    <cellStyle name="Normal" xfId="0" builtinId="0"/>
    <cellStyle name="Normal 2" xfId="1" xr:uid="{00000000-0005-0000-0000-000001000000}"/>
    <cellStyle name="Normal 2 2" xfId="5" xr:uid="{00000000-0005-0000-0000-000002000000}"/>
    <cellStyle name="Normal 3" xfId="2" xr:uid="{00000000-0005-0000-0000-000003000000}"/>
    <cellStyle name="Normal 3 2" xfId="6" xr:uid="{00000000-0005-0000-0000-000004000000}"/>
    <cellStyle name="Normal 4" xfId="3" xr:uid="{00000000-0005-0000-0000-000005000000}"/>
    <cellStyle name="Normal 4 2" xfId="7" xr:uid="{00000000-0005-0000-0000-000006000000}"/>
    <cellStyle name="Normal 5" xfId="4" xr:uid="{00000000-0005-0000-0000-000007000000}"/>
    <cellStyle name="Normal 5 2" xfId="8" xr:uid="{00000000-0005-0000-0000-000008000000}"/>
  </cellStyles>
  <dxfs count="3">
    <dxf>
      <alignment horizontal="center" vertical="center" textRotation="0" wrapText="0" indent="0" justifyLastLine="0" shrinkToFit="0" readingOrder="0"/>
      <protection locked="1" hidden="0"/>
    </dxf>
    <dxf>
      <alignment horizontal="center" vertical="center" textRotation="0" wrapText="0" indent="0" justifyLastLine="0" shrinkToFit="0" readingOrder="0"/>
      <protection locked="1" hidden="0"/>
    </dxf>
    <dxf>
      <alignment horizontal="center" vertical="center" textRotation="0" wrapText="0" indent="0" justifyLastLine="0" shrinkToFit="0" readingOrder="0"/>
      <protection locked="1" hidden="0"/>
    </dxf>
  </dxfs>
  <tableStyles count="0" defaultTableStyle="TableStyleMedium2" defaultPivotStyle="PivotStyleLight16"/>
  <colors>
    <mruColors>
      <color rgb="FFFF00FF"/>
      <color rgb="FF0000FF"/>
      <color rgb="FF15C926"/>
      <color rgb="FFFF66FF"/>
      <color rgb="FF65DA24"/>
      <color rgb="FFCC00CC"/>
      <color rgb="FF00CCFF"/>
      <color rgb="FF336699"/>
      <color rgb="FF66CC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emf"/><Relationship Id="rId1" Type="http://schemas.openxmlformats.org/officeDocument/2006/relationships/image" Target="../media/image5.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2.PNG"/><Relationship Id="rId7" Type="http://schemas.openxmlformats.org/officeDocument/2006/relationships/image" Target="../media/image16.pn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image" Target="../media/image13.PNG"/><Relationship Id="rId9"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7</xdr:col>
      <xdr:colOff>159543</xdr:colOff>
      <xdr:row>10</xdr:row>
      <xdr:rowOff>492936</xdr:rowOff>
    </xdr:from>
    <xdr:to>
      <xdr:col>13</xdr:col>
      <xdr:colOff>91916</xdr:colOff>
      <xdr:row>20</xdr:row>
      <xdr:rowOff>58063</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1893" y="2893236"/>
          <a:ext cx="3643313" cy="2289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169069</xdr:colOff>
      <xdr:row>20</xdr:row>
      <xdr:rowOff>114457</xdr:rowOff>
    </xdr:from>
    <xdr:to>
      <xdr:col>13</xdr:col>
      <xdr:colOff>93821</xdr:colOff>
      <xdr:row>30</xdr:row>
      <xdr:rowOff>134119</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51419" y="5248432"/>
          <a:ext cx="3643312" cy="2210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89646</xdr:colOff>
      <xdr:row>45</xdr:row>
      <xdr:rowOff>72076</xdr:rowOff>
    </xdr:from>
    <xdr:to>
      <xdr:col>14</xdr:col>
      <xdr:colOff>130800</xdr:colOff>
      <xdr:row>60</xdr:row>
      <xdr:rowOff>91915</xdr:rowOff>
    </xdr:to>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271996" y="10635301"/>
          <a:ext cx="4367409" cy="3302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83344</xdr:colOff>
      <xdr:row>158</xdr:row>
      <xdr:rowOff>1</xdr:rowOff>
    </xdr:from>
    <xdr:to>
      <xdr:col>12</xdr:col>
      <xdr:colOff>247809</xdr:colOff>
      <xdr:row>169</xdr:row>
      <xdr:rowOff>53340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2192000" y="37326095"/>
          <a:ext cx="4022090" cy="2636995"/>
        </a:xfrm>
        <a:prstGeom prst="rect">
          <a:avLst/>
        </a:prstGeom>
      </xdr:spPr>
    </xdr:pic>
    <xdr:clientData/>
  </xdr:twoCellAnchor>
  <xdr:twoCellAnchor editAs="oneCell">
    <xdr:from>
      <xdr:col>6</xdr:col>
      <xdr:colOff>67235</xdr:colOff>
      <xdr:row>144</xdr:row>
      <xdr:rowOff>81243</xdr:rowOff>
    </xdr:from>
    <xdr:to>
      <xdr:col>12</xdr:col>
      <xdr:colOff>130992</xdr:colOff>
      <xdr:row>153</xdr:row>
      <xdr:rowOff>97631</xdr:rowOff>
    </xdr:to>
    <xdr:pic>
      <xdr:nvPicPr>
        <xdr:cNvPr id="16" name="Picture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509606" y="30202014"/>
          <a:ext cx="4069337" cy="2115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65796</xdr:colOff>
      <xdr:row>83</xdr:row>
      <xdr:rowOff>30630</xdr:rowOff>
    </xdr:from>
    <xdr:to>
      <xdr:col>11</xdr:col>
      <xdr:colOff>555172</xdr:colOff>
      <xdr:row>92</xdr:row>
      <xdr:rowOff>130618</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3185643" y="17336995"/>
          <a:ext cx="4039400" cy="1978094"/>
          <a:chOff x="12172572" y="19977137"/>
          <a:chExt cx="3493546" cy="1882737"/>
        </a:xfrm>
      </xdr:grpSpPr>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96" b="11040"/>
          <a:stretch/>
        </xdr:blipFill>
        <xdr:spPr>
          <a:xfrm>
            <a:off x="12172572" y="19977137"/>
            <a:ext cx="3493546" cy="1882737"/>
          </a:xfrm>
          <a:prstGeom prst="rect">
            <a:avLst/>
          </a:prstGeom>
        </xdr:spPr>
      </xdr:pic>
      <xdr:sp macro="" textlink="">
        <xdr:nvSpPr>
          <xdr:cNvPr id="17" name="TextBox 56">
            <a:extLst>
              <a:ext uri="{FF2B5EF4-FFF2-40B4-BE49-F238E27FC236}">
                <a16:creationId xmlns:a16="http://schemas.microsoft.com/office/drawing/2014/main" id="{00000000-0008-0000-0100-000011000000}"/>
              </a:ext>
            </a:extLst>
          </xdr:cNvPr>
          <xdr:cNvSpPr txBox="1"/>
        </xdr:nvSpPr>
        <xdr:spPr>
          <a:xfrm>
            <a:off x="13109998" y="20446575"/>
            <a:ext cx="1723818" cy="296817"/>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FFFF00"/>
                </a:solidFill>
              </a:rPr>
              <a:t>Voltage across R</a:t>
            </a:r>
            <a:r>
              <a:rPr lang="en-US" sz="1200" b="1">
                <a:solidFill>
                  <a:srgbClr val="FFFF00"/>
                </a:solidFill>
              </a:rPr>
              <a:t>cs</a:t>
            </a:r>
            <a:endParaRPr lang="en-US" sz="1200" b="1" baseline="-25000">
              <a:solidFill>
                <a:srgbClr val="FFFF00"/>
              </a:solidFill>
            </a:endParaRPr>
          </a:p>
        </xdr:txBody>
      </xdr:sp>
      <xdr:sp macro="" textlink="">
        <xdr:nvSpPr>
          <xdr:cNvPr id="18" name="TextBox 56">
            <a:extLst>
              <a:ext uri="{FF2B5EF4-FFF2-40B4-BE49-F238E27FC236}">
                <a16:creationId xmlns:a16="http://schemas.microsoft.com/office/drawing/2014/main" id="{00000000-0008-0000-0100-000012000000}"/>
              </a:ext>
            </a:extLst>
          </xdr:cNvPr>
          <xdr:cNvSpPr txBox="1"/>
        </xdr:nvSpPr>
        <xdr:spPr>
          <a:xfrm>
            <a:off x="13081395" y="21021056"/>
            <a:ext cx="2028853" cy="41477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00CCFF"/>
                </a:solidFill>
              </a:rPr>
              <a:t>V</a:t>
            </a:r>
            <a:r>
              <a:rPr lang="en-US" sz="1000" b="1">
                <a:solidFill>
                  <a:srgbClr val="00CCFF"/>
                </a:solidFill>
              </a:rPr>
              <a:t>GS</a:t>
            </a:r>
            <a:r>
              <a:rPr lang="en-US" sz="1400" b="1" baseline="0">
                <a:solidFill>
                  <a:srgbClr val="00CCFF"/>
                </a:solidFill>
              </a:rPr>
              <a:t> </a:t>
            </a:r>
            <a:r>
              <a:rPr lang="en-US" sz="1400" b="1">
                <a:solidFill>
                  <a:srgbClr val="00CCFF"/>
                </a:solidFill>
              </a:rPr>
              <a:t>of low-side MOSFET</a:t>
            </a:r>
            <a:endParaRPr lang="en-US" sz="1400" b="1" baseline="-25000">
              <a:solidFill>
                <a:srgbClr val="00CCFF"/>
              </a:solidFill>
            </a:endParaRPr>
          </a:p>
        </xdr:txBody>
      </xdr:sp>
    </xdr:grpSp>
    <xdr:clientData/>
  </xdr:twoCellAnchor>
  <xdr:twoCellAnchor>
    <xdr:from>
      <xdr:col>6</xdr:col>
      <xdr:colOff>100692</xdr:colOff>
      <xdr:row>71</xdr:row>
      <xdr:rowOff>84365</xdr:rowOff>
    </xdr:from>
    <xdr:to>
      <xdr:col>11</xdr:col>
      <xdr:colOff>568673</xdr:colOff>
      <xdr:row>79</xdr:row>
      <xdr:rowOff>151040</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13220539" y="14885094"/>
          <a:ext cx="4018005" cy="1725146"/>
          <a:chOff x="12163423" y="14992343"/>
          <a:chExt cx="3935081" cy="1962147"/>
        </a:xfrm>
      </xdr:grpSpPr>
      <mc:AlternateContent xmlns:mc="http://schemas.openxmlformats.org/markup-compatibility/2006">
        <mc:Choice xmlns:a14="http://schemas.microsoft.com/office/drawing/2010/main" Requires="a14">
          <xdr:sp macro="" textlink="">
            <xdr:nvSpPr>
              <xdr:cNvPr id="4173" name="Object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12163423" y="14992343"/>
                <a:ext cx="3935081" cy="1962147"/>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mc:Choice>
        <mc:Fallback/>
      </mc:AlternateContent>
      <xdr:sp macro="" textlink="">
        <xdr:nvSpPr>
          <xdr:cNvPr id="19" name="TextBox 56">
            <a:extLst>
              <a:ext uri="{FF2B5EF4-FFF2-40B4-BE49-F238E27FC236}">
                <a16:creationId xmlns:a16="http://schemas.microsoft.com/office/drawing/2014/main" id="{00000000-0008-0000-0100-000013000000}"/>
              </a:ext>
            </a:extLst>
          </xdr:cNvPr>
          <xdr:cNvSpPr txBox="1"/>
        </xdr:nvSpPr>
        <xdr:spPr>
          <a:xfrm>
            <a:off x="13489082" y="15629406"/>
            <a:ext cx="2409824" cy="42022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CC00CC"/>
                </a:solidFill>
              </a:rPr>
              <a:t>Current of primary winding</a:t>
            </a:r>
            <a:endParaRPr lang="en-US" sz="1200" b="1" baseline="-25000">
              <a:solidFill>
                <a:srgbClr val="CC00CC"/>
              </a:solidFill>
            </a:endParaRPr>
          </a:p>
        </xdr:txBody>
      </xdr:sp>
    </xdr:grpSp>
    <xdr:clientData/>
  </xdr:twoCellAnchor>
  <xdr:twoCellAnchor editAs="oneCell">
    <xdr:from>
      <xdr:col>6</xdr:col>
      <xdr:colOff>92526</xdr:colOff>
      <xdr:row>59</xdr:row>
      <xdr:rowOff>152400</xdr:rowOff>
    </xdr:from>
    <xdr:to>
      <xdr:col>12</xdr:col>
      <xdr:colOff>191253</xdr:colOff>
      <xdr:row>70</xdr:row>
      <xdr:rowOff>174171</xdr:rowOff>
    </xdr:to>
    <xdr:pic>
      <xdr:nvPicPr>
        <xdr:cNvPr id="15" name="Pictur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a:stretch>
          <a:fillRect/>
        </a:stretch>
      </xdr:blipFill>
      <xdr:spPr>
        <a:xfrm>
          <a:off x="12534897" y="12344400"/>
          <a:ext cx="4096687" cy="2318657"/>
        </a:xfrm>
        <a:prstGeom prst="rect">
          <a:avLst/>
        </a:prstGeom>
      </xdr:spPr>
    </xdr:pic>
    <xdr:clientData/>
  </xdr:twoCellAnchor>
  <xdr:twoCellAnchor>
    <xdr:from>
      <xdr:col>6</xdr:col>
      <xdr:colOff>90347</xdr:colOff>
      <xdr:row>22</xdr:row>
      <xdr:rowOff>185398</xdr:rowOff>
    </xdr:from>
    <xdr:to>
      <xdr:col>12</xdr:col>
      <xdr:colOff>237827</xdr:colOff>
      <xdr:row>30</xdr:row>
      <xdr:rowOff>13537</xdr:rowOff>
    </xdr:to>
    <xdr:grpSp>
      <xdr:nvGrpSpPr>
        <xdr:cNvPr id="26" name="Group 25">
          <a:extLst>
            <a:ext uri="{FF2B5EF4-FFF2-40B4-BE49-F238E27FC236}">
              <a16:creationId xmlns:a16="http://schemas.microsoft.com/office/drawing/2014/main" id="{00000000-0008-0000-0100-00001A000000}"/>
            </a:ext>
          </a:extLst>
        </xdr:cNvPr>
        <xdr:cNvGrpSpPr/>
      </xdr:nvGrpSpPr>
      <xdr:grpSpPr>
        <a:xfrm>
          <a:off x="13210194" y="4730504"/>
          <a:ext cx="4347445" cy="1477645"/>
          <a:chOff x="12534896" y="4605000"/>
          <a:chExt cx="4336302" cy="1467528"/>
        </a:xfrm>
      </xdr:grpSpPr>
      <xdr:grpSp>
        <xdr:nvGrpSpPr>
          <xdr:cNvPr id="2" name="Group 1">
            <a:extLst>
              <a:ext uri="{FF2B5EF4-FFF2-40B4-BE49-F238E27FC236}">
                <a16:creationId xmlns:a16="http://schemas.microsoft.com/office/drawing/2014/main" id="{00000000-0008-0000-0100-000002000000}"/>
              </a:ext>
            </a:extLst>
          </xdr:cNvPr>
          <xdr:cNvGrpSpPr/>
        </xdr:nvGrpSpPr>
        <xdr:grpSpPr>
          <a:xfrm>
            <a:off x="12534896" y="4605000"/>
            <a:ext cx="4336302" cy="1467528"/>
            <a:chOff x="12324867" y="5674179"/>
            <a:chExt cx="2946381" cy="1454389"/>
          </a:xfrm>
          <a:solidFill>
            <a:schemeClr val="bg1"/>
          </a:solidFill>
        </xdr:grpSpPr>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5268" r="48290" b="56663"/>
            <a:stretch/>
          </xdr:blipFill>
          <xdr:spPr>
            <a:xfrm>
              <a:off x="12324867" y="5674179"/>
              <a:ext cx="2140597" cy="1450627"/>
            </a:xfrm>
            <a:prstGeom prst="rect">
              <a:avLst/>
            </a:prstGeom>
            <a:grpFill/>
          </xdr:spPr>
        </xdr:pic>
        <xdr:sp macro="" textlink="">
          <xdr:nvSpPr>
            <xdr:cNvPr id="13" name="TextBox 56">
              <a:extLst>
                <a:ext uri="{FF2B5EF4-FFF2-40B4-BE49-F238E27FC236}">
                  <a16:creationId xmlns:a16="http://schemas.microsoft.com/office/drawing/2014/main" id="{00000000-0008-0000-0100-00000D000000}"/>
                </a:ext>
              </a:extLst>
            </xdr:cNvPr>
            <xdr:cNvSpPr txBox="1"/>
          </xdr:nvSpPr>
          <xdr:spPr>
            <a:xfrm>
              <a:off x="14475258" y="5980811"/>
              <a:ext cx="795990" cy="529086"/>
            </a:xfrm>
            <a:prstGeom prst="rect">
              <a:avLst/>
            </a:prstGeom>
            <a:grp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l-GR" sz="1600" b="1">
                  <a:solidFill>
                    <a:srgbClr val="00B050"/>
                  </a:solidFill>
                </a:rPr>
                <a:t>Δ</a:t>
              </a:r>
              <a:r>
                <a:rPr lang="en-US" sz="1600" b="1">
                  <a:solidFill>
                    <a:srgbClr val="00B050"/>
                  </a:solidFill>
                </a:rPr>
                <a:t>V</a:t>
              </a:r>
              <a:r>
                <a:rPr lang="en-US" sz="1600" b="1" baseline="-25000">
                  <a:solidFill>
                    <a:srgbClr val="00B050"/>
                  </a:solidFill>
                </a:rPr>
                <a:t>o(ABM)</a:t>
              </a:r>
            </a:p>
          </xdr:txBody>
        </xdr:sp>
        <xdr:sp macro="" textlink="">
          <xdr:nvSpPr>
            <xdr:cNvPr id="14" name="TextBox 57">
              <a:extLst>
                <a:ext uri="{FF2B5EF4-FFF2-40B4-BE49-F238E27FC236}">
                  <a16:creationId xmlns:a16="http://schemas.microsoft.com/office/drawing/2014/main" id="{00000000-0008-0000-0100-00000E000000}"/>
                </a:ext>
              </a:extLst>
            </xdr:cNvPr>
            <xdr:cNvSpPr txBox="1"/>
          </xdr:nvSpPr>
          <xdr:spPr>
            <a:xfrm>
              <a:off x="12709909" y="6749933"/>
              <a:ext cx="771137" cy="37863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l-GR" sz="1600" b="1">
                  <a:solidFill>
                    <a:srgbClr val="7030A0"/>
                  </a:solidFill>
                </a:rPr>
                <a:t>Δ</a:t>
              </a:r>
              <a:r>
                <a:rPr lang="en-US" sz="1600" b="1">
                  <a:solidFill>
                    <a:srgbClr val="7030A0"/>
                  </a:solidFill>
                </a:rPr>
                <a:t>i</a:t>
              </a:r>
              <a:r>
                <a:rPr lang="en-US" sz="1600" b="1" baseline="-25000">
                  <a:solidFill>
                    <a:srgbClr val="7030A0"/>
                  </a:solidFill>
                </a:rPr>
                <a:t>FB(ABM)</a:t>
              </a:r>
            </a:p>
          </xdr:txBody>
        </xdr:sp>
      </xdr:grpSp>
      <xdr:grpSp>
        <xdr:nvGrpSpPr>
          <xdr:cNvPr id="24" name="Group 23">
            <a:extLst>
              <a:ext uri="{FF2B5EF4-FFF2-40B4-BE49-F238E27FC236}">
                <a16:creationId xmlns:a16="http://schemas.microsoft.com/office/drawing/2014/main" id="{00000000-0008-0000-0100-000018000000}"/>
              </a:ext>
            </a:extLst>
          </xdr:cNvPr>
          <xdr:cNvGrpSpPr/>
        </xdr:nvGrpSpPr>
        <xdr:grpSpPr>
          <a:xfrm>
            <a:off x="15144206" y="4618103"/>
            <a:ext cx="424790" cy="1112906"/>
            <a:chOff x="15144206" y="4618103"/>
            <a:chExt cx="424790" cy="1112906"/>
          </a:xfrm>
        </xdr:grpSpPr>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flipH="1" flipV="1">
              <a:off x="15452080" y="4618103"/>
              <a:ext cx="8965" cy="1112906"/>
            </a:xfrm>
            <a:prstGeom prst="straightConnector1">
              <a:avLst/>
            </a:prstGeom>
            <a:ln w="38100">
              <a:solidFill>
                <a:srgbClr val="00B05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00000000-0008-0000-0100-00000B000000}"/>
                </a:ext>
              </a:extLst>
            </xdr:cNvPr>
            <xdr:cNvCxnSpPr/>
          </xdr:nvCxnSpPr>
          <xdr:spPr>
            <a:xfrm flipV="1">
              <a:off x="15144206" y="4622241"/>
              <a:ext cx="417174" cy="201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a:extLst>
                <a:ext uri="{FF2B5EF4-FFF2-40B4-BE49-F238E27FC236}">
                  <a16:creationId xmlns:a16="http://schemas.microsoft.com/office/drawing/2014/main" id="{00000000-0008-0000-0100-000019000000}"/>
                </a:ext>
              </a:extLst>
            </xdr:cNvPr>
            <xdr:cNvCxnSpPr/>
          </xdr:nvCxnSpPr>
          <xdr:spPr>
            <a:xfrm flipV="1">
              <a:off x="15151822" y="5728406"/>
              <a:ext cx="417174" cy="201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19485</xdr:colOff>
      <xdr:row>1</xdr:row>
      <xdr:rowOff>60961</xdr:rowOff>
    </xdr:from>
    <xdr:to>
      <xdr:col>7</xdr:col>
      <xdr:colOff>1067648</xdr:colOff>
      <xdr:row>22</xdr:row>
      <xdr:rowOff>84667</xdr:rowOff>
    </xdr:to>
    <xdr:grpSp>
      <xdr:nvGrpSpPr>
        <xdr:cNvPr id="6" name="Group 5">
          <a:extLst>
            <a:ext uri="{FF2B5EF4-FFF2-40B4-BE49-F238E27FC236}">
              <a16:creationId xmlns:a16="http://schemas.microsoft.com/office/drawing/2014/main" id="{00000000-0008-0000-0200-000006000000}"/>
            </a:ext>
          </a:extLst>
        </xdr:cNvPr>
        <xdr:cNvGrpSpPr/>
      </xdr:nvGrpSpPr>
      <xdr:grpSpPr>
        <a:xfrm>
          <a:off x="331212" y="241070"/>
          <a:ext cx="10067472" cy="4277052"/>
          <a:chOff x="305235" y="251461"/>
          <a:chExt cx="9363488" cy="4471881"/>
        </a:xfrm>
      </xdr:grpSpPr>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305235" y="251461"/>
            <a:ext cx="9034158" cy="4471881"/>
          </a:xfrm>
          <a:prstGeom prst="rect">
            <a:avLst/>
          </a:prstGeom>
        </xdr:spPr>
      </xdr:pic>
      <xdr:sp macro="" textlink="">
        <xdr:nvSpPr>
          <xdr:cNvPr id="3" name="Rectangle 2">
            <a:extLst>
              <a:ext uri="{FF2B5EF4-FFF2-40B4-BE49-F238E27FC236}">
                <a16:creationId xmlns:a16="http://schemas.microsoft.com/office/drawing/2014/main" id="{00000000-0008-0000-0200-000003000000}"/>
              </a:ext>
            </a:extLst>
          </xdr:cNvPr>
          <xdr:cNvSpPr/>
        </xdr:nvSpPr>
        <xdr:spPr>
          <a:xfrm>
            <a:off x="7480936" y="275166"/>
            <a:ext cx="1478914" cy="95355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sp macro="" textlink="">
        <xdr:nvSpPr>
          <xdr:cNvPr id="4" name="Right Arrow 3">
            <a:extLst>
              <a:ext uri="{FF2B5EF4-FFF2-40B4-BE49-F238E27FC236}">
                <a16:creationId xmlns:a16="http://schemas.microsoft.com/office/drawing/2014/main" id="{00000000-0008-0000-0200-000004000000}"/>
              </a:ext>
            </a:extLst>
          </xdr:cNvPr>
          <xdr:cNvSpPr/>
        </xdr:nvSpPr>
        <xdr:spPr>
          <a:xfrm>
            <a:off x="9045575" y="723901"/>
            <a:ext cx="623148" cy="38862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121920</xdr:colOff>
      <xdr:row>42</xdr:row>
      <xdr:rowOff>45720</xdr:rowOff>
    </xdr:from>
    <xdr:to>
      <xdr:col>8</xdr:col>
      <xdr:colOff>552833</xdr:colOff>
      <xdr:row>51</xdr:row>
      <xdr:rowOff>53490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17195" y="8037195"/>
          <a:ext cx="4877183" cy="1729890"/>
        </a:xfrm>
        <a:prstGeom prst="rect">
          <a:avLst/>
        </a:prstGeom>
        <a:ln>
          <a:solidFill>
            <a:srgbClr val="000000"/>
          </a:solidFill>
        </a:ln>
      </xdr:spPr>
    </xdr:pic>
    <xdr:clientData/>
  </xdr:twoCellAnchor>
  <xdr:twoCellAnchor editAs="oneCell">
    <xdr:from>
      <xdr:col>9</xdr:col>
      <xdr:colOff>50537</xdr:colOff>
      <xdr:row>42</xdr:row>
      <xdr:rowOff>38548</xdr:rowOff>
    </xdr:from>
    <xdr:to>
      <xdr:col>17</xdr:col>
      <xdr:colOff>58545</xdr:colOff>
      <xdr:row>51</xdr:row>
      <xdr:rowOff>21551</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5489312" y="8030023"/>
          <a:ext cx="4945768" cy="1707028"/>
        </a:xfrm>
        <a:prstGeom prst="rect">
          <a:avLst/>
        </a:prstGeom>
        <a:ln>
          <a:solidFill>
            <a:srgbClr val="000000"/>
          </a:solidFill>
        </a:ln>
      </xdr:spPr>
    </xdr:pic>
    <xdr:clientData/>
  </xdr:twoCellAnchor>
  <xdr:twoCellAnchor>
    <xdr:from>
      <xdr:col>4</xdr:col>
      <xdr:colOff>266700</xdr:colOff>
      <xdr:row>40</xdr:row>
      <xdr:rowOff>83820</xdr:rowOff>
    </xdr:from>
    <xdr:to>
      <xdr:col>13</xdr:col>
      <xdr:colOff>182880</xdr:colOff>
      <xdr:row>41</xdr:row>
      <xdr:rowOff>175260</xdr:rowOff>
    </xdr:to>
    <xdr:sp macro="" textlink="">
      <xdr:nvSpPr>
        <xdr:cNvPr id="5" name="U-Turn Arrow 4">
          <a:extLst>
            <a:ext uri="{FF2B5EF4-FFF2-40B4-BE49-F238E27FC236}">
              <a16:creationId xmlns:a16="http://schemas.microsoft.com/office/drawing/2014/main" id="{00000000-0008-0000-0300-000005000000}"/>
            </a:ext>
          </a:extLst>
        </xdr:cNvPr>
        <xdr:cNvSpPr/>
      </xdr:nvSpPr>
      <xdr:spPr>
        <a:xfrm>
          <a:off x="2461260" y="4526280"/>
          <a:ext cx="485394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4</xdr:col>
      <xdr:colOff>228600</xdr:colOff>
      <xdr:row>51</xdr:row>
      <xdr:rowOff>99060</xdr:rowOff>
    </xdr:from>
    <xdr:to>
      <xdr:col>13</xdr:col>
      <xdr:colOff>190500</xdr:colOff>
      <xdr:row>52</xdr:row>
      <xdr:rowOff>182880</xdr:rowOff>
    </xdr:to>
    <xdr:sp macro="" textlink="">
      <xdr:nvSpPr>
        <xdr:cNvPr id="6" name="U-Turn Arrow 5">
          <a:extLst>
            <a:ext uri="{FF2B5EF4-FFF2-40B4-BE49-F238E27FC236}">
              <a16:creationId xmlns:a16="http://schemas.microsoft.com/office/drawing/2014/main" id="{00000000-0008-0000-0300-000006000000}"/>
            </a:ext>
          </a:extLst>
        </xdr:cNvPr>
        <xdr:cNvSpPr/>
      </xdr:nvSpPr>
      <xdr:spPr>
        <a:xfrm rot="10800000">
          <a:off x="2697480" y="5638800"/>
          <a:ext cx="4899660" cy="27432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4</xdr:col>
      <xdr:colOff>83820</xdr:colOff>
      <xdr:row>62</xdr:row>
      <xdr:rowOff>76200</xdr:rowOff>
    </xdr:from>
    <xdr:to>
      <xdr:col>11</xdr:col>
      <xdr:colOff>312420</xdr:colOff>
      <xdr:row>63</xdr:row>
      <xdr:rowOff>167640</xdr:rowOff>
    </xdr:to>
    <xdr:sp macro="" textlink="">
      <xdr:nvSpPr>
        <xdr:cNvPr id="10" name="U-Turn Arrow 9">
          <a:extLst>
            <a:ext uri="{FF2B5EF4-FFF2-40B4-BE49-F238E27FC236}">
              <a16:creationId xmlns:a16="http://schemas.microsoft.com/office/drawing/2014/main" id="{00000000-0008-0000-0300-00000A000000}"/>
            </a:ext>
          </a:extLst>
        </xdr:cNvPr>
        <xdr:cNvSpPr/>
      </xdr:nvSpPr>
      <xdr:spPr>
        <a:xfrm>
          <a:off x="2278380" y="8549640"/>
          <a:ext cx="406908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1</xdr:col>
      <xdr:colOff>7731</xdr:colOff>
      <xdr:row>64</xdr:row>
      <xdr:rowOff>15239</xdr:rowOff>
    </xdr:from>
    <xdr:to>
      <xdr:col>8</xdr:col>
      <xdr:colOff>134471</xdr:colOff>
      <xdr:row>74</xdr:row>
      <xdr:rowOff>67234</xdr:rowOff>
    </xdr:to>
    <xdr:grpSp>
      <xdr:nvGrpSpPr>
        <xdr:cNvPr id="24" name="Group 23">
          <a:extLst>
            <a:ext uri="{FF2B5EF4-FFF2-40B4-BE49-F238E27FC236}">
              <a16:creationId xmlns:a16="http://schemas.microsoft.com/office/drawing/2014/main" id="{00000000-0008-0000-0300-000018000000}"/>
            </a:ext>
          </a:extLst>
        </xdr:cNvPr>
        <xdr:cNvGrpSpPr/>
      </xdr:nvGrpSpPr>
      <xdr:grpSpPr>
        <a:xfrm>
          <a:off x="323417" y="12446725"/>
          <a:ext cx="4932783" cy="1902566"/>
          <a:chOff x="299084" y="13070092"/>
          <a:chExt cx="4416767" cy="1956995"/>
        </a:xfrm>
      </xdr:grpSpPr>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99084" y="13070092"/>
            <a:ext cx="4416767" cy="1956995"/>
          </a:xfrm>
          <a:prstGeom prst="rect">
            <a:avLst/>
          </a:prstGeom>
        </xdr:spPr>
      </xdr:pic>
      <xdr:sp macro="" textlink="">
        <xdr:nvSpPr>
          <xdr:cNvPr id="11" name="Oval 10">
            <a:extLst>
              <a:ext uri="{FF2B5EF4-FFF2-40B4-BE49-F238E27FC236}">
                <a16:creationId xmlns:a16="http://schemas.microsoft.com/office/drawing/2014/main" id="{00000000-0008-0000-0300-00000B000000}"/>
              </a:ext>
            </a:extLst>
          </xdr:cNvPr>
          <xdr:cNvSpPr/>
        </xdr:nvSpPr>
        <xdr:spPr>
          <a:xfrm>
            <a:off x="1714500" y="14037833"/>
            <a:ext cx="866663" cy="518608"/>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8</xdr:col>
      <xdr:colOff>431048</xdr:colOff>
      <xdr:row>64</xdr:row>
      <xdr:rowOff>12839</xdr:rowOff>
    </xdr:from>
    <xdr:to>
      <xdr:col>15</xdr:col>
      <xdr:colOff>432450</xdr:colOff>
      <xdr:row>74</xdr:row>
      <xdr:rowOff>67234</xdr:rowOff>
    </xdr:to>
    <xdr:grpSp>
      <xdr:nvGrpSpPr>
        <xdr:cNvPr id="25" name="Group 24">
          <a:extLst>
            <a:ext uri="{FF2B5EF4-FFF2-40B4-BE49-F238E27FC236}">
              <a16:creationId xmlns:a16="http://schemas.microsoft.com/office/drawing/2014/main" id="{00000000-0008-0000-0300-000019000000}"/>
            </a:ext>
          </a:extLst>
        </xdr:cNvPr>
        <xdr:cNvGrpSpPr/>
      </xdr:nvGrpSpPr>
      <xdr:grpSpPr>
        <a:xfrm>
          <a:off x="5552777" y="12444325"/>
          <a:ext cx="4704030" cy="1904966"/>
          <a:chOff x="5182342" y="13067692"/>
          <a:chExt cx="4394108" cy="1959395"/>
        </a:xfrm>
      </xdr:grpSpPr>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182342" y="13067692"/>
            <a:ext cx="4394108" cy="1959395"/>
          </a:xfrm>
          <a:prstGeom prst="rect">
            <a:avLst/>
          </a:prstGeom>
        </xdr:spPr>
      </xdr:pic>
      <xdr:sp macro="" textlink="">
        <xdr:nvSpPr>
          <xdr:cNvPr id="12" name="Oval 11">
            <a:extLst>
              <a:ext uri="{FF2B5EF4-FFF2-40B4-BE49-F238E27FC236}">
                <a16:creationId xmlns:a16="http://schemas.microsoft.com/office/drawing/2014/main" id="{00000000-0008-0000-0300-00000C000000}"/>
              </a:ext>
            </a:extLst>
          </xdr:cNvPr>
          <xdr:cNvSpPr/>
        </xdr:nvSpPr>
        <xdr:spPr>
          <a:xfrm>
            <a:off x="6459070" y="14113136"/>
            <a:ext cx="735105" cy="432099"/>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0</xdr:col>
      <xdr:colOff>220980</xdr:colOff>
      <xdr:row>87</xdr:row>
      <xdr:rowOff>160020</xdr:rowOff>
    </xdr:from>
    <xdr:to>
      <xdr:col>8</xdr:col>
      <xdr:colOff>172406</xdr:colOff>
      <xdr:row>100</xdr:row>
      <xdr:rowOff>173579</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5"/>
        <a:stretch>
          <a:fillRect/>
        </a:stretch>
      </xdr:blipFill>
      <xdr:spPr>
        <a:xfrm>
          <a:off x="220980" y="18705755"/>
          <a:ext cx="4702720" cy="2495774"/>
        </a:xfrm>
        <a:prstGeom prst="rect">
          <a:avLst/>
        </a:prstGeom>
      </xdr:spPr>
    </xdr:pic>
    <xdr:clientData/>
  </xdr:twoCellAnchor>
  <xdr:twoCellAnchor editAs="oneCell">
    <xdr:from>
      <xdr:col>8</xdr:col>
      <xdr:colOff>291358</xdr:colOff>
      <xdr:row>87</xdr:row>
      <xdr:rowOff>137160</xdr:rowOff>
    </xdr:from>
    <xdr:to>
      <xdr:col>15</xdr:col>
      <xdr:colOff>401802</xdr:colOff>
      <xdr:row>101</xdr:row>
      <xdr:rowOff>54349</xdr:rowOff>
    </xdr:to>
    <xdr:pic>
      <xdr:nvPicPr>
        <xdr:cNvPr id="9" name="Pictur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6"/>
        <a:stretch>
          <a:fillRect/>
        </a:stretch>
      </xdr:blipFill>
      <xdr:spPr>
        <a:xfrm>
          <a:off x="5042652" y="18682895"/>
          <a:ext cx="4491720" cy="2574664"/>
        </a:xfrm>
        <a:prstGeom prst="rect">
          <a:avLst/>
        </a:prstGeom>
      </xdr:spPr>
    </xdr:pic>
    <xdr:clientData/>
  </xdr:twoCellAnchor>
  <xdr:twoCellAnchor editAs="oneCell">
    <xdr:from>
      <xdr:col>4</xdr:col>
      <xdr:colOff>167640</xdr:colOff>
      <xdr:row>77</xdr:row>
      <xdr:rowOff>22861</xdr:rowOff>
    </xdr:from>
    <xdr:to>
      <xdr:col>11</xdr:col>
      <xdr:colOff>247894</xdr:colOff>
      <xdr:row>84</xdr:row>
      <xdr:rowOff>134470</xdr:rowOff>
    </xdr:to>
    <xdr:pic>
      <xdr:nvPicPr>
        <xdr:cNvPr id="13" name="Picture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7"/>
        <a:stretch>
          <a:fillRect/>
        </a:stretch>
      </xdr:blipFill>
      <xdr:spPr>
        <a:xfrm>
          <a:off x="2767405" y="15554214"/>
          <a:ext cx="4125577" cy="2509668"/>
        </a:xfrm>
        <a:prstGeom prst="rect">
          <a:avLst/>
        </a:prstGeom>
      </xdr:spPr>
    </xdr:pic>
    <xdr:clientData/>
  </xdr:twoCellAnchor>
  <xdr:twoCellAnchor>
    <xdr:from>
      <xdr:col>3</xdr:col>
      <xdr:colOff>408798</xdr:colOff>
      <xdr:row>86</xdr:row>
      <xdr:rowOff>30480</xdr:rowOff>
    </xdr:from>
    <xdr:to>
      <xdr:col>12</xdr:col>
      <xdr:colOff>348734</xdr:colOff>
      <xdr:row>87</xdr:row>
      <xdr:rowOff>121920</xdr:rowOff>
    </xdr:to>
    <xdr:sp macro="" textlink="">
      <xdr:nvSpPr>
        <xdr:cNvPr id="18" name="U-Turn Arrow 17">
          <a:extLst>
            <a:ext uri="{FF2B5EF4-FFF2-40B4-BE49-F238E27FC236}">
              <a16:creationId xmlns:a16="http://schemas.microsoft.com/office/drawing/2014/main" id="{00000000-0008-0000-0300-000012000000}"/>
            </a:ext>
          </a:extLst>
        </xdr:cNvPr>
        <xdr:cNvSpPr/>
      </xdr:nvSpPr>
      <xdr:spPr>
        <a:xfrm>
          <a:off x="2246563" y="18385715"/>
          <a:ext cx="5352377"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editAs="oneCell">
    <xdr:from>
      <xdr:col>14</xdr:col>
      <xdr:colOff>86994</xdr:colOff>
      <xdr:row>23</xdr:row>
      <xdr:rowOff>77067</xdr:rowOff>
    </xdr:from>
    <xdr:to>
      <xdr:col>19</xdr:col>
      <xdr:colOff>379325</xdr:colOff>
      <xdr:row>34</xdr:row>
      <xdr:rowOff>767</xdr:rowOff>
    </xdr:to>
    <xdr:pic>
      <xdr:nvPicPr>
        <xdr:cNvPr id="17" name="Picture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8"/>
        <a:stretch>
          <a:fillRect/>
        </a:stretch>
      </xdr:blipFill>
      <xdr:spPr>
        <a:xfrm>
          <a:off x="8547435" y="4615449"/>
          <a:ext cx="3396361" cy="2329827"/>
        </a:xfrm>
        <a:prstGeom prst="rect">
          <a:avLst/>
        </a:prstGeom>
      </xdr:spPr>
    </xdr:pic>
    <xdr:clientData/>
  </xdr:twoCellAnchor>
  <xdr:twoCellAnchor>
    <xdr:from>
      <xdr:col>1</xdr:col>
      <xdr:colOff>150496</xdr:colOff>
      <xdr:row>2</xdr:row>
      <xdr:rowOff>57150</xdr:rowOff>
    </xdr:from>
    <xdr:to>
      <xdr:col>13</xdr:col>
      <xdr:colOff>116632</xdr:colOff>
      <xdr:row>21</xdr:row>
      <xdr:rowOff>116969</xdr:rowOff>
    </xdr:to>
    <xdr:grpSp>
      <xdr:nvGrpSpPr>
        <xdr:cNvPr id="23" name="Group 22">
          <a:extLst>
            <a:ext uri="{FF2B5EF4-FFF2-40B4-BE49-F238E27FC236}">
              <a16:creationId xmlns:a16="http://schemas.microsoft.com/office/drawing/2014/main" id="{00000000-0008-0000-0300-000017000000}"/>
            </a:ext>
          </a:extLst>
        </xdr:cNvPr>
        <xdr:cNvGrpSpPr/>
      </xdr:nvGrpSpPr>
      <xdr:grpSpPr>
        <a:xfrm>
          <a:off x="466182" y="590550"/>
          <a:ext cx="8086879" cy="3575905"/>
          <a:chOff x="445771" y="600075"/>
          <a:chExt cx="7548036" cy="3679319"/>
        </a:xfrm>
      </xdr:grpSpPr>
      <xdr:pic>
        <xdr:nvPicPr>
          <xdr:cNvPr id="14" name="Picture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9"/>
          <a:stretch>
            <a:fillRect/>
          </a:stretch>
        </xdr:blipFill>
        <xdr:spPr>
          <a:xfrm>
            <a:off x="445771" y="658178"/>
            <a:ext cx="7548036" cy="3523297"/>
          </a:xfrm>
          <a:prstGeom prst="rect">
            <a:avLst/>
          </a:prstGeom>
        </xdr:spPr>
      </xdr:pic>
      <xdr:sp macro="" textlink="">
        <xdr:nvSpPr>
          <xdr:cNvPr id="15" name="Rectangle 14">
            <a:extLst>
              <a:ext uri="{FF2B5EF4-FFF2-40B4-BE49-F238E27FC236}">
                <a16:creationId xmlns:a16="http://schemas.microsoft.com/office/drawing/2014/main" id="{00000000-0008-0000-0300-00000F000000}"/>
              </a:ext>
            </a:extLst>
          </xdr:cNvPr>
          <xdr:cNvSpPr/>
        </xdr:nvSpPr>
        <xdr:spPr>
          <a:xfrm>
            <a:off x="6421488" y="619125"/>
            <a:ext cx="1255662" cy="8763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sp macro="" textlink="">
        <xdr:nvSpPr>
          <xdr:cNvPr id="19" name="Rectangle 18">
            <a:extLst>
              <a:ext uri="{FF2B5EF4-FFF2-40B4-BE49-F238E27FC236}">
                <a16:creationId xmlns:a16="http://schemas.microsoft.com/office/drawing/2014/main" id="{00000000-0008-0000-0300-000013000000}"/>
              </a:ext>
            </a:extLst>
          </xdr:cNvPr>
          <xdr:cNvSpPr/>
        </xdr:nvSpPr>
        <xdr:spPr>
          <a:xfrm>
            <a:off x="5045359" y="3097356"/>
            <a:ext cx="669641" cy="87456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5581650" y="600075"/>
            <a:ext cx="877613"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solidFill>
                  <a:srgbClr val="FF0000"/>
                </a:solidFill>
                <a:latin typeface="Arial" panose="020B0604020202020204" pitchFamily="34" charset="0"/>
                <a:cs typeface="Arial" panose="020B0604020202020204" pitchFamily="34" charset="0"/>
              </a:rPr>
              <a:t>Sec - Res</a:t>
            </a:r>
          </a:p>
        </xdr:txBody>
      </xdr:sp>
      <xdr:sp macro="" textlink="">
        <xdr:nvSpPr>
          <xdr:cNvPr id="22" name="TextBox 21">
            <a:extLst>
              <a:ext uri="{FF2B5EF4-FFF2-40B4-BE49-F238E27FC236}">
                <a16:creationId xmlns:a16="http://schemas.microsoft.com/office/drawing/2014/main" id="{00000000-0008-0000-0300-000016000000}"/>
              </a:ext>
            </a:extLst>
          </xdr:cNvPr>
          <xdr:cNvSpPr txBox="1"/>
        </xdr:nvSpPr>
        <xdr:spPr>
          <a:xfrm>
            <a:off x="5105400" y="4010025"/>
            <a:ext cx="518027"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a:solidFill>
                  <a:srgbClr val="FF0000"/>
                </a:solidFill>
                <a:latin typeface="Arial" panose="020B0604020202020204" pitchFamily="34" charset="0"/>
                <a:cs typeface="Arial" panose="020B0604020202020204" pitchFamily="34" charset="0"/>
              </a:rPr>
              <a:t>ARC</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91439</xdr:colOff>
      <xdr:row>11</xdr:row>
      <xdr:rowOff>92623</xdr:rowOff>
    </xdr:from>
    <xdr:to>
      <xdr:col>13</xdr:col>
      <xdr:colOff>283527</xdr:colOff>
      <xdr:row>22</xdr:row>
      <xdr:rowOff>38100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3853814" y="2864398"/>
          <a:ext cx="3668713" cy="227910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76:C78" totalsRowShown="0" headerRowDxfId="2" dataDxfId="1">
  <autoFilter ref="C76:C78" xr:uid="{00000000-0009-0000-0100-000001000000}"/>
  <tableColumns count="1">
    <tableColumn id="1" xr3:uid="{00000000-0010-0000-0000-000001000000}" name="V input typ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4.emf"/><Relationship Id="rId4" Type="http://schemas.openxmlformats.org/officeDocument/2006/relationships/package" Target="../embeddings/Microsoft_Visio_Drawing.vsd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32"/>
  <sheetViews>
    <sheetView topLeftCell="A127" zoomScale="85" zoomScaleNormal="85" workbookViewId="0">
      <selection activeCell="D35" sqref="D35"/>
    </sheetView>
  </sheetViews>
  <sheetFormatPr defaultColWidth="9" defaultRowHeight="14.4"/>
  <cols>
    <col min="1" max="1" width="5" customWidth="1"/>
    <col min="2" max="2" width="65.62890625" customWidth="1"/>
    <col min="3" max="4" width="13.62890625" customWidth="1"/>
    <col min="5" max="5" width="7.62890625" customWidth="1"/>
    <col min="6" max="6" width="13.62890625" customWidth="1"/>
    <col min="7" max="7" width="43.89453125" customWidth="1"/>
    <col min="19" max="19" width="9.1015625" customWidth="1"/>
    <col min="20" max="20" width="9" customWidth="1"/>
  </cols>
  <sheetData>
    <row r="1" spans="1:21" ht="30.3">
      <c r="A1" s="171"/>
      <c r="B1" s="542" t="s">
        <v>2</v>
      </c>
      <c r="C1" s="542"/>
      <c r="D1" s="542"/>
      <c r="E1" s="542"/>
      <c r="F1" s="542"/>
      <c r="G1" s="542"/>
      <c r="H1" s="353"/>
      <c r="I1" s="425"/>
      <c r="J1" s="165"/>
      <c r="K1" s="165"/>
      <c r="L1" s="165"/>
      <c r="M1" s="165"/>
      <c r="N1" s="165"/>
      <c r="U1" s="35"/>
    </row>
    <row r="2" spans="1:21" ht="24" customHeight="1" thickBot="1">
      <c r="A2" s="171"/>
      <c r="B2" s="354" t="s">
        <v>117</v>
      </c>
      <c r="C2" s="354"/>
      <c r="D2" s="423" t="s">
        <v>1011</v>
      </c>
      <c r="E2" s="355"/>
      <c r="F2" s="422"/>
      <c r="G2" s="356"/>
      <c r="H2" s="357"/>
      <c r="I2" s="425"/>
      <c r="J2" s="165"/>
      <c r="K2" s="165"/>
      <c r="L2" s="165"/>
      <c r="M2" s="165"/>
      <c r="N2" s="165"/>
      <c r="U2" s="35"/>
    </row>
    <row r="3" spans="1:21" ht="15">
      <c r="A3" s="171"/>
      <c r="B3" s="543" t="s">
        <v>122</v>
      </c>
      <c r="C3" s="544"/>
      <c r="D3" s="544"/>
      <c r="E3" s="544"/>
      <c r="F3" s="544"/>
      <c r="G3" s="545"/>
      <c r="H3" s="165"/>
      <c r="I3" s="425"/>
      <c r="J3" s="358"/>
      <c r="K3" s="358"/>
      <c r="L3" s="165"/>
      <c r="M3" s="165"/>
      <c r="N3" s="165"/>
      <c r="O3" s="72"/>
      <c r="U3" s="35"/>
    </row>
    <row r="4" spans="1:21">
      <c r="A4" s="165"/>
      <c r="B4" s="546" t="s">
        <v>1038</v>
      </c>
      <c r="C4" s="547"/>
      <c r="D4" s="547"/>
      <c r="E4" s="547"/>
      <c r="F4" s="547"/>
      <c r="G4" s="548"/>
      <c r="H4" s="165"/>
      <c r="I4" s="165"/>
      <c r="J4" s="165"/>
      <c r="K4" s="165"/>
      <c r="L4" s="165"/>
      <c r="M4" s="165"/>
      <c r="N4" s="165"/>
      <c r="O4" s="72"/>
    </row>
    <row r="5" spans="1:21">
      <c r="A5" s="171"/>
      <c r="B5" s="546"/>
      <c r="C5" s="547"/>
      <c r="D5" s="547"/>
      <c r="E5" s="547"/>
      <c r="F5" s="547"/>
      <c r="G5" s="548"/>
      <c r="H5" s="359"/>
      <c r="I5" s="165"/>
      <c r="J5" s="165"/>
      <c r="K5" s="165"/>
      <c r="L5" s="165"/>
      <c r="M5" s="165"/>
      <c r="N5" s="165"/>
      <c r="O5" s="72"/>
      <c r="U5" s="35"/>
    </row>
    <row r="6" spans="1:21" ht="15.6">
      <c r="A6" s="171"/>
      <c r="B6" s="546"/>
      <c r="C6" s="547"/>
      <c r="D6" s="547"/>
      <c r="E6" s="547"/>
      <c r="F6" s="547"/>
      <c r="G6" s="548"/>
      <c r="H6" s="358"/>
      <c r="I6" s="165"/>
      <c r="J6" s="357"/>
      <c r="K6" s="165"/>
      <c r="L6" s="165"/>
      <c r="M6" s="165"/>
      <c r="N6" s="165"/>
      <c r="O6" s="72"/>
      <c r="U6" s="35"/>
    </row>
    <row r="7" spans="1:21" ht="14.7" thickBot="1">
      <c r="A7" s="171"/>
      <c r="B7" s="549"/>
      <c r="C7" s="550"/>
      <c r="D7" s="550"/>
      <c r="E7" s="550"/>
      <c r="F7" s="550"/>
      <c r="G7" s="551"/>
      <c r="H7" s="358"/>
      <c r="I7" s="165"/>
      <c r="J7" s="165"/>
      <c r="K7" s="165"/>
      <c r="L7" s="165"/>
      <c r="M7" s="165"/>
      <c r="N7" s="165"/>
      <c r="O7" s="72"/>
      <c r="U7" s="35"/>
    </row>
    <row r="8" spans="1:21" ht="20.100000000000001">
      <c r="A8" s="171"/>
      <c r="B8" s="552" t="s">
        <v>192</v>
      </c>
      <c r="C8" s="553"/>
      <c r="D8" s="553"/>
      <c r="E8" s="553"/>
      <c r="F8" s="553"/>
      <c r="G8" s="554"/>
      <c r="H8" s="358"/>
      <c r="I8" s="165"/>
      <c r="J8" s="165"/>
      <c r="K8" s="165"/>
      <c r="L8" s="165"/>
      <c r="M8" s="165"/>
      <c r="N8" s="165"/>
      <c r="O8" s="72"/>
    </row>
    <row r="9" spans="1:21" ht="20.25" customHeight="1">
      <c r="A9" s="171"/>
      <c r="B9" s="555" t="s">
        <v>0</v>
      </c>
      <c r="C9" s="556"/>
      <c r="D9" s="556"/>
      <c r="E9" s="556"/>
      <c r="F9" s="556"/>
      <c r="G9" s="557"/>
      <c r="H9" s="359"/>
      <c r="I9" s="165"/>
      <c r="J9" s="165"/>
      <c r="K9" s="165"/>
      <c r="L9" s="165"/>
      <c r="M9" s="165"/>
      <c r="N9" s="165"/>
      <c r="O9" s="72"/>
      <c r="Q9" s="74"/>
    </row>
    <row r="10" spans="1:21" ht="20.25" customHeight="1" thickBot="1">
      <c r="A10" s="171"/>
      <c r="B10" s="516" t="s">
        <v>242</v>
      </c>
      <c r="C10" s="517"/>
      <c r="D10" s="517"/>
      <c r="E10" s="517"/>
      <c r="F10" s="517"/>
      <c r="G10" s="518"/>
      <c r="H10" s="358"/>
      <c r="I10" s="165"/>
      <c r="J10" s="165"/>
      <c r="K10" s="357"/>
      <c r="L10" s="165"/>
      <c r="M10" s="165"/>
      <c r="N10" s="165"/>
      <c r="O10" s="72"/>
      <c r="Q10" s="30"/>
    </row>
    <row r="11" spans="1:21" ht="55.9" customHeight="1" thickBot="1">
      <c r="A11" s="171"/>
      <c r="B11" s="519" t="s">
        <v>291</v>
      </c>
      <c r="C11" s="520"/>
      <c r="D11" s="520"/>
      <c r="E11" s="520"/>
      <c r="F11" s="520"/>
      <c r="G11" s="521"/>
      <c r="H11" s="359"/>
      <c r="I11" s="165"/>
      <c r="J11" s="165"/>
      <c r="K11" s="165"/>
      <c r="L11" s="165"/>
      <c r="M11" s="165"/>
      <c r="N11" s="165"/>
      <c r="O11" s="72"/>
      <c r="Q11" s="30"/>
    </row>
    <row r="12" spans="1:21" ht="15.6">
      <c r="A12" s="171"/>
      <c r="B12" s="522" t="s">
        <v>1</v>
      </c>
      <c r="C12" s="523"/>
      <c r="D12" s="523"/>
      <c r="E12" s="523"/>
      <c r="F12" s="523"/>
      <c r="G12" s="524"/>
      <c r="H12" s="165"/>
      <c r="I12" s="165"/>
      <c r="J12" s="165"/>
      <c r="K12" s="165"/>
      <c r="L12" s="165"/>
      <c r="M12" s="165"/>
      <c r="N12" s="165"/>
      <c r="O12" s="72"/>
      <c r="Q12" s="30"/>
    </row>
    <row r="13" spans="1:21" ht="15.9" thickBot="1">
      <c r="A13" s="171"/>
      <c r="B13" s="525"/>
      <c r="C13" s="526"/>
      <c r="D13" s="526"/>
      <c r="E13" s="526"/>
      <c r="F13" s="526"/>
      <c r="G13" s="527"/>
      <c r="H13" s="165"/>
      <c r="I13" s="165"/>
      <c r="J13" s="165"/>
      <c r="K13" s="165"/>
      <c r="L13" s="165"/>
      <c r="M13" s="165"/>
      <c r="N13" s="165"/>
      <c r="O13" s="72"/>
      <c r="Q13" s="30"/>
    </row>
    <row r="14" spans="1:21" ht="15.9" thickBot="1">
      <c r="A14" s="171"/>
      <c r="B14" s="360"/>
      <c r="C14" s="361" t="s">
        <v>421</v>
      </c>
      <c r="D14" s="362" t="s">
        <v>240</v>
      </c>
      <c r="E14" s="363" t="s">
        <v>241</v>
      </c>
      <c r="F14" s="364"/>
      <c r="G14" s="165"/>
      <c r="H14" s="165"/>
      <c r="I14" s="294"/>
      <c r="J14" s="165"/>
      <c r="K14" s="165"/>
      <c r="L14" s="165"/>
      <c r="M14" s="165"/>
      <c r="N14" s="165"/>
      <c r="O14" s="72"/>
      <c r="Q14" s="30"/>
    </row>
    <row r="15" spans="1:21" ht="18" customHeight="1">
      <c r="A15" s="171"/>
      <c r="B15" s="537" t="s">
        <v>199</v>
      </c>
      <c r="C15" s="538"/>
      <c r="D15" s="538"/>
      <c r="E15" s="538"/>
      <c r="F15" s="538"/>
      <c r="G15" s="539"/>
      <c r="H15" s="165"/>
      <c r="I15" s="165"/>
      <c r="J15" s="165"/>
      <c r="K15" s="165"/>
      <c r="L15" s="165"/>
      <c r="M15" s="165"/>
      <c r="N15" s="165"/>
      <c r="O15" s="72"/>
      <c r="Q15" s="30"/>
    </row>
    <row r="16" spans="1:21" ht="18.75" customHeight="1">
      <c r="A16" s="171"/>
      <c r="B16" s="365" t="s">
        <v>198</v>
      </c>
      <c r="C16" s="174" t="s">
        <v>735</v>
      </c>
      <c r="D16" s="69" t="s">
        <v>972</v>
      </c>
      <c r="E16" s="366"/>
      <c r="F16" s="534" t="s">
        <v>487</v>
      </c>
      <c r="G16" s="535"/>
      <c r="H16" s="165"/>
      <c r="I16" s="165"/>
      <c r="J16" s="165"/>
      <c r="K16" s="165"/>
      <c r="L16" s="165"/>
      <c r="M16" s="165"/>
      <c r="N16" s="165"/>
    </row>
    <row r="17" spans="1:17" ht="18.75" customHeight="1">
      <c r="A17" s="171"/>
      <c r="B17" s="367" t="s">
        <v>420</v>
      </c>
      <c r="C17" s="174" t="s">
        <v>736</v>
      </c>
      <c r="D17" s="66">
        <v>220</v>
      </c>
      <c r="E17" s="176" t="str">
        <f>IF(Vin_type="AC","Vrms","V")</f>
        <v>Vrms</v>
      </c>
      <c r="F17" s="368" t="s">
        <v>276</v>
      </c>
      <c r="G17" s="463"/>
      <c r="H17" s="165"/>
      <c r="I17" s="165"/>
      <c r="J17" s="165"/>
      <c r="K17" s="165"/>
      <c r="L17" s="165"/>
      <c r="M17" s="165"/>
      <c r="N17" s="165"/>
    </row>
    <row r="18" spans="1:17" ht="18.75" customHeight="1">
      <c r="A18" s="171"/>
      <c r="B18" s="367" t="s">
        <v>419</v>
      </c>
      <c r="C18" s="174" t="s">
        <v>737</v>
      </c>
      <c r="D18" s="42">
        <v>220</v>
      </c>
      <c r="E18" s="176" t="str">
        <f t="shared" ref="E18:E21" si="0">IF(Vin_type="AC","Vrms","V")</f>
        <v>Vrms</v>
      </c>
      <c r="F18" s="468" t="s">
        <v>277</v>
      </c>
      <c r="G18" s="469"/>
      <c r="H18" s="165"/>
      <c r="I18" s="165"/>
      <c r="J18" s="165"/>
      <c r="K18" s="165"/>
      <c r="L18" s="165"/>
      <c r="M18" s="165"/>
      <c r="N18" s="165"/>
    </row>
    <row r="19" spans="1:17" ht="18.7" customHeight="1">
      <c r="A19" s="171"/>
      <c r="B19" s="367" t="s">
        <v>418</v>
      </c>
      <c r="C19" s="174" t="s">
        <v>738</v>
      </c>
      <c r="D19" s="70">
        <v>180</v>
      </c>
      <c r="E19" s="176" t="str">
        <f t="shared" si="0"/>
        <v>Vrms</v>
      </c>
      <c r="F19" s="368" t="s">
        <v>275</v>
      </c>
      <c r="G19" s="369"/>
      <c r="H19" s="165"/>
      <c r="I19" s="165"/>
      <c r="J19" s="165"/>
      <c r="K19" s="165"/>
      <c r="L19" s="165"/>
      <c r="M19" s="165"/>
      <c r="N19" s="165"/>
      <c r="Q19" s="30"/>
    </row>
    <row r="20" spans="1:17" ht="18" customHeight="1">
      <c r="A20" s="171"/>
      <c r="B20" s="367" t="s">
        <v>488</v>
      </c>
      <c r="C20" s="174" t="s">
        <v>739</v>
      </c>
      <c r="D20" s="66">
        <v>170</v>
      </c>
      <c r="E20" s="176" t="str">
        <f t="shared" si="0"/>
        <v>Vrms</v>
      </c>
      <c r="F20" s="472" t="s">
        <v>505</v>
      </c>
      <c r="G20" s="473"/>
      <c r="H20" s="165"/>
      <c r="I20" s="165"/>
      <c r="J20" s="165"/>
      <c r="K20" s="165"/>
      <c r="L20" s="165"/>
      <c r="M20" s="165"/>
      <c r="N20" s="165"/>
      <c r="Q20" s="30"/>
    </row>
    <row r="21" spans="1:17" ht="18" customHeight="1">
      <c r="A21" s="171"/>
      <c r="B21" s="370" t="s">
        <v>740</v>
      </c>
      <c r="C21" s="371" t="s">
        <v>741</v>
      </c>
      <c r="D21" s="292">
        <f>0.83*VINPUT_Brownin</f>
        <v>141.1</v>
      </c>
      <c r="E21" s="176" t="str">
        <f t="shared" si="0"/>
        <v>Vrms</v>
      </c>
      <c r="F21" s="472" t="s">
        <v>285</v>
      </c>
      <c r="G21" s="473"/>
      <c r="H21" s="165"/>
      <c r="I21" s="165"/>
      <c r="J21" s="165"/>
      <c r="K21" s="165"/>
      <c r="L21" s="165"/>
      <c r="M21" s="165"/>
      <c r="N21" s="165"/>
      <c r="Q21" s="30"/>
    </row>
    <row r="22" spans="1:17" ht="18" customHeight="1">
      <c r="A22" s="171"/>
      <c r="B22" s="367" t="s">
        <v>417</v>
      </c>
      <c r="C22" s="174" t="s">
        <v>742</v>
      </c>
      <c r="D22" s="42">
        <v>160</v>
      </c>
      <c r="E22" s="176" t="str">
        <f>IF(Vin_type="AC","V","V")</f>
        <v>V</v>
      </c>
      <c r="F22" s="468" t="s">
        <v>743</v>
      </c>
      <c r="G22" s="536"/>
      <c r="H22" s="165"/>
      <c r="I22" s="165"/>
      <c r="J22" s="165"/>
      <c r="K22" s="165"/>
      <c r="L22" s="165"/>
      <c r="M22" s="165"/>
      <c r="N22" s="165"/>
    </row>
    <row r="23" spans="1:17" ht="18" customHeight="1">
      <c r="A23" s="171"/>
      <c r="B23" s="372"/>
      <c r="C23" s="373"/>
      <c r="D23" s="374"/>
      <c r="E23" s="374"/>
      <c r="F23" s="374"/>
      <c r="G23" s="424"/>
      <c r="H23" s="165"/>
      <c r="I23" s="165"/>
      <c r="J23" s="165"/>
      <c r="K23" s="165"/>
      <c r="L23" s="165"/>
      <c r="M23" s="165"/>
      <c r="N23" s="165"/>
    </row>
    <row r="24" spans="1:17" ht="16.2">
      <c r="A24" s="171"/>
      <c r="B24" s="367" t="s">
        <v>416</v>
      </c>
      <c r="C24" s="174" t="s">
        <v>744</v>
      </c>
      <c r="D24" s="66">
        <v>47</v>
      </c>
      <c r="E24" s="176" t="s">
        <v>4</v>
      </c>
      <c r="F24" s="532" t="s">
        <v>992</v>
      </c>
      <c r="G24" s="533"/>
      <c r="H24" s="165"/>
      <c r="I24" s="165"/>
      <c r="J24" s="165"/>
      <c r="K24" s="165"/>
      <c r="L24" s="165"/>
      <c r="M24" s="165"/>
      <c r="N24" s="165"/>
    </row>
    <row r="25" spans="1:17" ht="18.75" customHeight="1" thickBot="1">
      <c r="A25" s="171"/>
      <c r="B25" s="375" t="s">
        <v>415</v>
      </c>
      <c r="C25" s="251" t="s">
        <v>1012</v>
      </c>
      <c r="D25" s="71">
        <v>0.93</v>
      </c>
      <c r="E25" s="253"/>
      <c r="F25" s="540" t="s">
        <v>243</v>
      </c>
      <c r="G25" s="541"/>
      <c r="H25" s="165"/>
      <c r="I25" s="165"/>
      <c r="J25" s="165"/>
      <c r="K25" s="165"/>
      <c r="L25" s="165"/>
      <c r="M25" s="165"/>
      <c r="N25" s="165"/>
    </row>
    <row r="26" spans="1:17" ht="14.7" thickBot="1">
      <c r="A26" s="171"/>
      <c r="B26" s="166"/>
      <c r="C26" s="166"/>
      <c r="D26" s="168"/>
      <c r="E26" s="166"/>
      <c r="F26" s="169"/>
      <c r="G26" s="170"/>
      <c r="H26" s="165"/>
      <c r="I26" s="165"/>
      <c r="J26" s="165"/>
      <c r="K26" s="165"/>
      <c r="L26" s="165"/>
      <c r="M26" s="165"/>
      <c r="N26" s="165"/>
    </row>
    <row r="27" spans="1:17" ht="18" customHeight="1">
      <c r="A27" s="171"/>
      <c r="B27" s="528" t="s">
        <v>6</v>
      </c>
      <c r="C27" s="529"/>
      <c r="D27" s="530"/>
      <c r="E27" s="530"/>
      <c r="F27" s="530"/>
      <c r="G27" s="531"/>
      <c r="H27" s="165"/>
      <c r="I27" s="165"/>
      <c r="J27" s="165"/>
      <c r="K27" s="165"/>
      <c r="L27" s="165"/>
      <c r="M27" s="165"/>
      <c r="N27" s="165"/>
    </row>
    <row r="28" spans="1:17" ht="16.2">
      <c r="A28" s="171"/>
      <c r="B28" s="376" t="s">
        <v>414</v>
      </c>
      <c r="C28" s="231" t="s">
        <v>729</v>
      </c>
      <c r="D28" s="68">
        <v>15.5</v>
      </c>
      <c r="E28" s="488" t="s">
        <v>137</v>
      </c>
      <c r="F28" s="488"/>
      <c r="G28" s="489"/>
      <c r="H28" s="165"/>
      <c r="I28" s="165"/>
      <c r="J28" s="165"/>
      <c r="K28" s="165"/>
      <c r="L28" s="165"/>
      <c r="M28" s="165"/>
      <c r="N28" s="165"/>
    </row>
    <row r="29" spans="1:17" ht="18" customHeight="1">
      <c r="A29" s="171"/>
      <c r="B29" s="367" t="s">
        <v>413</v>
      </c>
      <c r="C29" s="174" t="s">
        <v>363</v>
      </c>
      <c r="D29" s="66">
        <v>115</v>
      </c>
      <c r="E29" s="488" t="s">
        <v>5</v>
      </c>
      <c r="F29" s="488"/>
      <c r="G29" s="489"/>
      <c r="H29" s="165"/>
      <c r="I29" s="165"/>
      <c r="J29" s="165"/>
      <c r="K29" s="165"/>
      <c r="L29" s="165"/>
      <c r="M29" s="165"/>
      <c r="N29" s="165"/>
    </row>
    <row r="30" spans="1:17" ht="16.2">
      <c r="A30" s="171"/>
      <c r="B30" s="376" t="s">
        <v>412</v>
      </c>
      <c r="C30" s="231" t="s">
        <v>730</v>
      </c>
      <c r="D30" s="66">
        <v>30</v>
      </c>
      <c r="E30" s="176" t="s">
        <v>9</v>
      </c>
      <c r="F30" s="377" t="s">
        <v>422</v>
      </c>
      <c r="G30" s="177"/>
      <c r="H30" s="165"/>
      <c r="I30" s="165"/>
      <c r="J30" s="165"/>
      <c r="K30" s="165"/>
      <c r="L30" s="165"/>
      <c r="M30" s="165"/>
      <c r="N30" s="165"/>
    </row>
    <row r="31" spans="1:17" ht="16.2">
      <c r="A31" s="171"/>
      <c r="B31" s="376" t="s">
        <v>411</v>
      </c>
      <c r="C31" s="231" t="s">
        <v>731</v>
      </c>
      <c r="D31" s="283">
        <f>PO_FL/VOUT</f>
        <v>1.935483870967742</v>
      </c>
      <c r="E31" s="488" t="s">
        <v>7</v>
      </c>
      <c r="F31" s="488"/>
      <c r="G31" s="489"/>
      <c r="H31" s="165"/>
      <c r="I31" s="165"/>
      <c r="J31" s="165"/>
      <c r="K31" s="165"/>
      <c r="L31" s="165"/>
      <c r="M31" s="165"/>
      <c r="N31" s="165"/>
    </row>
    <row r="32" spans="1:17" ht="18" customHeight="1">
      <c r="A32" s="171"/>
      <c r="B32" s="367" t="s">
        <v>410</v>
      </c>
      <c r="C32" s="174" t="s">
        <v>364</v>
      </c>
      <c r="D32" s="66">
        <v>110</v>
      </c>
      <c r="E32" s="378" t="s">
        <v>5</v>
      </c>
      <c r="F32" s="499" t="s">
        <v>244</v>
      </c>
      <c r="G32" s="500"/>
      <c r="H32" s="165"/>
      <c r="I32" s="165"/>
      <c r="J32" s="165"/>
      <c r="K32" s="165"/>
      <c r="L32" s="165"/>
      <c r="M32" s="165"/>
      <c r="N32" s="165"/>
    </row>
    <row r="33" spans="1:21" ht="16.2">
      <c r="A33" s="171"/>
      <c r="B33" s="376" t="s">
        <v>409</v>
      </c>
      <c r="C33" s="231" t="s">
        <v>732</v>
      </c>
      <c r="D33" s="283">
        <f>PO_FL*OPP*0.01/VOUT</f>
        <v>2.129032258064516</v>
      </c>
      <c r="E33" s="488" t="s">
        <v>7</v>
      </c>
      <c r="F33" s="488"/>
      <c r="G33" s="489"/>
      <c r="H33" s="165"/>
      <c r="I33" s="165"/>
      <c r="J33" s="165"/>
      <c r="K33" s="165"/>
      <c r="L33" s="165"/>
      <c r="M33" s="165"/>
      <c r="N33" s="165"/>
    </row>
    <row r="34" spans="1:21" ht="18" customHeight="1">
      <c r="A34" s="171"/>
      <c r="B34" s="376" t="s">
        <v>408</v>
      </c>
      <c r="C34" s="231" t="s">
        <v>365</v>
      </c>
      <c r="D34" s="66">
        <v>60</v>
      </c>
      <c r="E34" s="230" t="s">
        <v>5</v>
      </c>
      <c r="F34" s="368" t="s">
        <v>991</v>
      </c>
      <c r="G34" s="180"/>
      <c r="H34" s="165"/>
      <c r="I34" s="165"/>
      <c r="J34" s="165"/>
      <c r="K34" s="165"/>
      <c r="L34" s="165"/>
      <c r="M34" s="165"/>
      <c r="N34" s="165"/>
    </row>
    <row r="35" spans="1:21" ht="16.2">
      <c r="A35" s="171"/>
      <c r="B35" s="379" t="s">
        <v>407</v>
      </c>
      <c r="C35" s="184" t="s">
        <v>1013</v>
      </c>
      <c r="D35" s="41">
        <v>250</v>
      </c>
      <c r="E35" s="380" t="s">
        <v>10</v>
      </c>
      <c r="F35" s="510" t="s">
        <v>196</v>
      </c>
      <c r="G35" s="511"/>
      <c r="H35" s="165"/>
      <c r="I35" s="165"/>
      <c r="J35" s="165"/>
      <c r="K35" s="165"/>
      <c r="L35" s="165"/>
      <c r="M35" s="165"/>
      <c r="N35" s="165"/>
    </row>
    <row r="36" spans="1:21" ht="16.2">
      <c r="A36" s="171"/>
      <c r="B36" s="376" t="s">
        <v>406</v>
      </c>
      <c r="C36" s="231" t="s">
        <v>733</v>
      </c>
      <c r="D36" s="68">
        <v>2</v>
      </c>
      <c r="E36" s="176" t="s">
        <v>10</v>
      </c>
      <c r="F36" s="377" t="s">
        <v>1041</v>
      </c>
      <c r="G36" s="177"/>
      <c r="H36" s="165"/>
      <c r="I36" s="165"/>
      <c r="J36" s="165"/>
      <c r="K36" s="165"/>
      <c r="L36" s="165"/>
      <c r="M36" s="165"/>
      <c r="N36" s="165"/>
    </row>
    <row r="37" spans="1:21" ht="16.5" thickBot="1">
      <c r="A37" s="171"/>
      <c r="B37" s="375" t="s">
        <v>423</v>
      </c>
      <c r="C37" s="251" t="s">
        <v>734</v>
      </c>
      <c r="D37" s="1">
        <v>200</v>
      </c>
      <c r="E37" s="253" t="s">
        <v>124</v>
      </c>
      <c r="F37" s="506" t="s">
        <v>245</v>
      </c>
      <c r="G37" s="507"/>
      <c r="H37" s="165"/>
      <c r="I37" s="165"/>
      <c r="J37" s="165"/>
      <c r="K37" s="165"/>
      <c r="L37" s="165"/>
      <c r="M37" s="165"/>
      <c r="N37" s="165"/>
    </row>
    <row r="38" spans="1:21" ht="14.7" thickBot="1">
      <c r="A38" s="171"/>
      <c r="B38" s="166"/>
      <c r="C38" s="166"/>
      <c r="D38" s="168"/>
      <c r="E38" s="166"/>
      <c r="F38" s="169"/>
      <c r="G38" s="170"/>
      <c r="H38" s="165"/>
      <c r="I38" s="165"/>
      <c r="J38" s="165"/>
      <c r="K38" s="165"/>
      <c r="L38" s="165"/>
      <c r="M38" s="165"/>
      <c r="N38" s="165"/>
    </row>
    <row r="39" spans="1:21" ht="18" customHeight="1">
      <c r="A39" s="171"/>
      <c r="B39" s="512" t="s">
        <v>278</v>
      </c>
      <c r="C39" s="513"/>
      <c r="D39" s="514"/>
      <c r="E39" s="514"/>
      <c r="F39" s="514"/>
      <c r="G39" s="515"/>
      <c r="H39" s="165"/>
      <c r="I39" s="165"/>
      <c r="J39" s="165"/>
      <c r="K39" s="165"/>
      <c r="L39" s="165"/>
      <c r="M39" s="165"/>
      <c r="N39" s="165"/>
    </row>
    <row r="40" spans="1:21" ht="16.2">
      <c r="A40" s="171"/>
      <c r="B40" s="381" t="s">
        <v>712</v>
      </c>
      <c r="C40" s="174" t="s">
        <v>713</v>
      </c>
      <c r="D40" s="31">
        <v>80</v>
      </c>
      <c r="E40" s="230" t="s">
        <v>5</v>
      </c>
      <c r="F40" s="468"/>
      <c r="G40" s="469"/>
      <c r="H40" s="165"/>
      <c r="I40" s="165"/>
      <c r="J40" s="217"/>
      <c r="K40" s="165"/>
      <c r="L40" s="165"/>
      <c r="M40" s="165"/>
      <c r="N40" s="165"/>
    </row>
    <row r="41" spans="1:21" ht="16.2">
      <c r="A41" s="171"/>
      <c r="B41" s="381" t="s">
        <v>441</v>
      </c>
      <c r="C41" s="174" t="s">
        <v>714</v>
      </c>
      <c r="D41" s="229">
        <f>IF(Vin_type="AC",((VINPUT_max*1.414+NPS*VOUT)/(Kder/100)),((VINPUT_max+NPS*VOUT)/(Kder/100)))</f>
        <v>582.59999999999991</v>
      </c>
      <c r="E41" s="230" t="s">
        <v>8</v>
      </c>
      <c r="F41" s="468"/>
      <c r="G41" s="469"/>
      <c r="H41" s="358"/>
      <c r="I41" s="165"/>
      <c r="J41" s="217"/>
      <c r="K41" s="165"/>
      <c r="L41" s="165"/>
      <c r="M41" s="165"/>
      <c r="N41" s="165"/>
    </row>
    <row r="42" spans="1:21" ht="16.2">
      <c r="A42" s="171"/>
      <c r="B42" s="367" t="s">
        <v>405</v>
      </c>
      <c r="C42" s="174" t="s">
        <v>715</v>
      </c>
      <c r="D42" s="66">
        <v>650</v>
      </c>
      <c r="E42" s="380" t="s">
        <v>8</v>
      </c>
      <c r="F42" s="508" t="s">
        <v>3</v>
      </c>
      <c r="G42" s="509"/>
      <c r="H42" s="211"/>
      <c r="I42" s="165"/>
      <c r="J42" s="165"/>
      <c r="K42" s="165"/>
      <c r="L42" s="165"/>
      <c r="M42" s="165"/>
      <c r="N42" s="165"/>
    </row>
    <row r="43" spans="1:21" ht="18" customHeight="1">
      <c r="A43" s="171"/>
      <c r="B43" s="367" t="s">
        <v>433</v>
      </c>
      <c r="C43" s="174" t="s">
        <v>366</v>
      </c>
      <c r="D43" s="42">
        <v>0</v>
      </c>
      <c r="E43" s="382"/>
      <c r="F43" s="472" t="s">
        <v>432</v>
      </c>
      <c r="G43" s="473"/>
      <c r="H43" s="165"/>
      <c r="I43" s="165"/>
      <c r="J43" s="165"/>
      <c r="K43" s="165"/>
      <c r="L43" s="165"/>
      <c r="M43" s="165"/>
      <c r="N43" s="165"/>
    </row>
    <row r="44" spans="1:21" ht="16.2">
      <c r="A44" s="171"/>
      <c r="B44" s="367" t="s">
        <v>434</v>
      </c>
      <c r="C44" s="174" t="s">
        <v>716</v>
      </c>
      <c r="D44" s="247">
        <f>IF(SET=0,11.2*10^11,5.6*10^11)</f>
        <v>1120000000000</v>
      </c>
      <c r="E44" s="383" t="s">
        <v>717</v>
      </c>
      <c r="F44" s="472" t="s">
        <v>435</v>
      </c>
      <c r="G44" s="473"/>
      <c r="H44" s="165"/>
      <c r="I44" s="165"/>
      <c r="J44" s="165"/>
      <c r="K44" s="165"/>
      <c r="L44" s="165"/>
      <c r="M44" s="165"/>
      <c r="N44" s="165"/>
    </row>
    <row r="45" spans="1:21" ht="18.75" customHeight="1">
      <c r="A45" s="171"/>
      <c r="B45" s="384" t="s">
        <v>436</v>
      </c>
      <c r="C45" s="385"/>
      <c r="D45" s="386"/>
      <c r="E45" s="380"/>
      <c r="F45" s="417"/>
      <c r="G45" s="418"/>
      <c r="H45" s="389" t="s">
        <v>507</v>
      </c>
      <c r="I45" s="165"/>
      <c r="J45" s="165"/>
      <c r="K45" s="165"/>
      <c r="L45" s="165"/>
      <c r="M45" s="165"/>
      <c r="N45" s="165"/>
    </row>
    <row r="46" spans="1:21" ht="18.75" customHeight="1">
      <c r="A46" s="171"/>
      <c r="B46" s="173" t="s">
        <v>279</v>
      </c>
      <c r="C46" s="464" t="s">
        <v>1051</v>
      </c>
      <c r="D46" s="558"/>
      <c r="E46" s="176"/>
      <c r="F46" s="468" t="s">
        <v>442</v>
      </c>
      <c r="G46" s="469"/>
      <c r="H46" s="165"/>
      <c r="I46" s="165"/>
      <c r="J46" s="165"/>
      <c r="K46" s="165"/>
      <c r="L46" s="165"/>
      <c r="M46" s="165"/>
      <c r="N46" s="165"/>
    </row>
    <row r="47" spans="1:21" ht="16.2">
      <c r="A47" s="171"/>
      <c r="B47" s="367" t="s">
        <v>511</v>
      </c>
      <c r="C47" s="174" t="s">
        <v>718</v>
      </c>
      <c r="D47" s="67">
        <v>0.248</v>
      </c>
      <c r="E47" s="378" t="s">
        <v>11</v>
      </c>
      <c r="F47" s="419"/>
      <c r="G47" s="420"/>
      <c r="H47" s="165"/>
      <c r="I47" s="165"/>
      <c r="J47" s="165"/>
      <c r="K47" s="165"/>
      <c r="L47" s="165"/>
      <c r="M47" s="165"/>
      <c r="N47" s="165"/>
    </row>
    <row r="48" spans="1:21" ht="18.75" customHeight="1">
      <c r="A48" s="171"/>
      <c r="B48" s="367" t="s">
        <v>428</v>
      </c>
      <c r="C48" s="174" t="s">
        <v>719</v>
      </c>
      <c r="D48" s="66">
        <v>110</v>
      </c>
      <c r="E48" s="176" t="s">
        <v>14</v>
      </c>
      <c r="F48" s="377"/>
      <c r="G48" s="177" t="s">
        <v>506</v>
      </c>
      <c r="H48" s="165"/>
      <c r="I48" s="165"/>
      <c r="J48" s="165"/>
      <c r="K48" s="165"/>
      <c r="L48" s="165"/>
      <c r="M48" s="165"/>
      <c r="N48" s="165"/>
      <c r="U48" s="57"/>
    </row>
    <row r="49" spans="1:14" ht="18.75" customHeight="1">
      <c r="A49" s="171"/>
      <c r="B49" s="367" t="s">
        <v>429</v>
      </c>
      <c r="C49" s="174" t="s">
        <v>720</v>
      </c>
      <c r="D49" s="66">
        <v>22</v>
      </c>
      <c r="E49" s="176" t="s">
        <v>14</v>
      </c>
      <c r="F49" s="377"/>
      <c r="G49" s="177" t="s">
        <v>506</v>
      </c>
      <c r="H49" s="165"/>
      <c r="I49" s="165"/>
      <c r="J49" s="165"/>
      <c r="K49" s="165"/>
      <c r="L49" s="165"/>
      <c r="M49" s="165"/>
      <c r="N49" s="165"/>
    </row>
    <row r="50" spans="1:14" ht="16.2">
      <c r="A50" s="171"/>
      <c r="B50" s="367" t="s">
        <v>513</v>
      </c>
      <c r="C50" s="174" t="s">
        <v>721</v>
      </c>
      <c r="D50" s="66">
        <v>50</v>
      </c>
      <c r="E50" s="176" t="s">
        <v>13</v>
      </c>
      <c r="F50" s="377"/>
      <c r="G50" s="177" t="s">
        <v>506</v>
      </c>
      <c r="H50" s="165"/>
      <c r="I50" s="165"/>
      <c r="J50" s="165"/>
      <c r="K50" s="165"/>
      <c r="L50" s="165"/>
      <c r="M50" s="165"/>
      <c r="N50" s="165"/>
    </row>
    <row r="51" spans="1:14" ht="16.2">
      <c r="A51" s="171"/>
      <c r="B51" s="367" t="s">
        <v>430</v>
      </c>
      <c r="C51" s="174" t="s">
        <v>722</v>
      </c>
      <c r="D51" s="66">
        <v>4</v>
      </c>
      <c r="E51" s="380" t="s">
        <v>15</v>
      </c>
      <c r="F51" s="391"/>
      <c r="G51" s="392"/>
      <c r="H51" s="165"/>
      <c r="I51" s="165"/>
      <c r="J51" s="165"/>
      <c r="K51" s="165"/>
      <c r="L51" s="165"/>
      <c r="M51" s="165"/>
      <c r="N51" s="165"/>
    </row>
    <row r="52" spans="1:14" ht="16.2">
      <c r="A52" s="171"/>
      <c r="B52" s="367" t="s">
        <v>431</v>
      </c>
      <c r="C52" s="174" t="s">
        <v>1014</v>
      </c>
      <c r="D52" s="393">
        <f>IF(Vin_type="AC",((COSS_QH_bg*Vxh*(10^-12)+COSS_QH_sm*(10^-12)*(VBulk_min_tgt+NPS*VOUT-Vxh))/(VBulk_min_tgt+VOUT*NPS))*10^12,((COSS_QH_bg*Vxh*(10^-12)+COSS_QH_sm*(10^-12)*(VBulk_min_tgt+NPS*VOUT-Vxh))/(VBulk_min_tgt+VOUT*NPS))*10^12)</f>
        <v>35.968253968253961</v>
      </c>
      <c r="E52" s="176" t="s">
        <v>14</v>
      </c>
      <c r="F52" s="368"/>
      <c r="G52" s="177"/>
      <c r="H52" s="358"/>
      <c r="I52" s="165"/>
      <c r="J52" s="217"/>
      <c r="K52" s="165"/>
      <c r="L52" s="165"/>
      <c r="M52" s="165"/>
      <c r="N52" s="165"/>
    </row>
    <row r="53" spans="1:14" ht="18.75" customHeight="1">
      <c r="A53" s="171"/>
      <c r="B53" s="394" t="s">
        <v>437</v>
      </c>
      <c r="C53" s="395"/>
      <c r="D53" s="386"/>
      <c r="E53" s="378"/>
      <c r="F53" s="166"/>
      <c r="G53" s="396"/>
      <c r="H53" s="165"/>
      <c r="I53" s="165"/>
      <c r="J53" s="217"/>
      <c r="K53" s="165"/>
      <c r="L53" s="165"/>
      <c r="M53" s="165"/>
      <c r="N53" s="165"/>
    </row>
    <row r="54" spans="1:14" ht="18.75" customHeight="1">
      <c r="A54" s="171"/>
      <c r="B54" s="173" t="s">
        <v>280</v>
      </c>
      <c r="C54" s="464" t="s">
        <v>1051</v>
      </c>
      <c r="D54" s="558"/>
      <c r="E54" s="377"/>
      <c r="F54" s="532" t="s">
        <v>990</v>
      </c>
      <c r="G54" s="533"/>
      <c r="H54" s="165"/>
      <c r="I54" s="165"/>
      <c r="J54" s="165"/>
      <c r="K54" s="165"/>
      <c r="L54" s="165"/>
      <c r="M54" s="165"/>
      <c r="N54" s="165"/>
    </row>
    <row r="55" spans="1:14" ht="16.2">
      <c r="A55" s="171"/>
      <c r="B55" s="367" t="s">
        <v>512</v>
      </c>
      <c r="C55" s="174" t="s">
        <v>723</v>
      </c>
      <c r="D55" s="67">
        <v>0.17</v>
      </c>
      <c r="E55" s="176" t="s">
        <v>11</v>
      </c>
      <c r="F55" s="391"/>
      <c r="G55" s="392"/>
      <c r="H55" s="165"/>
      <c r="I55" s="165"/>
      <c r="J55" s="165"/>
      <c r="K55" s="165"/>
      <c r="L55" s="165"/>
      <c r="M55" s="165"/>
      <c r="N55" s="165"/>
    </row>
    <row r="56" spans="1:14" ht="16.2">
      <c r="A56" s="171"/>
      <c r="B56" s="367" t="s">
        <v>724</v>
      </c>
      <c r="C56" s="174" t="s">
        <v>725</v>
      </c>
      <c r="D56" s="66">
        <v>180</v>
      </c>
      <c r="E56" s="176" t="s">
        <v>14</v>
      </c>
      <c r="F56" s="391"/>
      <c r="G56" s="177" t="s">
        <v>506</v>
      </c>
      <c r="H56" s="165"/>
      <c r="I56" s="165"/>
      <c r="J56" s="165"/>
      <c r="K56" s="165"/>
      <c r="L56" s="165"/>
      <c r="M56" s="165"/>
      <c r="N56" s="165"/>
    </row>
    <row r="57" spans="1:14" ht="16.2">
      <c r="A57" s="171"/>
      <c r="B57" s="367" t="s">
        <v>427</v>
      </c>
      <c r="C57" s="174" t="s">
        <v>726</v>
      </c>
      <c r="D57" s="66">
        <v>22</v>
      </c>
      <c r="E57" s="176" t="s">
        <v>14</v>
      </c>
      <c r="F57" s="391"/>
      <c r="G57" s="177" t="s">
        <v>506</v>
      </c>
      <c r="H57" s="165"/>
      <c r="I57" s="165"/>
      <c r="J57" s="165"/>
      <c r="K57" s="165"/>
      <c r="L57" s="165"/>
      <c r="M57" s="165"/>
      <c r="N57" s="165"/>
    </row>
    <row r="58" spans="1:14" ht="16.2">
      <c r="A58" s="171"/>
      <c r="B58" s="367" t="s">
        <v>514</v>
      </c>
      <c r="C58" s="174" t="s">
        <v>727</v>
      </c>
      <c r="D58" s="66">
        <v>50</v>
      </c>
      <c r="E58" s="176" t="s">
        <v>13</v>
      </c>
      <c r="F58" s="391"/>
      <c r="G58" s="177" t="s">
        <v>506</v>
      </c>
      <c r="H58" s="165"/>
      <c r="I58" s="165"/>
      <c r="J58" s="165"/>
      <c r="K58" s="165"/>
      <c r="L58" s="165"/>
      <c r="M58" s="165"/>
      <c r="N58" s="165"/>
    </row>
    <row r="59" spans="1:14" ht="16.2">
      <c r="A59" s="171"/>
      <c r="B59" s="367" t="s">
        <v>430</v>
      </c>
      <c r="C59" s="174" t="s">
        <v>728</v>
      </c>
      <c r="D59" s="66">
        <v>6.4</v>
      </c>
      <c r="E59" s="176" t="s">
        <v>7</v>
      </c>
      <c r="F59" s="377"/>
      <c r="G59" s="177"/>
      <c r="H59" s="165"/>
      <c r="I59" s="165"/>
      <c r="J59" s="165"/>
      <c r="K59" s="165"/>
      <c r="L59" s="165"/>
      <c r="M59" s="165"/>
      <c r="N59" s="165"/>
    </row>
    <row r="60" spans="1:14" ht="16.5" thickBot="1">
      <c r="A60" s="171"/>
      <c r="B60" s="375" t="s">
        <v>431</v>
      </c>
      <c r="C60" s="251" t="s">
        <v>1015</v>
      </c>
      <c r="D60" s="397">
        <f>IF(Vin_type="AC",((COSS_QL_bg*Vxl*(10^-12)+COSS_QL_sm*(10^-12)*(VBulk_min_tgt+NPS*VOUT-Vxl))/(VBulk_min_tgt+VOUT*NPS))*10^12,((COSS_QL_bg*Vxl*(10^-12)+COSS_QL_sm*(10^-12)*(VBulk_min_tgt+NPS*VOUT-Vxl))/(VBulk_min_tgt+VOUT*NPS))*10^12)</f>
        <v>47.079365079365083</v>
      </c>
      <c r="E60" s="253" t="s">
        <v>14</v>
      </c>
      <c r="F60" s="398"/>
      <c r="G60" s="399"/>
      <c r="H60" s="358"/>
      <c r="I60" s="165"/>
      <c r="J60" s="217"/>
      <c r="K60" s="165"/>
      <c r="L60" s="165"/>
      <c r="M60" s="165"/>
      <c r="N60" s="165"/>
    </row>
    <row r="61" spans="1:14" ht="14.7" thickBot="1">
      <c r="A61" s="171"/>
      <c r="B61" s="400"/>
      <c r="C61" s="400"/>
      <c r="D61" s="168"/>
      <c r="E61" s="401"/>
      <c r="F61" s="401"/>
      <c r="G61" s="401"/>
      <c r="H61" s="165"/>
      <c r="I61" s="165"/>
      <c r="J61" s="217"/>
      <c r="K61" s="165"/>
      <c r="L61" s="165"/>
      <c r="M61" s="165"/>
      <c r="N61" s="165"/>
    </row>
    <row r="62" spans="1:14" ht="18" customHeight="1">
      <c r="A62" s="171"/>
      <c r="B62" s="484" t="s">
        <v>294</v>
      </c>
      <c r="C62" s="485"/>
      <c r="D62" s="485"/>
      <c r="E62" s="485"/>
      <c r="F62" s="485"/>
      <c r="G62" s="496"/>
      <c r="H62" s="165"/>
      <c r="I62" s="165"/>
      <c r="J62" s="165"/>
      <c r="K62" s="165"/>
      <c r="L62" s="165"/>
      <c r="M62" s="165"/>
      <c r="N62" s="165"/>
    </row>
    <row r="63" spans="1:14" ht="18.75" customHeight="1">
      <c r="A63" s="171"/>
      <c r="B63" s="402" t="s">
        <v>293</v>
      </c>
      <c r="C63" s="464" t="s">
        <v>1052</v>
      </c>
      <c r="D63" s="465"/>
      <c r="E63" s="476"/>
      <c r="F63" s="476"/>
      <c r="G63" s="477"/>
      <c r="H63" s="165"/>
      <c r="I63" s="165"/>
      <c r="J63" s="165"/>
      <c r="K63" s="165"/>
      <c r="L63" s="165"/>
      <c r="M63" s="165"/>
      <c r="N63" s="165"/>
    </row>
    <row r="64" spans="1:14" ht="16.2">
      <c r="A64" s="171"/>
      <c r="B64" s="367" t="s">
        <v>404</v>
      </c>
      <c r="C64" s="174" t="s">
        <v>707</v>
      </c>
      <c r="D64" s="42">
        <v>140</v>
      </c>
      <c r="E64" s="380" t="s">
        <v>39</v>
      </c>
      <c r="F64" s="387"/>
      <c r="G64" s="388"/>
      <c r="H64" s="165"/>
      <c r="I64" s="165"/>
      <c r="J64" s="165"/>
      <c r="K64" s="165"/>
      <c r="L64" s="165"/>
      <c r="M64" s="165"/>
      <c r="N64" s="165"/>
    </row>
    <row r="65" spans="1:14" ht="16.2">
      <c r="A65" s="171"/>
      <c r="B65" s="367" t="s">
        <v>403</v>
      </c>
      <c r="C65" s="174" t="s">
        <v>708</v>
      </c>
      <c r="D65" s="42">
        <v>140</v>
      </c>
      <c r="E65" s="380" t="s">
        <v>52</v>
      </c>
      <c r="F65" s="387"/>
      <c r="G65" s="388"/>
      <c r="H65" s="165"/>
      <c r="I65" s="165"/>
      <c r="J65" s="165"/>
      <c r="K65" s="165"/>
      <c r="L65" s="165"/>
      <c r="M65" s="165"/>
      <c r="N65" s="165"/>
    </row>
    <row r="66" spans="1:14" ht="16.2">
      <c r="A66" s="171"/>
      <c r="B66" s="367" t="s">
        <v>438</v>
      </c>
      <c r="C66" s="174" t="s">
        <v>709</v>
      </c>
      <c r="D66" s="65">
        <v>1</v>
      </c>
      <c r="E66" s="380" t="s">
        <v>70</v>
      </c>
      <c r="F66" s="387"/>
      <c r="G66" s="388"/>
      <c r="H66" s="165"/>
      <c r="I66" s="165"/>
      <c r="J66" s="165"/>
      <c r="K66" s="165"/>
      <c r="L66" s="165"/>
      <c r="M66" s="165"/>
      <c r="N66" s="165"/>
    </row>
    <row r="67" spans="1:14" ht="16.2">
      <c r="A67" s="171"/>
      <c r="B67" s="367" t="s">
        <v>439</v>
      </c>
      <c r="C67" s="174" t="s">
        <v>710</v>
      </c>
      <c r="D67" s="42">
        <v>10</v>
      </c>
      <c r="E67" s="380" t="s">
        <v>14</v>
      </c>
      <c r="F67" s="387"/>
      <c r="G67" s="388"/>
      <c r="H67" s="165"/>
      <c r="I67" s="165"/>
      <c r="J67" s="165"/>
      <c r="K67" s="165"/>
      <c r="L67" s="165"/>
      <c r="M67" s="165"/>
      <c r="N67" s="165"/>
    </row>
    <row r="68" spans="1:14" ht="16.5" thickBot="1">
      <c r="A68" s="171"/>
      <c r="B68" s="375" t="s">
        <v>402</v>
      </c>
      <c r="C68" s="251" t="s">
        <v>711</v>
      </c>
      <c r="D68" s="1">
        <v>0.4</v>
      </c>
      <c r="E68" s="253" t="s">
        <v>64</v>
      </c>
      <c r="F68" s="506" t="s">
        <v>292</v>
      </c>
      <c r="G68" s="559"/>
      <c r="H68" s="165"/>
      <c r="I68" s="165"/>
      <c r="J68" s="165"/>
      <c r="K68" s="165"/>
      <c r="L68" s="165"/>
      <c r="M68" s="165"/>
      <c r="N68" s="165"/>
    </row>
    <row r="69" spans="1:14" ht="14.7" thickBot="1">
      <c r="A69" s="171"/>
      <c r="B69" s="400"/>
      <c r="C69" s="400"/>
      <c r="D69" s="168"/>
      <c r="E69" s="401"/>
      <c r="F69" s="401"/>
      <c r="G69" s="401"/>
      <c r="H69" s="165"/>
      <c r="I69" s="165"/>
      <c r="J69" s="165"/>
      <c r="K69" s="165"/>
      <c r="L69" s="165"/>
      <c r="M69" s="165"/>
      <c r="N69" s="165"/>
    </row>
    <row r="70" spans="1:14" ht="18" customHeight="1">
      <c r="A70" s="171"/>
      <c r="B70" s="484" t="s">
        <v>246</v>
      </c>
      <c r="C70" s="485"/>
      <c r="D70" s="485"/>
      <c r="E70" s="485"/>
      <c r="F70" s="485"/>
      <c r="G70" s="496"/>
      <c r="H70" s="294"/>
      <c r="I70" s="165"/>
      <c r="J70" s="165"/>
      <c r="K70" s="165"/>
      <c r="L70" s="165"/>
      <c r="M70" s="165"/>
      <c r="N70" s="165"/>
    </row>
    <row r="71" spans="1:14" ht="16.2">
      <c r="A71" s="165"/>
      <c r="B71" s="381" t="s">
        <v>692</v>
      </c>
      <c r="C71" s="174" t="s">
        <v>693</v>
      </c>
      <c r="D71" s="292">
        <f>IF(Vin_type="AC",((2*PO_FL/η_min)*(0.25+ASIN(VBulk_min_tgt/(VIN_min*1.414))/6.2832)/(((VIN_min*1.414-2)^2-(VBulk_min_tgt)^2)*fLINE_min)*1)*10^6,"(N/A)")</f>
        <v>12.882686729375328</v>
      </c>
      <c r="E71" s="230" t="s">
        <v>60</v>
      </c>
      <c r="F71" s="505" t="s">
        <v>976</v>
      </c>
      <c r="G71" s="469"/>
      <c r="H71" s="358"/>
      <c r="I71" s="165"/>
      <c r="J71" s="217"/>
      <c r="K71" s="165"/>
      <c r="L71" s="165"/>
      <c r="M71" s="165"/>
      <c r="N71" s="165"/>
    </row>
    <row r="72" spans="1:14" ht="16.2">
      <c r="A72" s="171"/>
      <c r="B72" s="381" t="s">
        <v>401</v>
      </c>
      <c r="C72" s="174" t="s">
        <v>694</v>
      </c>
      <c r="D72" s="31">
        <v>15</v>
      </c>
      <c r="E72" s="230" t="s">
        <v>60</v>
      </c>
      <c r="F72" s="368" t="s">
        <v>284</v>
      </c>
      <c r="G72" s="180"/>
      <c r="H72" s="165"/>
      <c r="I72" s="165"/>
      <c r="J72" s="217"/>
      <c r="K72" s="165"/>
      <c r="L72" s="165"/>
      <c r="M72" s="165"/>
      <c r="N72" s="165"/>
    </row>
    <row r="73" spans="1:14" ht="16.2">
      <c r="A73" s="171"/>
      <c r="B73" s="381" t="s">
        <v>400</v>
      </c>
      <c r="C73" s="174" t="s">
        <v>695</v>
      </c>
      <c r="D73" s="229">
        <f>IF(CBULK_act="",CBULK_rec,CBULK_act)</f>
        <v>15</v>
      </c>
      <c r="E73" s="230" t="s">
        <v>60</v>
      </c>
      <c r="F73" s="368"/>
      <c r="G73" s="180"/>
      <c r="H73" s="425"/>
      <c r="I73" s="165"/>
      <c r="J73" s="165"/>
      <c r="K73" s="165"/>
      <c r="L73" s="165"/>
      <c r="M73" s="165"/>
      <c r="N73" s="165"/>
    </row>
    <row r="74" spans="1:14" ht="16.2">
      <c r="A74" s="171"/>
      <c r="B74" s="381" t="s">
        <v>399</v>
      </c>
      <c r="C74" s="174" t="s">
        <v>696</v>
      </c>
      <c r="D74" s="229">
        <f>IF(Vin_type="AC",ROUNDUP(VINPUT_max*1.414,-2),ROUNDUP(VINPUT_max,-2))</f>
        <v>400</v>
      </c>
      <c r="E74" s="230" t="s">
        <v>13</v>
      </c>
      <c r="F74" s="368" t="s">
        <v>426</v>
      </c>
      <c r="G74" s="180"/>
      <c r="H74" s="425"/>
      <c r="I74" s="165"/>
      <c r="J74" s="217"/>
      <c r="K74" s="165"/>
      <c r="L74" s="165"/>
      <c r="M74" s="165"/>
      <c r="N74" s="165"/>
    </row>
    <row r="75" spans="1:14">
      <c r="A75" s="171"/>
      <c r="B75" s="403"/>
      <c r="C75" s="390"/>
      <c r="D75" s="229"/>
      <c r="E75" s="230"/>
      <c r="F75" s="368"/>
      <c r="G75" s="180"/>
      <c r="H75" s="425"/>
      <c r="I75" s="165"/>
      <c r="J75" s="217"/>
      <c r="K75" s="165"/>
      <c r="L75" s="165"/>
      <c r="M75" s="165"/>
      <c r="N75" s="165"/>
    </row>
    <row r="76" spans="1:14" ht="16.2">
      <c r="A76" s="171"/>
      <c r="B76" s="381" t="s">
        <v>697</v>
      </c>
      <c r="C76" s="174" t="s">
        <v>698</v>
      </c>
      <c r="D76" s="31">
        <v>20</v>
      </c>
      <c r="E76" s="230" t="s">
        <v>699</v>
      </c>
      <c r="F76" s="368"/>
      <c r="G76" s="180"/>
      <c r="H76" s="425"/>
      <c r="I76" s="165"/>
      <c r="J76" s="165"/>
      <c r="K76" s="165"/>
      <c r="L76" s="165"/>
      <c r="M76" s="165"/>
      <c r="N76" s="165"/>
    </row>
    <row r="77" spans="1:14" ht="16.2">
      <c r="A77" s="171"/>
      <c r="B77" s="381" t="s">
        <v>397</v>
      </c>
      <c r="C77" s="174" t="s">
        <v>700</v>
      </c>
      <c r="D77" s="4">
        <v>1</v>
      </c>
      <c r="E77" s="230" t="s">
        <v>13</v>
      </c>
      <c r="F77" s="368" t="s">
        <v>701</v>
      </c>
      <c r="G77" s="180"/>
      <c r="H77" s="425"/>
      <c r="I77" s="165"/>
      <c r="J77" s="165"/>
      <c r="K77" s="165"/>
      <c r="L77" s="165"/>
      <c r="M77" s="165"/>
      <c r="N77" s="165"/>
    </row>
    <row r="78" spans="1:14" ht="16.2">
      <c r="A78" s="171"/>
      <c r="B78" s="367" t="s">
        <v>702</v>
      </c>
      <c r="C78" s="174" t="s">
        <v>703</v>
      </c>
      <c r="D78" s="229">
        <f>(IOUT*(0.35/(Fcr_min*10^3)+50*10^-6)/(Vo_drop-IOUT*RCO*0.001))*10^6*1</f>
        <v>453.02013422818794</v>
      </c>
      <c r="E78" s="230" t="s">
        <v>60</v>
      </c>
      <c r="F78" s="505" t="s">
        <v>457</v>
      </c>
      <c r="G78" s="469"/>
      <c r="H78" s="425"/>
      <c r="I78" s="217"/>
      <c r="J78" s="165"/>
      <c r="K78" s="165"/>
      <c r="L78" s="165"/>
      <c r="M78" s="165"/>
      <c r="N78" s="165"/>
    </row>
    <row r="79" spans="1:14" ht="16.149999999999999" customHeight="1">
      <c r="A79" s="171"/>
      <c r="B79" s="381" t="s">
        <v>704</v>
      </c>
      <c r="C79" s="174" t="s">
        <v>705</v>
      </c>
      <c r="D79" s="66">
        <v>470</v>
      </c>
      <c r="E79" s="230" t="s">
        <v>60</v>
      </c>
      <c r="F79" s="480" t="s">
        <v>284</v>
      </c>
      <c r="G79" s="498"/>
      <c r="H79" s="425"/>
      <c r="I79" s="165"/>
      <c r="J79" s="358"/>
      <c r="K79" s="165"/>
      <c r="L79" s="165"/>
      <c r="M79" s="165"/>
      <c r="N79" s="165"/>
    </row>
    <row r="80" spans="1:14" ht="16.5" thickBot="1">
      <c r="A80" s="171"/>
      <c r="B80" s="404" t="s">
        <v>398</v>
      </c>
      <c r="C80" s="251" t="s">
        <v>706</v>
      </c>
      <c r="D80" s="405">
        <f>IF(COUT_act="",COUT_rec,COUT_act)</f>
        <v>470</v>
      </c>
      <c r="E80" s="253" t="s">
        <v>60</v>
      </c>
      <c r="F80" s="406"/>
      <c r="G80" s="254"/>
      <c r="H80" s="425"/>
      <c r="I80" s="165"/>
      <c r="J80" s="165"/>
      <c r="K80" s="165"/>
      <c r="L80" s="165"/>
      <c r="M80" s="165"/>
      <c r="N80" s="165"/>
    </row>
    <row r="81" spans="1:14" ht="14.7" thickBot="1">
      <c r="A81" s="171"/>
      <c r="B81" s="166"/>
      <c r="C81" s="166"/>
      <c r="D81" s="168"/>
      <c r="E81" s="166"/>
      <c r="F81" s="169"/>
      <c r="G81" s="170"/>
      <c r="H81" s="165"/>
      <c r="I81" s="165"/>
      <c r="J81" s="165"/>
      <c r="K81" s="165"/>
      <c r="L81" s="165"/>
      <c r="M81" s="165"/>
      <c r="N81" s="165"/>
    </row>
    <row r="82" spans="1:14" ht="18" customHeight="1">
      <c r="A82" s="171"/>
      <c r="B82" s="484" t="s">
        <v>287</v>
      </c>
      <c r="C82" s="485"/>
      <c r="D82" s="485"/>
      <c r="E82" s="485"/>
      <c r="F82" s="485"/>
      <c r="G82" s="496"/>
      <c r="H82" s="165"/>
      <c r="I82" s="165"/>
      <c r="J82" s="165"/>
      <c r="K82" s="165"/>
      <c r="L82" s="165"/>
      <c r="M82" s="165"/>
      <c r="N82" s="165"/>
    </row>
    <row r="83" spans="1:14" ht="18.75" customHeight="1">
      <c r="A83" s="171"/>
      <c r="B83" s="402" t="s">
        <v>281</v>
      </c>
      <c r="C83" s="464" t="s">
        <v>200</v>
      </c>
      <c r="D83" s="465"/>
      <c r="E83" s="476"/>
      <c r="F83" s="476"/>
      <c r="G83" s="477"/>
      <c r="H83" s="165"/>
      <c r="I83" s="165"/>
      <c r="J83" s="165"/>
      <c r="K83" s="165"/>
      <c r="L83" s="165"/>
      <c r="M83" s="165"/>
      <c r="N83" s="165"/>
    </row>
    <row r="84" spans="1:14" ht="16.2">
      <c r="A84" s="171"/>
      <c r="B84" s="381" t="s">
        <v>390</v>
      </c>
      <c r="C84" s="174" t="s">
        <v>684</v>
      </c>
      <c r="D84" s="31">
        <v>85</v>
      </c>
      <c r="E84" s="230" t="s">
        <v>5</v>
      </c>
      <c r="F84" s="468"/>
      <c r="G84" s="469"/>
      <c r="H84" s="165"/>
      <c r="I84" s="165"/>
      <c r="J84" s="165"/>
      <c r="K84" s="165"/>
      <c r="L84" s="165"/>
      <c r="M84" s="165"/>
      <c r="N84" s="165"/>
    </row>
    <row r="85" spans="1:14" ht="18.75" customHeight="1">
      <c r="A85" s="171"/>
      <c r="B85" s="381" t="s">
        <v>391</v>
      </c>
      <c r="C85" s="174" t="s">
        <v>685</v>
      </c>
      <c r="D85" s="229">
        <f>IF(Vin_type="AC",((VINPUT_max*SQRT(2)/NPS)+VOUT*OVP_tgt*0.01)/(Kder_SR/100),((VINPUT_max/NPS)+VOUT*OVP_tgt*0.01)/(Kder_SR/100))</f>
        <v>57.573762790833051</v>
      </c>
      <c r="E85" s="230" t="s">
        <v>8</v>
      </c>
      <c r="F85" s="472"/>
      <c r="G85" s="473"/>
      <c r="H85" s="358"/>
      <c r="I85" s="165"/>
      <c r="J85" s="217"/>
      <c r="K85" s="165"/>
      <c r="L85" s="165"/>
      <c r="M85" s="165"/>
      <c r="N85" s="165"/>
    </row>
    <row r="86" spans="1:14" ht="19.899999999999999" customHeight="1">
      <c r="A86" s="171"/>
      <c r="B86" s="367" t="s">
        <v>392</v>
      </c>
      <c r="C86" s="174" t="s">
        <v>686</v>
      </c>
      <c r="D86" s="66">
        <v>150</v>
      </c>
      <c r="E86" s="176" t="s">
        <v>8</v>
      </c>
      <c r="F86" s="368"/>
      <c r="G86" s="180"/>
      <c r="H86" s="165"/>
      <c r="I86" s="165"/>
      <c r="J86" s="217"/>
      <c r="K86" s="165"/>
      <c r="L86" s="165"/>
      <c r="M86" s="165"/>
      <c r="N86" s="165"/>
    </row>
    <row r="87" spans="1:14" ht="18.75" customHeight="1">
      <c r="A87" s="171"/>
      <c r="B87" s="381" t="s">
        <v>687</v>
      </c>
      <c r="C87" s="174" t="s">
        <v>688</v>
      </c>
      <c r="D87" s="31">
        <v>1800</v>
      </c>
      <c r="E87" s="230" t="s">
        <v>14</v>
      </c>
      <c r="F87" s="368"/>
      <c r="G87" s="180"/>
      <c r="H87" s="165"/>
      <c r="I87" s="165"/>
      <c r="J87" s="165"/>
      <c r="K87" s="165"/>
      <c r="L87" s="165"/>
      <c r="M87" s="165"/>
      <c r="N87" s="165"/>
    </row>
    <row r="88" spans="1:14" ht="18.75" customHeight="1">
      <c r="A88" s="171"/>
      <c r="B88" s="381" t="s">
        <v>689</v>
      </c>
      <c r="C88" s="174" t="s">
        <v>690</v>
      </c>
      <c r="D88" s="31">
        <v>1000</v>
      </c>
      <c r="E88" s="230" t="s">
        <v>14</v>
      </c>
      <c r="F88" s="368"/>
      <c r="G88" s="180"/>
      <c r="H88" s="165"/>
      <c r="I88" s="165"/>
      <c r="J88" s="165"/>
      <c r="K88" s="165"/>
      <c r="L88" s="165"/>
      <c r="M88" s="165"/>
      <c r="N88" s="165"/>
    </row>
    <row r="89" spans="1:14" ht="18.75" customHeight="1">
      <c r="A89" s="171"/>
      <c r="B89" s="381" t="s">
        <v>515</v>
      </c>
      <c r="C89" s="174" t="s">
        <v>691</v>
      </c>
      <c r="D89" s="31">
        <v>10</v>
      </c>
      <c r="E89" s="230" t="s">
        <v>13</v>
      </c>
      <c r="F89" s="368"/>
      <c r="G89" s="180"/>
      <c r="H89" s="165"/>
      <c r="I89" s="165"/>
      <c r="J89" s="165"/>
      <c r="K89" s="165"/>
      <c r="L89" s="165"/>
      <c r="M89" s="165"/>
      <c r="N89" s="165"/>
    </row>
    <row r="90" spans="1:14" ht="16.2">
      <c r="A90" s="171"/>
      <c r="B90" s="381" t="s">
        <v>393</v>
      </c>
      <c r="C90" s="174" t="s">
        <v>1016</v>
      </c>
      <c r="D90" s="229">
        <f>IF(Vin_type="AC",(Coss_SR_bg*Vx_SR+Coss_SR_sm*(VOUT+VBulk_min_tgt/NPS-Vx_SR))/(VOUT+VBulk_min_tgt/NPS),(Coss_SR_bg*Vx_SR+Coss_SR_sm*(VOUT+VBulk_min_tgt/NPS-Vx_SR))/(VOUT+VBulk_min_tgt/NPS))</f>
        <v>1253.968253968254</v>
      </c>
      <c r="E90" s="230" t="s">
        <v>14</v>
      </c>
      <c r="F90" s="368"/>
      <c r="G90" s="407"/>
      <c r="H90" s="358"/>
      <c r="I90" s="165"/>
      <c r="J90" s="217"/>
      <c r="K90" s="165"/>
      <c r="L90" s="165"/>
      <c r="M90" s="165"/>
      <c r="N90" s="165"/>
    </row>
    <row r="91" spans="1:14" ht="16.2">
      <c r="A91" s="171"/>
      <c r="B91" s="367" t="s">
        <v>394</v>
      </c>
      <c r="C91" s="174" t="s">
        <v>1017</v>
      </c>
      <c r="D91" s="66">
        <v>204</v>
      </c>
      <c r="E91" s="176" t="s">
        <v>14</v>
      </c>
      <c r="F91" s="472" t="s">
        <v>288</v>
      </c>
      <c r="G91" s="473"/>
      <c r="H91" s="408"/>
      <c r="I91" s="165"/>
      <c r="J91" s="217"/>
      <c r="K91" s="165"/>
      <c r="L91" s="165"/>
      <c r="M91" s="165"/>
      <c r="N91" s="165"/>
    </row>
    <row r="92" spans="1:14" ht="16.2">
      <c r="A92" s="171"/>
      <c r="B92" s="367" t="s">
        <v>395</v>
      </c>
      <c r="C92" s="174" t="s">
        <v>1018</v>
      </c>
      <c r="D92" s="64">
        <v>0</v>
      </c>
      <c r="E92" s="176" t="s">
        <v>16</v>
      </c>
      <c r="F92" s="480" t="s">
        <v>289</v>
      </c>
      <c r="G92" s="481"/>
      <c r="H92" s="165"/>
      <c r="I92" s="165"/>
      <c r="J92" s="165"/>
      <c r="K92" s="165"/>
      <c r="L92" s="165"/>
      <c r="M92" s="165"/>
      <c r="N92" s="165"/>
    </row>
    <row r="93" spans="1:14" ht="16.5" thickBot="1">
      <c r="A93" s="171"/>
      <c r="B93" s="375" t="s">
        <v>396</v>
      </c>
      <c r="C93" s="251" t="s">
        <v>1019</v>
      </c>
      <c r="D93" s="1">
        <v>224</v>
      </c>
      <c r="E93" s="253" t="s">
        <v>125</v>
      </c>
      <c r="F93" s="478" t="s">
        <v>290</v>
      </c>
      <c r="G93" s="479"/>
      <c r="H93" s="165"/>
      <c r="I93" s="165"/>
      <c r="J93" s="165"/>
      <c r="K93" s="165"/>
      <c r="L93" s="165"/>
      <c r="M93" s="165"/>
      <c r="N93" s="165"/>
    </row>
    <row r="94" spans="1:14" ht="14.7" thickBot="1">
      <c r="A94" s="171"/>
      <c r="B94" s="166"/>
      <c r="C94" s="166"/>
      <c r="D94" s="168"/>
      <c r="E94" s="166"/>
      <c r="F94" s="169"/>
      <c r="G94" s="170"/>
      <c r="H94" s="165"/>
      <c r="I94" s="165"/>
      <c r="J94" s="165"/>
      <c r="K94" s="165"/>
      <c r="L94" s="165"/>
      <c r="M94" s="165"/>
      <c r="N94" s="165"/>
    </row>
    <row r="95" spans="1:14" ht="18" customHeight="1">
      <c r="A95" s="171"/>
      <c r="B95" s="484" t="s">
        <v>18</v>
      </c>
      <c r="C95" s="485"/>
      <c r="D95" s="485"/>
      <c r="E95" s="485"/>
      <c r="F95" s="485"/>
      <c r="G95" s="496"/>
      <c r="H95" s="165"/>
      <c r="I95" s="165"/>
      <c r="J95" s="165"/>
      <c r="K95" s="165"/>
      <c r="L95" s="165"/>
      <c r="M95" s="165"/>
      <c r="N95" s="165"/>
    </row>
    <row r="96" spans="1:14" ht="18" customHeight="1">
      <c r="A96" s="165"/>
      <c r="B96" s="409" t="s">
        <v>282</v>
      </c>
      <c r="C96" s="466" t="s">
        <v>195</v>
      </c>
      <c r="D96" s="467"/>
      <c r="E96" s="474"/>
      <c r="F96" s="474"/>
      <c r="G96" s="475"/>
      <c r="H96" s="165"/>
      <c r="I96" s="165"/>
      <c r="J96" s="165"/>
      <c r="K96" s="165"/>
      <c r="L96" s="165"/>
      <c r="M96" s="165"/>
      <c r="N96" s="165"/>
    </row>
    <row r="97" spans="1:14" ht="16.2">
      <c r="A97" s="165"/>
      <c r="B97" s="410" t="s">
        <v>385</v>
      </c>
      <c r="C97" s="218" t="s">
        <v>1020</v>
      </c>
      <c r="D97" s="32">
        <v>0.2</v>
      </c>
      <c r="E97" s="411" t="s">
        <v>16</v>
      </c>
      <c r="F97" s="501"/>
      <c r="G97" s="483"/>
      <c r="H97" s="165"/>
      <c r="I97" s="165"/>
      <c r="J97" s="165"/>
      <c r="K97" s="165"/>
      <c r="L97" s="165"/>
      <c r="M97" s="165"/>
      <c r="N97" s="165"/>
    </row>
    <row r="98" spans="1:14" ht="16.2">
      <c r="A98" s="165"/>
      <c r="B98" s="410" t="s">
        <v>516</v>
      </c>
      <c r="C98" s="218" t="s">
        <v>1021</v>
      </c>
      <c r="D98" s="23">
        <v>1</v>
      </c>
      <c r="E98" s="502" t="s">
        <v>19</v>
      </c>
      <c r="F98" s="502"/>
      <c r="G98" s="503"/>
      <c r="H98" s="165"/>
      <c r="I98" s="165"/>
      <c r="J98" s="165"/>
      <c r="K98" s="165"/>
      <c r="L98" s="165"/>
      <c r="M98" s="165"/>
      <c r="N98" s="165"/>
    </row>
    <row r="99" spans="1:14" ht="16.2">
      <c r="A99" s="165"/>
      <c r="B99" s="410" t="s">
        <v>440</v>
      </c>
      <c r="C99" s="218" t="s">
        <v>1021</v>
      </c>
      <c r="D99" s="23">
        <v>0.5</v>
      </c>
      <c r="E99" s="411" t="s">
        <v>8</v>
      </c>
      <c r="F99" s="497" t="s">
        <v>204</v>
      </c>
      <c r="G99" s="504"/>
      <c r="H99" s="165"/>
      <c r="I99" s="165"/>
      <c r="J99" s="165"/>
      <c r="K99" s="165"/>
      <c r="L99" s="165"/>
      <c r="M99" s="165"/>
      <c r="N99" s="165"/>
    </row>
    <row r="100" spans="1:14" ht="16.2">
      <c r="A100" s="165"/>
      <c r="B100" s="410" t="s">
        <v>386</v>
      </c>
      <c r="C100" s="218" t="s">
        <v>1022</v>
      </c>
      <c r="D100" s="33">
        <v>3</v>
      </c>
      <c r="E100" s="411" t="s">
        <v>10</v>
      </c>
      <c r="F100" s="482"/>
      <c r="G100" s="483"/>
      <c r="H100" s="165"/>
      <c r="I100" s="165"/>
      <c r="J100" s="165"/>
      <c r="K100" s="165"/>
      <c r="L100" s="165"/>
      <c r="M100" s="165"/>
      <c r="N100" s="165"/>
    </row>
    <row r="101" spans="1:14" ht="16.2">
      <c r="A101" s="165"/>
      <c r="B101" s="412" t="s">
        <v>387</v>
      </c>
      <c r="C101" s="413" t="s">
        <v>1023</v>
      </c>
      <c r="D101" s="24">
        <v>1.6</v>
      </c>
      <c r="E101" s="411"/>
      <c r="F101" s="482"/>
      <c r="G101" s="483"/>
      <c r="H101" s="165"/>
      <c r="I101" s="165"/>
      <c r="J101" s="165"/>
      <c r="K101" s="165"/>
      <c r="L101" s="165"/>
      <c r="M101" s="165"/>
      <c r="N101" s="165"/>
    </row>
    <row r="102" spans="1:14" ht="16.2">
      <c r="A102" s="165"/>
      <c r="B102" s="412" t="s">
        <v>388</v>
      </c>
      <c r="C102" s="413" t="s">
        <v>1024</v>
      </c>
      <c r="D102" s="24">
        <v>0.4</v>
      </c>
      <c r="E102" s="411"/>
      <c r="F102" s="482"/>
      <c r="G102" s="483"/>
      <c r="H102" s="165"/>
      <c r="I102" s="165"/>
      <c r="J102" s="165"/>
      <c r="K102" s="165"/>
      <c r="L102" s="165"/>
      <c r="M102" s="165"/>
      <c r="N102" s="165"/>
    </row>
    <row r="103" spans="1:14" ht="16.5" thickBot="1">
      <c r="A103" s="165"/>
      <c r="B103" s="414" t="s">
        <v>389</v>
      </c>
      <c r="C103" s="415" t="s">
        <v>1025</v>
      </c>
      <c r="D103" s="25">
        <v>0.5</v>
      </c>
      <c r="E103" s="416"/>
      <c r="F103" s="470" t="s">
        <v>194</v>
      </c>
      <c r="G103" s="471"/>
      <c r="H103" s="165"/>
      <c r="I103" s="165"/>
      <c r="J103" s="165"/>
      <c r="K103" s="165"/>
      <c r="L103" s="165"/>
      <c r="M103" s="165"/>
      <c r="N103" s="165"/>
    </row>
    <row r="104" spans="1:14" ht="14.7" thickBot="1">
      <c r="A104" s="171"/>
      <c r="B104" s="166"/>
      <c r="C104" s="166"/>
      <c r="D104" s="168"/>
      <c r="E104" s="166"/>
      <c r="F104" s="169"/>
      <c r="G104" s="170"/>
      <c r="H104" s="165"/>
      <c r="I104" s="165"/>
      <c r="J104" s="165"/>
      <c r="K104" s="165"/>
      <c r="L104" s="165"/>
      <c r="M104" s="165"/>
      <c r="N104" s="165"/>
    </row>
    <row r="105" spans="1:14" ht="18" customHeight="1">
      <c r="A105" s="171"/>
      <c r="B105" s="484" t="s">
        <v>425</v>
      </c>
      <c r="C105" s="485"/>
      <c r="D105" s="485"/>
      <c r="E105" s="485"/>
      <c r="F105" s="485"/>
      <c r="G105" s="496"/>
      <c r="H105" s="165"/>
      <c r="I105" s="165"/>
      <c r="J105" s="165"/>
      <c r="K105" s="165"/>
      <c r="L105" s="165"/>
      <c r="M105" s="165"/>
      <c r="N105" s="165"/>
    </row>
    <row r="106" spans="1:14" ht="18" customHeight="1">
      <c r="A106" s="171"/>
      <c r="B106" s="409" t="s">
        <v>282</v>
      </c>
      <c r="C106" s="464" t="s">
        <v>193</v>
      </c>
      <c r="D106" s="465"/>
      <c r="E106" s="476"/>
      <c r="F106" s="476"/>
      <c r="G106" s="477"/>
      <c r="H106" s="165"/>
      <c r="I106" s="165"/>
      <c r="J106" s="165"/>
      <c r="K106" s="165"/>
      <c r="L106" s="165"/>
      <c r="M106" s="165"/>
      <c r="N106" s="165"/>
    </row>
    <row r="107" spans="1:14" ht="16.2">
      <c r="A107" s="171"/>
      <c r="B107" s="367" t="s">
        <v>381</v>
      </c>
      <c r="C107" s="174" t="s">
        <v>1026</v>
      </c>
      <c r="D107" s="66">
        <v>35</v>
      </c>
      <c r="E107" s="190" t="s">
        <v>205</v>
      </c>
      <c r="F107" s="490"/>
      <c r="G107" s="491"/>
      <c r="H107" s="165"/>
      <c r="I107" s="165"/>
      <c r="J107" s="165"/>
      <c r="K107" s="165"/>
      <c r="L107" s="165"/>
      <c r="M107" s="165"/>
      <c r="N107" s="165"/>
    </row>
    <row r="108" spans="1:14" ht="16.2">
      <c r="A108" s="171"/>
      <c r="B108" s="367" t="s">
        <v>382</v>
      </c>
      <c r="C108" s="174" t="s">
        <v>1027</v>
      </c>
      <c r="D108" s="4">
        <v>2.5</v>
      </c>
      <c r="E108" s="488" t="s">
        <v>16</v>
      </c>
      <c r="F108" s="488"/>
      <c r="G108" s="489"/>
      <c r="H108" s="165"/>
      <c r="I108" s="165"/>
      <c r="J108" s="165"/>
      <c r="K108" s="165"/>
      <c r="L108" s="165"/>
      <c r="M108" s="165"/>
      <c r="N108" s="165"/>
    </row>
    <row r="109" spans="1:14" ht="16.2">
      <c r="A109" s="171"/>
      <c r="B109" s="410" t="s">
        <v>383</v>
      </c>
      <c r="C109" s="218" t="s">
        <v>1028</v>
      </c>
      <c r="D109" s="66">
        <v>30</v>
      </c>
      <c r="E109" s="488" t="s">
        <v>197</v>
      </c>
      <c r="F109" s="488"/>
      <c r="G109" s="489"/>
      <c r="H109" s="165"/>
      <c r="I109" s="165"/>
      <c r="J109" s="165"/>
      <c r="K109" s="165"/>
      <c r="L109" s="165"/>
      <c r="M109" s="165"/>
      <c r="N109" s="165"/>
    </row>
    <row r="110" spans="1:14" ht="16.5" thickBot="1">
      <c r="A110" s="171"/>
      <c r="B110" s="375" t="s">
        <v>384</v>
      </c>
      <c r="C110" s="251" t="s">
        <v>367</v>
      </c>
      <c r="D110" s="1">
        <v>150</v>
      </c>
      <c r="E110" s="492" t="s">
        <v>71</v>
      </c>
      <c r="F110" s="492"/>
      <c r="G110" s="493"/>
      <c r="H110" s="165"/>
      <c r="I110" s="165"/>
      <c r="J110" s="165"/>
      <c r="K110" s="165"/>
      <c r="L110" s="165"/>
      <c r="M110" s="165"/>
      <c r="N110" s="165"/>
    </row>
    <row r="111" spans="1:14" ht="14.7" thickBot="1">
      <c r="A111" s="171"/>
      <c r="B111" s="166"/>
      <c r="C111" s="166"/>
      <c r="D111" s="168"/>
      <c r="E111" s="166"/>
      <c r="F111" s="169"/>
      <c r="G111" s="170"/>
      <c r="H111" s="165"/>
      <c r="I111" s="165"/>
      <c r="J111" s="165"/>
      <c r="K111" s="165"/>
      <c r="L111" s="165"/>
      <c r="M111" s="165"/>
      <c r="N111" s="165"/>
    </row>
    <row r="112" spans="1:14" ht="17.25" customHeight="1">
      <c r="A112" s="171"/>
      <c r="B112" s="484" t="s">
        <v>247</v>
      </c>
      <c r="C112" s="485"/>
      <c r="D112" s="485"/>
      <c r="E112" s="485"/>
      <c r="F112" s="485"/>
      <c r="G112" s="496"/>
      <c r="H112" s="165"/>
      <c r="I112" s="165"/>
      <c r="J112" s="165"/>
      <c r="K112" s="165"/>
      <c r="L112" s="165"/>
      <c r="M112" s="165"/>
      <c r="N112" s="165"/>
    </row>
    <row r="113" spans="1:14" ht="18" customHeight="1">
      <c r="A113" s="171"/>
      <c r="B113" s="409" t="s">
        <v>282</v>
      </c>
      <c r="C113" s="464" t="s">
        <v>202</v>
      </c>
      <c r="D113" s="465"/>
      <c r="E113" s="476"/>
      <c r="F113" s="476"/>
      <c r="G113" s="477"/>
      <c r="H113" s="165"/>
      <c r="I113" s="165"/>
      <c r="J113" s="165"/>
      <c r="K113" s="165"/>
      <c r="L113" s="165"/>
      <c r="M113" s="165"/>
      <c r="N113" s="165"/>
    </row>
    <row r="114" spans="1:14" ht="16.2">
      <c r="A114" s="171"/>
      <c r="B114" s="367" t="s">
        <v>377</v>
      </c>
      <c r="C114" s="174" t="s">
        <v>1029</v>
      </c>
      <c r="D114" s="66">
        <v>1.7</v>
      </c>
      <c r="E114" s="176" t="s">
        <v>14</v>
      </c>
      <c r="F114" s="480" t="s">
        <v>517</v>
      </c>
      <c r="G114" s="498"/>
      <c r="H114" s="408"/>
      <c r="I114" s="165"/>
      <c r="J114" s="165"/>
      <c r="K114" s="165"/>
      <c r="L114" s="165"/>
      <c r="M114" s="165"/>
      <c r="N114" s="165"/>
    </row>
    <row r="115" spans="1:14" ht="16.2">
      <c r="A115" s="171"/>
      <c r="B115" s="367" t="s">
        <v>518</v>
      </c>
      <c r="C115" s="174" t="s">
        <v>1030</v>
      </c>
      <c r="D115" s="66">
        <v>20</v>
      </c>
      <c r="E115" s="488" t="s">
        <v>16</v>
      </c>
      <c r="F115" s="488"/>
      <c r="G115" s="489"/>
      <c r="H115" s="165"/>
      <c r="I115" s="165"/>
      <c r="J115" s="165"/>
      <c r="K115" s="165"/>
      <c r="L115" s="165"/>
      <c r="M115" s="165"/>
      <c r="N115" s="165"/>
    </row>
    <row r="116" spans="1:14" ht="16.2">
      <c r="A116" s="171"/>
      <c r="B116" s="367" t="s">
        <v>378</v>
      </c>
      <c r="C116" s="174" t="s">
        <v>1031</v>
      </c>
      <c r="D116" s="66">
        <v>4</v>
      </c>
      <c r="E116" s="176" t="s">
        <v>20</v>
      </c>
      <c r="F116" s="497"/>
      <c r="G116" s="491"/>
      <c r="H116" s="165"/>
      <c r="I116" s="165"/>
      <c r="J116" s="165"/>
      <c r="K116" s="165"/>
      <c r="L116" s="165"/>
      <c r="M116" s="165"/>
      <c r="N116" s="165"/>
    </row>
    <row r="117" spans="1:14" ht="16.2">
      <c r="A117" s="171"/>
      <c r="B117" s="367" t="s">
        <v>379</v>
      </c>
      <c r="C117" s="174" t="s">
        <v>1032</v>
      </c>
      <c r="D117" s="66">
        <v>28</v>
      </c>
      <c r="E117" s="176" t="s">
        <v>14</v>
      </c>
      <c r="F117" s="482"/>
      <c r="G117" s="491"/>
      <c r="H117" s="165"/>
      <c r="I117" s="165"/>
      <c r="J117" s="165"/>
      <c r="K117" s="165"/>
      <c r="L117" s="165"/>
      <c r="M117" s="165"/>
      <c r="N117" s="165"/>
    </row>
    <row r="118" spans="1:14" ht="16.5" thickBot="1">
      <c r="A118" s="171"/>
      <c r="B118" s="375" t="s">
        <v>380</v>
      </c>
      <c r="C118" s="251" t="s">
        <v>1033</v>
      </c>
      <c r="D118" s="1">
        <v>2</v>
      </c>
      <c r="E118" s="253" t="s">
        <v>16</v>
      </c>
      <c r="F118" s="494"/>
      <c r="G118" s="495"/>
      <c r="H118" s="165"/>
      <c r="I118" s="165"/>
      <c r="J118" s="165"/>
      <c r="K118" s="165"/>
      <c r="L118" s="165"/>
      <c r="M118" s="165"/>
      <c r="N118" s="165"/>
    </row>
    <row r="119" spans="1:14" ht="14.7" thickBot="1">
      <c r="A119" s="171"/>
      <c r="B119" s="166"/>
      <c r="C119" s="166"/>
      <c r="D119" s="168"/>
      <c r="E119" s="166"/>
      <c r="F119" s="169"/>
      <c r="G119" s="170"/>
      <c r="H119" s="165"/>
      <c r="I119" s="165"/>
      <c r="J119" s="165"/>
      <c r="K119" s="165"/>
      <c r="L119" s="165"/>
      <c r="M119" s="165"/>
      <c r="N119" s="165"/>
    </row>
    <row r="120" spans="1:14" ht="18" customHeight="1">
      <c r="A120" s="171"/>
      <c r="B120" s="484" t="s">
        <v>236</v>
      </c>
      <c r="C120" s="485"/>
      <c r="D120" s="486"/>
      <c r="E120" s="486"/>
      <c r="F120" s="486"/>
      <c r="G120" s="487"/>
      <c r="H120" s="165"/>
      <c r="I120" s="165"/>
      <c r="J120" s="165"/>
      <c r="K120" s="165"/>
      <c r="L120" s="165"/>
      <c r="M120" s="165"/>
      <c r="N120" s="165"/>
    </row>
    <row r="121" spans="1:14" ht="18" customHeight="1">
      <c r="A121" s="171"/>
      <c r="B121" s="409" t="s">
        <v>282</v>
      </c>
      <c r="C121" s="466" t="s">
        <v>201</v>
      </c>
      <c r="D121" s="467"/>
      <c r="E121" s="474"/>
      <c r="F121" s="474"/>
      <c r="G121" s="475"/>
      <c r="H121" s="165"/>
      <c r="I121" s="165"/>
      <c r="J121" s="165"/>
      <c r="K121" s="165"/>
      <c r="L121" s="165"/>
      <c r="M121" s="165"/>
      <c r="N121" s="165"/>
    </row>
    <row r="122" spans="1:14" ht="16.2">
      <c r="A122" s="171"/>
      <c r="B122" s="410" t="s">
        <v>375</v>
      </c>
      <c r="C122" s="218" t="s">
        <v>368</v>
      </c>
      <c r="D122" s="23">
        <v>20</v>
      </c>
      <c r="E122" s="411" t="s">
        <v>42</v>
      </c>
      <c r="F122" s="497"/>
      <c r="G122" s="560"/>
      <c r="H122" s="165"/>
      <c r="I122" s="165"/>
      <c r="J122" s="165"/>
      <c r="K122" s="165"/>
      <c r="L122" s="165"/>
      <c r="M122" s="165"/>
      <c r="N122" s="165"/>
    </row>
    <row r="123" spans="1:14" ht="19.5" customHeight="1" thickBot="1">
      <c r="A123" s="171"/>
      <c r="B123" s="414" t="s">
        <v>376</v>
      </c>
      <c r="C123" s="415" t="s">
        <v>369</v>
      </c>
      <c r="D123" s="25">
        <v>5</v>
      </c>
      <c r="E123" s="416" t="s">
        <v>138</v>
      </c>
      <c r="F123" s="470" t="s">
        <v>286</v>
      </c>
      <c r="G123" s="471"/>
      <c r="H123" s="165"/>
      <c r="I123" s="165"/>
      <c r="J123" s="165"/>
      <c r="K123" s="165"/>
      <c r="L123" s="165"/>
      <c r="M123" s="165"/>
      <c r="N123" s="165"/>
    </row>
    <row r="124" spans="1:14" ht="14.7" thickBot="1">
      <c r="A124" s="171"/>
      <c r="B124" s="166"/>
      <c r="C124" s="166"/>
      <c r="D124" s="168"/>
      <c r="E124" s="166"/>
      <c r="F124" s="169"/>
      <c r="G124" s="170"/>
      <c r="H124" s="165"/>
      <c r="I124" s="165"/>
      <c r="J124" s="165"/>
      <c r="K124" s="165"/>
      <c r="L124" s="165"/>
      <c r="M124" s="165"/>
      <c r="N124" s="165"/>
    </row>
    <row r="125" spans="1:14" ht="18" customHeight="1">
      <c r="A125" s="171"/>
      <c r="B125" s="484" t="s">
        <v>21</v>
      </c>
      <c r="C125" s="485"/>
      <c r="D125" s="485"/>
      <c r="E125" s="485"/>
      <c r="F125" s="485"/>
      <c r="G125" s="496"/>
      <c r="H125" s="165"/>
      <c r="I125" s="165"/>
      <c r="J125" s="165"/>
      <c r="K125" s="165"/>
      <c r="L125" s="165"/>
      <c r="M125" s="165"/>
      <c r="N125" s="165"/>
    </row>
    <row r="126" spans="1:14" ht="18" customHeight="1">
      <c r="A126" s="171"/>
      <c r="B126" s="409" t="s">
        <v>282</v>
      </c>
      <c r="C126" s="464" t="s">
        <v>203</v>
      </c>
      <c r="D126" s="465"/>
      <c r="E126" s="476"/>
      <c r="F126" s="476"/>
      <c r="G126" s="477"/>
      <c r="H126" s="165"/>
      <c r="I126" s="165"/>
      <c r="J126" s="165"/>
      <c r="K126" s="165"/>
      <c r="L126" s="165"/>
      <c r="M126" s="165"/>
      <c r="N126" s="165"/>
    </row>
    <row r="127" spans="1:14" ht="16.2">
      <c r="A127" s="171"/>
      <c r="B127" s="367" t="s">
        <v>374</v>
      </c>
      <c r="C127" s="174" t="s">
        <v>1034</v>
      </c>
      <c r="D127" s="66">
        <v>4.68</v>
      </c>
      <c r="E127" s="176" t="s">
        <v>14</v>
      </c>
      <c r="F127" s="562"/>
      <c r="G127" s="491"/>
      <c r="H127" s="165"/>
      <c r="I127" s="165"/>
      <c r="J127" s="165"/>
      <c r="K127" s="165"/>
      <c r="L127" s="165"/>
      <c r="M127" s="165"/>
      <c r="N127" s="165"/>
    </row>
    <row r="128" spans="1:14" ht="16.2">
      <c r="A128" s="171"/>
      <c r="B128" s="367" t="s">
        <v>373</v>
      </c>
      <c r="C128" s="174" t="s">
        <v>1035</v>
      </c>
      <c r="D128" s="66">
        <v>2</v>
      </c>
      <c r="E128" s="176" t="s">
        <v>14</v>
      </c>
      <c r="F128" s="497" t="s">
        <v>370</v>
      </c>
      <c r="G128" s="561"/>
      <c r="H128" s="165"/>
      <c r="I128" s="165"/>
      <c r="J128" s="165"/>
      <c r="K128" s="165"/>
      <c r="L128" s="165"/>
      <c r="M128" s="165"/>
      <c r="N128" s="165"/>
    </row>
    <row r="129" spans="1:14" ht="16.2">
      <c r="A129" s="171"/>
      <c r="B129" s="367" t="s">
        <v>372</v>
      </c>
      <c r="C129" s="174" t="s">
        <v>1036</v>
      </c>
      <c r="D129" s="66">
        <v>1.25</v>
      </c>
      <c r="E129" s="176" t="s">
        <v>16</v>
      </c>
      <c r="F129" s="482"/>
      <c r="G129" s="491"/>
      <c r="H129" s="165"/>
      <c r="I129" s="165"/>
      <c r="J129" s="165"/>
      <c r="K129" s="165"/>
      <c r="L129" s="165"/>
      <c r="M129" s="165"/>
      <c r="N129" s="165"/>
    </row>
    <row r="130" spans="1:14" ht="19.5" customHeight="1" thickBot="1">
      <c r="A130" s="165"/>
      <c r="B130" s="375" t="s">
        <v>371</v>
      </c>
      <c r="C130" s="251" t="s">
        <v>1037</v>
      </c>
      <c r="D130" s="1">
        <v>1.25</v>
      </c>
      <c r="E130" s="253" t="s">
        <v>17</v>
      </c>
      <c r="F130" s="494"/>
      <c r="G130" s="495"/>
      <c r="H130" s="165"/>
      <c r="I130" s="165"/>
      <c r="J130" s="165"/>
      <c r="K130" s="165"/>
      <c r="L130" s="165"/>
      <c r="M130" s="165"/>
      <c r="N130" s="165"/>
    </row>
    <row r="131" spans="1:14">
      <c r="A131" s="165"/>
      <c r="B131" s="165"/>
      <c r="C131" s="165"/>
      <c r="D131" s="165"/>
      <c r="E131" s="165"/>
      <c r="F131" s="165"/>
      <c r="G131" s="165"/>
      <c r="H131" s="165"/>
      <c r="I131" s="165"/>
      <c r="J131" s="165"/>
      <c r="K131" s="165"/>
      <c r="L131" s="165"/>
      <c r="M131" s="165"/>
      <c r="N131" s="165"/>
    </row>
    <row r="132" spans="1:14">
      <c r="A132" s="165"/>
      <c r="B132" s="165"/>
      <c r="C132" s="165"/>
      <c r="D132" s="165"/>
      <c r="E132" s="165"/>
      <c r="F132" s="165"/>
      <c r="G132" s="165"/>
      <c r="H132" s="165"/>
      <c r="I132" s="165"/>
      <c r="J132" s="165"/>
      <c r="K132" s="165"/>
      <c r="L132" s="165"/>
      <c r="M132" s="165"/>
      <c r="N132" s="165"/>
    </row>
  </sheetData>
  <sheetProtection password="E9DD" sheet="1" selectLockedCells="1"/>
  <mergeCells count="87">
    <mergeCell ref="F122:G122"/>
    <mergeCell ref="F130:G130"/>
    <mergeCell ref="F128:G128"/>
    <mergeCell ref="B125:G125"/>
    <mergeCell ref="F127:G127"/>
    <mergeCell ref="F129:G129"/>
    <mergeCell ref="C126:D126"/>
    <mergeCell ref="E126:G126"/>
    <mergeCell ref="B62:G62"/>
    <mergeCell ref="C46:D46"/>
    <mergeCell ref="B82:G82"/>
    <mergeCell ref="F68:G68"/>
    <mergeCell ref="B70:G70"/>
    <mergeCell ref="C54:D54"/>
    <mergeCell ref="F54:G54"/>
    <mergeCell ref="B1:G1"/>
    <mergeCell ref="B3:G3"/>
    <mergeCell ref="B4:G7"/>
    <mergeCell ref="B8:G8"/>
    <mergeCell ref="B9:G9"/>
    <mergeCell ref="F43:G43"/>
    <mergeCell ref="F46:G46"/>
    <mergeCell ref="E63:G63"/>
    <mergeCell ref="C63:D63"/>
    <mergeCell ref="B10:G10"/>
    <mergeCell ref="B11:G11"/>
    <mergeCell ref="B12:G13"/>
    <mergeCell ref="F20:G20"/>
    <mergeCell ref="B27:G27"/>
    <mergeCell ref="F24:G24"/>
    <mergeCell ref="F18:G18"/>
    <mergeCell ref="F21:G21"/>
    <mergeCell ref="F16:G16"/>
    <mergeCell ref="F22:G22"/>
    <mergeCell ref="B15:G15"/>
    <mergeCell ref="F25:G25"/>
    <mergeCell ref="F37:G37"/>
    <mergeCell ref="F42:G42"/>
    <mergeCell ref="F35:G35"/>
    <mergeCell ref="E33:G33"/>
    <mergeCell ref="B39:G39"/>
    <mergeCell ref="F41:G41"/>
    <mergeCell ref="F44:G44"/>
    <mergeCell ref="E29:G29"/>
    <mergeCell ref="F32:G32"/>
    <mergeCell ref="E28:G28"/>
    <mergeCell ref="B105:G105"/>
    <mergeCell ref="B95:G95"/>
    <mergeCell ref="F100:G100"/>
    <mergeCell ref="F97:G97"/>
    <mergeCell ref="E98:G98"/>
    <mergeCell ref="F99:G99"/>
    <mergeCell ref="F101:G101"/>
    <mergeCell ref="F71:G71"/>
    <mergeCell ref="F78:G78"/>
    <mergeCell ref="F79:G79"/>
    <mergeCell ref="E31:G31"/>
    <mergeCell ref="F40:G40"/>
    <mergeCell ref="B120:G120"/>
    <mergeCell ref="F123:G123"/>
    <mergeCell ref="E109:G109"/>
    <mergeCell ref="F107:G107"/>
    <mergeCell ref="E115:G115"/>
    <mergeCell ref="E110:G110"/>
    <mergeCell ref="E108:G108"/>
    <mergeCell ref="C121:D121"/>
    <mergeCell ref="C113:D113"/>
    <mergeCell ref="E113:G113"/>
    <mergeCell ref="F118:G118"/>
    <mergeCell ref="B112:G112"/>
    <mergeCell ref="F116:G116"/>
    <mergeCell ref="F117:G117"/>
    <mergeCell ref="F114:G114"/>
    <mergeCell ref="E121:G121"/>
    <mergeCell ref="C106:D106"/>
    <mergeCell ref="C96:D96"/>
    <mergeCell ref="C83:D83"/>
    <mergeCell ref="F84:G84"/>
    <mergeCell ref="F103:G103"/>
    <mergeCell ref="F91:G91"/>
    <mergeCell ref="E96:G96"/>
    <mergeCell ref="E83:G83"/>
    <mergeCell ref="E106:G106"/>
    <mergeCell ref="F85:G85"/>
    <mergeCell ref="F93:G93"/>
    <mergeCell ref="F92:G92"/>
    <mergeCell ref="F102:G102"/>
  </mergeCells>
  <phoneticPr fontId="28" type="noConversion"/>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'Hide Calculate'!$C$77:$C$78</xm:f>
          </x14:formula1>
          <xm:sqref>D16</xm:sqref>
        </x14:dataValidation>
        <x14:dataValidation type="list" allowBlank="1" showInputMessage="1" showErrorMessage="1" xr:uid="{00000000-0002-0000-0000-000001000000}">
          <x14:formula1>
            <xm:f>'Hide Calculate'!$D$77:$D$78</xm:f>
          </x14:formula1>
          <xm:sqref>D43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F306"/>
  <sheetViews>
    <sheetView tabSelected="1" topLeftCell="A172" zoomScale="85" zoomScaleNormal="85" workbookViewId="0">
      <selection activeCell="D77" sqref="D77"/>
    </sheetView>
  </sheetViews>
  <sheetFormatPr defaultColWidth="9" defaultRowHeight="14.4"/>
  <cols>
    <col min="1" max="1" width="4.3671875" customWidth="1"/>
    <col min="2" max="2" width="64.3671875" customWidth="1"/>
    <col min="3" max="3" width="15.62890625" style="18" customWidth="1"/>
    <col min="4" max="4" width="13.62890625" style="19" customWidth="1"/>
    <col min="5" max="5" width="7.62890625" customWidth="1"/>
    <col min="6" max="6" width="75.62890625" customWidth="1"/>
    <col min="7" max="7" width="9" customWidth="1"/>
    <col min="9" max="9" width="13.1015625" bestFit="1" customWidth="1"/>
    <col min="11" max="11" width="9" customWidth="1"/>
    <col min="14" max="14" width="9" customWidth="1"/>
  </cols>
  <sheetData>
    <row r="1" spans="1:9" ht="15.3" thickBot="1">
      <c r="A1" s="165"/>
      <c r="B1" s="166"/>
      <c r="C1" s="167"/>
      <c r="D1" s="168"/>
      <c r="E1" s="169"/>
      <c r="F1" s="170"/>
      <c r="G1" s="165"/>
      <c r="H1" s="165"/>
      <c r="I1" s="165"/>
    </row>
    <row r="2" spans="1:9" ht="18" customHeight="1">
      <c r="A2" s="171"/>
      <c r="B2" s="572" t="s">
        <v>248</v>
      </c>
      <c r="C2" s="573"/>
      <c r="D2" s="573"/>
      <c r="E2" s="573"/>
      <c r="F2" s="574"/>
      <c r="G2" s="165"/>
      <c r="H2" s="165"/>
      <c r="I2" s="165"/>
    </row>
    <row r="3" spans="1:9" ht="16.2">
      <c r="A3" s="172"/>
      <c r="B3" s="173" t="s">
        <v>249</v>
      </c>
      <c r="C3" s="174" t="s">
        <v>746</v>
      </c>
      <c r="D3" s="175">
        <v>9.8000000000000007</v>
      </c>
      <c r="E3" s="176" t="s">
        <v>8</v>
      </c>
      <c r="F3" s="177" t="s">
        <v>179</v>
      </c>
      <c r="G3" s="165"/>
      <c r="H3" s="165"/>
      <c r="I3" s="165"/>
    </row>
    <row r="4" spans="1:9" ht="16.2">
      <c r="A4" s="172"/>
      <c r="B4" s="173" t="s">
        <v>256</v>
      </c>
      <c r="C4" s="174" t="s">
        <v>747</v>
      </c>
      <c r="D4" s="175">
        <v>17.5</v>
      </c>
      <c r="E4" s="176" t="s">
        <v>8</v>
      </c>
      <c r="F4" s="177" t="s">
        <v>179</v>
      </c>
      <c r="G4" s="165"/>
      <c r="H4" s="165"/>
      <c r="I4" s="165"/>
    </row>
    <row r="5" spans="1:9" ht="16.2">
      <c r="A5" s="172"/>
      <c r="B5" s="173" t="s">
        <v>139</v>
      </c>
      <c r="C5" s="174" t="s">
        <v>748</v>
      </c>
      <c r="D5" s="178">
        <v>34</v>
      </c>
      <c r="E5" s="176" t="s">
        <v>8</v>
      </c>
      <c r="F5" s="177" t="s">
        <v>319</v>
      </c>
      <c r="G5" s="165"/>
      <c r="H5" s="165"/>
      <c r="I5" s="165"/>
    </row>
    <row r="6" spans="1:9" ht="16.2">
      <c r="A6" s="172"/>
      <c r="B6" s="179" t="s">
        <v>140</v>
      </c>
      <c r="C6" s="174" t="s">
        <v>749</v>
      </c>
      <c r="D6" s="175">
        <v>1</v>
      </c>
      <c r="E6" s="176" t="s">
        <v>8</v>
      </c>
      <c r="F6" s="177" t="s">
        <v>179</v>
      </c>
      <c r="G6" s="165"/>
      <c r="H6" s="165"/>
      <c r="I6" s="165"/>
    </row>
    <row r="7" spans="1:9" ht="16.2">
      <c r="A7" s="172"/>
      <c r="B7" s="173" t="s">
        <v>250</v>
      </c>
      <c r="C7" s="174" t="s">
        <v>750</v>
      </c>
      <c r="D7" s="178">
        <v>365</v>
      </c>
      <c r="E7" s="176" t="s">
        <v>205</v>
      </c>
      <c r="F7" s="180" t="s">
        <v>781</v>
      </c>
      <c r="G7" s="165"/>
      <c r="H7" s="165"/>
      <c r="I7" s="165"/>
    </row>
    <row r="8" spans="1:9" ht="16.2">
      <c r="A8" s="172"/>
      <c r="B8" s="173" t="s">
        <v>977</v>
      </c>
      <c r="C8" s="174" t="s">
        <v>978</v>
      </c>
      <c r="D8" s="442">
        <v>5</v>
      </c>
      <c r="E8" s="176" t="s">
        <v>8</v>
      </c>
      <c r="F8" s="180" t="s">
        <v>179</v>
      </c>
      <c r="G8" s="165"/>
      <c r="H8" s="165"/>
      <c r="I8" s="165"/>
    </row>
    <row r="9" spans="1:9" ht="16.2">
      <c r="A9" s="171"/>
      <c r="B9" s="173" t="s">
        <v>251</v>
      </c>
      <c r="C9" s="174" t="s">
        <v>751</v>
      </c>
      <c r="D9" s="181">
        <v>4.5</v>
      </c>
      <c r="E9" s="176" t="s">
        <v>8</v>
      </c>
      <c r="F9" s="177" t="s">
        <v>179</v>
      </c>
      <c r="G9" s="425"/>
      <c r="H9" s="165"/>
      <c r="I9" s="165"/>
    </row>
    <row r="10" spans="1:9" ht="16.2">
      <c r="A10" s="171"/>
      <c r="B10" s="179" t="s">
        <v>141</v>
      </c>
      <c r="C10" s="174" t="s">
        <v>752</v>
      </c>
      <c r="D10" s="182">
        <v>15</v>
      </c>
      <c r="E10" s="176" t="s">
        <v>178</v>
      </c>
      <c r="F10" s="180" t="s">
        <v>179</v>
      </c>
      <c r="G10" s="165"/>
      <c r="H10" s="165"/>
      <c r="I10" s="165"/>
    </row>
    <row r="11" spans="1:9" ht="16.2">
      <c r="A11" s="171"/>
      <c r="B11" s="183" t="s">
        <v>273</v>
      </c>
      <c r="C11" s="184" t="s">
        <v>753</v>
      </c>
      <c r="D11" s="185">
        <v>0.8</v>
      </c>
      <c r="E11" s="176" t="s">
        <v>8</v>
      </c>
      <c r="F11" s="177" t="s">
        <v>179</v>
      </c>
      <c r="G11" s="165"/>
      <c r="H11" s="165"/>
      <c r="I11" s="165"/>
    </row>
    <row r="12" spans="1:9" ht="16.2">
      <c r="A12" s="171"/>
      <c r="B12" s="183" t="s">
        <v>456</v>
      </c>
      <c r="C12" s="184" t="s">
        <v>754</v>
      </c>
      <c r="D12" s="185">
        <v>0.6</v>
      </c>
      <c r="E12" s="176" t="s">
        <v>8</v>
      </c>
      <c r="F12" s="177" t="s">
        <v>179</v>
      </c>
      <c r="G12" s="165"/>
      <c r="H12" s="165"/>
      <c r="I12" s="165"/>
    </row>
    <row r="13" spans="1:9" ht="16.2">
      <c r="A13" s="171"/>
      <c r="B13" s="183" t="s">
        <v>322</v>
      </c>
      <c r="C13" s="184" t="s">
        <v>755</v>
      </c>
      <c r="D13" s="185">
        <v>0.42499999999999999</v>
      </c>
      <c r="E13" s="186" t="s">
        <v>8</v>
      </c>
      <c r="F13" s="177" t="s">
        <v>179</v>
      </c>
      <c r="G13" s="165"/>
      <c r="H13" s="165"/>
      <c r="I13" s="165"/>
    </row>
    <row r="14" spans="1:9" ht="16.2">
      <c r="A14" s="171"/>
      <c r="B14" s="183" t="s">
        <v>252</v>
      </c>
      <c r="C14" s="184" t="s">
        <v>756</v>
      </c>
      <c r="D14" s="187">
        <v>0.25</v>
      </c>
      <c r="E14" s="186" t="s">
        <v>180</v>
      </c>
      <c r="F14" s="188" t="s">
        <v>179</v>
      </c>
      <c r="G14" s="165"/>
      <c r="H14" s="165"/>
      <c r="I14" s="165"/>
    </row>
    <row r="15" spans="1:9" ht="16.2">
      <c r="A15" s="171"/>
      <c r="B15" s="183" t="s">
        <v>253</v>
      </c>
      <c r="C15" s="184" t="s">
        <v>757</v>
      </c>
      <c r="D15" s="185">
        <v>25</v>
      </c>
      <c r="E15" s="186" t="s">
        <v>181</v>
      </c>
      <c r="F15" s="188" t="s">
        <v>179</v>
      </c>
      <c r="G15" s="165"/>
      <c r="H15" s="165"/>
      <c r="I15" s="165"/>
    </row>
    <row r="16" spans="1:9" ht="16.2">
      <c r="A16" s="171"/>
      <c r="B16" s="183" t="s">
        <v>238</v>
      </c>
      <c r="C16" s="184" t="s">
        <v>758</v>
      </c>
      <c r="D16" s="189">
        <f>5*10^9</f>
        <v>5000000000</v>
      </c>
      <c r="E16" s="186" t="s">
        <v>717</v>
      </c>
      <c r="F16" s="188" t="s">
        <v>321</v>
      </c>
      <c r="G16" s="165"/>
      <c r="H16" s="165"/>
      <c r="I16" s="165"/>
    </row>
    <row r="17" spans="1:9" ht="16.2">
      <c r="A17" s="171"/>
      <c r="B17" s="183" t="s">
        <v>759</v>
      </c>
      <c r="C17" s="184" t="s">
        <v>760</v>
      </c>
      <c r="D17" s="185">
        <v>4</v>
      </c>
      <c r="E17" s="186" t="s">
        <v>182</v>
      </c>
      <c r="F17" s="188" t="s">
        <v>179</v>
      </c>
      <c r="G17" s="165"/>
      <c r="H17" s="165"/>
      <c r="I17" s="165"/>
    </row>
    <row r="18" spans="1:9" ht="16.2">
      <c r="A18" s="171"/>
      <c r="B18" s="173" t="s">
        <v>142</v>
      </c>
      <c r="C18" s="184" t="s">
        <v>761</v>
      </c>
      <c r="D18" s="185">
        <v>10.5</v>
      </c>
      <c r="E18" s="186" t="s">
        <v>183</v>
      </c>
      <c r="F18" s="188" t="s">
        <v>179</v>
      </c>
      <c r="G18" s="165"/>
      <c r="H18" s="165"/>
      <c r="I18" s="165"/>
    </row>
    <row r="19" spans="1:9" ht="16.2">
      <c r="A19" s="171"/>
      <c r="B19" s="173" t="s">
        <v>745</v>
      </c>
      <c r="C19" s="184" t="s">
        <v>762</v>
      </c>
      <c r="D19" s="185">
        <v>2.5</v>
      </c>
      <c r="E19" s="186" t="s">
        <v>184</v>
      </c>
      <c r="F19" s="188" t="s">
        <v>179</v>
      </c>
      <c r="G19" s="165"/>
      <c r="H19" s="165"/>
      <c r="I19" s="165"/>
    </row>
    <row r="20" spans="1:9" ht="16.2">
      <c r="A20" s="171"/>
      <c r="B20" s="183" t="s">
        <v>272</v>
      </c>
      <c r="C20" s="184" t="s">
        <v>763</v>
      </c>
      <c r="D20" s="185">
        <v>0.4</v>
      </c>
      <c r="E20" s="186" t="s">
        <v>184</v>
      </c>
      <c r="F20" s="188" t="s">
        <v>179</v>
      </c>
      <c r="G20" s="165"/>
      <c r="H20" s="165"/>
      <c r="I20" s="165"/>
    </row>
    <row r="21" spans="1:9" ht="16.2">
      <c r="A21" s="171"/>
      <c r="B21" s="183" t="s">
        <v>336</v>
      </c>
      <c r="C21" s="184" t="s">
        <v>764</v>
      </c>
      <c r="D21" s="185">
        <v>2.2000000000000002</v>
      </c>
      <c r="E21" s="190" t="s">
        <v>185</v>
      </c>
      <c r="F21" s="188" t="s">
        <v>320</v>
      </c>
      <c r="G21" s="191"/>
      <c r="H21" s="165"/>
      <c r="I21" s="165"/>
    </row>
    <row r="22" spans="1:9" ht="16.2">
      <c r="A22" s="171"/>
      <c r="B22" s="183" t="s">
        <v>254</v>
      </c>
      <c r="C22" s="184" t="s">
        <v>765</v>
      </c>
      <c r="D22" s="185">
        <v>90</v>
      </c>
      <c r="E22" s="176" t="s">
        <v>205</v>
      </c>
      <c r="F22" s="188" t="s">
        <v>179</v>
      </c>
      <c r="G22" s="165"/>
      <c r="H22" s="165"/>
      <c r="I22" s="165"/>
    </row>
    <row r="23" spans="1:9" ht="16.2">
      <c r="A23" s="171"/>
      <c r="B23" s="183" t="s">
        <v>766</v>
      </c>
      <c r="C23" s="184" t="s">
        <v>767</v>
      </c>
      <c r="D23" s="185">
        <v>1</v>
      </c>
      <c r="E23" s="186" t="s">
        <v>186</v>
      </c>
      <c r="F23" s="192"/>
      <c r="G23" s="193"/>
      <c r="H23" s="165"/>
      <c r="I23" s="165"/>
    </row>
    <row r="24" spans="1:9" ht="16.2">
      <c r="A24" s="171"/>
      <c r="B24" s="183" t="s">
        <v>338</v>
      </c>
      <c r="C24" s="184" t="s">
        <v>768</v>
      </c>
      <c r="D24" s="185">
        <v>4.3</v>
      </c>
      <c r="E24" s="186" t="s">
        <v>8</v>
      </c>
      <c r="F24" s="188" t="s">
        <v>179</v>
      </c>
      <c r="G24" s="165"/>
      <c r="H24" s="165"/>
      <c r="I24" s="165"/>
    </row>
    <row r="25" spans="1:9" ht="16.2">
      <c r="A25" s="171"/>
      <c r="B25" s="183" t="s">
        <v>337</v>
      </c>
      <c r="C25" s="184" t="s">
        <v>769</v>
      </c>
      <c r="D25" s="189">
        <v>8000</v>
      </c>
      <c r="E25" s="194" t="s">
        <v>208</v>
      </c>
      <c r="F25" s="188" t="s">
        <v>179</v>
      </c>
      <c r="G25" s="165"/>
      <c r="H25" s="165"/>
      <c r="I25" s="165"/>
    </row>
    <row r="26" spans="1:9" ht="16.2">
      <c r="A26" s="171"/>
      <c r="B26" s="183" t="s">
        <v>271</v>
      </c>
      <c r="C26" s="184" t="s">
        <v>770</v>
      </c>
      <c r="D26" s="185">
        <v>75</v>
      </c>
      <c r="E26" s="190" t="s">
        <v>187</v>
      </c>
      <c r="F26" s="188" t="s">
        <v>179</v>
      </c>
      <c r="G26" s="165"/>
      <c r="H26" s="165"/>
      <c r="I26" s="165"/>
    </row>
    <row r="27" spans="1:9" ht="16.2">
      <c r="A27" s="171"/>
      <c r="B27" s="195" t="s">
        <v>771</v>
      </c>
      <c r="C27" s="196" t="s">
        <v>772</v>
      </c>
      <c r="D27" s="79">
        <v>100</v>
      </c>
      <c r="E27" s="197" t="s">
        <v>188</v>
      </c>
      <c r="F27" s="198" t="s">
        <v>780</v>
      </c>
      <c r="G27" s="165"/>
      <c r="H27" s="165"/>
      <c r="I27" s="165"/>
    </row>
    <row r="28" spans="1:9" ht="16.2">
      <c r="A28" s="171"/>
      <c r="B28" s="199" t="s">
        <v>339</v>
      </c>
      <c r="C28" s="184" t="s">
        <v>773</v>
      </c>
      <c r="D28" s="185">
        <v>34</v>
      </c>
      <c r="E28" s="200" t="s">
        <v>190</v>
      </c>
      <c r="F28" s="188" t="s">
        <v>179</v>
      </c>
      <c r="G28" s="165"/>
      <c r="H28" s="165"/>
      <c r="I28" s="165"/>
    </row>
    <row r="29" spans="1:9" ht="16.2">
      <c r="A29" s="171"/>
      <c r="B29" s="199" t="s">
        <v>340</v>
      </c>
      <c r="C29" s="184" t="s">
        <v>774</v>
      </c>
      <c r="D29" s="185">
        <v>25</v>
      </c>
      <c r="E29" s="200" t="s">
        <v>189</v>
      </c>
      <c r="F29" s="188" t="s">
        <v>179</v>
      </c>
      <c r="G29" s="165"/>
      <c r="H29" s="165"/>
      <c r="I29" s="165"/>
    </row>
    <row r="30" spans="1:9" ht="16.2">
      <c r="A30" s="171"/>
      <c r="B30" s="199" t="s">
        <v>255</v>
      </c>
      <c r="C30" s="184" t="s">
        <v>775</v>
      </c>
      <c r="D30" s="181">
        <v>1.5</v>
      </c>
      <c r="E30" s="190" t="s">
        <v>191</v>
      </c>
      <c r="F30" s="180" t="s">
        <v>179</v>
      </c>
      <c r="G30" s="165"/>
      <c r="H30" s="165"/>
      <c r="I30" s="165"/>
    </row>
    <row r="31" spans="1:9" ht="16.2">
      <c r="A31" s="171"/>
      <c r="B31" s="201" t="s">
        <v>341</v>
      </c>
      <c r="C31" s="196" t="s">
        <v>776</v>
      </c>
      <c r="D31" s="79">
        <v>6</v>
      </c>
      <c r="E31" s="197" t="s">
        <v>161</v>
      </c>
      <c r="F31" s="198" t="s">
        <v>345</v>
      </c>
      <c r="G31" s="165"/>
      <c r="H31" s="165"/>
      <c r="I31" s="165"/>
    </row>
    <row r="32" spans="1:9" ht="16.2">
      <c r="A32" s="171"/>
      <c r="B32" s="195" t="s">
        <v>777</v>
      </c>
      <c r="C32" s="196" t="s">
        <v>778</v>
      </c>
      <c r="D32" s="41">
        <v>3</v>
      </c>
      <c r="E32" s="202" t="s">
        <v>167</v>
      </c>
      <c r="F32" s="198" t="s">
        <v>344</v>
      </c>
      <c r="G32" s="165"/>
      <c r="H32" s="165"/>
      <c r="I32" s="165"/>
    </row>
    <row r="33" spans="1:30" ht="19.5" customHeight="1">
      <c r="A33" s="171"/>
      <c r="B33" s="203" t="s">
        <v>342</v>
      </c>
      <c r="C33" s="204" t="s">
        <v>779</v>
      </c>
      <c r="D33" s="66">
        <v>30</v>
      </c>
      <c r="E33" s="205" t="s">
        <v>8</v>
      </c>
      <c r="F33" s="206" t="s">
        <v>274</v>
      </c>
      <c r="G33" s="165"/>
      <c r="H33" s="165"/>
      <c r="I33" s="165"/>
    </row>
    <row r="34" spans="1:30" ht="19.5" customHeight="1" thickBot="1">
      <c r="A34" s="171"/>
      <c r="B34" s="207" t="s">
        <v>209</v>
      </c>
      <c r="C34" s="208" t="s">
        <v>1039</v>
      </c>
      <c r="D34" s="1">
        <v>20</v>
      </c>
      <c r="E34" s="209" t="s">
        <v>8</v>
      </c>
      <c r="F34" s="210" t="s">
        <v>343</v>
      </c>
      <c r="G34" s="165"/>
      <c r="H34" s="211"/>
      <c r="I34" s="165"/>
      <c r="Q34" s="75"/>
    </row>
    <row r="35" spans="1:30" ht="15.3" thickBot="1">
      <c r="A35" s="171"/>
      <c r="B35" s="166"/>
      <c r="C35" s="167"/>
      <c r="D35" s="168"/>
      <c r="E35" s="169"/>
      <c r="F35" s="212"/>
      <c r="G35" s="165"/>
      <c r="H35" s="165"/>
      <c r="I35" s="165"/>
      <c r="J35" s="93"/>
    </row>
    <row r="36" spans="1:30" ht="18" customHeight="1">
      <c r="A36" s="171"/>
      <c r="B36" s="575" t="s">
        <v>257</v>
      </c>
      <c r="C36" s="576"/>
      <c r="D36" s="576"/>
      <c r="E36" s="576"/>
      <c r="F36" s="577"/>
      <c r="G36" s="165"/>
      <c r="H36" s="165"/>
      <c r="I36" s="165"/>
    </row>
    <row r="37" spans="1:30" ht="18">
      <c r="A37" s="171"/>
      <c r="B37" s="213" t="s">
        <v>259</v>
      </c>
      <c r="C37" s="218" t="s">
        <v>211</v>
      </c>
      <c r="D37" s="215">
        <f>IF(Vin_type="AC",
((VDS_actual*0.9-1.4142*VINPUT_max-ΔVCLAMP)/((VOUT+Vf_SR)*OVP_tgt/100)+Vf_SR),
((VDS_actual*0.9-VINPUT_max-ΔVCLAMP)/((VOUT+Vf_SR)*OVP_tgt/100)+Vf_SR))</f>
        <v>14.242692847124827</v>
      </c>
      <c r="E37" s="438"/>
      <c r="F37" s="439"/>
      <c r="G37" s="425"/>
      <c r="H37" s="211"/>
      <c r="I37" s="217"/>
    </row>
    <row r="38" spans="1:30" ht="18">
      <c r="A38" s="171"/>
      <c r="B38" s="213" t="s">
        <v>258</v>
      </c>
      <c r="C38" s="214" t="s">
        <v>210</v>
      </c>
      <c r="D38" s="215">
        <f>IF(Vin_type="AC",
((1.4142*VINPUT_max)/(VSR_actual*0.9-(VOUT+Vf_SR)*OVP_tgt/100-ΔVSPIKE_SR)),
((VINPUT_max)/(VSR_actual*0.9-(VOUT+Vf_SR)*OVP_tgt/100-ΔVSPIKE_SR)))</f>
        <v>3.5689589905362773</v>
      </c>
      <c r="E38" s="440"/>
      <c r="F38" s="441"/>
      <c r="G38" s="425"/>
      <c r="H38" s="211"/>
      <c r="I38" s="217"/>
    </row>
    <row r="39" spans="1:30" ht="16.2">
      <c r="A39" s="171"/>
      <c r="B39" s="219" t="s">
        <v>260</v>
      </c>
      <c r="C39" s="220" t="s">
        <v>216</v>
      </c>
      <c r="D39" s="37">
        <v>10</v>
      </c>
      <c r="E39" s="221"/>
      <c r="F39" s="222" t="s">
        <v>335</v>
      </c>
      <c r="G39" s="165"/>
      <c r="H39" s="165"/>
      <c r="I39" s="165"/>
    </row>
    <row r="40" spans="1:30" ht="16.2">
      <c r="A40" s="171"/>
      <c r="B40" s="219" t="s">
        <v>143</v>
      </c>
      <c r="C40" s="220" t="s">
        <v>217</v>
      </c>
      <c r="D40" s="34">
        <v>100</v>
      </c>
      <c r="E40" s="223"/>
      <c r="F40" s="224" t="s">
        <v>212</v>
      </c>
      <c r="G40" s="165"/>
      <c r="H40" s="165"/>
      <c r="I40" s="165"/>
    </row>
    <row r="41" spans="1:30" ht="16.2">
      <c r="A41" s="171"/>
      <c r="B41" s="213" t="s">
        <v>175</v>
      </c>
      <c r="C41" s="218" t="s">
        <v>218</v>
      </c>
      <c r="D41" s="225">
        <f>NP/NPS</f>
        <v>10</v>
      </c>
      <c r="E41" s="226"/>
      <c r="F41" s="227"/>
      <c r="G41" s="165"/>
      <c r="H41" s="165"/>
      <c r="I41" s="165"/>
    </row>
    <row r="42" spans="1:30" ht="16.2">
      <c r="A42" s="171"/>
      <c r="B42" s="213" t="s">
        <v>489</v>
      </c>
      <c r="C42" s="218" t="s">
        <v>219</v>
      </c>
      <c r="D42" s="82">
        <f>ROUND(NS_rec,0)</f>
        <v>10</v>
      </c>
      <c r="E42" s="226"/>
      <c r="F42" s="180" t="s">
        <v>782</v>
      </c>
      <c r="G42" s="425"/>
      <c r="H42" s="165"/>
      <c r="I42" s="165"/>
    </row>
    <row r="43" spans="1:30" ht="16.2">
      <c r="A43" s="171"/>
      <c r="B43" s="213" t="s">
        <v>262</v>
      </c>
      <c r="C43" s="218" t="s">
        <v>221</v>
      </c>
      <c r="D43" s="225">
        <f>ROUND((VDD_max*NS)/(VOUT*OVP_tgt*0.01+Vf_SR),1)</f>
        <v>19.100000000000001</v>
      </c>
      <c r="E43" s="226"/>
      <c r="F43" s="180"/>
      <c r="G43" s="425"/>
      <c r="H43" s="165"/>
      <c r="I43" s="165"/>
    </row>
    <row r="44" spans="1:30" ht="16.2">
      <c r="A44" s="171"/>
      <c r="B44" s="213" t="s">
        <v>261</v>
      </c>
      <c r="C44" s="218" t="s">
        <v>220</v>
      </c>
      <c r="D44" s="225">
        <f>ROUND((VDD_off+VDD_PCT+_∆V_MIN)*NS/(VOUT+Vf_SR),1)</f>
        <v>8.9</v>
      </c>
      <c r="E44" s="226"/>
      <c r="F44" s="227"/>
      <c r="G44" s="425"/>
      <c r="H44" s="165"/>
      <c r="I44" s="165"/>
    </row>
    <row r="45" spans="1:30" ht="16.2">
      <c r="A45" s="171"/>
      <c r="B45" s="219" t="s">
        <v>222</v>
      </c>
      <c r="C45" s="220" t="s">
        <v>223</v>
      </c>
      <c r="D45" s="34">
        <v>13</v>
      </c>
      <c r="E45" s="228"/>
      <c r="F45" s="222" t="s">
        <v>783</v>
      </c>
      <c r="G45" s="425"/>
      <c r="H45" s="216"/>
      <c r="I45" s="216"/>
      <c r="J45" s="93"/>
      <c r="K45" s="93"/>
      <c r="L45" s="93"/>
      <c r="M45" s="93"/>
      <c r="N45" s="93"/>
      <c r="O45" s="93"/>
      <c r="P45" s="93"/>
      <c r="Q45" s="93"/>
      <c r="R45" s="93"/>
      <c r="S45" s="93"/>
      <c r="T45" s="93"/>
      <c r="U45" s="93"/>
      <c r="V45" s="93"/>
      <c r="W45" s="93"/>
      <c r="X45" s="93"/>
      <c r="Y45" s="93"/>
      <c r="Z45" s="93"/>
      <c r="AA45" s="93"/>
      <c r="AB45" s="93"/>
      <c r="AC45" s="93"/>
      <c r="AD45" s="93"/>
    </row>
    <row r="46" spans="1:30" ht="16.2">
      <c r="A46" s="171"/>
      <c r="B46" s="173" t="s">
        <v>792</v>
      </c>
      <c r="C46" s="174" t="s">
        <v>793</v>
      </c>
      <c r="D46" s="229">
        <f>(Vf_SR+VOUT)*NPS</f>
        <v>155</v>
      </c>
      <c r="E46" s="230" t="s">
        <v>8</v>
      </c>
      <c r="F46" s="180"/>
      <c r="G46" s="216"/>
      <c r="H46" s="216"/>
      <c r="I46" s="216"/>
      <c r="J46" s="93"/>
      <c r="K46" s="93"/>
      <c r="L46" s="93"/>
      <c r="M46" s="93"/>
      <c r="N46" s="93"/>
      <c r="O46" s="93"/>
      <c r="P46" s="93"/>
      <c r="Q46" s="93"/>
      <c r="R46" s="93"/>
      <c r="S46" s="93"/>
      <c r="T46" s="93"/>
      <c r="U46" s="93"/>
      <c r="V46" s="93"/>
      <c r="W46" s="93"/>
      <c r="X46" s="93"/>
      <c r="Y46" s="93"/>
      <c r="Z46" s="93"/>
      <c r="AA46" s="93"/>
      <c r="AB46" s="93"/>
      <c r="AC46" s="93"/>
      <c r="AD46" s="93"/>
    </row>
    <row r="47" spans="1:30" ht="16.2">
      <c r="A47" s="171"/>
      <c r="B47" s="173" t="s">
        <v>263</v>
      </c>
      <c r="C47" s="231" t="s">
        <v>794</v>
      </c>
      <c r="D47" s="232">
        <f>IF(Vin_type="AC",((NPS*(VOUT+Vf_SR))/((VBulk_min_tgt+NPS*VOUT))),((NPS*(VOUT+Vf_SR))/((VBulk_min_tgt+NPS*VOUT))))</f>
        <v>0.49206349206349204</v>
      </c>
      <c r="E47" s="190"/>
      <c r="F47" s="180"/>
      <c r="G47" s="216"/>
      <c r="H47" s="233"/>
      <c r="I47" s="234"/>
      <c r="J47" s="93"/>
      <c r="K47" s="93"/>
      <c r="L47" s="93"/>
      <c r="M47" s="93"/>
      <c r="N47" s="93"/>
      <c r="O47" s="93"/>
      <c r="P47" s="93"/>
      <c r="Q47" s="93"/>
      <c r="R47" s="93"/>
      <c r="S47" s="93"/>
      <c r="T47" s="93"/>
      <c r="U47" s="93"/>
      <c r="V47" s="93"/>
      <c r="W47" s="93"/>
      <c r="X47" s="93"/>
      <c r="Y47" s="93"/>
      <c r="Z47" s="93"/>
      <c r="AA47" s="93"/>
      <c r="AB47" s="93"/>
      <c r="AC47" s="93"/>
      <c r="AD47" s="93"/>
    </row>
    <row r="48" spans="1:30" ht="16.2">
      <c r="A48" s="171"/>
      <c r="B48" s="173" t="s">
        <v>795</v>
      </c>
      <c r="C48" s="174" t="s">
        <v>796</v>
      </c>
      <c r="D48" s="229">
        <f>IF(Vin_type="AC",
((((D_max^2)*((VBulk_min_tgt)^2)*η_min*((100-KRES)/100))/(2*PO_FL*fSWmin*1000))*10^6),
((((D_max^2)*((VBulk_min_tgt)^2)*η_min*((100-KRES)/100))/(2*PO_FL*fSWmin*1000))*10^6))</f>
        <v>361.24496044343658</v>
      </c>
      <c r="E48" s="190" t="s">
        <v>12</v>
      </c>
      <c r="F48" s="180"/>
      <c r="G48" s="216"/>
      <c r="H48" s="233"/>
      <c r="I48" s="234"/>
      <c r="J48" s="93"/>
      <c r="K48" s="93"/>
      <c r="L48" s="93"/>
      <c r="M48" s="93"/>
      <c r="N48" s="93"/>
      <c r="O48" s="93"/>
      <c r="P48" s="93"/>
      <c r="Q48" s="93"/>
      <c r="R48" s="93"/>
      <c r="S48" s="93"/>
      <c r="T48" s="93"/>
      <c r="U48" s="93"/>
      <c r="V48" s="93"/>
      <c r="W48" s="93"/>
      <c r="X48" s="93"/>
      <c r="Y48" s="93"/>
      <c r="Z48" s="93"/>
      <c r="AA48" s="93"/>
      <c r="AB48" s="93"/>
      <c r="AC48" s="93"/>
      <c r="AD48" s="93"/>
    </row>
    <row r="49" spans="1:30" ht="16.2">
      <c r="A49" s="171"/>
      <c r="B49" s="235" t="s">
        <v>224</v>
      </c>
      <c r="C49" s="236" t="s">
        <v>323</v>
      </c>
      <c r="D49" s="34">
        <v>361</v>
      </c>
      <c r="E49" s="237" t="s">
        <v>12</v>
      </c>
      <c r="F49" s="238" t="s">
        <v>334</v>
      </c>
      <c r="G49" s="216"/>
      <c r="H49" s="437"/>
      <c r="I49" s="216"/>
      <c r="J49" s="93"/>
      <c r="K49" s="93"/>
      <c r="L49" s="93"/>
      <c r="M49" s="93"/>
      <c r="N49" s="93"/>
      <c r="O49" s="93"/>
      <c r="P49" s="93"/>
      <c r="Q49" s="93"/>
      <c r="R49" s="93"/>
      <c r="S49" s="93"/>
      <c r="T49" s="93"/>
      <c r="U49" s="93"/>
      <c r="V49" s="93"/>
      <c r="W49" s="93"/>
      <c r="X49" s="93"/>
      <c r="Y49" s="93"/>
      <c r="Z49" s="93"/>
      <c r="AA49" s="93"/>
      <c r="AB49" s="93"/>
      <c r="AC49" s="93"/>
      <c r="AD49" s="93"/>
    </row>
    <row r="50" spans="1:30" ht="16.2">
      <c r="A50" s="171"/>
      <c r="B50" s="213" t="s">
        <v>144</v>
      </c>
      <c r="C50" s="218" t="s">
        <v>225</v>
      </c>
      <c r="D50" s="82">
        <f>IF(LM_act="",LM_rec,LM_act)</f>
        <v>361</v>
      </c>
      <c r="E50" s="239" t="s">
        <v>12</v>
      </c>
      <c r="F50" s="240"/>
      <c r="G50" s="216"/>
      <c r="H50" s="425"/>
      <c r="I50" s="425"/>
      <c r="J50" s="93"/>
      <c r="K50" s="93"/>
      <c r="L50" s="93"/>
      <c r="M50" s="93"/>
      <c r="N50" s="93"/>
      <c r="O50" s="93"/>
      <c r="P50" s="93"/>
      <c r="Q50" s="93"/>
      <c r="R50" s="93"/>
      <c r="S50" s="93"/>
      <c r="T50" s="93"/>
      <c r="U50" s="93"/>
      <c r="V50" s="93"/>
      <c r="W50" s="93"/>
      <c r="X50" s="93"/>
      <c r="Y50" s="93"/>
      <c r="Z50" s="93"/>
      <c r="AA50" s="93"/>
      <c r="AB50" s="93"/>
      <c r="AC50" s="93"/>
      <c r="AD50" s="93"/>
    </row>
    <row r="51" spans="1:30" ht="16.2">
      <c r="A51" s="171"/>
      <c r="B51" s="235" t="s">
        <v>324</v>
      </c>
      <c r="C51" s="236" t="s">
        <v>325</v>
      </c>
      <c r="D51" s="23">
        <v>7.2</v>
      </c>
      <c r="E51" s="241" t="s">
        <v>22</v>
      </c>
      <c r="F51" s="238" t="s">
        <v>334</v>
      </c>
      <c r="G51" s="216"/>
      <c r="H51" s="425"/>
      <c r="I51" s="425"/>
      <c r="J51" s="93"/>
      <c r="K51" s="93"/>
      <c r="L51" s="93"/>
      <c r="M51" s="93"/>
      <c r="N51" s="93"/>
      <c r="O51" s="93"/>
      <c r="P51" s="93"/>
      <c r="Q51" s="93"/>
      <c r="R51" s="93"/>
      <c r="S51" s="93"/>
      <c r="T51" s="93"/>
      <c r="U51" s="93"/>
      <c r="V51" s="93"/>
      <c r="W51" s="93"/>
      <c r="X51" s="93"/>
      <c r="Y51" s="93"/>
      <c r="Z51" s="93"/>
      <c r="AA51" s="93"/>
      <c r="AB51" s="93"/>
      <c r="AC51" s="93"/>
      <c r="AD51" s="93"/>
    </row>
    <row r="52" spans="1:30" ht="16.2">
      <c r="A52" s="171"/>
      <c r="B52" s="219" t="s">
        <v>329</v>
      </c>
      <c r="C52" s="220" t="s">
        <v>330</v>
      </c>
      <c r="D52" s="20">
        <v>0.93</v>
      </c>
      <c r="E52" s="241"/>
      <c r="F52" s="238"/>
      <c r="G52" s="216"/>
      <c r="H52" s="425"/>
      <c r="I52" s="425"/>
      <c r="J52" s="93"/>
      <c r="K52" s="93"/>
      <c r="L52" s="93"/>
      <c r="M52" s="93"/>
      <c r="N52" s="93"/>
      <c r="O52" s="93"/>
      <c r="P52" s="93"/>
      <c r="Q52" s="93"/>
      <c r="R52" s="93"/>
      <c r="S52" s="93"/>
      <c r="T52" s="93"/>
      <c r="U52" s="93"/>
      <c r="V52" s="93"/>
      <c r="W52" s="93"/>
      <c r="X52" s="93"/>
      <c r="Y52" s="93"/>
      <c r="Z52" s="93"/>
      <c r="AA52" s="93"/>
      <c r="AB52" s="93"/>
      <c r="AC52" s="93"/>
      <c r="AD52" s="93"/>
    </row>
    <row r="53" spans="1:30" ht="16.2">
      <c r="A53" s="171"/>
      <c r="B53" s="219" t="s">
        <v>331</v>
      </c>
      <c r="C53" s="220" t="s">
        <v>226</v>
      </c>
      <c r="D53" s="23">
        <v>3.1</v>
      </c>
      <c r="E53" s="237" t="s">
        <v>126</v>
      </c>
      <c r="F53" s="238" t="s">
        <v>333</v>
      </c>
      <c r="G53" s="216"/>
      <c r="H53" s="425"/>
      <c r="I53" s="425"/>
      <c r="J53" s="93"/>
      <c r="K53" s="21"/>
      <c r="L53" s="21"/>
      <c r="M53" s="21"/>
      <c r="N53" s="93"/>
      <c r="O53" s="93"/>
      <c r="P53" s="93"/>
      <c r="Q53" s="93"/>
      <c r="R53" s="93"/>
      <c r="S53" s="93"/>
      <c r="T53" s="93"/>
      <c r="U53" s="93"/>
      <c r="V53" s="93"/>
      <c r="W53" s="93"/>
      <c r="X53" s="93"/>
      <c r="Y53" s="93"/>
      <c r="Z53" s="93"/>
      <c r="AA53" s="93"/>
      <c r="AB53" s="93"/>
      <c r="AC53" s="93"/>
      <c r="AD53" s="93"/>
    </row>
    <row r="54" spans="1:30" ht="16.5" thickBot="1">
      <c r="A54" s="171"/>
      <c r="B54" s="242" t="s">
        <v>332</v>
      </c>
      <c r="C54" s="243" t="s">
        <v>227</v>
      </c>
      <c r="D54" s="26">
        <v>0.1</v>
      </c>
      <c r="E54" s="244" t="s">
        <v>11</v>
      </c>
      <c r="F54" s="245" t="s">
        <v>334</v>
      </c>
      <c r="G54" s="216"/>
      <c r="H54" s="425"/>
      <c r="I54" s="425"/>
      <c r="J54" s="93"/>
      <c r="K54" s="21"/>
      <c r="L54" s="21"/>
      <c r="M54" s="21"/>
      <c r="N54" s="93"/>
      <c r="O54" s="93"/>
      <c r="P54" s="93"/>
      <c r="Q54" s="93"/>
      <c r="R54" s="93"/>
      <c r="S54" s="93"/>
      <c r="T54" s="93"/>
      <c r="U54" s="93"/>
      <c r="V54" s="93"/>
      <c r="W54" s="93"/>
      <c r="X54" s="93"/>
      <c r="Y54" s="93"/>
      <c r="Z54" s="93"/>
      <c r="AA54" s="93"/>
      <c r="AB54" s="93"/>
      <c r="AC54" s="93"/>
      <c r="AD54" s="93"/>
    </row>
    <row r="55" spans="1:30" ht="14.7" thickBot="1">
      <c r="A55" s="171"/>
      <c r="B55" s="166"/>
      <c r="C55" s="246"/>
      <c r="D55" s="168"/>
      <c r="E55" s="169"/>
      <c r="F55" s="170"/>
      <c r="G55" s="216"/>
      <c r="H55" s="425"/>
      <c r="I55" s="425"/>
      <c r="J55" s="93"/>
      <c r="K55" s="93"/>
      <c r="L55" s="93"/>
      <c r="M55" s="93"/>
      <c r="N55" s="93"/>
      <c r="O55" s="93"/>
      <c r="P55" s="93"/>
      <c r="Q55" s="93"/>
      <c r="R55" s="93"/>
      <c r="S55" s="93"/>
      <c r="T55" s="93"/>
      <c r="U55" s="93"/>
      <c r="V55" s="93"/>
      <c r="W55" s="93"/>
      <c r="X55" s="93"/>
      <c r="Y55" s="93"/>
      <c r="Z55" s="93"/>
      <c r="AA55" s="93"/>
      <c r="AB55" s="93"/>
      <c r="AC55" s="93"/>
      <c r="AD55" s="93"/>
    </row>
    <row r="56" spans="1:30" ht="18">
      <c r="A56" s="171"/>
      <c r="B56" s="572" t="s">
        <v>77</v>
      </c>
      <c r="C56" s="573"/>
      <c r="D56" s="573"/>
      <c r="E56" s="573"/>
      <c r="F56" s="574"/>
      <c r="G56" s="216"/>
      <c r="H56" s="216"/>
      <c r="I56" s="216"/>
      <c r="J56" s="93"/>
      <c r="K56" s="93"/>
      <c r="L56" s="93"/>
      <c r="M56" s="93"/>
      <c r="N56" s="93"/>
      <c r="O56" s="93"/>
      <c r="P56" s="93"/>
      <c r="Q56" s="93"/>
      <c r="R56" s="93"/>
      <c r="S56" s="93"/>
      <c r="T56" s="93"/>
      <c r="U56" s="93"/>
      <c r="V56" s="93"/>
      <c r="W56" s="93"/>
      <c r="X56" s="93"/>
      <c r="Y56" s="93"/>
      <c r="Z56" s="93"/>
      <c r="AA56" s="93"/>
      <c r="AB56" s="93"/>
      <c r="AC56" s="93"/>
      <c r="AD56" s="93"/>
    </row>
    <row r="57" spans="1:30" ht="16.2">
      <c r="A57" s="172"/>
      <c r="B57" s="173" t="s">
        <v>264</v>
      </c>
      <c r="C57" s="174" t="s">
        <v>785</v>
      </c>
      <c r="D57" s="229">
        <f>Coss_QH_T</f>
        <v>35.968253968253961</v>
      </c>
      <c r="E57" s="176" t="s">
        <v>283</v>
      </c>
      <c r="F57" s="177" t="s">
        <v>784</v>
      </c>
      <c r="G57" s="216"/>
      <c r="H57" s="216"/>
      <c r="I57" s="234"/>
      <c r="J57" s="93"/>
      <c r="K57" s="93"/>
      <c r="L57" s="93"/>
      <c r="M57" s="93"/>
      <c r="N57" s="93"/>
      <c r="O57" s="93"/>
      <c r="P57" s="93"/>
      <c r="Q57" s="93"/>
      <c r="R57" s="93"/>
      <c r="S57" s="93"/>
      <c r="T57" s="93"/>
      <c r="U57" s="93"/>
      <c r="V57" s="93"/>
      <c r="W57" s="93"/>
      <c r="X57" s="93"/>
      <c r="Y57" s="93"/>
      <c r="Z57" s="93"/>
      <c r="AA57" s="93"/>
      <c r="AB57" s="93"/>
      <c r="AC57" s="93"/>
      <c r="AD57" s="93"/>
    </row>
    <row r="58" spans="1:30" ht="16.2">
      <c r="A58" s="172"/>
      <c r="B58" s="173" t="s">
        <v>265</v>
      </c>
      <c r="C58" s="174" t="s">
        <v>786</v>
      </c>
      <c r="D58" s="229">
        <f>Coss_QL_T</f>
        <v>47.079365079365083</v>
      </c>
      <c r="E58" s="176" t="s">
        <v>283</v>
      </c>
      <c r="F58" s="177" t="s">
        <v>784</v>
      </c>
      <c r="G58" s="216"/>
      <c r="H58" s="216"/>
      <c r="I58" s="234"/>
      <c r="J58" s="93"/>
      <c r="K58" s="93"/>
      <c r="L58" s="93"/>
      <c r="M58" s="93"/>
      <c r="N58" s="93"/>
      <c r="O58" s="93"/>
      <c r="P58" s="93"/>
      <c r="Q58" s="93"/>
      <c r="R58" s="93"/>
      <c r="S58" s="93"/>
      <c r="T58" s="93"/>
      <c r="U58" s="93"/>
      <c r="V58" s="93"/>
      <c r="W58" s="93"/>
      <c r="X58" s="93"/>
      <c r="Y58" s="93"/>
      <c r="Z58" s="93"/>
      <c r="AA58" s="93"/>
      <c r="AB58" s="93"/>
      <c r="AC58" s="93"/>
      <c r="AD58" s="93"/>
    </row>
    <row r="59" spans="1:30" ht="16.2">
      <c r="A59" s="172"/>
      <c r="B59" s="173" t="s">
        <v>145</v>
      </c>
      <c r="C59" s="174" t="s">
        <v>787</v>
      </c>
      <c r="D59" s="229">
        <f>CTr</f>
        <v>3.1</v>
      </c>
      <c r="E59" s="176" t="s">
        <v>23</v>
      </c>
      <c r="F59" s="177"/>
      <c r="G59" s="216"/>
      <c r="H59" s="216"/>
      <c r="I59" s="216"/>
      <c r="J59" s="93"/>
      <c r="K59" s="93"/>
      <c r="L59" s="93"/>
      <c r="M59" s="93"/>
      <c r="N59" s="93"/>
      <c r="O59" s="93"/>
      <c r="P59" s="93"/>
      <c r="Q59" s="93"/>
      <c r="R59" s="93"/>
      <c r="S59" s="93"/>
      <c r="T59" s="93"/>
      <c r="U59" s="93"/>
      <c r="V59" s="93"/>
      <c r="W59" s="93"/>
      <c r="X59" s="93"/>
      <c r="Y59" s="93"/>
      <c r="Z59" s="93"/>
      <c r="AA59" s="93"/>
      <c r="AB59" s="93"/>
      <c r="AC59" s="93"/>
      <c r="AD59" s="93"/>
    </row>
    <row r="60" spans="1:30" ht="16.2">
      <c r="A60" s="171"/>
      <c r="B60" s="173" t="s">
        <v>454</v>
      </c>
      <c r="C60" s="174" t="s">
        <v>788</v>
      </c>
      <c r="D60" s="247">
        <f>CBootD_T</f>
        <v>10</v>
      </c>
      <c r="E60" s="176" t="s">
        <v>29</v>
      </c>
      <c r="F60" s="177"/>
      <c r="G60" s="216"/>
      <c r="H60" s="216"/>
      <c r="I60" s="216"/>
      <c r="J60" s="93"/>
      <c r="K60" s="93"/>
      <c r="L60" s="93"/>
      <c r="M60" s="93"/>
      <c r="N60" s="93"/>
      <c r="O60" s="93"/>
      <c r="P60" s="93"/>
      <c r="Q60" s="93"/>
      <c r="R60" s="93"/>
      <c r="S60" s="93"/>
      <c r="T60" s="93"/>
      <c r="U60" s="93"/>
      <c r="V60" s="93"/>
      <c r="W60" s="93"/>
      <c r="X60" s="93"/>
      <c r="Y60" s="93"/>
      <c r="Z60" s="93"/>
      <c r="AA60" s="93"/>
      <c r="AB60" s="93"/>
      <c r="AC60" s="93"/>
      <c r="AD60" s="93"/>
    </row>
    <row r="61" spans="1:30" ht="16.2">
      <c r="A61" s="171"/>
      <c r="B61" s="173" t="s">
        <v>146</v>
      </c>
      <c r="C61" s="174" t="s">
        <v>789</v>
      </c>
      <c r="D61" s="248">
        <f>COSS_Qs</f>
        <v>1.7</v>
      </c>
      <c r="E61" s="176" t="s">
        <v>14</v>
      </c>
      <c r="F61" s="180"/>
      <c r="G61" s="216"/>
      <c r="H61" s="216"/>
      <c r="I61" s="216"/>
      <c r="J61" s="93"/>
      <c r="K61" s="93"/>
      <c r="L61" s="93"/>
      <c r="M61" s="93"/>
      <c r="N61" s="93"/>
      <c r="O61" s="93"/>
      <c r="P61" s="93"/>
      <c r="Q61" s="93"/>
      <c r="R61" s="93"/>
      <c r="S61" s="93"/>
      <c r="T61" s="93"/>
      <c r="U61" s="93"/>
      <c r="V61" s="93"/>
      <c r="W61" s="93"/>
      <c r="X61" s="93"/>
      <c r="Y61" s="93"/>
      <c r="Z61" s="93"/>
      <c r="AA61" s="93"/>
      <c r="AB61" s="93"/>
      <c r="AC61" s="93"/>
      <c r="AD61" s="93"/>
    </row>
    <row r="62" spans="1:30" ht="16.2">
      <c r="A62" s="171"/>
      <c r="B62" s="183" t="s">
        <v>326</v>
      </c>
      <c r="C62" s="184" t="s">
        <v>790</v>
      </c>
      <c r="D62" s="249">
        <f>Coss_SR_T/(NP/NS)^2+CDaux_T/(NP/NA)^2</f>
        <v>12.618774539682539</v>
      </c>
      <c r="E62" s="176" t="s">
        <v>23</v>
      </c>
      <c r="F62" s="177"/>
      <c r="G62" s="216"/>
      <c r="H62" s="216"/>
      <c r="I62" s="216"/>
      <c r="J62" s="93"/>
      <c r="K62" s="93"/>
      <c r="L62" s="93"/>
      <c r="M62" s="93"/>
      <c r="N62" s="93"/>
      <c r="O62" s="93"/>
      <c r="P62" s="93"/>
      <c r="Q62" s="93"/>
      <c r="R62" s="93"/>
      <c r="S62" s="93"/>
      <c r="T62" s="93"/>
      <c r="U62" s="93"/>
      <c r="V62" s="93"/>
      <c r="W62" s="93"/>
      <c r="X62" s="93"/>
      <c r="Y62" s="93"/>
      <c r="Z62" s="93"/>
      <c r="AA62" s="93"/>
      <c r="AB62" s="93"/>
      <c r="AC62" s="93"/>
      <c r="AD62" s="93"/>
    </row>
    <row r="63" spans="1:30" ht="16.5" thickBot="1">
      <c r="A63" s="171"/>
      <c r="B63" s="250" t="s">
        <v>455</v>
      </c>
      <c r="C63" s="251" t="s">
        <v>791</v>
      </c>
      <c r="D63" s="252">
        <f>D57+D58+D59+D60+D61+D62</f>
        <v>110.46639358730157</v>
      </c>
      <c r="E63" s="253" t="s">
        <v>23</v>
      </c>
      <c r="F63" s="254" t="s">
        <v>784</v>
      </c>
      <c r="G63" s="216"/>
      <c r="H63" s="216"/>
      <c r="I63" s="216"/>
      <c r="J63" s="93"/>
      <c r="K63" s="93"/>
      <c r="L63" s="93"/>
      <c r="M63" s="93"/>
      <c r="N63" s="93"/>
      <c r="O63" s="93"/>
      <c r="P63" s="93"/>
      <c r="Q63" s="93"/>
      <c r="R63" s="93"/>
      <c r="S63" s="93"/>
      <c r="T63" s="93"/>
      <c r="U63" s="93"/>
      <c r="V63" s="93"/>
      <c r="W63" s="93"/>
      <c r="X63" s="93"/>
      <c r="Y63" s="93"/>
      <c r="Z63" s="93"/>
      <c r="AA63" s="93"/>
      <c r="AB63" s="93"/>
      <c r="AC63" s="93"/>
      <c r="AD63" s="93"/>
    </row>
    <row r="64" spans="1:30" ht="14.7" thickBot="1">
      <c r="A64" s="171"/>
      <c r="B64" s="166"/>
      <c r="C64" s="246"/>
      <c r="D64" s="168"/>
      <c r="E64" s="169"/>
      <c r="F64" s="170"/>
      <c r="G64" s="216"/>
      <c r="H64" s="216"/>
      <c r="I64" s="216"/>
      <c r="J64" s="93"/>
      <c r="K64" s="93"/>
      <c r="L64" s="93"/>
      <c r="M64" s="93"/>
      <c r="N64" s="93"/>
      <c r="O64" s="93"/>
      <c r="P64" s="93"/>
      <c r="Q64" s="93"/>
      <c r="R64" s="93"/>
      <c r="S64" s="93"/>
      <c r="T64" s="93"/>
      <c r="U64" s="93"/>
      <c r="V64" s="93"/>
      <c r="W64" s="93"/>
      <c r="X64" s="93"/>
      <c r="Y64" s="93"/>
      <c r="Z64" s="93"/>
      <c r="AA64" s="93"/>
      <c r="AB64" s="93"/>
      <c r="AC64" s="93"/>
      <c r="AD64" s="93"/>
    </row>
    <row r="65" spans="1:30" ht="18" customHeight="1">
      <c r="A65" s="171"/>
      <c r="B65" s="575" t="s">
        <v>51</v>
      </c>
      <c r="C65" s="576"/>
      <c r="D65" s="576"/>
      <c r="E65" s="576"/>
      <c r="F65" s="577"/>
      <c r="G65" s="216"/>
      <c r="H65" s="216"/>
      <c r="I65" s="216"/>
      <c r="J65" s="93"/>
      <c r="K65" s="93"/>
      <c r="L65" s="93"/>
      <c r="M65" s="93"/>
      <c r="N65" s="93"/>
      <c r="O65" s="93"/>
      <c r="P65" s="93"/>
      <c r="Q65" s="93"/>
      <c r="R65" s="93"/>
      <c r="S65" s="93"/>
      <c r="T65" s="93"/>
      <c r="U65" s="93"/>
      <c r="V65" s="93"/>
      <c r="W65" s="93"/>
      <c r="X65" s="93"/>
      <c r="Y65" s="93"/>
      <c r="Z65" s="93"/>
      <c r="AA65" s="93"/>
      <c r="AB65" s="93"/>
      <c r="AC65" s="93"/>
      <c r="AD65" s="93"/>
    </row>
    <row r="66" spans="1:30" ht="16.2">
      <c r="A66" s="171"/>
      <c r="B66" s="195" t="s">
        <v>797</v>
      </c>
      <c r="C66" s="196" t="s">
        <v>798</v>
      </c>
      <c r="D66" s="327">
        <v>-40</v>
      </c>
      <c r="E66" s="255" t="s">
        <v>5</v>
      </c>
      <c r="F66" s="256" t="s">
        <v>327</v>
      </c>
      <c r="G66" s="216"/>
      <c r="H66" s="216"/>
      <c r="I66" s="216"/>
      <c r="J66" s="93"/>
      <c r="K66" s="93"/>
      <c r="L66" s="93"/>
      <c r="M66" s="93"/>
      <c r="N66" s="93"/>
      <c r="O66" s="93"/>
      <c r="P66" s="93"/>
      <c r="Q66" s="93"/>
      <c r="R66" s="93"/>
      <c r="S66" s="93"/>
      <c r="T66" s="93"/>
      <c r="U66" s="93"/>
      <c r="V66" s="93"/>
      <c r="W66" s="93"/>
      <c r="X66" s="93"/>
      <c r="Y66" s="93"/>
      <c r="Z66" s="93"/>
      <c r="AA66" s="93"/>
      <c r="AB66" s="93"/>
      <c r="AC66" s="93"/>
      <c r="AD66" s="93"/>
    </row>
    <row r="67" spans="1:30" ht="16.2">
      <c r="A67" s="171"/>
      <c r="B67" s="183" t="s">
        <v>799</v>
      </c>
      <c r="C67" s="184" t="s">
        <v>800</v>
      </c>
      <c r="D67" s="257">
        <f>IF(Vin_type="AC",(((((0.001/fSWmin)*VINPUT_Brownout*1.414)/(VINPUT_Brownout*1.414+VRfl))^2)/((3.1416^2)*LK_act*10^-6))*10^6/((100+Drea_clamp)/100),(((((0.001/fSWmin)*VINPUT_Brownout)/(VINPUT_Brownout+VRfl))^2)/((3.1416^2)*LK_act*10^-6))*10^6/((100+Drea_clamp)/100))</f>
        <v>0.11885490103194121</v>
      </c>
      <c r="E67" s="230" t="s">
        <v>26</v>
      </c>
      <c r="F67" s="177" t="s">
        <v>470</v>
      </c>
      <c r="G67" s="216"/>
      <c r="H67" s="233"/>
      <c r="I67" s="234"/>
      <c r="J67" s="93"/>
      <c r="K67" s="93"/>
      <c r="L67" s="93"/>
      <c r="M67" s="93"/>
      <c r="N67" s="93"/>
      <c r="O67" s="93"/>
      <c r="P67" s="93"/>
      <c r="Q67" s="93"/>
      <c r="R67" s="93"/>
      <c r="S67" s="93"/>
      <c r="T67" s="93"/>
      <c r="U67" s="93"/>
      <c r="V67" s="93"/>
      <c r="W67" s="93"/>
      <c r="X67" s="93"/>
      <c r="Y67" s="93"/>
      <c r="Z67" s="93"/>
      <c r="AA67" s="93"/>
      <c r="AB67" s="93"/>
      <c r="AC67" s="93"/>
      <c r="AD67" s="93"/>
    </row>
    <row r="68" spans="1:30" ht="16.2">
      <c r="A68" s="171"/>
      <c r="B68" s="195" t="s">
        <v>801</v>
      </c>
      <c r="C68" s="258" t="s">
        <v>802</v>
      </c>
      <c r="D68" s="66">
        <v>0.15</v>
      </c>
      <c r="E68" s="255" t="s">
        <v>28</v>
      </c>
      <c r="F68" s="206" t="s">
        <v>803</v>
      </c>
      <c r="G68" s="216"/>
      <c r="H68" s="216"/>
      <c r="I68" s="216"/>
      <c r="J68" s="93"/>
      <c r="K68" s="93"/>
      <c r="L68" s="93"/>
      <c r="M68" s="93"/>
      <c r="N68" s="93"/>
      <c r="O68" s="93"/>
      <c r="P68" s="93"/>
      <c r="Q68" s="93"/>
      <c r="R68" s="93"/>
      <c r="S68" s="93"/>
      <c r="T68" s="93"/>
      <c r="U68" s="93"/>
      <c r="V68" s="93"/>
      <c r="W68" s="93"/>
      <c r="X68" s="93"/>
      <c r="Y68" s="93"/>
      <c r="Z68" s="93"/>
      <c r="AA68" s="93"/>
      <c r="AB68" s="93"/>
      <c r="AC68" s="93"/>
      <c r="AD68" s="93"/>
    </row>
    <row r="69" spans="1:30" ht="16.2">
      <c r="A69" s="171"/>
      <c r="B69" s="183" t="s">
        <v>804</v>
      </c>
      <c r="C69" s="184" t="s">
        <v>805</v>
      </c>
      <c r="D69" s="257">
        <f>Cclamp_act*(100+Drea_clamp)/100</f>
        <v>0.09</v>
      </c>
      <c r="E69" s="230" t="s">
        <v>26</v>
      </c>
      <c r="F69" s="259"/>
      <c r="G69" s="216"/>
      <c r="H69" s="216"/>
      <c r="I69" s="216"/>
      <c r="J69" s="93"/>
      <c r="K69" s="93"/>
      <c r="L69" s="93"/>
      <c r="M69" s="93"/>
      <c r="N69" s="93"/>
      <c r="O69" s="93"/>
      <c r="P69" s="93"/>
      <c r="Q69" s="93"/>
      <c r="R69" s="93"/>
      <c r="S69" s="93"/>
      <c r="T69" s="93"/>
      <c r="U69" s="93"/>
      <c r="V69" s="93"/>
      <c r="W69" s="93"/>
      <c r="X69" s="93"/>
      <c r="Y69" s="93"/>
      <c r="Z69" s="93"/>
      <c r="AA69" s="93"/>
      <c r="AB69" s="93"/>
      <c r="AC69" s="93"/>
      <c r="AD69" s="93"/>
    </row>
    <row r="70" spans="1:30" ht="16.2">
      <c r="A70" s="165"/>
      <c r="B70" s="183" t="s">
        <v>490</v>
      </c>
      <c r="C70" s="184" t="s">
        <v>806</v>
      </c>
      <c r="D70" s="257">
        <f>IF(Cclamp_act="",Cclamp_rec,Cclamp_eff)</f>
        <v>0.09</v>
      </c>
      <c r="E70" s="230" t="s">
        <v>28</v>
      </c>
      <c r="F70" s="180"/>
      <c r="G70" s="216"/>
      <c r="H70" s="216"/>
      <c r="I70" s="216"/>
      <c r="J70" s="93"/>
      <c r="K70" s="93"/>
      <c r="L70" s="93"/>
      <c r="M70" s="93"/>
      <c r="N70" s="93"/>
      <c r="O70" s="93"/>
      <c r="P70" s="93"/>
      <c r="Q70" s="93"/>
      <c r="R70" s="93"/>
      <c r="S70" s="93"/>
      <c r="T70" s="93"/>
      <c r="U70" s="93"/>
      <c r="V70" s="93"/>
      <c r="W70" s="93"/>
      <c r="X70" s="93"/>
      <c r="Y70" s="93"/>
      <c r="Z70" s="93"/>
      <c r="AA70" s="93"/>
      <c r="AB70" s="93"/>
      <c r="AC70" s="93"/>
      <c r="AD70" s="93"/>
    </row>
    <row r="71" spans="1:30" ht="16.2">
      <c r="A71" s="171"/>
      <c r="B71" s="183" t="s">
        <v>807</v>
      </c>
      <c r="C71" s="184" t="s">
        <v>808</v>
      </c>
      <c r="D71" s="257">
        <f>TFDR/(Cclamp*10^-6*LN((NPS*VOUT+ΔVCLAMP)/(Vclamp_max)))/1000000</f>
        <v>9.8453949408186325</v>
      </c>
      <c r="E71" s="230" t="s">
        <v>239</v>
      </c>
      <c r="F71" s="180"/>
      <c r="G71" s="216"/>
      <c r="H71" s="216"/>
      <c r="I71" s="216"/>
      <c r="J71" s="93"/>
      <c r="K71" s="93"/>
      <c r="L71" s="93"/>
      <c r="M71" s="93"/>
      <c r="N71" s="93"/>
      <c r="O71" s="93"/>
      <c r="P71" s="93"/>
      <c r="Q71" s="93"/>
      <c r="R71" s="93"/>
      <c r="S71" s="93"/>
      <c r="T71" s="93"/>
      <c r="U71" s="93"/>
      <c r="V71" s="93"/>
      <c r="W71" s="93"/>
      <c r="X71" s="93"/>
      <c r="Y71" s="93"/>
      <c r="Z71" s="93"/>
      <c r="AA71" s="93"/>
      <c r="AB71" s="93"/>
      <c r="AC71" s="93"/>
      <c r="AD71" s="93"/>
    </row>
    <row r="72" spans="1:30" ht="16.2">
      <c r="A72" s="171"/>
      <c r="B72" s="195" t="s">
        <v>809</v>
      </c>
      <c r="C72" s="258" t="s">
        <v>810</v>
      </c>
      <c r="D72" s="66">
        <v>10</v>
      </c>
      <c r="E72" s="255" t="s">
        <v>239</v>
      </c>
      <c r="F72" s="206"/>
      <c r="G72" s="216"/>
      <c r="H72" s="216"/>
      <c r="I72" s="216"/>
      <c r="J72" s="93"/>
      <c r="K72" s="93"/>
      <c r="L72" s="93"/>
      <c r="M72" s="93"/>
      <c r="N72" s="93"/>
      <c r="O72" s="93"/>
      <c r="P72" s="93"/>
      <c r="Q72" s="93"/>
      <c r="R72" s="93"/>
      <c r="S72" s="93"/>
      <c r="T72" s="93"/>
      <c r="U72" s="93"/>
      <c r="V72" s="93"/>
      <c r="W72" s="93"/>
      <c r="X72" s="93"/>
      <c r="Y72" s="93"/>
      <c r="Z72" s="93"/>
      <c r="AA72" s="93"/>
      <c r="AB72" s="93"/>
      <c r="AC72" s="93"/>
      <c r="AD72" s="93"/>
    </row>
    <row r="73" spans="1:30" ht="16.5" thickBot="1">
      <c r="A73" s="171"/>
      <c r="B73" s="250" t="s">
        <v>328</v>
      </c>
      <c r="C73" s="251" t="s">
        <v>811</v>
      </c>
      <c r="D73" s="260">
        <f>IF(RBLEED_act="",RBLEED_rec,RBLEED_act)</f>
        <v>10</v>
      </c>
      <c r="E73" s="261" t="s">
        <v>239</v>
      </c>
      <c r="F73" s="262"/>
      <c r="G73" s="216"/>
      <c r="H73" s="216"/>
      <c r="I73" s="216"/>
      <c r="J73" s="93"/>
      <c r="K73" s="93"/>
      <c r="L73" s="93"/>
      <c r="M73" s="93"/>
      <c r="N73" s="93"/>
      <c r="O73" s="93"/>
      <c r="P73" s="93"/>
      <c r="Q73" s="93"/>
      <c r="R73" s="93"/>
      <c r="S73" s="93"/>
      <c r="T73" s="93"/>
      <c r="U73" s="93"/>
      <c r="V73" s="93"/>
      <c r="W73" s="93"/>
      <c r="X73" s="93"/>
      <c r="Y73" s="93"/>
      <c r="Z73" s="93"/>
      <c r="AA73" s="93"/>
      <c r="AB73" s="93"/>
      <c r="AC73" s="93"/>
      <c r="AD73" s="93"/>
    </row>
    <row r="74" spans="1:30" ht="14.7" thickBot="1">
      <c r="A74" s="171"/>
      <c r="B74" s="166"/>
      <c r="C74" s="246"/>
      <c r="D74" s="168"/>
      <c r="E74" s="169"/>
      <c r="F74" s="170"/>
      <c r="G74" s="216"/>
      <c r="H74" s="216"/>
      <c r="I74" s="216"/>
      <c r="J74" s="93"/>
      <c r="K74" s="93"/>
      <c r="L74" s="93"/>
      <c r="M74" s="93"/>
      <c r="N74" s="93"/>
      <c r="O74" s="93"/>
      <c r="P74" s="93"/>
      <c r="Q74" s="93"/>
      <c r="R74" s="93"/>
      <c r="S74" s="93"/>
      <c r="T74" s="93"/>
      <c r="U74" s="93"/>
      <c r="V74" s="93"/>
      <c r="W74" s="93"/>
      <c r="X74" s="93"/>
      <c r="Y74" s="93"/>
      <c r="Z74" s="93"/>
      <c r="AA74" s="93"/>
      <c r="AB74" s="93"/>
      <c r="AC74" s="93"/>
      <c r="AD74" s="93"/>
    </row>
    <row r="75" spans="1:30" ht="18" customHeight="1">
      <c r="A75" s="171"/>
      <c r="B75" s="263" t="s">
        <v>30</v>
      </c>
      <c r="C75" s="264"/>
      <c r="D75" s="265"/>
      <c r="E75" s="266"/>
      <c r="F75" s="267"/>
      <c r="G75" s="216"/>
      <c r="H75" s="216"/>
      <c r="I75" s="216"/>
      <c r="J75" s="93"/>
      <c r="K75" s="93"/>
      <c r="L75" s="93"/>
      <c r="M75" s="93"/>
      <c r="N75" s="93"/>
      <c r="O75" s="93"/>
      <c r="P75" s="93"/>
      <c r="Q75" s="93"/>
      <c r="R75" s="93"/>
      <c r="S75" s="93"/>
      <c r="T75" s="93"/>
      <c r="U75" s="93"/>
      <c r="V75" s="93"/>
      <c r="W75" s="93"/>
      <c r="X75" s="93"/>
      <c r="Y75" s="93"/>
      <c r="Z75" s="93"/>
      <c r="AA75" s="93"/>
      <c r="AB75" s="93"/>
      <c r="AC75" s="93"/>
      <c r="AD75" s="93"/>
    </row>
    <row r="76" spans="1:30" ht="16.2">
      <c r="A76" s="171"/>
      <c r="B76" s="183" t="s">
        <v>147</v>
      </c>
      <c r="C76" s="184" t="s">
        <v>31</v>
      </c>
      <c r="D76" s="257">
        <f>IF(Vin_type="AC",
(NA*VINPUT_Brownin*1.414)/(NP*IVSL_run*10^-6)/1000,
(NA*VINPUT_Brownin)/(NP*IVSL_run*10^-6)/1000)</f>
        <v>85.614794520547946</v>
      </c>
      <c r="E76" s="194" t="s">
        <v>215</v>
      </c>
      <c r="F76" s="421"/>
      <c r="G76" s="216"/>
      <c r="H76" s="233"/>
      <c r="I76" s="234"/>
      <c r="J76" s="93"/>
      <c r="K76" s="93"/>
      <c r="L76" s="93"/>
      <c r="M76" s="93"/>
      <c r="N76" s="93"/>
      <c r="O76" s="93"/>
      <c r="P76" s="93"/>
      <c r="Q76" s="93"/>
      <c r="R76" s="93"/>
      <c r="S76" s="93"/>
      <c r="T76" s="93"/>
      <c r="U76" s="93"/>
      <c r="V76" s="93"/>
      <c r="W76" s="93"/>
      <c r="X76" s="93"/>
      <c r="Y76" s="93"/>
      <c r="Z76" s="93"/>
      <c r="AA76" s="93"/>
      <c r="AB76" s="93"/>
      <c r="AC76" s="93"/>
      <c r="AD76" s="93"/>
    </row>
    <row r="77" spans="1:30" ht="16.2">
      <c r="A77" s="171"/>
      <c r="B77" s="195" t="s">
        <v>148</v>
      </c>
      <c r="C77" s="196" t="s">
        <v>32</v>
      </c>
      <c r="D77" s="41">
        <v>85</v>
      </c>
      <c r="E77" s="269" t="s">
        <v>72</v>
      </c>
      <c r="F77" s="270" t="s">
        <v>347</v>
      </c>
      <c r="G77" s="216"/>
      <c r="H77" s="216"/>
      <c r="I77" s="216"/>
      <c r="J77" s="93"/>
      <c r="K77" s="93"/>
      <c r="L77" s="93"/>
      <c r="M77" s="93"/>
      <c r="N77" s="93"/>
      <c r="O77" s="93"/>
      <c r="P77" s="93"/>
      <c r="Q77" s="93"/>
      <c r="R77" s="93"/>
      <c r="S77" s="93"/>
      <c r="T77" s="93"/>
      <c r="U77" s="93"/>
      <c r="V77" s="93"/>
      <c r="W77" s="93"/>
      <c r="X77" s="93"/>
      <c r="Y77" s="93"/>
      <c r="Z77" s="93"/>
      <c r="AA77" s="93"/>
      <c r="AB77" s="93"/>
      <c r="AC77" s="93"/>
      <c r="AD77" s="93"/>
    </row>
    <row r="78" spans="1:30" ht="16.2">
      <c r="A78" s="171"/>
      <c r="B78" s="183" t="s">
        <v>149</v>
      </c>
      <c r="C78" s="184" t="s">
        <v>33</v>
      </c>
      <c r="D78" s="271">
        <f>IF(RVS1_act="",RVS1_rec,RVS1_act)</f>
        <v>85</v>
      </c>
      <c r="E78" s="194" t="s">
        <v>504</v>
      </c>
      <c r="F78" s="421"/>
      <c r="G78" s="216"/>
      <c r="H78" s="216"/>
      <c r="I78" s="216"/>
      <c r="J78" s="93"/>
      <c r="K78" s="93"/>
      <c r="L78" s="93"/>
      <c r="M78" s="93"/>
      <c r="N78" s="93"/>
      <c r="O78" s="93"/>
      <c r="P78" s="93"/>
      <c r="Q78" s="93"/>
      <c r="R78" s="93"/>
      <c r="S78" s="93"/>
      <c r="T78" s="93"/>
      <c r="U78" s="93"/>
      <c r="V78" s="93"/>
      <c r="W78" s="93"/>
      <c r="X78" s="93"/>
      <c r="Y78" s="93"/>
      <c r="Z78" s="93"/>
      <c r="AA78" s="93"/>
      <c r="AB78" s="93"/>
      <c r="AC78" s="93"/>
      <c r="AD78" s="93"/>
    </row>
    <row r="79" spans="1:30" ht="16.2">
      <c r="A79" s="171"/>
      <c r="B79" s="183" t="s">
        <v>499</v>
      </c>
      <c r="C79" s="184" t="s">
        <v>500</v>
      </c>
      <c r="D79" s="272">
        <f>IF(Vin_type="AC",RVS_1*1000*(IVSL_run*10^-6)/NA*NP/1.414,RVS_1*1000*(IVSL_run*10^-6)/NA*NP)</f>
        <v>168.77924056141879</v>
      </c>
      <c r="E79" s="456" t="str">
        <f>IF(Vin_type="AC","Vrms","V")</f>
        <v>Vrms</v>
      </c>
      <c r="F79" s="268" t="s">
        <v>997</v>
      </c>
      <c r="G79" s="216"/>
      <c r="H79" s="216"/>
      <c r="I79" s="216"/>
      <c r="J79" s="93"/>
      <c r="K79" s="93"/>
      <c r="L79" s="93"/>
      <c r="M79" s="93"/>
      <c r="N79" s="93"/>
      <c r="O79" s="93"/>
      <c r="P79" s="93"/>
      <c r="Q79" s="93"/>
      <c r="R79" s="93"/>
      <c r="S79" s="93"/>
      <c r="T79" s="93"/>
      <c r="U79" s="93"/>
      <c r="V79" s="93"/>
      <c r="W79" s="93"/>
      <c r="X79" s="93"/>
      <c r="Y79" s="93"/>
      <c r="Z79" s="93"/>
      <c r="AA79" s="93"/>
      <c r="AB79" s="93"/>
      <c r="AC79" s="93"/>
      <c r="AD79" s="93"/>
    </row>
    <row r="80" spans="1:30" ht="16.2">
      <c r="A80" s="171"/>
      <c r="B80" s="183" t="s">
        <v>150</v>
      </c>
      <c r="C80" s="184" t="s">
        <v>34</v>
      </c>
      <c r="D80" s="257">
        <f>(VVS_OVP*RVS_1)/(NA/NS*(VOUT*OVP_tgt*0.01+Vf_SR)-VVS_OVP)</f>
        <v>20.484669969206053</v>
      </c>
      <c r="E80" s="194" t="s">
        <v>72</v>
      </c>
      <c r="F80" s="430"/>
      <c r="G80" s="216"/>
      <c r="H80" s="216"/>
      <c r="I80" s="216"/>
      <c r="J80" s="93"/>
      <c r="K80" s="93"/>
      <c r="L80" s="93"/>
      <c r="M80" s="93"/>
      <c r="N80" s="93"/>
      <c r="O80" s="93"/>
      <c r="P80" s="93"/>
      <c r="Q80" s="93"/>
      <c r="R80" s="93"/>
      <c r="S80" s="93"/>
      <c r="T80" s="93"/>
      <c r="U80" s="93"/>
      <c r="V80" s="93"/>
      <c r="W80" s="93"/>
      <c r="X80" s="93"/>
      <c r="Y80" s="93"/>
      <c r="Z80" s="93"/>
      <c r="AA80" s="93"/>
      <c r="AB80" s="93"/>
      <c r="AC80" s="93"/>
      <c r="AD80" s="93"/>
    </row>
    <row r="81" spans="1:32" ht="16.2">
      <c r="A81" s="171"/>
      <c r="B81" s="195" t="s">
        <v>151</v>
      </c>
      <c r="C81" s="196" t="s">
        <v>36</v>
      </c>
      <c r="D81" s="41">
        <v>20</v>
      </c>
      <c r="E81" s="269" t="s">
        <v>72</v>
      </c>
      <c r="F81" s="270" t="s">
        <v>347</v>
      </c>
      <c r="G81" s="216"/>
      <c r="H81" s="216"/>
      <c r="I81" s="216"/>
      <c r="J81" s="93"/>
      <c r="K81" s="93"/>
      <c r="L81" s="93"/>
      <c r="M81" s="93"/>
      <c r="N81" s="93"/>
      <c r="O81" s="93"/>
      <c r="P81" s="93"/>
      <c r="Q81" s="93"/>
      <c r="R81" s="93"/>
      <c r="S81" s="93"/>
      <c r="T81" s="93"/>
      <c r="U81" s="93"/>
      <c r="V81" s="93"/>
      <c r="W81" s="93"/>
      <c r="X81" s="93"/>
      <c r="Y81" s="93"/>
      <c r="Z81" s="93"/>
      <c r="AA81" s="93"/>
      <c r="AB81" s="93"/>
      <c r="AC81" s="93"/>
      <c r="AD81" s="93"/>
      <c r="AE81" s="93"/>
      <c r="AF81" s="93"/>
    </row>
    <row r="82" spans="1:32" ht="16.2">
      <c r="A82" s="171"/>
      <c r="B82" s="273" t="s">
        <v>501</v>
      </c>
      <c r="C82" s="174" t="s">
        <v>37</v>
      </c>
      <c r="D82" s="274">
        <f>IF(RVS2_act="",RVS2_rec,RVS2_act)</f>
        <v>20</v>
      </c>
      <c r="E82" s="275" t="s">
        <v>207</v>
      </c>
      <c r="F82" s="276"/>
      <c r="G82" s="216"/>
      <c r="H82" s="234"/>
      <c r="I82" s="216"/>
      <c r="J82" s="93"/>
      <c r="K82" s="93"/>
      <c r="L82" s="93"/>
      <c r="M82" s="93"/>
      <c r="N82" s="93"/>
      <c r="O82" s="93"/>
      <c r="P82" s="93"/>
      <c r="Q82" s="93"/>
      <c r="R82" s="93"/>
      <c r="S82" s="93"/>
      <c r="T82" s="93"/>
      <c r="U82" s="93"/>
      <c r="V82" s="93"/>
      <c r="W82" s="93"/>
      <c r="X82" s="93"/>
      <c r="Y82" s="93"/>
      <c r="Z82" s="93"/>
      <c r="AA82" s="93"/>
      <c r="AB82" s="93"/>
      <c r="AC82" s="93"/>
      <c r="AD82" s="93"/>
      <c r="AE82" s="93"/>
      <c r="AF82" s="93"/>
    </row>
    <row r="83" spans="1:32" ht="18" customHeight="1" thickBot="1">
      <c r="A83" s="171"/>
      <c r="B83" s="250" t="s">
        <v>503</v>
      </c>
      <c r="C83" s="277" t="s">
        <v>363</v>
      </c>
      <c r="D83" s="278">
        <f>(VVS_OVP*((RVS_1+RVS_2)/RVS_2)*NS/NA-Vf_SR)/VOUT*100</f>
        <v>117.24565756823822</v>
      </c>
      <c r="E83" s="279" t="s">
        <v>502</v>
      </c>
      <c r="F83" s="280" t="s">
        <v>974</v>
      </c>
      <c r="G83" s="216"/>
      <c r="H83" s="216"/>
      <c r="I83" s="216"/>
      <c r="J83" s="93"/>
      <c r="K83" s="93"/>
      <c r="L83" s="93"/>
      <c r="M83" s="93"/>
      <c r="N83" s="93"/>
      <c r="O83" s="93"/>
      <c r="P83" s="93"/>
      <c r="Q83" s="93"/>
      <c r="R83" s="93"/>
      <c r="S83" s="93"/>
      <c r="T83" s="93"/>
      <c r="U83" s="93"/>
      <c r="V83" s="93"/>
      <c r="W83" s="93"/>
      <c r="X83" s="93"/>
      <c r="Y83" s="93"/>
      <c r="Z83" s="93"/>
      <c r="AA83" s="93"/>
      <c r="AB83" s="93"/>
      <c r="AC83" s="93"/>
      <c r="AD83" s="93"/>
      <c r="AE83" s="93"/>
      <c r="AF83" s="93"/>
    </row>
    <row r="84" spans="1:32" ht="14.7" thickBot="1">
      <c r="A84" s="171"/>
      <c r="B84" s="166"/>
      <c r="C84" s="246"/>
      <c r="D84" s="168"/>
      <c r="E84" s="169"/>
      <c r="F84" s="170"/>
      <c r="G84" s="216"/>
      <c r="H84" s="216"/>
      <c r="I84" s="216"/>
      <c r="J84" s="93"/>
      <c r="K84" s="93"/>
      <c r="L84" s="93"/>
      <c r="M84" s="93"/>
      <c r="N84" s="93"/>
      <c r="O84" s="93"/>
      <c r="P84" s="93"/>
      <c r="Q84" s="93"/>
      <c r="R84" s="93"/>
      <c r="S84" s="93"/>
      <c r="T84" s="93"/>
      <c r="U84" s="93"/>
      <c r="V84" s="93"/>
      <c r="W84" s="93"/>
      <c r="X84" s="93"/>
      <c r="Y84" s="93"/>
      <c r="Z84" s="93"/>
      <c r="AA84" s="93"/>
      <c r="AB84" s="93"/>
      <c r="AC84" s="93"/>
      <c r="AD84" s="93"/>
      <c r="AE84" s="93"/>
      <c r="AF84" s="93"/>
    </row>
    <row r="85" spans="1:32" ht="18">
      <c r="A85" s="171"/>
      <c r="B85" s="263" t="s">
        <v>446</v>
      </c>
      <c r="C85" s="264"/>
      <c r="D85" s="265"/>
      <c r="E85" s="266"/>
      <c r="F85" s="267"/>
      <c r="G85" s="216"/>
      <c r="H85" s="216"/>
      <c r="I85" s="216"/>
      <c r="J85" s="93"/>
      <c r="K85" s="93"/>
      <c r="L85" s="93"/>
      <c r="M85" s="93"/>
      <c r="N85" s="93"/>
      <c r="O85" s="93"/>
      <c r="P85" s="93"/>
      <c r="Q85" s="93"/>
      <c r="R85" s="93"/>
      <c r="S85" s="93"/>
      <c r="T85" s="93"/>
      <c r="U85" s="93"/>
      <c r="V85" s="93"/>
      <c r="W85" s="93"/>
      <c r="X85" s="93"/>
      <c r="Y85" s="93"/>
      <c r="Z85" s="93"/>
      <c r="AA85" s="93"/>
      <c r="AB85" s="93"/>
      <c r="AC85" s="93"/>
      <c r="AD85" s="93"/>
      <c r="AE85" s="93"/>
      <c r="AF85" s="93"/>
    </row>
    <row r="86" spans="1:32" ht="18.75" customHeight="1">
      <c r="A86" s="171"/>
      <c r="B86" s="281" t="s">
        <v>471</v>
      </c>
      <c r="C86" s="204" t="s">
        <v>812</v>
      </c>
      <c r="D86" s="31">
        <v>25</v>
      </c>
      <c r="E86" s="255" t="s">
        <v>40</v>
      </c>
      <c r="F86" s="206" t="s">
        <v>346</v>
      </c>
      <c r="G86" s="216"/>
      <c r="H86" s="216"/>
      <c r="I86" s="216"/>
      <c r="J86" s="93"/>
      <c r="K86" s="93"/>
      <c r="L86" s="93"/>
      <c r="M86" s="93"/>
      <c r="N86" s="93"/>
      <c r="O86" s="93"/>
      <c r="P86" s="93"/>
      <c r="Q86" s="93"/>
      <c r="R86" s="93"/>
      <c r="S86" s="93"/>
      <c r="T86" s="93"/>
      <c r="U86" s="93"/>
      <c r="V86" s="93"/>
      <c r="W86" s="93"/>
      <c r="X86" s="93"/>
      <c r="Y86" s="93"/>
      <c r="Z86" s="93"/>
      <c r="AA86" s="93"/>
      <c r="AB86" s="93"/>
      <c r="AC86" s="93"/>
      <c r="AD86" s="93"/>
      <c r="AE86" s="93"/>
      <c r="AF86" s="93"/>
    </row>
    <row r="87" spans="1:32" ht="16.2">
      <c r="A87" s="171"/>
      <c r="B87" s="183" t="s">
        <v>445</v>
      </c>
      <c r="C87" s="184" t="s">
        <v>813</v>
      </c>
      <c r="D87" s="257">
        <f>IF(Vin_type="AC",
VCST_OPP_adj_Rcs/(PO_FL*OPP*0.01*2/(VBulk_min_tgt*ηXFMR*DOPP_min)-VBulk_min_tgt*tD_CST_vmin*10^-9/(LM*10^-6)),
VCST_OPP_adj_Rcs/(PO_FL*OPP*0.01*2/(VBulk_min_tgt*ηXFMR*DOPP_min)-VBulk_min_tgt*tD_CST_vmin*10^-9/(LM*10^-6)))</f>
        <v>0.73289437993512974</v>
      </c>
      <c r="E87" s="194" t="s">
        <v>35</v>
      </c>
      <c r="F87" s="421"/>
      <c r="G87" s="216"/>
      <c r="H87" s="233"/>
      <c r="I87" s="234"/>
      <c r="J87" s="93"/>
      <c r="K87" s="93"/>
      <c r="L87" s="93"/>
      <c r="M87" s="93"/>
      <c r="N87" s="93"/>
      <c r="O87" s="93"/>
      <c r="P87" s="93"/>
      <c r="Q87" s="93"/>
      <c r="R87" s="93"/>
      <c r="S87" s="93"/>
      <c r="T87" s="93"/>
      <c r="U87" s="93"/>
      <c r="V87" s="93"/>
      <c r="W87" s="93"/>
      <c r="X87" s="93"/>
      <c r="Y87" s="93"/>
      <c r="Z87" s="93"/>
      <c r="AA87" s="93"/>
      <c r="AB87" s="93"/>
      <c r="AC87" s="93"/>
      <c r="AD87" s="93"/>
      <c r="AE87" s="93"/>
      <c r="AF87" s="93"/>
    </row>
    <row r="88" spans="1:32" ht="16.2">
      <c r="A88" s="171"/>
      <c r="B88" s="195" t="s">
        <v>447</v>
      </c>
      <c r="C88" s="196" t="s">
        <v>814</v>
      </c>
      <c r="D88" s="28">
        <v>0.73199999999999998</v>
      </c>
      <c r="E88" s="255" t="s">
        <v>237</v>
      </c>
      <c r="F88" s="282" t="s">
        <v>449</v>
      </c>
      <c r="G88" s="216"/>
      <c r="H88" s="216"/>
      <c r="I88" s="216"/>
      <c r="J88" s="93"/>
      <c r="K88" s="93"/>
      <c r="L88" s="93"/>
      <c r="M88" s="93"/>
      <c r="N88" s="93"/>
      <c r="O88" s="93"/>
      <c r="P88" s="93"/>
      <c r="Q88" s="93"/>
      <c r="R88" s="93"/>
      <c r="S88" s="93"/>
      <c r="T88" s="93"/>
      <c r="U88" s="93"/>
      <c r="V88" s="93"/>
      <c r="W88" s="93"/>
      <c r="X88" s="93"/>
      <c r="Y88" s="93"/>
      <c r="Z88" s="93"/>
      <c r="AA88" s="93"/>
      <c r="AB88" s="93"/>
      <c r="AC88" s="93"/>
      <c r="AD88" s="93"/>
      <c r="AE88" s="93"/>
      <c r="AF88" s="93"/>
    </row>
    <row r="89" spans="1:32" ht="16.2">
      <c r="A89" s="171"/>
      <c r="B89" s="173" t="s">
        <v>448</v>
      </c>
      <c r="C89" s="174" t="s">
        <v>815</v>
      </c>
      <c r="D89" s="283">
        <f>IF(RCS_act="",RCS_rec,RCS_act)</f>
        <v>0.73199999999999998</v>
      </c>
      <c r="E89" s="194" t="s">
        <v>208</v>
      </c>
      <c r="F89" s="268"/>
      <c r="G89" s="216"/>
      <c r="H89" s="216"/>
      <c r="I89" s="216"/>
      <c r="J89" s="93"/>
      <c r="K89" s="93"/>
      <c r="L89" s="93"/>
      <c r="M89" s="93"/>
      <c r="N89" s="93"/>
      <c r="O89" s="93"/>
      <c r="P89" s="93"/>
      <c r="Q89" s="93"/>
      <c r="R89" s="93"/>
      <c r="S89" s="93"/>
      <c r="T89" s="93"/>
      <c r="U89" s="93"/>
      <c r="V89" s="93"/>
      <c r="W89" s="93"/>
      <c r="X89" s="93"/>
      <c r="Y89" s="93"/>
      <c r="Z89" s="93"/>
      <c r="AA89" s="93"/>
      <c r="AB89" s="93"/>
      <c r="AC89" s="93"/>
      <c r="AD89" s="93"/>
      <c r="AE89" s="93"/>
      <c r="AF89" s="93"/>
    </row>
    <row r="90" spans="1:32" ht="16.2">
      <c r="A90" s="171"/>
      <c r="B90" s="183" t="s">
        <v>443</v>
      </c>
      <c r="C90" s="184" t="s">
        <v>816</v>
      </c>
      <c r="D90" s="283">
        <f>SQRT((fsw_OPP_min*1000/3)*((ipk_OPP_min^2)*(DOPP_min/(fsw_OPP_min*1000)-TZ_min*10^-9)+(TZ_min*10^-9)*( 0*IM_nega_max^2 + 1*IM_nega_OPP_min^2)))</f>
        <v>0.39916153734214077</v>
      </c>
      <c r="E90" s="284" t="s">
        <v>15</v>
      </c>
      <c r="F90" s="285"/>
      <c r="G90" s="216"/>
      <c r="H90" s="216"/>
      <c r="I90" s="216"/>
      <c r="J90" s="93"/>
      <c r="K90" s="93"/>
      <c r="L90" s="93"/>
      <c r="M90" s="93"/>
      <c r="N90" s="93"/>
      <c r="O90" s="93"/>
      <c r="P90" s="93"/>
      <c r="Q90" s="93"/>
      <c r="R90" s="93"/>
      <c r="S90" s="93"/>
      <c r="T90" s="93"/>
      <c r="U90" s="93"/>
      <c r="V90" s="93"/>
      <c r="W90" s="93"/>
      <c r="X90" s="93"/>
      <c r="Y90" s="93"/>
      <c r="Z90" s="93"/>
      <c r="AA90" s="93"/>
      <c r="AB90" s="93"/>
      <c r="AC90" s="93"/>
      <c r="AD90" s="93"/>
      <c r="AE90" s="93"/>
      <c r="AF90" s="93"/>
    </row>
    <row r="91" spans="1:32" ht="16.5" thickBot="1">
      <c r="A91" s="171"/>
      <c r="B91" s="250" t="s">
        <v>444</v>
      </c>
      <c r="C91" s="251" t="s">
        <v>817</v>
      </c>
      <c r="D91" s="286">
        <f>RCS*iQL_RMS^2</f>
        <v>0.11662951087792579</v>
      </c>
      <c r="E91" s="287" t="s">
        <v>9</v>
      </c>
      <c r="F91" s="288"/>
      <c r="G91" s="216"/>
      <c r="H91" s="216"/>
      <c r="I91" s="216"/>
      <c r="J91" s="93"/>
      <c r="K91" s="93"/>
      <c r="L91" s="93"/>
      <c r="M91" s="93"/>
      <c r="N91" s="93"/>
      <c r="O91" s="93"/>
      <c r="P91" s="93"/>
      <c r="Q91" s="93"/>
      <c r="R91" s="93"/>
      <c r="S91" s="93"/>
      <c r="T91" s="93"/>
      <c r="U91" s="93"/>
      <c r="V91" s="93"/>
      <c r="W91" s="93"/>
      <c r="X91" s="93"/>
      <c r="Y91" s="93"/>
      <c r="Z91" s="93"/>
      <c r="AA91" s="93"/>
      <c r="AB91" s="93"/>
      <c r="AC91" s="93"/>
      <c r="AD91" s="93"/>
      <c r="AE91" s="93"/>
      <c r="AF91" s="93"/>
    </row>
    <row r="92" spans="1:32" ht="14.7" thickBot="1">
      <c r="A92" s="171"/>
      <c r="B92" s="166"/>
      <c r="C92" s="246"/>
      <c r="D92" s="168"/>
      <c r="E92" s="169"/>
      <c r="F92" s="170"/>
      <c r="G92" s="216"/>
      <c r="H92" s="216"/>
      <c r="I92" s="216"/>
      <c r="J92" s="93"/>
      <c r="K92" s="93"/>
      <c r="L92" s="93"/>
      <c r="M92" s="93"/>
      <c r="N92" s="93"/>
      <c r="O92" s="93"/>
      <c r="P92" s="93"/>
      <c r="Q92" s="93"/>
      <c r="R92" s="93"/>
      <c r="S92" s="93"/>
      <c r="T92" s="93"/>
      <c r="U92" s="93"/>
      <c r="V92" s="93"/>
      <c r="W92" s="93"/>
      <c r="X92" s="93"/>
      <c r="Y92" s="93"/>
      <c r="Z92" s="93"/>
      <c r="AA92" s="93"/>
      <c r="AB92" s="93"/>
      <c r="AC92" s="93"/>
      <c r="AD92" s="93"/>
      <c r="AE92" s="93"/>
      <c r="AF92" s="93"/>
    </row>
    <row r="93" spans="1:32" ht="18" customHeight="1">
      <c r="A93" s="171"/>
      <c r="B93" s="263" t="s">
        <v>44</v>
      </c>
      <c r="C93" s="264"/>
      <c r="D93" s="265"/>
      <c r="E93" s="266"/>
      <c r="F93" s="267"/>
      <c r="G93" s="216"/>
      <c r="H93" s="216"/>
      <c r="I93" s="216"/>
      <c r="J93" s="93"/>
      <c r="K93" s="93"/>
      <c r="L93" s="93"/>
      <c r="M93" s="93"/>
      <c r="N93" s="93"/>
      <c r="O93" s="93"/>
      <c r="P93" s="93"/>
      <c r="Q93" s="93"/>
      <c r="R93" s="93"/>
      <c r="S93" s="93"/>
      <c r="T93" s="93"/>
      <c r="U93" s="93"/>
      <c r="V93" s="93"/>
      <c r="W93" s="93"/>
      <c r="X93" s="93"/>
      <c r="Y93" s="93"/>
      <c r="Z93" s="93"/>
      <c r="AA93" s="93"/>
      <c r="AB93" s="93"/>
      <c r="AC93" s="93"/>
      <c r="AD93" s="93"/>
      <c r="AE93" s="93"/>
      <c r="AF93" s="93"/>
    </row>
    <row r="94" spans="1:32" ht="16.2">
      <c r="A94" s="171"/>
      <c r="B94" s="183" t="s">
        <v>152</v>
      </c>
      <c r="C94" s="184" t="s">
        <v>45</v>
      </c>
      <c r="D94" s="289">
        <f>IF(Vin_type="AC",(Voffset_CS_OPP+(TD_CS_filter*10^-9)*VINPUT_max*1.414*RCS/(LM*10^-6))/((iVSL_max*10^-3)/KLC),(Voffset_CS_OPP+(TD_CS_filter*10^-9)*VINPUT_max*RCS/(LM*10^-6))/((iVSL_max*10^-3)/KLC))</f>
        <v>7608.9161900192985</v>
      </c>
      <c r="E94" s="194" t="s">
        <v>819</v>
      </c>
      <c r="F94" s="268"/>
      <c r="G94" s="216"/>
      <c r="H94" s="233"/>
      <c r="I94" s="234"/>
      <c r="J94" s="93"/>
      <c r="K94" s="93"/>
      <c r="L94" s="93"/>
      <c r="M94" s="93"/>
      <c r="N94" s="93"/>
      <c r="O94" s="93"/>
      <c r="P94" s="93"/>
      <c r="Q94" s="93"/>
      <c r="R94" s="93"/>
      <c r="S94" s="93"/>
      <c r="T94" s="93"/>
      <c r="U94" s="93"/>
      <c r="V94" s="93"/>
      <c r="W94" s="93"/>
      <c r="X94" s="93"/>
      <c r="Y94" s="93"/>
      <c r="Z94" s="93"/>
      <c r="AA94" s="93"/>
      <c r="AB94" s="93"/>
      <c r="AC94" s="93"/>
      <c r="AD94" s="93"/>
      <c r="AE94" s="93"/>
      <c r="AF94" s="93"/>
    </row>
    <row r="95" spans="1:32" ht="16.2">
      <c r="A95" s="171"/>
      <c r="B95" s="195" t="s">
        <v>153</v>
      </c>
      <c r="C95" s="196" t="s">
        <v>47</v>
      </c>
      <c r="D95" s="41">
        <v>7680</v>
      </c>
      <c r="E95" s="269" t="s">
        <v>35</v>
      </c>
      <c r="F95" s="270" t="s">
        <v>347</v>
      </c>
      <c r="G95" s="216"/>
      <c r="H95" s="216"/>
      <c r="I95" s="216"/>
      <c r="J95" s="93"/>
      <c r="K95" s="93"/>
      <c r="L95" s="93"/>
      <c r="M95" s="93"/>
      <c r="N95" s="93"/>
      <c r="O95" s="93"/>
      <c r="P95" s="93"/>
      <c r="Q95" s="93"/>
      <c r="R95" s="93"/>
      <c r="S95" s="93"/>
      <c r="T95" s="93"/>
      <c r="U95" s="93"/>
      <c r="V95" s="93"/>
      <c r="W95" s="93"/>
      <c r="X95" s="93"/>
      <c r="Y95" s="93"/>
      <c r="Z95" s="93"/>
      <c r="AA95" s="93"/>
      <c r="AB95" s="93"/>
      <c r="AC95" s="93"/>
      <c r="AD95" s="93"/>
      <c r="AE95" s="93"/>
      <c r="AF95" s="93"/>
    </row>
    <row r="96" spans="1:32" ht="16.2">
      <c r="A96" s="171"/>
      <c r="B96" s="183" t="s">
        <v>154</v>
      </c>
      <c r="C96" s="184" t="s">
        <v>130</v>
      </c>
      <c r="D96" s="271">
        <f>IF(R_OPP_act="",R_OPP_rec,R_OPP_act)</f>
        <v>7680</v>
      </c>
      <c r="E96" s="194" t="s">
        <v>818</v>
      </c>
      <c r="F96" s="268"/>
      <c r="G96" s="216"/>
      <c r="H96" s="216"/>
      <c r="I96" s="216"/>
      <c r="J96" s="93"/>
      <c r="K96" s="93"/>
      <c r="L96" s="93"/>
      <c r="M96" s="93"/>
      <c r="N96" s="93"/>
      <c r="O96" s="93"/>
      <c r="P96" s="93"/>
      <c r="Q96" s="93"/>
      <c r="R96" s="93"/>
      <c r="S96" s="93"/>
      <c r="T96" s="93"/>
      <c r="U96" s="93"/>
      <c r="V96" s="93"/>
      <c r="W96" s="93"/>
      <c r="X96" s="93"/>
      <c r="Y96" s="93"/>
      <c r="Z96" s="93"/>
      <c r="AA96" s="93"/>
      <c r="AB96" s="93"/>
      <c r="AC96" s="93"/>
      <c r="AD96" s="93"/>
      <c r="AE96" s="93"/>
      <c r="AF96" s="93"/>
    </row>
    <row r="97" spans="1:32" ht="16.2">
      <c r="A97" s="171"/>
      <c r="B97" s="183" t="s">
        <v>451</v>
      </c>
      <c r="C97" s="184" t="s">
        <v>128</v>
      </c>
      <c r="D97" s="229">
        <f>(TD_CS_filter/R_OPP)*10^3</f>
        <v>3.2552083333333335</v>
      </c>
      <c r="E97" s="194" t="s">
        <v>29</v>
      </c>
      <c r="F97" s="268"/>
      <c r="G97" s="216"/>
      <c r="H97" s="216"/>
      <c r="I97" s="216"/>
      <c r="J97" s="93"/>
      <c r="K97" s="93"/>
      <c r="L97" s="93"/>
      <c r="M97" s="93"/>
      <c r="N97" s="93"/>
      <c r="O97" s="93"/>
      <c r="P97" s="93"/>
      <c r="Q97" s="93"/>
      <c r="R97" s="93"/>
      <c r="S97" s="93"/>
      <c r="T97" s="93"/>
      <c r="U97" s="93"/>
      <c r="V97" s="93"/>
      <c r="W97" s="93"/>
      <c r="X97" s="93"/>
      <c r="Y97" s="93"/>
      <c r="Z97" s="93"/>
      <c r="AA97" s="93"/>
      <c r="AB97" s="93"/>
      <c r="AC97" s="93"/>
      <c r="AD97" s="93"/>
      <c r="AE97" s="93"/>
      <c r="AF97" s="93"/>
    </row>
    <row r="98" spans="1:32" ht="16.2">
      <c r="A98" s="171"/>
      <c r="B98" s="195" t="s">
        <v>453</v>
      </c>
      <c r="C98" s="196" t="s">
        <v>48</v>
      </c>
      <c r="D98" s="41">
        <v>3.9</v>
      </c>
      <c r="E98" s="269" t="s">
        <v>29</v>
      </c>
      <c r="F98" s="206" t="s">
        <v>466</v>
      </c>
      <c r="G98" s="216"/>
      <c r="H98" s="216"/>
      <c r="I98" s="216"/>
      <c r="J98" s="93"/>
      <c r="K98" s="93"/>
      <c r="L98" s="93"/>
      <c r="M98" s="93"/>
      <c r="N98" s="93"/>
      <c r="O98" s="93"/>
      <c r="P98" s="93"/>
      <c r="Q98" s="93"/>
      <c r="R98" s="93"/>
      <c r="S98" s="93"/>
      <c r="T98" s="93"/>
      <c r="U98" s="93"/>
      <c r="V98" s="93"/>
      <c r="W98" s="93"/>
      <c r="X98" s="93"/>
      <c r="Y98" s="93"/>
      <c r="Z98" s="93"/>
      <c r="AA98" s="93"/>
      <c r="AB98" s="93"/>
      <c r="AC98" s="93"/>
      <c r="AD98" s="93"/>
      <c r="AE98" s="93"/>
      <c r="AF98" s="93"/>
    </row>
    <row r="99" spans="1:32" ht="16.2">
      <c r="A99" s="171"/>
      <c r="B99" s="183" t="s">
        <v>452</v>
      </c>
      <c r="C99" s="184" t="s">
        <v>162</v>
      </c>
      <c r="D99" s="248">
        <f>IF(CCS_act="",CCS_rec,CCS_act)</f>
        <v>3.9</v>
      </c>
      <c r="E99" s="284" t="s">
        <v>163</v>
      </c>
      <c r="F99" s="285"/>
      <c r="G99" s="216"/>
      <c r="H99" s="216"/>
      <c r="I99" s="216"/>
      <c r="J99" s="93"/>
      <c r="K99" s="93"/>
      <c r="L99" s="93"/>
      <c r="M99" s="93"/>
      <c r="N99" s="93"/>
      <c r="O99" s="93"/>
      <c r="P99" s="93"/>
      <c r="Q99" s="93"/>
      <c r="R99" s="93"/>
      <c r="S99" s="93"/>
      <c r="T99" s="93"/>
      <c r="U99" s="93"/>
      <c r="V99" s="93"/>
      <c r="W99" s="93"/>
      <c r="X99" s="93"/>
      <c r="Y99" s="93"/>
      <c r="Z99" s="93"/>
      <c r="AA99" s="93"/>
      <c r="AB99" s="93"/>
      <c r="AC99" s="93"/>
      <c r="AD99" s="93"/>
      <c r="AE99" s="93"/>
      <c r="AF99" s="93"/>
    </row>
    <row r="100" spans="1:32" ht="16.5" thickBot="1">
      <c r="A100" s="171"/>
      <c r="B100" s="250" t="s">
        <v>450</v>
      </c>
      <c r="C100" s="251" t="s">
        <v>164</v>
      </c>
      <c r="D100" s="278">
        <f>0.001*R_OPP*CCS</f>
        <v>29.951999999999998</v>
      </c>
      <c r="E100" s="287" t="s">
        <v>165</v>
      </c>
      <c r="F100" s="288" t="s">
        <v>979</v>
      </c>
      <c r="G100" s="216"/>
      <c r="H100" s="216"/>
      <c r="I100" s="216"/>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row>
    <row r="101" spans="1:32" ht="14.7" thickBot="1">
      <c r="A101" s="171"/>
      <c r="B101" s="166"/>
      <c r="C101" s="246"/>
      <c r="D101" s="290"/>
      <c r="E101" s="291"/>
      <c r="F101" s="291"/>
      <c r="G101" s="216"/>
      <c r="H101" s="216"/>
      <c r="I101" s="216"/>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row>
    <row r="102" spans="1:32" ht="18" customHeight="1">
      <c r="A102" s="171"/>
      <c r="B102" s="263" t="s">
        <v>49</v>
      </c>
      <c r="C102" s="264"/>
      <c r="D102" s="265"/>
      <c r="E102" s="266"/>
      <c r="F102" s="267"/>
      <c r="G102" s="216"/>
      <c r="H102" s="216"/>
      <c r="I102" s="216"/>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row>
    <row r="103" spans="1:32" ht="16.2">
      <c r="A103" s="171"/>
      <c r="B103" s="173" t="s">
        <v>820</v>
      </c>
      <c r="C103" s="174" t="s">
        <v>821</v>
      </c>
      <c r="D103" s="292">
        <f>KDM*(LM*10^-6/RCS)*(NA/NP)*(RVS_2*1000/(RVS_1*1000+RVS_2*1000))/1000</f>
        <v>61.05906843611762</v>
      </c>
      <c r="E103" s="194" t="s">
        <v>72</v>
      </c>
      <c r="F103" s="268"/>
      <c r="G103" s="216"/>
      <c r="H103" s="216"/>
      <c r="I103" s="216"/>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row>
    <row r="104" spans="1:32" ht="16.2">
      <c r="A104" s="171"/>
      <c r="B104" s="281" t="s">
        <v>822</v>
      </c>
      <c r="C104" s="204" t="s">
        <v>823</v>
      </c>
      <c r="D104" s="66">
        <v>60.4</v>
      </c>
      <c r="E104" s="269" t="s">
        <v>72</v>
      </c>
      <c r="F104" s="270" t="s">
        <v>996</v>
      </c>
      <c r="G104" s="216"/>
      <c r="H104" s="216"/>
      <c r="I104" s="216"/>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row>
    <row r="105" spans="1:32" ht="16.5" thickBot="1">
      <c r="A105" s="171"/>
      <c r="B105" s="250" t="s">
        <v>824</v>
      </c>
      <c r="C105" s="251" t="s">
        <v>825</v>
      </c>
      <c r="D105" s="260">
        <f>IF(RDM_act="",RDM_rec,RDM_act)</f>
        <v>60.4</v>
      </c>
      <c r="E105" s="279" t="s">
        <v>72</v>
      </c>
      <c r="F105" s="293"/>
      <c r="G105" s="216"/>
      <c r="H105" s="216"/>
      <c r="I105" s="216"/>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row>
    <row r="106" spans="1:32" ht="14.7" thickBot="1">
      <c r="A106" s="171"/>
      <c r="B106" s="166"/>
      <c r="C106" s="246"/>
      <c r="D106" s="168"/>
      <c r="E106" s="169"/>
      <c r="F106" s="170"/>
      <c r="G106" s="216"/>
      <c r="H106" s="216"/>
      <c r="I106" s="216"/>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row>
    <row r="107" spans="1:32" ht="18" customHeight="1">
      <c r="A107" s="171"/>
      <c r="B107" s="263" t="s">
        <v>50</v>
      </c>
      <c r="C107" s="264"/>
      <c r="D107" s="265"/>
      <c r="E107" s="266"/>
      <c r="F107" s="267"/>
      <c r="G107" s="294"/>
      <c r="H107" s="216"/>
      <c r="I107" s="216"/>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row>
    <row r="108" spans="1:32" ht="16.2">
      <c r="A108" s="171"/>
      <c r="B108" s="173" t="s">
        <v>155</v>
      </c>
      <c r="C108" s="174" t="s">
        <v>826</v>
      </c>
      <c r="D108" s="229">
        <f>IF(Vin_type="AC",((3.1416-ACOS(NPS*(VOUT+Vf_SR)/(VINPUT_max*1.414)))*SQRT(LM*10^-6*CSWN_T_vmax*10^-12)*10^9),((3.1416-ACOS(NPS*(VOUT+Vf_SR)/VINPUT_max))*SQRT(LM*10^-6*CSWN_T_vmax*10^-12)*10^9))</f>
        <v>391.5131915600528</v>
      </c>
      <c r="E108" s="194" t="s">
        <v>40</v>
      </c>
      <c r="F108" s="421"/>
      <c r="G108" s="425"/>
      <c r="H108" s="216"/>
      <c r="I108" s="216"/>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row>
    <row r="109" spans="1:32" ht="16.2">
      <c r="A109" s="171"/>
      <c r="B109" s="173" t="s">
        <v>827</v>
      </c>
      <c r="C109" s="174" t="s">
        <v>828</v>
      </c>
      <c r="D109" s="292">
        <f>KTZ*(TZ_min+TD_HDr)*10^-9/1000</f>
        <v>595.29477454725918</v>
      </c>
      <c r="E109" s="194" t="s">
        <v>72</v>
      </c>
      <c r="F109" s="268"/>
      <c r="G109" s="216"/>
      <c r="H109" s="216"/>
      <c r="I109" s="216"/>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row>
    <row r="110" spans="1:32" ht="16.2">
      <c r="A110" s="171"/>
      <c r="B110" s="281" t="s">
        <v>829</v>
      </c>
      <c r="C110" s="204" t="s">
        <v>830</v>
      </c>
      <c r="D110" s="66">
        <v>590</v>
      </c>
      <c r="E110" s="269" t="s">
        <v>72</v>
      </c>
      <c r="F110" s="270" t="s">
        <v>993</v>
      </c>
      <c r="G110" s="216"/>
      <c r="H110" s="216"/>
      <c r="I110" s="216"/>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row>
    <row r="111" spans="1:32" ht="16.5" thickBot="1">
      <c r="A111" s="171"/>
      <c r="B111" s="250" t="s">
        <v>156</v>
      </c>
      <c r="C111" s="251" t="s">
        <v>831</v>
      </c>
      <c r="D111" s="260">
        <f>IF(RTZ_act="",RTZ_rec,RTZ_act)</f>
        <v>590</v>
      </c>
      <c r="E111" s="279" t="s">
        <v>72</v>
      </c>
      <c r="F111" s="293"/>
      <c r="G111" s="216"/>
      <c r="H111" s="216"/>
      <c r="I111" s="216"/>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row>
    <row r="112" spans="1:32" ht="14.7" thickBot="1">
      <c r="A112" s="171"/>
      <c r="B112" s="166"/>
      <c r="C112" s="246"/>
      <c r="D112" s="168"/>
      <c r="E112" s="169"/>
      <c r="F112" s="170"/>
      <c r="G112" s="216"/>
      <c r="H112" s="216"/>
      <c r="I112" s="216"/>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row>
    <row r="113" spans="1:32" ht="18" customHeight="1">
      <c r="A113" s="171"/>
      <c r="B113" s="263" t="s">
        <v>53</v>
      </c>
      <c r="C113" s="264"/>
      <c r="D113" s="265"/>
      <c r="E113" s="266"/>
      <c r="F113" s="267"/>
      <c r="G113" s="216"/>
      <c r="H113" s="216"/>
      <c r="I113" s="216"/>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row>
    <row r="114" spans="1:32" ht="18.75" customHeight="1">
      <c r="A114" s="171"/>
      <c r="B114" s="173" t="s">
        <v>357</v>
      </c>
      <c r="C114" s="174" t="s">
        <v>832</v>
      </c>
      <c r="D114" s="283">
        <f>IF(Vin_type="AC",
ipk_BUR*RCS-VINPUT_BUR*1.414*RCS*tD_CST_BUR*10^-9/(LM*10^-6)+iVSL_BUR*10^-3/KLC*R_OPP,
ipk_BUR*RCS-VINPUT_BUR*RCS*(tD_CST_BUR+0.31)*10^-9/(LM*10^-6)+iVSL_BUR*10^-3/KLC*R_OPP)</f>
        <v>0.44763809590550646</v>
      </c>
      <c r="E114" s="284" t="s">
        <v>54</v>
      </c>
      <c r="F114" s="285"/>
      <c r="G114" s="216"/>
      <c r="H114" s="233"/>
      <c r="I114" s="234"/>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row>
    <row r="115" spans="1:32" ht="18.75" customHeight="1">
      <c r="A115" s="171"/>
      <c r="B115" s="173" t="s">
        <v>833</v>
      </c>
      <c r="C115" s="174" t="s">
        <v>834</v>
      </c>
      <c r="D115" s="283">
        <f>KBUR_CST*VCST_BUR</f>
        <v>1.7905523836220258</v>
      </c>
      <c r="E115" s="284" t="s">
        <v>8</v>
      </c>
      <c r="F115" s="285"/>
      <c r="G115" s="216"/>
      <c r="H115" s="216"/>
      <c r="I115" s="216"/>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row>
    <row r="116" spans="1:32" ht="16.2">
      <c r="A116" s="171"/>
      <c r="B116" s="183" t="s">
        <v>835</v>
      </c>
      <c r="C116" s="174" t="s">
        <v>836</v>
      </c>
      <c r="D116" s="295">
        <f>(0.11/(2.7*10^-6))/(1-KBUR_CST*VCST_BUR/VREF)/1000</f>
        <v>63.47001978290389</v>
      </c>
      <c r="E116" s="194" t="s">
        <v>75</v>
      </c>
      <c r="F116" s="268" t="s">
        <v>1040</v>
      </c>
      <c r="G116" s="425"/>
      <c r="H116" s="216"/>
      <c r="I116" s="216"/>
      <c r="J116" s="431"/>
      <c r="K116" s="93"/>
      <c r="L116" s="93"/>
      <c r="M116" s="93"/>
      <c r="N116" s="93"/>
      <c r="O116" s="93"/>
      <c r="P116" s="93"/>
      <c r="Q116" s="93"/>
      <c r="R116" s="93"/>
      <c r="S116" s="93"/>
      <c r="T116" s="93"/>
      <c r="U116" s="93"/>
      <c r="V116" s="93"/>
      <c r="W116" s="93"/>
      <c r="X116" s="93"/>
      <c r="Y116" s="93"/>
      <c r="Z116" s="93"/>
      <c r="AA116" s="93"/>
      <c r="AB116" s="93"/>
      <c r="AC116" s="93"/>
      <c r="AD116" s="93"/>
      <c r="AE116" s="93"/>
      <c r="AF116" s="93"/>
    </row>
    <row r="117" spans="1:32" ht="16.2">
      <c r="A117" s="171"/>
      <c r="B117" s="195" t="s">
        <v>837</v>
      </c>
      <c r="C117" s="204" t="s">
        <v>838</v>
      </c>
      <c r="D117" s="66">
        <v>63.4</v>
      </c>
      <c r="E117" s="269" t="s">
        <v>72</v>
      </c>
      <c r="F117" s="270" t="s">
        <v>347</v>
      </c>
      <c r="G117" s="216"/>
      <c r="H117" s="216"/>
      <c r="I117" s="216"/>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row>
    <row r="118" spans="1:32" ht="16.2">
      <c r="A118" s="171"/>
      <c r="B118" s="183" t="s">
        <v>839</v>
      </c>
      <c r="C118" s="174" t="s">
        <v>840</v>
      </c>
      <c r="D118" s="248">
        <f>IF(RBUR2_act="",RBUR2_rec,RBUR2_act)</f>
        <v>63.4</v>
      </c>
      <c r="E118" s="568" t="s">
        <v>72</v>
      </c>
      <c r="F118" s="569"/>
      <c r="G118" s="216"/>
      <c r="H118" s="216"/>
      <c r="I118" s="216"/>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row>
    <row r="119" spans="1:32" ht="16.2">
      <c r="A119" s="171"/>
      <c r="B119" s="183" t="s">
        <v>841</v>
      </c>
      <c r="C119" s="174" t="s">
        <v>842</v>
      </c>
      <c r="D119" s="295">
        <f>(VREF*RBUR2*1000/(KBUR_CST*VCST_BUR)-RBUR2*1000)/1000</f>
        <v>113.64033844503076</v>
      </c>
      <c r="E119" s="568" t="s">
        <v>118</v>
      </c>
      <c r="F119" s="569"/>
      <c r="G119" s="425"/>
      <c r="H119" s="216"/>
      <c r="I119" s="216"/>
      <c r="J119" s="431"/>
      <c r="K119" s="93"/>
      <c r="L119" s="93"/>
      <c r="M119" s="93"/>
      <c r="N119" s="93"/>
      <c r="O119" s="93"/>
      <c r="P119" s="93"/>
      <c r="Q119" s="93"/>
      <c r="R119" s="93"/>
      <c r="S119" s="93"/>
      <c r="T119" s="93"/>
      <c r="U119" s="93"/>
      <c r="V119" s="93"/>
      <c r="W119" s="93"/>
      <c r="X119" s="93"/>
      <c r="Y119" s="93"/>
      <c r="Z119" s="93"/>
      <c r="AA119" s="93"/>
      <c r="AB119" s="93"/>
      <c r="AC119" s="93"/>
      <c r="AD119" s="93"/>
      <c r="AE119" s="93"/>
      <c r="AF119" s="93"/>
    </row>
    <row r="120" spans="1:32" ht="16.2">
      <c r="A120" s="171"/>
      <c r="B120" s="195" t="s">
        <v>843</v>
      </c>
      <c r="C120" s="204" t="s">
        <v>844</v>
      </c>
      <c r="D120" s="66">
        <v>113</v>
      </c>
      <c r="E120" s="269" t="s">
        <v>118</v>
      </c>
      <c r="F120" s="270" t="s">
        <v>347</v>
      </c>
      <c r="G120" s="216"/>
      <c r="H120" s="216"/>
      <c r="I120" s="216"/>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row>
    <row r="121" spans="1:32" ht="16.2">
      <c r="A121" s="171"/>
      <c r="B121" s="183" t="s">
        <v>845</v>
      </c>
      <c r="C121" s="174" t="s">
        <v>846</v>
      </c>
      <c r="D121" s="248">
        <f>IF(RBUR1_act="",RBUR1_rec,RBUR1_act)</f>
        <v>113</v>
      </c>
      <c r="E121" s="568" t="s">
        <v>118</v>
      </c>
      <c r="F121" s="569"/>
      <c r="G121" s="216"/>
      <c r="H121" s="216"/>
      <c r="I121" s="216"/>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row>
    <row r="122" spans="1:32" ht="16.2">
      <c r="A122" s="171"/>
      <c r="B122" s="183" t="s">
        <v>472</v>
      </c>
      <c r="C122" s="174" t="s">
        <v>847</v>
      </c>
      <c r="D122" s="296">
        <f>VREF*RBUR2/(RBUR2+RBUR1)</f>
        <v>1.7970521541950113</v>
      </c>
      <c r="E122" s="297" t="s">
        <v>174</v>
      </c>
      <c r="F122" s="298" t="s">
        <v>994</v>
      </c>
      <c r="G122" s="425"/>
      <c r="H122" s="216"/>
      <c r="I122" s="216"/>
      <c r="J122" s="431"/>
      <c r="K122" s="93"/>
      <c r="L122" s="93"/>
      <c r="M122" s="93"/>
      <c r="N122" s="93"/>
      <c r="O122" s="93"/>
      <c r="P122" s="93"/>
      <c r="Q122" s="93"/>
      <c r="R122" s="93"/>
      <c r="S122" s="93"/>
      <c r="T122" s="93"/>
      <c r="U122" s="93"/>
      <c r="V122" s="93"/>
      <c r="W122" s="93"/>
      <c r="X122" s="93"/>
      <c r="Y122" s="93"/>
      <c r="Z122" s="93"/>
      <c r="AA122" s="93"/>
      <c r="AB122" s="93"/>
      <c r="AC122" s="93"/>
      <c r="AD122" s="93"/>
      <c r="AE122" s="93"/>
      <c r="AF122" s="93"/>
    </row>
    <row r="123" spans="1:32" ht="16.2">
      <c r="A123" s="171"/>
      <c r="B123" s="183" t="s">
        <v>848</v>
      </c>
      <c r="C123" s="174" t="s">
        <v>849</v>
      </c>
      <c r="D123" s="299">
        <f>(40*10^-6)/(3*(RBUR2*RBUR1*1000/(RBUR2+RBUR1)))*10^12</f>
        <v>328.29904246112608</v>
      </c>
      <c r="E123" s="568" t="s">
        <v>119</v>
      </c>
      <c r="F123" s="569"/>
      <c r="G123" s="216"/>
      <c r="H123" s="216"/>
      <c r="I123" s="216"/>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row>
    <row r="124" spans="1:32" ht="16.2">
      <c r="A124" s="171"/>
      <c r="B124" s="195" t="s">
        <v>850</v>
      </c>
      <c r="C124" s="204" t="s">
        <v>851</v>
      </c>
      <c r="D124" s="31">
        <v>330</v>
      </c>
      <c r="E124" s="269" t="s">
        <v>119</v>
      </c>
      <c r="F124" s="206" t="s">
        <v>466</v>
      </c>
      <c r="G124" s="216"/>
      <c r="H124" s="216"/>
      <c r="I124" s="216"/>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row>
    <row r="125" spans="1:32" ht="16.5" thickBot="1">
      <c r="A125" s="171"/>
      <c r="B125" s="250" t="s">
        <v>852</v>
      </c>
      <c r="C125" s="251" t="s">
        <v>853</v>
      </c>
      <c r="D125" s="252">
        <f>IF(CBUR_act="",CBUR_max,CBUR_act)</f>
        <v>330</v>
      </c>
      <c r="E125" s="578" t="s">
        <v>120</v>
      </c>
      <c r="F125" s="579"/>
      <c r="G125" s="216"/>
      <c r="H125" s="216"/>
      <c r="I125" s="216"/>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row>
    <row r="126" spans="1:32" ht="14.7" thickBot="1">
      <c r="A126" s="171"/>
      <c r="B126" s="166"/>
      <c r="C126" s="246"/>
      <c r="D126" s="168"/>
      <c r="E126" s="169"/>
      <c r="F126" s="170"/>
      <c r="G126" s="216"/>
      <c r="H126" s="216"/>
      <c r="I126" s="216"/>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row>
    <row r="127" spans="1:32" ht="18" customHeight="1">
      <c r="A127" s="171"/>
      <c r="B127" s="263" t="s">
        <v>55</v>
      </c>
      <c r="C127" s="264"/>
      <c r="D127" s="265"/>
      <c r="E127" s="266"/>
      <c r="F127" s="267"/>
      <c r="G127" s="216"/>
      <c r="H127" s="216"/>
      <c r="I127" s="216"/>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row>
    <row r="128" spans="1:32" ht="16.2">
      <c r="A128" s="171"/>
      <c r="B128" s="173" t="s">
        <v>854</v>
      </c>
      <c r="C128" s="174" t="s">
        <v>855</v>
      </c>
      <c r="D128" s="229">
        <f>IF(Vin_type="AC",
(COSS_Qs*10^-12*(VINPUT_max*1.414+NPS*VOUT)/(VHVG+0.9*Vgs_Qs)-CDz*10^-12)*10^12,
(COSS_Qs*10^-12*(VINPUT_max+NPS*VOUT)/(VHVG+0.9*Vgs_Qs)-CDz*10^-12)*10^12)</f>
        <v>22.801263157894738</v>
      </c>
      <c r="E128" s="230" t="s">
        <v>56</v>
      </c>
      <c r="F128" s="300"/>
      <c r="G128" s="216"/>
      <c r="H128" s="233"/>
      <c r="I128" s="234"/>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row>
    <row r="129" spans="1:32" ht="16.2">
      <c r="A129" s="171"/>
      <c r="B129" s="281" t="s">
        <v>856</v>
      </c>
      <c r="C129" s="204" t="s">
        <v>857</v>
      </c>
      <c r="D129" s="31">
        <v>22</v>
      </c>
      <c r="E129" s="255" t="s">
        <v>56</v>
      </c>
      <c r="F129" s="206" t="s">
        <v>466</v>
      </c>
      <c r="G129" s="216"/>
      <c r="H129" s="216"/>
      <c r="I129" s="216"/>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row>
    <row r="130" spans="1:32" ht="16.2">
      <c r="A130" s="171"/>
      <c r="B130" s="173" t="s">
        <v>157</v>
      </c>
      <c r="C130" s="174" t="s">
        <v>858</v>
      </c>
      <c r="D130" s="229">
        <f>IF(CSWS_act="",CSWS_rec,CSWS_act)</f>
        <v>22</v>
      </c>
      <c r="E130" s="230" t="s">
        <v>56</v>
      </c>
      <c r="F130" s="180"/>
      <c r="G130" s="216"/>
      <c r="H130" s="216"/>
      <c r="I130" s="216"/>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row>
    <row r="131" spans="1:32" ht="16.2">
      <c r="A131" s="171"/>
      <c r="B131" s="173" t="s">
        <v>354</v>
      </c>
      <c r="C131" s="174" t="s">
        <v>859</v>
      </c>
      <c r="D131" s="229">
        <f>10*SQRT((LQs*10^-9)/((CSWS+CDz)*10^-12))</f>
        <v>121.71612389003691</v>
      </c>
      <c r="E131" s="194" t="s">
        <v>35</v>
      </c>
      <c r="F131" s="268" t="s">
        <v>464</v>
      </c>
      <c r="G131" s="216"/>
      <c r="H131" s="216"/>
      <c r="I131" s="216"/>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row>
    <row r="132" spans="1:32" ht="16.2">
      <c r="A132" s="171"/>
      <c r="B132" s="281" t="s">
        <v>860</v>
      </c>
      <c r="C132" s="204" t="s">
        <v>861</v>
      </c>
      <c r="D132" s="31">
        <v>121</v>
      </c>
      <c r="E132" s="269" t="s">
        <v>35</v>
      </c>
      <c r="F132" s="270" t="s">
        <v>465</v>
      </c>
      <c r="G132" s="216"/>
      <c r="H132" s="216"/>
      <c r="I132" s="216"/>
      <c r="J132" s="93"/>
      <c r="K132" s="93"/>
      <c r="L132" s="93"/>
      <c r="M132" s="93"/>
      <c r="N132" s="93"/>
      <c r="O132" s="93"/>
      <c r="P132" s="93"/>
      <c r="Q132" s="93"/>
      <c r="R132" s="93"/>
      <c r="S132" s="93"/>
      <c r="T132" s="93"/>
      <c r="U132" s="93"/>
      <c r="V132" s="93"/>
      <c r="W132" s="93"/>
      <c r="X132" s="93"/>
      <c r="Y132" s="93"/>
      <c r="Z132" s="93"/>
      <c r="AA132" s="93"/>
      <c r="AB132" s="93"/>
      <c r="AC132" s="93"/>
      <c r="AD132" s="93"/>
      <c r="AE132" s="93"/>
    </row>
    <row r="133" spans="1:32" ht="16.5" thickBot="1">
      <c r="A133" s="171"/>
      <c r="B133" s="250" t="s">
        <v>158</v>
      </c>
      <c r="C133" s="251" t="s">
        <v>862</v>
      </c>
      <c r="D133" s="252">
        <f>IF(RSWS_act="",RSWS_rec,RSWS_act)</f>
        <v>121</v>
      </c>
      <c r="E133" s="578" t="s">
        <v>35</v>
      </c>
      <c r="F133" s="579"/>
      <c r="G133" s="216"/>
      <c r="H133" s="216"/>
      <c r="I133" s="216"/>
      <c r="J133" s="93"/>
      <c r="K133" s="93"/>
      <c r="L133" s="93"/>
      <c r="M133" s="93"/>
      <c r="N133" s="93"/>
      <c r="O133" s="93"/>
      <c r="P133" s="93"/>
      <c r="Q133" s="93"/>
      <c r="R133" s="93"/>
      <c r="S133" s="93"/>
      <c r="T133" s="93"/>
      <c r="U133" s="93"/>
      <c r="V133" s="93"/>
      <c r="W133" s="93"/>
      <c r="X133" s="93"/>
      <c r="Y133" s="93"/>
      <c r="Z133" s="93"/>
      <c r="AA133" s="93"/>
      <c r="AB133" s="93"/>
      <c r="AC133" s="93"/>
      <c r="AD133" s="93"/>
      <c r="AE133" s="93"/>
    </row>
    <row r="134" spans="1:32" ht="14.7" thickBot="1">
      <c r="A134" s="171"/>
      <c r="B134" s="166"/>
      <c r="C134" s="246"/>
      <c r="D134" s="168"/>
      <c r="E134" s="169"/>
      <c r="F134" s="170"/>
      <c r="G134" s="216"/>
      <c r="H134" s="216"/>
      <c r="I134" s="216"/>
      <c r="J134" s="93"/>
      <c r="K134" s="93"/>
      <c r="L134" s="93"/>
      <c r="M134" s="93"/>
      <c r="N134" s="93"/>
      <c r="O134" s="93"/>
      <c r="P134" s="93"/>
      <c r="Q134" s="93"/>
      <c r="R134" s="93"/>
      <c r="S134" s="93"/>
      <c r="T134" s="93"/>
      <c r="U134" s="93"/>
      <c r="V134" s="93"/>
      <c r="W134" s="93"/>
      <c r="X134" s="93"/>
      <c r="Y134" s="93"/>
      <c r="Z134" s="93"/>
      <c r="AA134" s="93"/>
      <c r="AB134" s="93"/>
      <c r="AC134" s="93"/>
      <c r="AD134" s="93"/>
      <c r="AE134" s="93"/>
    </row>
    <row r="135" spans="1:32" ht="18" customHeight="1">
      <c r="A135" s="171"/>
      <c r="B135" s="263" t="s">
        <v>57</v>
      </c>
      <c r="C135" s="264"/>
      <c r="D135" s="265"/>
      <c r="E135" s="266"/>
      <c r="F135" s="267"/>
      <c r="G135" s="216"/>
      <c r="H135" s="216"/>
      <c r="I135" s="216"/>
      <c r="J135" s="93"/>
      <c r="K135" s="93"/>
      <c r="L135" s="93"/>
      <c r="M135" s="93"/>
      <c r="N135" s="93"/>
      <c r="O135" s="93"/>
      <c r="P135" s="93"/>
      <c r="Q135" s="93"/>
      <c r="R135" s="93"/>
      <c r="S135" s="93"/>
      <c r="T135" s="93"/>
      <c r="U135" s="93"/>
      <c r="V135" s="93"/>
      <c r="W135" s="93"/>
      <c r="X135" s="93"/>
      <c r="Y135" s="93"/>
      <c r="Z135" s="93"/>
      <c r="AA135" s="93"/>
      <c r="AB135" s="93"/>
      <c r="AC135" s="93"/>
      <c r="AD135" s="93"/>
      <c r="AE135" s="93"/>
    </row>
    <row r="136" spans="1:32" ht="16.2">
      <c r="A136" s="171"/>
      <c r="B136" s="173" t="s">
        <v>863</v>
      </c>
      <c r="C136" s="174" t="s">
        <v>864</v>
      </c>
      <c r="D136" s="292">
        <f>Vth_Qs/(15*10^-6)/1000</f>
        <v>133.33333333333334</v>
      </c>
      <c r="E136" s="301" t="s">
        <v>127</v>
      </c>
      <c r="F136" s="302" t="s">
        <v>508</v>
      </c>
      <c r="G136" s="216"/>
      <c r="H136" s="216"/>
      <c r="I136" s="216"/>
      <c r="J136" s="93"/>
      <c r="K136" s="93"/>
      <c r="L136" s="93"/>
      <c r="M136" s="93"/>
      <c r="N136" s="93"/>
      <c r="O136" s="93"/>
      <c r="P136" s="93"/>
      <c r="Q136" s="93"/>
      <c r="R136" s="93"/>
      <c r="S136" s="93"/>
      <c r="T136" s="93"/>
      <c r="U136" s="93"/>
      <c r="V136" s="93"/>
      <c r="W136" s="93"/>
      <c r="X136" s="93"/>
      <c r="Y136" s="93"/>
      <c r="Z136" s="93"/>
      <c r="AA136" s="93"/>
      <c r="AB136" s="93"/>
      <c r="AC136" s="93"/>
      <c r="AD136" s="93"/>
      <c r="AE136" s="93"/>
    </row>
    <row r="137" spans="1:32" ht="16.2">
      <c r="A137" s="171"/>
      <c r="B137" s="281" t="s">
        <v>865</v>
      </c>
      <c r="C137" s="204" t="s">
        <v>866</v>
      </c>
      <c r="D137" s="66">
        <v>1</v>
      </c>
      <c r="E137" s="255" t="s">
        <v>76</v>
      </c>
      <c r="F137" s="206" t="s">
        <v>867</v>
      </c>
      <c r="G137" s="216"/>
      <c r="H137" s="216"/>
      <c r="I137" s="216"/>
      <c r="J137" s="93"/>
      <c r="K137" s="93"/>
      <c r="L137" s="93"/>
      <c r="M137" s="93"/>
      <c r="N137" s="93"/>
      <c r="O137" s="93"/>
      <c r="P137" s="93"/>
      <c r="Q137" s="93"/>
      <c r="R137" s="93"/>
      <c r="S137" s="93"/>
      <c r="T137" s="93"/>
      <c r="U137" s="93"/>
      <c r="V137" s="93"/>
      <c r="W137" s="93"/>
      <c r="X137" s="93"/>
      <c r="Y137" s="93"/>
      <c r="Z137" s="93"/>
      <c r="AA137" s="93"/>
      <c r="AB137" s="93"/>
      <c r="AC137" s="93"/>
      <c r="AD137" s="93"/>
      <c r="AE137" s="93"/>
    </row>
    <row r="138" spans="1:32" ht="16.2">
      <c r="A138" s="171"/>
      <c r="B138" s="173" t="s">
        <v>868</v>
      </c>
      <c r="C138" s="174" t="s">
        <v>869</v>
      </c>
      <c r="D138" s="248">
        <f>IF(RHVG_act="",RHVG_rec,RHVG_act)</f>
        <v>1</v>
      </c>
      <c r="E138" s="568" t="s">
        <v>76</v>
      </c>
      <c r="F138" s="569"/>
      <c r="G138" s="216"/>
      <c r="H138" s="216"/>
      <c r="I138" s="216"/>
      <c r="J138" s="93"/>
      <c r="K138" s="93"/>
      <c r="L138" s="93"/>
      <c r="M138" s="93"/>
      <c r="N138" s="93"/>
      <c r="O138" s="93"/>
      <c r="P138" s="93"/>
      <c r="Q138" s="93"/>
      <c r="R138" s="93"/>
      <c r="S138" s="93"/>
      <c r="T138" s="93"/>
      <c r="U138" s="93"/>
      <c r="V138" s="93"/>
      <c r="W138" s="93"/>
      <c r="X138" s="93"/>
      <c r="Y138" s="93"/>
      <c r="Z138" s="93"/>
      <c r="AA138" s="93"/>
      <c r="AB138" s="93"/>
      <c r="AC138" s="93"/>
      <c r="AD138" s="93"/>
      <c r="AE138" s="93"/>
    </row>
    <row r="139" spans="1:32" ht="18.75" customHeight="1">
      <c r="A139" s="171"/>
      <c r="B139" s="173" t="s">
        <v>870</v>
      </c>
      <c r="C139" s="174" t="s">
        <v>871</v>
      </c>
      <c r="D139" s="283">
        <f>((Ciss_Qs*10^-12)+(Trise_max*10^-9)/(RHVG*10^6))*(VDz-VHVG)/0.22*10^9*1.2</f>
        <v>1.4548537907763102</v>
      </c>
      <c r="E139" s="303" t="s">
        <v>58</v>
      </c>
      <c r="F139" s="304" t="s">
        <v>424</v>
      </c>
      <c r="G139" s="216"/>
      <c r="H139" s="216"/>
      <c r="I139" s="216"/>
      <c r="J139" s="93"/>
      <c r="K139" s="93"/>
      <c r="L139" s="93"/>
      <c r="M139" s="93"/>
      <c r="N139" s="93"/>
      <c r="O139" s="93"/>
      <c r="P139" s="93"/>
      <c r="Q139" s="93"/>
      <c r="R139" s="93"/>
      <c r="S139" s="93"/>
      <c r="T139" s="93"/>
      <c r="U139" s="93"/>
      <c r="V139" s="93"/>
      <c r="W139" s="93"/>
      <c r="X139" s="93"/>
      <c r="Y139" s="93"/>
      <c r="Z139" s="93"/>
      <c r="AA139" s="93"/>
      <c r="AB139" s="93"/>
      <c r="AC139" s="93"/>
      <c r="AD139" s="93"/>
      <c r="AE139" s="93"/>
    </row>
    <row r="140" spans="1:32" ht="16.2">
      <c r="A140" s="171"/>
      <c r="B140" s="281" t="s">
        <v>872</v>
      </c>
      <c r="C140" s="204" t="s">
        <v>873</v>
      </c>
      <c r="D140" s="66">
        <v>2.2000000000000002</v>
      </c>
      <c r="E140" s="305" t="s">
        <v>58</v>
      </c>
      <c r="F140" s="206" t="s">
        <v>467</v>
      </c>
      <c r="G140" s="216"/>
      <c r="H140" s="216"/>
      <c r="I140" s="216"/>
      <c r="J140" s="93"/>
      <c r="K140" s="93"/>
      <c r="L140" s="93"/>
      <c r="M140" s="93"/>
      <c r="N140" s="93"/>
      <c r="O140" s="93"/>
      <c r="P140" s="93"/>
      <c r="Q140" s="93"/>
      <c r="R140" s="93"/>
      <c r="S140" s="93"/>
      <c r="T140" s="93"/>
      <c r="U140" s="93"/>
      <c r="V140" s="93"/>
      <c r="W140" s="93"/>
      <c r="X140" s="93"/>
      <c r="Y140" s="93"/>
      <c r="Z140" s="93"/>
      <c r="AA140" s="93"/>
      <c r="AB140" s="93"/>
      <c r="AC140" s="93"/>
      <c r="AD140" s="93"/>
      <c r="AE140" s="93"/>
    </row>
    <row r="141" spans="1:32" ht="16.2">
      <c r="A141" s="171"/>
      <c r="B141" s="173" t="s">
        <v>874</v>
      </c>
      <c r="C141" s="174" t="s">
        <v>875</v>
      </c>
      <c r="D141" s="248">
        <f>IF(CHVG_act="",CHVG_rec,CHVG_act)</f>
        <v>2.2000000000000002</v>
      </c>
      <c r="E141" s="230" t="s">
        <v>59</v>
      </c>
      <c r="F141" s="180"/>
      <c r="G141" s="216"/>
      <c r="H141" s="216"/>
      <c r="I141" s="216"/>
      <c r="J141" s="93"/>
      <c r="K141" s="93"/>
      <c r="L141" s="93"/>
      <c r="M141" s="93"/>
      <c r="N141" s="93"/>
      <c r="O141" s="93"/>
      <c r="P141" s="93"/>
      <c r="Q141" s="93"/>
      <c r="R141" s="93"/>
      <c r="S141" s="93"/>
      <c r="T141" s="93"/>
      <c r="U141" s="93"/>
      <c r="V141" s="93"/>
      <c r="W141" s="93"/>
      <c r="X141" s="93"/>
      <c r="Y141" s="93"/>
      <c r="Z141" s="93"/>
      <c r="AA141" s="93"/>
      <c r="AB141" s="93"/>
      <c r="AC141" s="93"/>
      <c r="AD141" s="93"/>
      <c r="AE141" s="93"/>
    </row>
    <row r="142" spans="1:32" ht="16.2">
      <c r="A142" s="171"/>
      <c r="B142" s="173" t="s">
        <v>876</v>
      </c>
      <c r="C142" s="174" t="s">
        <v>877</v>
      </c>
      <c r="D142" s="283">
        <f>((IRUN_VDD*10^-3-Iwait_VDD*10^-3)*tD_RUN_PWML*10^-6)/(2*0.05)*10^6*1.2</f>
        <v>5.5439999999999996E-2</v>
      </c>
      <c r="E142" s="230" t="s">
        <v>129</v>
      </c>
      <c r="F142" s="180" t="s">
        <v>131</v>
      </c>
      <c r="G142" s="216"/>
      <c r="H142" s="216"/>
      <c r="I142" s="216"/>
      <c r="J142" s="93"/>
      <c r="K142" s="93"/>
      <c r="L142" s="93"/>
      <c r="M142" s="93"/>
      <c r="N142" s="93"/>
      <c r="O142" s="93"/>
      <c r="P142" s="93"/>
      <c r="Q142" s="93"/>
      <c r="R142" s="93"/>
      <c r="S142" s="93"/>
      <c r="T142" s="93"/>
      <c r="U142" s="93"/>
      <c r="V142" s="93"/>
      <c r="W142" s="93"/>
      <c r="X142" s="93"/>
      <c r="Y142" s="93"/>
      <c r="Z142" s="93"/>
      <c r="AA142" s="93"/>
      <c r="AB142" s="93"/>
      <c r="AC142" s="93"/>
      <c r="AD142" s="93"/>
      <c r="AE142" s="93"/>
    </row>
    <row r="143" spans="1:32" ht="16.2">
      <c r="A143" s="171"/>
      <c r="B143" s="281" t="s">
        <v>878</v>
      </c>
      <c r="C143" s="204" t="s">
        <v>879</v>
      </c>
      <c r="D143" s="66">
        <v>0.1</v>
      </c>
      <c r="E143" s="306" t="s">
        <v>60</v>
      </c>
      <c r="F143" s="307" t="s">
        <v>468</v>
      </c>
      <c r="G143" s="216"/>
      <c r="H143" s="216"/>
      <c r="I143" s="216"/>
      <c r="J143" s="93"/>
      <c r="K143" s="93"/>
      <c r="L143" s="93"/>
      <c r="M143" s="93"/>
      <c r="N143" s="93"/>
      <c r="O143" s="93"/>
      <c r="P143" s="93"/>
      <c r="Q143" s="93"/>
      <c r="R143" s="93"/>
      <c r="S143" s="93"/>
      <c r="T143" s="93"/>
      <c r="U143" s="93"/>
      <c r="V143" s="93"/>
      <c r="W143" s="93"/>
      <c r="X143" s="93"/>
      <c r="Y143" s="93"/>
      <c r="Z143" s="93"/>
      <c r="AA143" s="93"/>
      <c r="AB143" s="93"/>
      <c r="AC143" s="93"/>
      <c r="AD143" s="93"/>
      <c r="AE143" s="93"/>
    </row>
    <row r="144" spans="1:32" ht="16.5" thickBot="1">
      <c r="A144" s="171"/>
      <c r="B144" s="250" t="s">
        <v>880</v>
      </c>
      <c r="C144" s="251" t="s">
        <v>881</v>
      </c>
      <c r="D144" s="260">
        <f>IF(CREF_act="",CREF_rec,CREF_act)</f>
        <v>0.1</v>
      </c>
      <c r="E144" s="287" t="s">
        <v>60</v>
      </c>
      <c r="F144" s="288"/>
      <c r="G144" s="216"/>
      <c r="H144" s="216"/>
      <c r="I144" s="216"/>
      <c r="J144" s="93"/>
      <c r="K144" s="93"/>
      <c r="L144" s="93"/>
      <c r="M144" s="93"/>
      <c r="N144" s="93"/>
      <c r="O144" s="93"/>
      <c r="P144" s="93"/>
      <c r="Q144" s="93"/>
      <c r="R144" s="93"/>
      <c r="S144" s="93"/>
      <c r="T144" s="93"/>
      <c r="U144" s="93"/>
      <c r="V144" s="93"/>
      <c r="W144" s="93"/>
      <c r="X144" s="93"/>
      <c r="Y144" s="93"/>
      <c r="Z144" s="93"/>
      <c r="AA144" s="93"/>
      <c r="AB144" s="93"/>
      <c r="AC144" s="93"/>
      <c r="AD144" s="93"/>
      <c r="AE144" s="93"/>
    </row>
    <row r="145" spans="1:31" ht="14.7" thickBot="1">
      <c r="A145" s="171"/>
      <c r="B145" s="166"/>
      <c r="C145" s="246"/>
      <c r="D145" s="168"/>
      <c r="E145" s="169"/>
      <c r="F145" s="170"/>
      <c r="G145" s="216"/>
      <c r="H145" s="216"/>
      <c r="I145" s="216"/>
      <c r="J145" s="93"/>
      <c r="K145" s="93"/>
      <c r="L145" s="93"/>
      <c r="M145" s="93"/>
      <c r="N145" s="93"/>
      <c r="O145" s="93"/>
      <c r="P145" s="93"/>
      <c r="Q145" s="93"/>
      <c r="R145" s="93"/>
      <c r="S145" s="93"/>
      <c r="T145" s="93"/>
      <c r="U145" s="93"/>
      <c r="V145" s="93"/>
      <c r="W145" s="93"/>
      <c r="X145" s="93"/>
      <c r="Y145" s="93"/>
      <c r="Z145" s="93"/>
      <c r="AA145" s="93"/>
      <c r="AB145" s="93"/>
      <c r="AC145" s="93"/>
      <c r="AD145" s="93"/>
      <c r="AE145" s="93"/>
    </row>
    <row r="146" spans="1:31" ht="18" customHeight="1">
      <c r="A146" s="171"/>
      <c r="B146" s="263" t="s">
        <v>519</v>
      </c>
      <c r="C146" s="264"/>
      <c r="D146" s="265"/>
      <c r="E146" s="266"/>
      <c r="F146" s="267"/>
      <c r="G146" s="216"/>
      <c r="H146" s="216"/>
      <c r="I146" s="216"/>
      <c r="J146" s="93"/>
      <c r="K146" s="93"/>
      <c r="L146" s="93"/>
      <c r="M146" s="93"/>
      <c r="N146" s="93"/>
      <c r="O146" s="93"/>
      <c r="P146" s="93"/>
      <c r="Q146" s="93"/>
      <c r="R146" s="93"/>
      <c r="S146" s="93"/>
      <c r="T146" s="93"/>
      <c r="U146" s="93"/>
      <c r="V146" s="93"/>
      <c r="W146" s="93"/>
      <c r="X146" s="93"/>
      <c r="Y146" s="93"/>
      <c r="Z146" s="93"/>
      <c r="AA146" s="93"/>
      <c r="AB146" s="93"/>
      <c r="AC146" s="93"/>
      <c r="AD146" s="93"/>
      <c r="AE146" s="93"/>
    </row>
    <row r="147" spans="1:31" ht="16.2">
      <c r="A147" s="171"/>
      <c r="B147" s="173" t="s">
        <v>509</v>
      </c>
      <c r="C147" s="174" t="s">
        <v>885</v>
      </c>
      <c r="D147" s="229">
        <f>((Qg_Qh*10^-9+(IVCC_qcc*10^-3)/(fBUR_LR*10^3))/((VDD-Vf_BootD-11)-ipk_BUR_min*(RCS+RDSon_QL)))*10^9</f>
        <v>3.4526135167611054</v>
      </c>
      <c r="E147" s="568" t="s">
        <v>58</v>
      </c>
      <c r="F147" s="569"/>
      <c r="G147" s="216"/>
      <c r="H147" s="216"/>
      <c r="I147" s="216"/>
      <c r="J147" s="93"/>
      <c r="K147" s="93"/>
      <c r="L147" s="93"/>
      <c r="M147" s="93"/>
      <c r="N147" s="93"/>
      <c r="O147" s="93"/>
      <c r="P147" s="93"/>
      <c r="Q147" s="93"/>
      <c r="R147" s="93"/>
      <c r="S147" s="93"/>
      <c r="T147" s="93"/>
      <c r="U147" s="93"/>
      <c r="V147" s="93"/>
      <c r="W147" s="93"/>
      <c r="X147" s="93"/>
      <c r="Y147" s="93"/>
      <c r="Z147" s="93"/>
      <c r="AA147" s="93"/>
      <c r="AB147" s="93"/>
      <c r="AC147" s="93"/>
      <c r="AD147" s="93"/>
      <c r="AE147" s="93"/>
    </row>
    <row r="148" spans="1:31" ht="16.2">
      <c r="A148" s="171"/>
      <c r="B148" s="173" t="s">
        <v>510</v>
      </c>
      <c r="C148" s="174" t="s">
        <v>886</v>
      </c>
      <c r="D148" s="229">
        <f>((0.1*(IVCC_qcc*10^-3)/fBUR_standyby)/(VDD-Vf_BootD-8.5))*10^9</f>
        <v>21.276595744680847</v>
      </c>
      <c r="E148" s="568" t="s">
        <v>58</v>
      </c>
      <c r="F148" s="569"/>
      <c r="G148" s="216"/>
      <c r="H148" s="216"/>
      <c r="I148" s="216"/>
      <c r="J148" s="93"/>
      <c r="K148" s="93"/>
      <c r="L148" s="93"/>
      <c r="M148" s="93"/>
      <c r="N148" s="93"/>
      <c r="O148" s="93"/>
      <c r="P148" s="93"/>
      <c r="Q148" s="93"/>
      <c r="R148" s="93"/>
      <c r="S148" s="93"/>
      <c r="T148" s="93"/>
      <c r="U148" s="93"/>
      <c r="V148" s="93"/>
      <c r="W148" s="93"/>
      <c r="X148" s="93"/>
      <c r="Y148" s="93"/>
      <c r="Z148" s="93"/>
      <c r="AA148" s="93"/>
      <c r="AB148" s="93"/>
      <c r="AC148" s="93"/>
      <c r="AD148" s="93"/>
      <c r="AE148" s="93"/>
    </row>
    <row r="149" spans="1:31" ht="16.2">
      <c r="A149" s="171"/>
      <c r="B149" s="281" t="s">
        <v>159</v>
      </c>
      <c r="C149" s="204" t="s">
        <v>887</v>
      </c>
      <c r="D149" s="31">
        <v>15</v>
      </c>
      <c r="E149" s="306" t="s">
        <v>58</v>
      </c>
      <c r="F149" s="307" t="s">
        <v>884</v>
      </c>
      <c r="G149" s="216"/>
      <c r="H149" s="216"/>
      <c r="I149" s="216"/>
      <c r="J149" s="93"/>
      <c r="K149" s="93"/>
      <c r="L149" s="93"/>
      <c r="M149" s="93"/>
      <c r="N149" s="93"/>
      <c r="O149" s="93"/>
      <c r="P149" s="93"/>
      <c r="Q149" s="93"/>
      <c r="R149" s="93"/>
      <c r="S149" s="93"/>
      <c r="T149" s="93"/>
      <c r="U149" s="93"/>
      <c r="V149" s="93"/>
      <c r="W149" s="93"/>
      <c r="X149" s="93"/>
      <c r="Y149" s="93"/>
      <c r="Z149" s="93"/>
      <c r="AA149" s="93"/>
      <c r="AB149" s="93"/>
      <c r="AC149" s="93"/>
      <c r="AD149" s="93"/>
      <c r="AE149" s="93"/>
    </row>
    <row r="150" spans="1:31" ht="18.75" customHeight="1">
      <c r="A150" s="171"/>
      <c r="B150" s="173" t="s">
        <v>888</v>
      </c>
      <c r="C150" s="174" t="s">
        <v>889</v>
      </c>
      <c r="D150" s="283">
        <f>(10*Cboot)*10^-3</f>
        <v>0.15</v>
      </c>
      <c r="E150" s="230" t="s">
        <v>168</v>
      </c>
      <c r="F150" s="180" t="s">
        <v>882</v>
      </c>
      <c r="G150" s="216"/>
      <c r="H150" s="216"/>
      <c r="I150" s="216"/>
      <c r="J150" s="93"/>
      <c r="K150" s="93"/>
      <c r="L150" s="93"/>
      <c r="M150" s="93"/>
      <c r="N150" s="93"/>
      <c r="O150" s="93"/>
      <c r="P150" s="93"/>
      <c r="Q150" s="93"/>
      <c r="R150" s="93"/>
      <c r="S150" s="93"/>
      <c r="T150" s="93"/>
      <c r="U150" s="93"/>
      <c r="V150" s="93"/>
      <c r="W150" s="93"/>
      <c r="X150" s="93"/>
      <c r="Y150" s="93"/>
      <c r="Z150" s="93"/>
      <c r="AA150" s="93"/>
      <c r="AB150" s="93"/>
      <c r="AC150" s="93"/>
      <c r="AD150" s="93"/>
      <c r="AE150" s="93"/>
    </row>
    <row r="151" spans="1:31" ht="30">
      <c r="A151" s="171"/>
      <c r="B151" s="281" t="s">
        <v>890</v>
      </c>
      <c r="C151" s="204" t="s">
        <v>891</v>
      </c>
      <c r="D151" s="66">
        <v>0.15</v>
      </c>
      <c r="E151" s="306" t="s">
        <v>60</v>
      </c>
      <c r="F151" s="308" t="s">
        <v>1043</v>
      </c>
      <c r="G151" s="216"/>
      <c r="H151" s="216"/>
      <c r="I151" s="216"/>
      <c r="J151" s="93"/>
      <c r="K151" s="93"/>
      <c r="L151" s="93"/>
      <c r="M151" s="93"/>
      <c r="N151" s="93"/>
      <c r="O151" s="93"/>
      <c r="P151" s="93"/>
      <c r="Q151" s="93"/>
      <c r="R151" s="93"/>
      <c r="S151" s="93"/>
      <c r="T151" s="93"/>
      <c r="U151" s="93"/>
      <c r="V151" s="93"/>
      <c r="W151" s="93"/>
      <c r="X151" s="93"/>
      <c r="Y151" s="93"/>
      <c r="Z151" s="93"/>
      <c r="AA151" s="93"/>
      <c r="AB151" s="93"/>
      <c r="AC151" s="93"/>
      <c r="AD151" s="93"/>
      <c r="AE151" s="93"/>
    </row>
    <row r="152" spans="1:31" ht="16.2">
      <c r="A152" s="171"/>
      <c r="B152" s="173" t="s">
        <v>892</v>
      </c>
      <c r="C152" s="174" t="s">
        <v>893</v>
      </c>
      <c r="D152" s="292">
        <f>10*RCS</f>
        <v>7.32</v>
      </c>
      <c r="E152" s="230" t="s">
        <v>169</v>
      </c>
      <c r="F152" s="180" t="s">
        <v>883</v>
      </c>
      <c r="G152" s="216"/>
      <c r="H152" s="216"/>
      <c r="I152" s="216"/>
      <c r="J152" s="93"/>
      <c r="K152" s="93"/>
      <c r="L152" s="93"/>
      <c r="M152" s="93"/>
      <c r="N152" s="93"/>
      <c r="O152" s="93"/>
      <c r="P152" s="93"/>
      <c r="Q152" s="93"/>
      <c r="R152" s="93"/>
      <c r="S152" s="93"/>
      <c r="T152" s="93"/>
      <c r="U152" s="93"/>
      <c r="V152" s="93"/>
      <c r="W152" s="93"/>
      <c r="X152" s="93"/>
      <c r="Y152" s="93"/>
      <c r="Z152" s="93"/>
      <c r="AA152" s="93"/>
      <c r="AB152" s="93"/>
      <c r="AC152" s="93"/>
      <c r="AD152" s="93"/>
      <c r="AE152" s="93"/>
    </row>
    <row r="153" spans="1:31" ht="16.5" thickBot="1">
      <c r="A153" s="171"/>
      <c r="B153" s="207" t="s">
        <v>894</v>
      </c>
      <c r="C153" s="208" t="s">
        <v>895</v>
      </c>
      <c r="D153" s="1">
        <v>10</v>
      </c>
      <c r="E153" s="309" t="s">
        <v>169</v>
      </c>
      <c r="F153" s="210"/>
      <c r="G153" s="216"/>
      <c r="H153" s="216"/>
      <c r="I153" s="216"/>
      <c r="J153" s="93"/>
      <c r="K153" s="93"/>
      <c r="L153" s="93"/>
      <c r="M153" s="93"/>
      <c r="N153" s="93"/>
      <c r="O153" s="93"/>
      <c r="P153" s="93"/>
      <c r="Q153" s="93"/>
      <c r="R153" s="93"/>
      <c r="S153" s="93"/>
      <c r="T153" s="93"/>
      <c r="U153" s="93"/>
      <c r="V153" s="93"/>
      <c r="W153" s="93"/>
      <c r="X153" s="93"/>
      <c r="Y153" s="93"/>
      <c r="Z153" s="93"/>
      <c r="AA153" s="93"/>
      <c r="AB153" s="93"/>
      <c r="AC153" s="93"/>
      <c r="AD153" s="93"/>
      <c r="AE153" s="93"/>
    </row>
    <row r="154" spans="1:31" ht="14.7" thickBot="1">
      <c r="A154" s="171"/>
      <c r="B154" s="166"/>
      <c r="C154" s="246"/>
      <c r="D154" s="168"/>
      <c r="E154" s="169"/>
      <c r="F154" s="170"/>
      <c r="G154" s="216"/>
      <c r="H154" s="216"/>
      <c r="I154" s="216"/>
      <c r="J154" s="93"/>
      <c r="K154" s="93"/>
      <c r="L154" s="93"/>
      <c r="M154" s="93"/>
      <c r="N154" s="93"/>
      <c r="O154" s="93"/>
      <c r="P154" s="93"/>
      <c r="Q154" s="93"/>
      <c r="R154" s="93"/>
      <c r="S154" s="93"/>
      <c r="T154" s="93"/>
      <c r="U154" s="93"/>
      <c r="V154" s="93"/>
      <c r="W154" s="93"/>
      <c r="X154" s="93"/>
      <c r="Y154" s="93"/>
      <c r="Z154" s="93"/>
      <c r="AA154" s="93"/>
      <c r="AB154" s="93"/>
      <c r="AC154" s="93"/>
      <c r="AD154" s="93"/>
      <c r="AE154" s="93"/>
    </row>
    <row r="155" spans="1:31" ht="18" customHeight="1">
      <c r="A155" s="171"/>
      <c r="B155" s="263" t="s">
        <v>62</v>
      </c>
      <c r="C155" s="264"/>
      <c r="D155" s="265"/>
      <c r="E155" s="266"/>
      <c r="F155" s="267"/>
      <c r="G155" s="216"/>
      <c r="H155" s="216"/>
      <c r="I155" s="216"/>
      <c r="J155" s="93"/>
      <c r="K155" s="93"/>
      <c r="L155" s="93"/>
      <c r="M155" s="93"/>
      <c r="N155" s="93"/>
      <c r="O155" s="93"/>
      <c r="P155" s="93"/>
      <c r="Q155" s="93"/>
      <c r="R155" s="93"/>
      <c r="S155" s="93"/>
      <c r="T155" s="93"/>
      <c r="U155" s="93"/>
      <c r="V155" s="93"/>
      <c r="W155" s="93"/>
      <c r="X155" s="93"/>
      <c r="Y155" s="93"/>
      <c r="Z155" s="93"/>
      <c r="AA155" s="93"/>
      <c r="AB155" s="93"/>
      <c r="AC155" s="93"/>
      <c r="AD155" s="93"/>
      <c r="AE155" s="93"/>
    </row>
    <row r="156" spans="1:31" ht="16.2">
      <c r="A156" s="171"/>
      <c r="B156" s="173" t="s">
        <v>355</v>
      </c>
      <c r="C156" s="174" t="s">
        <v>896</v>
      </c>
      <c r="D156" s="248">
        <f>(NA/NS)*VOUT-Vf_Daux</f>
        <v>18.900000000000002</v>
      </c>
      <c r="E156" s="568" t="s">
        <v>54</v>
      </c>
      <c r="F156" s="569"/>
      <c r="G156" s="216"/>
      <c r="H156" s="216"/>
      <c r="I156" s="216"/>
      <c r="J156" s="93"/>
      <c r="K156" s="93"/>
      <c r="L156" s="93"/>
      <c r="M156" s="93"/>
      <c r="N156" s="93"/>
      <c r="O156" s="93"/>
      <c r="P156" s="93"/>
      <c r="Q156" s="93"/>
      <c r="R156" s="93"/>
      <c r="S156" s="93"/>
      <c r="T156" s="93"/>
      <c r="U156" s="93"/>
      <c r="V156" s="93"/>
      <c r="W156" s="93"/>
      <c r="X156" s="93"/>
      <c r="Y156" s="93"/>
      <c r="Z156" s="93"/>
      <c r="AA156" s="93"/>
      <c r="AB156" s="93"/>
      <c r="AC156" s="93"/>
      <c r="AD156" s="93"/>
      <c r="AE156" s="93"/>
    </row>
    <row r="157" spans="1:31" ht="16.2">
      <c r="A157" s="171"/>
      <c r="B157" s="173" t="s">
        <v>897</v>
      </c>
      <c r="C157" s="174" t="s">
        <v>898</v>
      </c>
      <c r="D157" s="292">
        <f>(VDD-VDD_off)/IDaux_max</f>
        <v>7.2800000000000011</v>
      </c>
      <c r="E157" s="568" t="s">
        <v>35</v>
      </c>
      <c r="F157" s="569"/>
      <c r="G157" s="216"/>
      <c r="H157" s="216"/>
      <c r="I157" s="216"/>
      <c r="J157" s="93"/>
      <c r="K157" s="93"/>
      <c r="L157" s="93"/>
      <c r="M157" s="93"/>
      <c r="N157" s="93"/>
      <c r="O157" s="93"/>
      <c r="P157" s="93"/>
      <c r="Q157" s="93"/>
      <c r="R157" s="93"/>
      <c r="S157" s="93"/>
      <c r="T157" s="93"/>
      <c r="U157" s="93"/>
      <c r="V157" s="93"/>
      <c r="W157" s="93"/>
      <c r="X157" s="93"/>
      <c r="Y157" s="93"/>
      <c r="Z157" s="93"/>
      <c r="AA157" s="93"/>
      <c r="AB157" s="93"/>
      <c r="AC157" s="93"/>
      <c r="AD157" s="93"/>
      <c r="AE157" s="93"/>
    </row>
    <row r="158" spans="1:31" ht="16.2">
      <c r="A158" s="171"/>
      <c r="B158" s="281" t="s">
        <v>899</v>
      </c>
      <c r="C158" s="204" t="s">
        <v>900</v>
      </c>
      <c r="D158" s="66">
        <v>10</v>
      </c>
      <c r="E158" s="570" t="s">
        <v>35</v>
      </c>
      <c r="F158" s="571"/>
      <c r="G158" s="216"/>
      <c r="H158" s="216"/>
      <c r="I158" s="216"/>
      <c r="J158" s="93"/>
      <c r="K158" s="93"/>
      <c r="L158" s="93"/>
      <c r="M158" s="93"/>
      <c r="N158" s="93"/>
      <c r="O158" s="93"/>
      <c r="P158" s="93"/>
      <c r="Q158" s="93"/>
      <c r="R158" s="93"/>
      <c r="S158" s="93"/>
      <c r="T158" s="93"/>
      <c r="U158" s="93"/>
      <c r="V158" s="93"/>
      <c r="W158" s="93"/>
      <c r="X158" s="93"/>
      <c r="Y158" s="93"/>
      <c r="Z158" s="93"/>
      <c r="AA158" s="93"/>
      <c r="AB158" s="93"/>
      <c r="AC158" s="93"/>
      <c r="AD158" s="93"/>
      <c r="AE158" s="93"/>
    </row>
    <row r="159" spans="1:31" ht="16.2">
      <c r="A159" s="171"/>
      <c r="B159" s="173" t="s">
        <v>901</v>
      </c>
      <c r="C159" s="174" t="s">
        <v>902</v>
      </c>
      <c r="D159" s="248">
        <f>IF(RDD1_act="",RDD1_rec,RDD1_act)</f>
        <v>10</v>
      </c>
      <c r="E159" s="568" t="s">
        <v>35</v>
      </c>
      <c r="F159" s="569"/>
      <c r="G159" s="216"/>
      <c r="H159" s="216"/>
      <c r="I159" s="216"/>
      <c r="J159" s="93"/>
      <c r="K159" s="93"/>
      <c r="L159" s="93"/>
      <c r="M159" s="93"/>
      <c r="N159" s="93"/>
      <c r="O159" s="93"/>
      <c r="P159" s="93"/>
      <c r="Q159" s="93"/>
      <c r="R159" s="93"/>
      <c r="S159" s="93"/>
      <c r="T159" s="93"/>
      <c r="U159" s="93"/>
      <c r="V159" s="93"/>
      <c r="W159" s="93"/>
      <c r="X159" s="93"/>
      <c r="Y159" s="93"/>
      <c r="Z159" s="93"/>
      <c r="AA159" s="93"/>
      <c r="AB159" s="93"/>
      <c r="AC159" s="93"/>
      <c r="AD159" s="93"/>
      <c r="AE159" s="93"/>
    </row>
    <row r="160" spans="1:31" ht="16.2">
      <c r="A160" s="171"/>
      <c r="B160" s="173" t="s">
        <v>903</v>
      </c>
      <c r="C160" s="174" t="s">
        <v>904</v>
      </c>
      <c r="D160" s="296">
        <f>CHVG*10^-9*(VDD_on-VDD_off-Vth_Qs)/((Istart_HVG-15)*10^-6)*10^3</f>
        <v>0.16720000000000002</v>
      </c>
      <c r="E160" s="301" t="s">
        <v>63</v>
      </c>
      <c r="F160" s="302"/>
      <c r="G160" s="216"/>
      <c r="H160" s="216"/>
      <c r="I160" s="216"/>
      <c r="J160" s="93"/>
      <c r="K160" s="93"/>
      <c r="L160" s="93"/>
      <c r="M160" s="93"/>
      <c r="N160" s="93"/>
      <c r="O160" s="93"/>
      <c r="P160" s="93"/>
      <c r="Q160" s="93"/>
      <c r="R160" s="93"/>
      <c r="S160" s="93"/>
      <c r="T160" s="93"/>
      <c r="U160" s="93"/>
      <c r="V160" s="93"/>
      <c r="W160" s="93"/>
      <c r="X160" s="93"/>
      <c r="Y160" s="93"/>
      <c r="Z160" s="93"/>
      <c r="AA160" s="93"/>
      <c r="AB160" s="93"/>
      <c r="AC160" s="93"/>
      <c r="AD160" s="93"/>
      <c r="AE160" s="93"/>
    </row>
    <row r="161" spans="1:31" ht="16.2">
      <c r="A161" s="171"/>
      <c r="B161" s="173" t="s">
        <v>905</v>
      </c>
      <c r="C161" s="174" t="s">
        <v>906</v>
      </c>
      <c r="D161" s="292">
        <f>IF(Vin_type="AC",
((COUT*10^-6)*VOUT/(NPS*VCST_max*VINPUT_Brownout*1.414/(2*RCS*(VINPUT_Brownout*1.414+NPS*VOUT))-IOUT)+0.001)*10^3,
((COUT*10^-6)*VOUT/(NPS*VCST_max*VINPUT_Brownout/(2*RCS*(VINPUT_Brownout+NPS*VOUT))-IOUT)+0.001)*10^3)</f>
        <v>7.3912729605351846</v>
      </c>
      <c r="E161" s="297" t="s">
        <v>63</v>
      </c>
      <c r="F161" s="304" t="s">
        <v>1042</v>
      </c>
      <c r="G161" s="216"/>
      <c r="H161" s="233"/>
      <c r="I161" s="234"/>
      <c r="J161" s="93"/>
      <c r="K161" s="93"/>
      <c r="L161" s="93"/>
      <c r="M161" s="93"/>
      <c r="N161" s="93"/>
      <c r="O161" s="93"/>
      <c r="P161" s="93"/>
      <c r="Q161" s="93"/>
      <c r="R161" s="93"/>
      <c r="S161" s="93"/>
      <c r="T161" s="93"/>
      <c r="U161" s="93"/>
      <c r="V161" s="93"/>
      <c r="W161" s="93"/>
      <c r="X161" s="93"/>
      <c r="Y161" s="93"/>
      <c r="Z161" s="93"/>
      <c r="AA161" s="93"/>
      <c r="AB161" s="93"/>
      <c r="AC161" s="93"/>
      <c r="AD161" s="93"/>
      <c r="AE161" s="93"/>
    </row>
    <row r="162" spans="1:31" ht="16.2">
      <c r="A162" s="171"/>
      <c r="B162" s="281" t="s">
        <v>975</v>
      </c>
      <c r="C162" s="204" t="s">
        <v>907</v>
      </c>
      <c r="D162" s="31">
        <v>-70</v>
      </c>
      <c r="E162" s="310" t="s">
        <v>173</v>
      </c>
      <c r="F162" s="311" t="s">
        <v>353</v>
      </c>
      <c r="G162" s="216"/>
      <c r="H162" s="216"/>
      <c r="I162" s="216"/>
      <c r="J162" s="93"/>
      <c r="K162" s="93"/>
      <c r="L162" s="93"/>
      <c r="M162" s="93"/>
      <c r="N162" s="93"/>
      <c r="O162" s="93"/>
      <c r="P162" s="93"/>
      <c r="Q162" s="93"/>
      <c r="R162" s="93"/>
      <c r="S162" s="93"/>
      <c r="T162" s="93"/>
      <c r="U162" s="93"/>
      <c r="V162" s="93"/>
      <c r="W162" s="93"/>
      <c r="X162" s="93"/>
      <c r="Y162" s="93"/>
      <c r="Z162" s="93"/>
      <c r="AA162" s="93"/>
      <c r="AB162" s="93"/>
      <c r="AC162" s="93"/>
      <c r="AD162" s="93"/>
      <c r="AE162" s="93"/>
    </row>
    <row r="163" spans="1:31" ht="16.2">
      <c r="A163" s="171"/>
      <c r="B163" s="173" t="s">
        <v>908</v>
      </c>
      <c r="C163" s="174" t="s">
        <v>909</v>
      </c>
      <c r="D163" s="292">
        <f>(((IEN_VDD+IVCC_qcc)*THVG*10^-6+(IRUN_VDD+IVCC_sw)*(TSS_max+tD_RUN_PWML)*10^-6+CREF*VREF*10^-6)/(VDD_on-VDD_off))*10^6/((100+Drea_CDD1)/100)</f>
        <v>18.87326850894906</v>
      </c>
      <c r="E163" s="176" t="s">
        <v>26</v>
      </c>
      <c r="F163" s="177" t="s">
        <v>470</v>
      </c>
      <c r="G163" s="216"/>
      <c r="H163" s="216"/>
      <c r="I163" s="216"/>
      <c r="J163" s="93"/>
      <c r="K163" s="93"/>
      <c r="L163" s="93"/>
      <c r="M163" s="93"/>
      <c r="N163" s="93"/>
      <c r="O163" s="93"/>
      <c r="P163" s="93"/>
      <c r="Q163" s="93"/>
      <c r="R163" s="93"/>
      <c r="S163" s="93"/>
      <c r="T163" s="93"/>
      <c r="U163" s="93"/>
      <c r="V163" s="93"/>
      <c r="W163" s="93"/>
      <c r="X163" s="93"/>
      <c r="Y163" s="93"/>
      <c r="Z163" s="93"/>
      <c r="AA163" s="93"/>
      <c r="AB163" s="93"/>
      <c r="AC163" s="93"/>
      <c r="AD163" s="93"/>
      <c r="AE163" s="93"/>
    </row>
    <row r="164" spans="1:31" ht="16.2">
      <c r="A164" s="171"/>
      <c r="B164" s="281" t="s">
        <v>910</v>
      </c>
      <c r="C164" s="204" t="s">
        <v>911</v>
      </c>
      <c r="D164" s="66">
        <v>18</v>
      </c>
      <c r="E164" s="306" t="s">
        <v>60</v>
      </c>
      <c r="F164" s="307" t="s">
        <v>912</v>
      </c>
      <c r="G164" s="216"/>
      <c r="H164" s="216"/>
      <c r="I164" s="216"/>
      <c r="J164" s="93"/>
      <c r="K164" s="93"/>
      <c r="L164" s="93"/>
      <c r="M164" s="93"/>
      <c r="N164" s="93"/>
      <c r="O164" s="93"/>
      <c r="P164" s="93"/>
      <c r="Q164" s="93"/>
      <c r="R164" s="93"/>
      <c r="S164" s="93"/>
      <c r="T164" s="93"/>
      <c r="U164" s="93"/>
      <c r="V164" s="93"/>
      <c r="W164" s="93"/>
      <c r="X164" s="93"/>
      <c r="Y164" s="93"/>
      <c r="Z164" s="93"/>
      <c r="AA164" s="93"/>
      <c r="AB164" s="93"/>
      <c r="AC164" s="93"/>
      <c r="AD164" s="93"/>
      <c r="AE164" s="93"/>
    </row>
    <row r="165" spans="1:31" ht="16.5" thickBot="1">
      <c r="A165" s="171"/>
      <c r="B165" s="250" t="s">
        <v>913</v>
      </c>
      <c r="C165" s="251" t="s">
        <v>914</v>
      </c>
      <c r="D165" s="260">
        <f>IF(CDD1_act="",CDD1_rec,CDD1_act)</f>
        <v>18</v>
      </c>
      <c r="E165" s="287" t="s">
        <v>60</v>
      </c>
      <c r="F165" s="288"/>
      <c r="G165" s="216"/>
      <c r="H165" s="216"/>
      <c r="I165" s="216"/>
      <c r="J165" s="93"/>
      <c r="K165" s="93"/>
      <c r="L165" s="93"/>
      <c r="M165" s="93"/>
      <c r="N165" s="93"/>
      <c r="O165" s="93"/>
      <c r="P165" s="93"/>
      <c r="Q165" s="93"/>
      <c r="R165" s="93"/>
      <c r="S165" s="93"/>
      <c r="T165" s="93"/>
      <c r="U165" s="93"/>
      <c r="V165" s="93"/>
      <c r="W165" s="93"/>
      <c r="X165" s="93"/>
      <c r="Y165" s="93"/>
      <c r="Z165" s="93"/>
      <c r="AA165" s="93"/>
      <c r="AB165" s="93"/>
      <c r="AC165" s="93"/>
      <c r="AD165" s="93"/>
      <c r="AE165" s="93"/>
    </row>
    <row r="166" spans="1:31" ht="14.7" thickBot="1">
      <c r="A166" s="171"/>
      <c r="B166" s="166"/>
      <c r="C166" s="246"/>
      <c r="D166" s="168"/>
      <c r="E166" s="169"/>
      <c r="F166" s="170"/>
      <c r="G166" s="216"/>
      <c r="H166" s="216"/>
      <c r="I166" s="216"/>
      <c r="J166" s="93"/>
      <c r="K166" s="93"/>
      <c r="L166" s="93"/>
      <c r="M166" s="93"/>
      <c r="N166" s="93"/>
      <c r="O166" s="93"/>
      <c r="P166" s="93"/>
      <c r="Q166" s="93"/>
      <c r="R166" s="93"/>
      <c r="S166" s="93"/>
      <c r="T166" s="93"/>
      <c r="U166" s="93"/>
      <c r="V166" s="93"/>
      <c r="W166" s="93"/>
      <c r="X166" s="93"/>
      <c r="Y166" s="93"/>
      <c r="Z166" s="93"/>
      <c r="AA166" s="93"/>
      <c r="AB166" s="93"/>
      <c r="AC166" s="93"/>
      <c r="AD166" s="93"/>
      <c r="AE166" s="93"/>
    </row>
    <row r="167" spans="1:31" ht="18" customHeight="1">
      <c r="A167" s="171"/>
      <c r="B167" s="263" t="s">
        <v>66</v>
      </c>
      <c r="C167" s="264"/>
      <c r="D167" s="265"/>
      <c r="E167" s="266"/>
      <c r="F167" s="267"/>
      <c r="G167" s="216"/>
      <c r="H167" s="216"/>
      <c r="I167" s="216"/>
      <c r="J167" s="93"/>
      <c r="K167" s="93"/>
      <c r="L167" s="93"/>
      <c r="M167" s="93"/>
      <c r="N167" s="93"/>
      <c r="O167" s="93"/>
      <c r="P167" s="93"/>
      <c r="Q167" s="93"/>
      <c r="R167" s="93"/>
      <c r="S167" s="93"/>
      <c r="T167" s="93"/>
      <c r="U167" s="93"/>
      <c r="V167" s="93"/>
      <c r="W167" s="93"/>
      <c r="X167" s="93"/>
      <c r="Y167" s="93"/>
      <c r="Z167" s="93"/>
      <c r="AA167" s="93"/>
      <c r="AB167" s="93"/>
      <c r="AC167" s="93"/>
      <c r="AD167" s="93"/>
      <c r="AE167" s="93"/>
    </row>
    <row r="168" spans="1:31" ht="16.2">
      <c r="A168" s="171"/>
      <c r="B168" s="173" t="s">
        <v>916</v>
      </c>
      <c r="C168" s="174" t="s">
        <v>917</v>
      </c>
      <c r="D168" s="292">
        <f>((VFB_max-VCE_sat_opto)/(IFB_max*10^-6)-RFB_int)/1000</f>
        <v>46.666666666666664</v>
      </c>
      <c r="E168" s="568" t="s">
        <v>72</v>
      </c>
      <c r="F168" s="569"/>
      <c r="G168" s="216"/>
      <c r="H168" s="216"/>
      <c r="I168" s="216"/>
      <c r="J168" s="93"/>
      <c r="K168" s="93"/>
      <c r="L168" s="93"/>
      <c r="M168" s="93"/>
      <c r="N168" s="93"/>
      <c r="O168" s="93"/>
      <c r="P168" s="93"/>
      <c r="Q168" s="93"/>
      <c r="R168" s="93"/>
      <c r="S168" s="93"/>
      <c r="T168" s="93"/>
      <c r="U168" s="93"/>
      <c r="V168" s="93"/>
      <c r="W168" s="93"/>
      <c r="X168" s="93"/>
      <c r="Y168" s="93"/>
      <c r="Z168" s="93"/>
      <c r="AA168" s="93"/>
      <c r="AB168" s="93"/>
      <c r="AC168" s="93"/>
      <c r="AD168" s="93"/>
      <c r="AE168" s="93"/>
    </row>
    <row r="169" spans="1:31" ht="16.2">
      <c r="A169" s="171"/>
      <c r="B169" s="281" t="s">
        <v>918</v>
      </c>
      <c r="C169" s="204" t="s">
        <v>919</v>
      </c>
      <c r="D169" s="66">
        <v>22</v>
      </c>
      <c r="E169" s="306" t="s">
        <v>207</v>
      </c>
      <c r="F169" s="308" t="s">
        <v>1044</v>
      </c>
      <c r="G169" s="216"/>
      <c r="H169" s="216"/>
      <c r="I169" s="216"/>
      <c r="J169" s="93"/>
      <c r="K169" s="93"/>
      <c r="L169" s="93"/>
      <c r="M169" s="93"/>
      <c r="N169" s="93"/>
      <c r="O169" s="93"/>
      <c r="P169" s="93"/>
      <c r="Q169" s="93"/>
      <c r="R169" s="93"/>
      <c r="S169" s="93"/>
      <c r="T169" s="93"/>
      <c r="U169" s="93"/>
      <c r="V169" s="93"/>
      <c r="W169" s="93"/>
      <c r="X169" s="93"/>
      <c r="Y169" s="93"/>
      <c r="Z169" s="93"/>
      <c r="AA169" s="93"/>
      <c r="AB169" s="93"/>
      <c r="AC169" s="93"/>
      <c r="AD169" s="93"/>
      <c r="AE169" s="93"/>
    </row>
    <row r="170" spans="1:31" ht="16.2">
      <c r="A170" s="171"/>
      <c r="B170" s="173" t="s">
        <v>356</v>
      </c>
      <c r="C170" s="174" t="s">
        <v>920</v>
      </c>
      <c r="D170" s="248">
        <f>IF(RFB_act="",RFB_max,RFB_act)</f>
        <v>22</v>
      </c>
      <c r="E170" s="297" t="s">
        <v>72</v>
      </c>
      <c r="F170" s="298"/>
      <c r="G170" s="216"/>
      <c r="H170" s="216"/>
      <c r="I170" s="216"/>
      <c r="J170" s="93"/>
      <c r="K170" s="93"/>
      <c r="L170" s="93"/>
      <c r="M170" s="93"/>
      <c r="N170" s="93"/>
      <c r="O170" s="93"/>
      <c r="P170" s="93"/>
      <c r="Q170" s="93"/>
      <c r="R170" s="93"/>
      <c r="S170" s="93"/>
      <c r="T170" s="93"/>
      <c r="U170" s="93"/>
      <c r="V170" s="93"/>
      <c r="W170" s="93"/>
      <c r="X170" s="93"/>
      <c r="Y170" s="93"/>
      <c r="Z170" s="93"/>
      <c r="AA170" s="93"/>
      <c r="AB170" s="93"/>
      <c r="AC170" s="93"/>
      <c r="AD170" s="93"/>
      <c r="AE170" s="93"/>
    </row>
    <row r="171" spans="1:31" ht="16.2">
      <c r="A171" s="171"/>
      <c r="B171" s="173" t="s">
        <v>921</v>
      </c>
      <c r="C171" s="174" t="s">
        <v>922</v>
      </c>
      <c r="D171" s="299">
        <v>100</v>
      </c>
      <c r="E171" s="297" t="s">
        <v>123</v>
      </c>
      <c r="F171" s="304"/>
      <c r="G171" s="216"/>
      <c r="H171" s="216"/>
      <c r="I171" s="216"/>
      <c r="J171" s="93"/>
      <c r="K171" s="93"/>
      <c r="L171" s="93"/>
      <c r="M171" s="93"/>
      <c r="N171" s="93"/>
      <c r="O171" s="93"/>
      <c r="P171" s="93"/>
      <c r="Q171" s="93"/>
      <c r="R171" s="93"/>
      <c r="S171" s="93"/>
      <c r="T171" s="93"/>
      <c r="U171" s="93"/>
      <c r="V171" s="93"/>
      <c r="W171" s="93"/>
      <c r="X171" s="93"/>
      <c r="Y171" s="93"/>
      <c r="Z171" s="93"/>
      <c r="AA171" s="93"/>
      <c r="AB171" s="93"/>
      <c r="AC171" s="93"/>
      <c r="AD171" s="93"/>
      <c r="AE171" s="93"/>
    </row>
    <row r="172" spans="1:31" ht="30.75" customHeight="1">
      <c r="A172" s="171"/>
      <c r="B172" s="173" t="s">
        <v>923</v>
      </c>
      <c r="C172" s="174" t="s">
        <v>1009</v>
      </c>
      <c r="D172" s="312">
        <v>1</v>
      </c>
      <c r="E172" s="297" t="s">
        <v>171</v>
      </c>
      <c r="F172" s="313" t="s">
        <v>915</v>
      </c>
      <c r="G172" s="216"/>
      <c r="H172" s="216"/>
      <c r="I172" s="216"/>
      <c r="J172" s="93"/>
      <c r="K172" s="93"/>
      <c r="L172" s="93"/>
      <c r="M172" s="93"/>
      <c r="N172" s="93"/>
      <c r="O172" s="93"/>
      <c r="P172" s="93"/>
      <c r="Q172" s="93"/>
      <c r="R172" s="93"/>
      <c r="S172" s="93"/>
      <c r="T172" s="93"/>
      <c r="U172" s="93"/>
      <c r="V172" s="93"/>
      <c r="W172" s="93"/>
      <c r="X172" s="93"/>
      <c r="Y172" s="93"/>
      <c r="Z172" s="93"/>
      <c r="AA172" s="93"/>
      <c r="AB172" s="93"/>
      <c r="AC172" s="93"/>
      <c r="AD172" s="93"/>
      <c r="AE172" s="93"/>
    </row>
    <row r="173" spans="1:31" ht="16.2">
      <c r="A173" s="171"/>
      <c r="B173" s="173" t="s">
        <v>924</v>
      </c>
      <c r="C173" s="174" t="s">
        <v>925</v>
      </c>
      <c r="D173" s="312">
        <f>VD_LED_off/(IKA_min*10^-6)/1000</f>
        <v>14.285714285714286</v>
      </c>
      <c r="E173" s="297" t="s">
        <v>72</v>
      </c>
      <c r="F173" s="565" t="s">
        <v>68</v>
      </c>
      <c r="G173" s="216"/>
      <c r="H173" s="216"/>
      <c r="I173" s="216"/>
      <c r="J173" s="93"/>
      <c r="K173" s="93"/>
      <c r="L173" s="93"/>
      <c r="M173" s="93"/>
      <c r="N173" s="93"/>
      <c r="O173" s="93"/>
      <c r="P173" s="93"/>
      <c r="Q173" s="93"/>
      <c r="R173" s="93"/>
      <c r="S173" s="93"/>
      <c r="T173" s="93"/>
      <c r="U173" s="93"/>
      <c r="V173" s="93"/>
      <c r="W173" s="93"/>
      <c r="X173" s="93"/>
      <c r="Y173" s="93"/>
      <c r="Z173" s="93"/>
      <c r="AA173" s="93"/>
      <c r="AB173" s="93"/>
      <c r="AC173" s="93"/>
      <c r="AD173" s="93"/>
      <c r="AE173" s="93"/>
    </row>
    <row r="174" spans="1:31" ht="16.2">
      <c r="A174" s="171"/>
      <c r="B174" s="281" t="s">
        <v>926</v>
      </c>
      <c r="C174" s="204" t="s">
        <v>927</v>
      </c>
      <c r="D174" s="90">
        <v>14</v>
      </c>
      <c r="E174" s="310" t="s">
        <v>72</v>
      </c>
      <c r="F174" s="566"/>
      <c r="G174" s="216"/>
      <c r="H174" s="216"/>
      <c r="I174" s="216"/>
      <c r="J174" s="93"/>
      <c r="K174" s="93"/>
      <c r="L174" s="93"/>
      <c r="M174" s="93"/>
      <c r="N174" s="93"/>
      <c r="O174" s="93"/>
      <c r="P174" s="93"/>
      <c r="Q174" s="93"/>
      <c r="R174" s="93"/>
      <c r="S174" s="93"/>
      <c r="T174" s="93"/>
      <c r="U174" s="93"/>
      <c r="V174" s="93"/>
      <c r="W174" s="93"/>
      <c r="X174" s="93"/>
      <c r="Y174" s="93"/>
      <c r="Z174" s="93"/>
      <c r="AA174" s="93"/>
      <c r="AB174" s="93"/>
      <c r="AC174" s="93"/>
      <c r="AD174" s="93"/>
      <c r="AE174" s="93"/>
    </row>
    <row r="175" spans="1:31" ht="16.2">
      <c r="A175" s="171"/>
      <c r="B175" s="173" t="s">
        <v>350</v>
      </c>
      <c r="C175" s="174" t="s">
        <v>928</v>
      </c>
      <c r="D175" s="292">
        <f>IF(Rbias2_act="",Rbias2_rec,Rbias2_act)</f>
        <v>14</v>
      </c>
      <c r="E175" s="297" t="s">
        <v>72</v>
      </c>
      <c r="F175" s="567"/>
      <c r="G175" s="216"/>
      <c r="H175" s="216"/>
      <c r="I175" s="216"/>
      <c r="J175" s="93"/>
      <c r="K175" s="93"/>
      <c r="L175" s="93"/>
      <c r="M175" s="93"/>
      <c r="N175" s="93"/>
      <c r="O175" s="93"/>
      <c r="P175" s="93"/>
      <c r="Q175" s="93"/>
      <c r="R175" s="93"/>
      <c r="S175" s="93"/>
      <c r="T175" s="93"/>
      <c r="U175" s="93"/>
      <c r="V175" s="93"/>
      <c r="W175" s="93"/>
      <c r="X175" s="93"/>
      <c r="Y175" s="93"/>
      <c r="Z175" s="93"/>
      <c r="AA175" s="93"/>
      <c r="AB175" s="93"/>
      <c r="AC175" s="93"/>
      <c r="AD175" s="93"/>
      <c r="AE175" s="93"/>
    </row>
    <row r="176" spans="1:31" ht="16.2">
      <c r="A176" s="171"/>
      <c r="B176" s="179" t="s">
        <v>348</v>
      </c>
      <c r="C176" s="174" t="s">
        <v>929</v>
      </c>
      <c r="D176" s="292">
        <f>(VOUT-Vref_431-VD_LED)/(VD_LED/(Rbias2*1000)+(IFB_max*10^-6)/(CTRmin*KCTR_Temp))/1000</f>
        <v>26.880000000000003</v>
      </c>
      <c r="E176" s="297" t="s">
        <v>72</v>
      </c>
      <c r="F176" s="314"/>
      <c r="G176" s="216"/>
      <c r="H176" s="216"/>
      <c r="I176" s="216"/>
      <c r="J176" s="93"/>
      <c r="K176" s="93"/>
      <c r="L176" s="93"/>
      <c r="M176" s="93"/>
      <c r="N176" s="93"/>
      <c r="O176" s="93"/>
      <c r="P176" s="93"/>
      <c r="Q176" s="93"/>
      <c r="R176" s="93"/>
      <c r="S176" s="93"/>
      <c r="T176" s="93"/>
      <c r="U176" s="93"/>
      <c r="V176" s="93"/>
      <c r="W176" s="93"/>
      <c r="X176" s="93"/>
      <c r="Y176" s="93"/>
      <c r="Z176" s="93"/>
      <c r="AA176" s="93"/>
      <c r="AB176" s="93"/>
      <c r="AC176" s="93"/>
      <c r="AD176" s="93"/>
      <c r="AE176" s="93"/>
    </row>
    <row r="177" spans="1:31" ht="16.2">
      <c r="A177" s="171"/>
      <c r="B177" s="179" t="s">
        <v>349</v>
      </c>
      <c r="C177" s="174" t="s">
        <v>930</v>
      </c>
      <c r="D177" s="292">
        <f>(CTRmax*_∆VO_ABM*10^-3/(10*10^-6))/1000</f>
        <v>16.000000000000004</v>
      </c>
      <c r="E177" s="297" t="s">
        <v>72</v>
      </c>
      <c r="F177" s="180"/>
      <c r="G177" s="216"/>
      <c r="H177" s="216"/>
      <c r="I177" s="216"/>
      <c r="J177" s="93"/>
      <c r="K177" s="93"/>
      <c r="L177" s="93"/>
      <c r="M177" s="93"/>
      <c r="N177" s="93"/>
      <c r="O177" s="93"/>
      <c r="P177" s="93"/>
      <c r="Q177" s="93"/>
      <c r="R177" s="93"/>
      <c r="S177" s="93"/>
      <c r="T177" s="93"/>
      <c r="U177" s="93"/>
      <c r="V177" s="93"/>
      <c r="W177" s="93"/>
      <c r="X177" s="93"/>
      <c r="Y177" s="93"/>
      <c r="Z177" s="93"/>
      <c r="AA177" s="93"/>
      <c r="AB177" s="93"/>
      <c r="AC177" s="93"/>
      <c r="AD177" s="93"/>
      <c r="AE177" s="93"/>
    </row>
    <row r="178" spans="1:31" ht="16.2">
      <c r="A178" s="171"/>
      <c r="B178" s="179" t="s">
        <v>931</v>
      </c>
      <c r="C178" s="174" t="s">
        <v>932</v>
      </c>
      <c r="D178" s="292">
        <f>MIN(Rbias1_max_SBP,Rbias1_max_ABM)</f>
        <v>16.000000000000004</v>
      </c>
      <c r="E178" s="297" t="s">
        <v>72</v>
      </c>
      <c r="F178" s="433"/>
      <c r="G178" s="216"/>
      <c r="H178" s="216"/>
      <c r="I178" s="216"/>
      <c r="J178" s="93"/>
      <c r="K178" s="93"/>
      <c r="L178" s="93"/>
      <c r="M178" s="93"/>
      <c r="N178" s="93"/>
      <c r="O178" s="93"/>
      <c r="P178" s="93"/>
      <c r="Q178" s="93"/>
      <c r="R178" s="93"/>
      <c r="S178" s="93"/>
      <c r="T178" s="93"/>
      <c r="U178" s="93"/>
      <c r="V178" s="93"/>
      <c r="W178" s="93"/>
      <c r="X178" s="93"/>
      <c r="Y178" s="93"/>
      <c r="Z178" s="93"/>
      <c r="AA178" s="93"/>
      <c r="AB178" s="93"/>
      <c r="AC178" s="93"/>
      <c r="AD178" s="93"/>
      <c r="AE178" s="93"/>
    </row>
    <row r="179" spans="1:31" ht="16.2">
      <c r="A179" s="171"/>
      <c r="B179" s="179" t="s">
        <v>933</v>
      </c>
      <c r="C179" s="174" t="s">
        <v>934</v>
      </c>
      <c r="D179" s="292">
        <f>(KVC*68000*CTRmin/(KBUR_CST*2*3.1416*Fcr_min*1000))/1000</f>
        <v>5.9548371581744695</v>
      </c>
      <c r="E179" s="297" t="s">
        <v>75</v>
      </c>
      <c r="F179" s="433"/>
      <c r="G179" s="216"/>
      <c r="H179" s="216"/>
      <c r="I179" s="216"/>
      <c r="J179" s="93"/>
      <c r="K179" s="93"/>
      <c r="L179" s="93"/>
      <c r="M179" s="93"/>
      <c r="N179" s="93"/>
      <c r="O179" s="93"/>
      <c r="P179" s="93"/>
      <c r="Q179" s="93"/>
      <c r="R179" s="93"/>
      <c r="S179" s="93"/>
      <c r="T179" s="93"/>
      <c r="U179" s="93"/>
      <c r="V179" s="93"/>
      <c r="W179" s="93"/>
      <c r="X179" s="93"/>
      <c r="Y179" s="93"/>
      <c r="Z179" s="93"/>
      <c r="AA179" s="93"/>
      <c r="AB179" s="93"/>
      <c r="AC179" s="93"/>
      <c r="AD179" s="93"/>
      <c r="AE179" s="93"/>
    </row>
    <row r="180" spans="1:31" ht="16.5" thickBot="1">
      <c r="A180" s="171"/>
      <c r="B180" s="315" t="s">
        <v>935</v>
      </c>
      <c r="C180" s="208" t="s">
        <v>936</v>
      </c>
      <c r="D180" s="91">
        <v>11</v>
      </c>
      <c r="E180" s="316" t="s">
        <v>72</v>
      </c>
      <c r="F180" s="210" t="s">
        <v>1010</v>
      </c>
      <c r="G180" s="216"/>
      <c r="H180" s="216"/>
      <c r="I180" s="216"/>
      <c r="J180" s="93"/>
      <c r="K180" s="93"/>
      <c r="L180" s="93"/>
      <c r="M180" s="93"/>
      <c r="N180" s="93"/>
      <c r="O180" s="93"/>
      <c r="P180" s="93"/>
      <c r="Q180" s="93"/>
      <c r="R180" s="93"/>
      <c r="S180" s="93"/>
      <c r="T180" s="93"/>
      <c r="U180" s="93"/>
      <c r="V180" s="93"/>
      <c r="W180" s="93"/>
      <c r="X180" s="93"/>
      <c r="Y180" s="93"/>
      <c r="Z180" s="93"/>
      <c r="AA180" s="93"/>
      <c r="AB180" s="93"/>
      <c r="AC180" s="93"/>
      <c r="AD180" s="93"/>
      <c r="AE180" s="93"/>
    </row>
    <row r="181" spans="1:31" ht="14.7" thickBot="1">
      <c r="A181" s="171"/>
      <c r="B181" s="166"/>
      <c r="C181" s="246"/>
      <c r="D181" s="168"/>
      <c r="E181" s="169"/>
      <c r="F181" s="170"/>
      <c r="G181" s="216"/>
      <c r="H181" s="216"/>
      <c r="I181" s="216"/>
      <c r="J181" s="93"/>
      <c r="K181" s="93"/>
      <c r="L181" s="93"/>
      <c r="M181" s="93"/>
      <c r="N181" s="93"/>
      <c r="O181" s="93"/>
      <c r="P181" s="93"/>
      <c r="Q181" s="93"/>
      <c r="R181" s="93"/>
      <c r="S181" s="93"/>
      <c r="T181" s="93"/>
      <c r="U181" s="93"/>
      <c r="V181" s="93"/>
      <c r="W181" s="93"/>
      <c r="X181" s="93"/>
      <c r="Y181" s="93"/>
      <c r="Z181" s="93"/>
      <c r="AA181" s="93"/>
      <c r="AB181" s="93"/>
      <c r="AC181" s="93"/>
      <c r="AD181" s="93"/>
      <c r="AE181" s="93"/>
    </row>
    <row r="182" spans="1:31" ht="18" customHeight="1">
      <c r="A182" s="171"/>
      <c r="B182" s="263" t="s">
        <v>269</v>
      </c>
      <c r="C182" s="264"/>
      <c r="D182" s="265"/>
      <c r="E182" s="266"/>
      <c r="F182" s="267"/>
      <c r="G182" s="216"/>
      <c r="H182" s="216"/>
      <c r="I182" s="216"/>
      <c r="J182" s="93"/>
      <c r="K182" s="93"/>
      <c r="L182" s="93"/>
      <c r="M182" s="93"/>
      <c r="N182" s="93"/>
      <c r="O182" s="93"/>
      <c r="P182" s="93"/>
      <c r="Q182" s="93"/>
      <c r="R182" s="93"/>
      <c r="S182" s="93"/>
      <c r="T182" s="93"/>
      <c r="U182" s="93"/>
      <c r="V182" s="93"/>
      <c r="W182" s="93"/>
      <c r="X182" s="93"/>
      <c r="Y182" s="93"/>
      <c r="Z182" s="93"/>
      <c r="AA182" s="93"/>
      <c r="AB182" s="93"/>
      <c r="AC182" s="93"/>
      <c r="AD182" s="93"/>
      <c r="AE182" s="93"/>
    </row>
    <row r="183" spans="1:31">
      <c r="A183" s="171"/>
      <c r="B183" s="179" t="s">
        <v>351</v>
      </c>
      <c r="C183" s="563" t="str">
        <f>'Input Here'!C106</f>
        <v>ATL431</v>
      </c>
      <c r="D183" s="564"/>
      <c r="E183" s="297"/>
      <c r="F183" s="314"/>
      <c r="G183" s="216"/>
      <c r="H183" s="216"/>
      <c r="I183" s="216"/>
      <c r="J183" s="93"/>
      <c r="K183" s="93"/>
      <c r="L183" s="93"/>
      <c r="M183" s="93"/>
      <c r="N183" s="93"/>
      <c r="O183" s="93"/>
      <c r="P183" s="93"/>
      <c r="Q183" s="93"/>
      <c r="R183" s="93"/>
      <c r="S183" s="93"/>
      <c r="T183" s="93"/>
      <c r="U183" s="93"/>
      <c r="V183" s="93"/>
      <c r="W183" s="93"/>
      <c r="X183" s="93"/>
      <c r="Y183" s="93"/>
      <c r="Z183" s="93"/>
      <c r="AA183" s="93"/>
      <c r="AB183" s="93"/>
      <c r="AC183" s="93"/>
      <c r="AD183" s="93"/>
      <c r="AE183" s="93"/>
    </row>
    <row r="184" spans="1:31" ht="16.2">
      <c r="A184" s="171"/>
      <c r="B184" s="179" t="s">
        <v>937</v>
      </c>
      <c r="C184" s="174" t="s">
        <v>938</v>
      </c>
      <c r="D184" s="292">
        <f>Vref_431/(500*Iref_431_max*10^-9)/1000</f>
        <v>33.333333333333329</v>
      </c>
      <c r="E184" s="297" t="s">
        <v>72</v>
      </c>
      <c r="F184" s="455" t="s">
        <v>995</v>
      </c>
      <c r="G184" s="216"/>
      <c r="H184" s="216"/>
      <c r="I184" s="216"/>
      <c r="J184" s="93"/>
      <c r="K184" s="93"/>
      <c r="L184" s="93"/>
      <c r="M184" s="93"/>
      <c r="N184" s="93"/>
      <c r="O184" s="93"/>
      <c r="P184" s="93"/>
      <c r="Q184" s="93"/>
      <c r="R184" s="93"/>
      <c r="S184" s="93"/>
      <c r="T184" s="93"/>
      <c r="U184" s="93"/>
      <c r="V184" s="93"/>
      <c r="W184" s="93"/>
      <c r="X184" s="93"/>
      <c r="Y184" s="93"/>
      <c r="Z184" s="93"/>
      <c r="AA184" s="93"/>
      <c r="AB184" s="93"/>
      <c r="AC184" s="93"/>
      <c r="AD184" s="93"/>
      <c r="AE184" s="93"/>
    </row>
    <row r="185" spans="1:31" ht="16.2">
      <c r="A185" s="171"/>
      <c r="B185" s="203" t="s">
        <v>939</v>
      </c>
      <c r="C185" s="204" t="s">
        <v>940</v>
      </c>
      <c r="D185" s="66">
        <v>33.200000000000003</v>
      </c>
      <c r="E185" s="310" t="s">
        <v>72</v>
      </c>
      <c r="F185" s="270" t="s">
        <v>347</v>
      </c>
      <c r="G185" s="216"/>
      <c r="H185" s="216"/>
      <c r="I185" s="216"/>
      <c r="J185" s="93"/>
      <c r="K185" s="93"/>
      <c r="L185" s="93"/>
      <c r="M185" s="93"/>
      <c r="N185" s="93"/>
      <c r="O185" s="93"/>
      <c r="P185" s="93"/>
      <c r="Q185" s="93"/>
      <c r="R185" s="93"/>
      <c r="S185" s="93"/>
      <c r="T185" s="93"/>
      <c r="U185" s="93"/>
      <c r="V185" s="93"/>
      <c r="W185" s="93"/>
      <c r="X185" s="93"/>
      <c r="Y185" s="93"/>
      <c r="Z185" s="93"/>
      <c r="AA185" s="93"/>
      <c r="AB185" s="93"/>
      <c r="AC185" s="93"/>
      <c r="AD185" s="93"/>
      <c r="AE185" s="93"/>
    </row>
    <row r="186" spans="1:31" ht="16.2">
      <c r="A186" s="171"/>
      <c r="B186" s="179" t="s">
        <v>941</v>
      </c>
      <c r="C186" s="174" t="s">
        <v>942</v>
      </c>
      <c r="D186" s="248">
        <f>IF(Rvo2_act="",Rvo2_rec,Rvo2_act)</f>
        <v>33.200000000000003</v>
      </c>
      <c r="E186" s="297" t="s">
        <v>72</v>
      </c>
      <c r="F186" s="180"/>
      <c r="G186" s="216"/>
      <c r="H186" s="216"/>
      <c r="I186" s="216"/>
      <c r="J186" s="93"/>
      <c r="K186" s="93"/>
      <c r="L186" s="93"/>
      <c r="M186" s="93"/>
      <c r="N186" s="93"/>
      <c r="O186" s="93"/>
      <c r="P186" s="93"/>
      <c r="Q186" s="93"/>
      <c r="R186" s="93"/>
      <c r="S186" s="93"/>
      <c r="T186" s="93"/>
      <c r="U186" s="93"/>
      <c r="V186" s="93"/>
      <c r="W186" s="93"/>
      <c r="X186" s="93"/>
      <c r="Y186" s="93"/>
      <c r="Z186" s="93"/>
      <c r="AA186" s="93"/>
      <c r="AB186" s="93"/>
      <c r="AC186" s="93"/>
      <c r="AD186" s="93"/>
      <c r="AE186" s="93"/>
    </row>
    <row r="187" spans="1:31" ht="16.2">
      <c r="A187" s="171"/>
      <c r="B187" s="179" t="s">
        <v>943</v>
      </c>
      <c r="C187" s="174" t="s">
        <v>944</v>
      </c>
      <c r="D187" s="292">
        <f>(VOUT-Vref_431)/(Vref_431/(1000*Rvo2_)+Iref_431*10^-9)/1000</f>
        <v>172.57124761495021</v>
      </c>
      <c r="E187" s="297" t="s">
        <v>72</v>
      </c>
      <c r="F187" s="314"/>
      <c r="G187" s="425"/>
      <c r="H187" s="216"/>
      <c r="I187" s="216"/>
      <c r="J187" s="93"/>
      <c r="K187" s="93"/>
      <c r="L187" s="59"/>
      <c r="M187" s="93"/>
      <c r="N187" s="93"/>
      <c r="O187" s="93"/>
      <c r="P187" s="93"/>
      <c r="Q187" s="93"/>
      <c r="R187" s="93"/>
      <c r="S187" s="93"/>
      <c r="T187" s="93"/>
      <c r="U187" s="93"/>
      <c r="V187" s="93"/>
      <c r="W187" s="93"/>
      <c r="X187" s="93"/>
      <c r="Y187" s="93"/>
      <c r="Z187" s="93"/>
      <c r="AA187" s="93"/>
      <c r="AB187" s="93"/>
      <c r="AC187" s="93"/>
      <c r="AD187" s="93"/>
      <c r="AE187" s="93"/>
    </row>
    <row r="188" spans="1:31" ht="16.2">
      <c r="A188" s="171"/>
      <c r="B188" s="203" t="s">
        <v>945</v>
      </c>
      <c r="C188" s="204" t="s">
        <v>946</v>
      </c>
      <c r="D188" s="66">
        <v>174</v>
      </c>
      <c r="E188" s="310" t="s">
        <v>72</v>
      </c>
      <c r="F188" s="270" t="s">
        <v>347</v>
      </c>
      <c r="G188" s="425"/>
      <c r="H188" s="216"/>
      <c r="I188" s="216"/>
      <c r="J188" s="93"/>
      <c r="K188" s="93"/>
      <c r="L188" s="93"/>
      <c r="M188" s="93"/>
      <c r="N188" s="93"/>
      <c r="O188" s="93"/>
      <c r="P188" s="93"/>
      <c r="Q188" s="93"/>
      <c r="R188" s="93"/>
      <c r="S188" s="93"/>
      <c r="T188" s="93"/>
      <c r="U188" s="93"/>
      <c r="V188" s="93"/>
      <c r="W188" s="93"/>
      <c r="X188" s="93"/>
      <c r="Y188" s="93"/>
      <c r="Z188" s="93"/>
      <c r="AA188" s="93"/>
      <c r="AB188" s="93"/>
      <c r="AC188" s="93"/>
      <c r="AD188" s="93"/>
      <c r="AE188" s="93"/>
    </row>
    <row r="189" spans="1:31" ht="16.2">
      <c r="A189" s="171"/>
      <c r="B189" s="179" t="s">
        <v>947</v>
      </c>
      <c r="C189" s="174" t="s">
        <v>948</v>
      </c>
      <c r="D189" s="248">
        <f>IF(Rvo1_act="",Rvo1_rec,Rvo1_act)</f>
        <v>174</v>
      </c>
      <c r="E189" s="297" t="s">
        <v>72</v>
      </c>
      <c r="F189" s="180"/>
      <c r="G189" s="425"/>
      <c r="H189" s="216"/>
      <c r="I189" s="216"/>
      <c r="J189" s="93"/>
      <c r="K189" s="93"/>
      <c r="L189" s="93"/>
      <c r="M189" s="93"/>
      <c r="N189" s="93"/>
      <c r="O189" s="93"/>
      <c r="P189" s="93"/>
      <c r="Q189" s="93"/>
      <c r="R189" s="93"/>
      <c r="S189" s="93"/>
      <c r="T189" s="93"/>
      <c r="U189" s="93"/>
      <c r="V189" s="93"/>
      <c r="W189" s="93"/>
      <c r="X189" s="93"/>
      <c r="Y189" s="93"/>
      <c r="Z189" s="93"/>
      <c r="AA189" s="93"/>
      <c r="AB189" s="93"/>
      <c r="AC189" s="93"/>
      <c r="AD189" s="93"/>
      <c r="AE189" s="93"/>
    </row>
    <row r="190" spans="1:31" ht="16.5" thickBot="1">
      <c r="A190" s="171"/>
      <c r="B190" s="250" t="s">
        <v>160</v>
      </c>
      <c r="C190" s="251" t="s">
        <v>949</v>
      </c>
      <c r="D190" s="286">
        <f>Vref_431*(Rvo1_+Rvo2_)/Rvo2_+Iref_431*10^-9*Rvo1_*1000</f>
        <v>15.607629638554215</v>
      </c>
      <c r="E190" s="279" t="s">
        <v>13</v>
      </c>
      <c r="F190" s="280" t="s">
        <v>973</v>
      </c>
      <c r="G190" s="425"/>
      <c r="H190" s="216"/>
      <c r="I190" s="216"/>
      <c r="J190" s="93"/>
      <c r="K190" s="93"/>
      <c r="L190" s="429"/>
      <c r="M190" s="93"/>
      <c r="N190" s="93"/>
      <c r="O190" s="93"/>
      <c r="P190" s="93"/>
      <c r="Q190" s="93"/>
      <c r="R190" s="93"/>
      <c r="S190" s="93"/>
      <c r="T190" s="93"/>
      <c r="U190" s="93"/>
      <c r="V190" s="93"/>
      <c r="W190" s="93"/>
      <c r="X190" s="93"/>
      <c r="Y190" s="93"/>
      <c r="Z190" s="93"/>
      <c r="AA190" s="93"/>
      <c r="AB190" s="93"/>
      <c r="AC190" s="93"/>
      <c r="AD190" s="93"/>
      <c r="AE190" s="93"/>
    </row>
    <row r="191" spans="1:31" ht="14.7" thickBot="1">
      <c r="A191" s="171"/>
      <c r="B191" s="166"/>
      <c r="C191" s="246"/>
      <c r="D191" s="168"/>
      <c r="E191" s="169"/>
      <c r="F191" s="170"/>
      <c r="G191" s="216"/>
      <c r="H191" s="216"/>
      <c r="I191" s="216"/>
      <c r="J191" s="93"/>
      <c r="K191" s="93"/>
      <c r="L191" s="93"/>
      <c r="M191" s="93"/>
      <c r="N191" s="93"/>
      <c r="O191" s="93"/>
      <c r="P191" s="93"/>
      <c r="Q191" s="93"/>
      <c r="R191" s="93"/>
      <c r="S191" s="93"/>
      <c r="T191" s="93"/>
      <c r="U191" s="93"/>
      <c r="V191" s="93"/>
      <c r="W191" s="93"/>
      <c r="X191" s="93"/>
      <c r="Y191" s="93"/>
      <c r="Z191" s="93"/>
      <c r="AA191" s="93"/>
      <c r="AB191" s="93"/>
      <c r="AC191" s="93"/>
      <c r="AD191" s="93"/>
      <c r="AE191" s="93"/>
    </row>
    <row r="192" spans="1:31" ht="18" customHeight="1">
      <c r="A192" s="171"/>
      <c r="B192" s="263" t="s">
        <v>268</v>
      </c>
      <c r="C192" s="264"/>
      <c r="D192" s="265"/>
      <c r="E192" s="266"/>
      <c r="F192" s="267"/>
      <c r="G192" s="216"/>
      <c r="H192" s="216"/>
      <c r="I192" s="216"/>
      <c r="J192" s="93"/>
      <c r="K192" s="93"/>
      <c r="L192" s="93"/>
      <c r="M192" s="93"/>
      <c r="N192" s="93"/>
      <c r="O192" s="93"/>
      <c r="P192" s="93"/>
      <c r="Q192" s="93"/>
      <c r="R192" s="93"/>
      <c r="S192" s="93"/>
      <c r="T192" s="93"/>
      <c r="U192" s="93"/>
      <c r="V192" s="93"/>
      <c r="W192" s="93"/>
      <c r="X192" s="93"/>
      <c r="Y192" s="93"/>
      <c r="Z192" s="93"/>
      <c r="AA192" s="93"/>
      <c r="AB192" s="93"/>
      <c r="AC192" s="93"/>
      <c r="AD192" s="93"/>
      <c r="AE192" s="93"/>
    </row>
    <row r="193" spans="1:31" ht="18" customHeight="1">
      <c r="A193" s="171"/>
      <c r="B193" s="317" t="s">
        <v>267</v>
      </c>
      <c r="C193" s="318"/>
      <c r="D193" s="319"/>
      <c r="E193" s="320"/>
      <c r="F193" s="321"/>
      <c r="G193" s="216"/>
      <c r="H193" s="216"/>
      <c r="I193" s="216"/>
      <c r="J193" s="93"/>
      <c r="K193" s="93"/>
      <c r="L193" s="93"/>
      <c r="M193" s="93"/>
      <c r="N193" s="93"/>
      <c r="O193" s="93"/>
      <c r="P193" s="93"/>
      <c r="Q193" s="93"/>
      <c r="R193" s="93"/>
      <c r="S193" s="93"/>
      <c r="T193" s="93"/>
      <c r="U193" s="93"/>
      <c r="V193" s="93"/>
      <c r="W193" s="93"/>
      <c r="X193" s="93"/>
      <c r="Y193" s="93"/>
      <c r="Z193" s="93"/>
      <c r="AA193" s="93"/>
      <c r="AB193" s="93"/>
      <c r="AC193" s="93"/>
      <c r="AD193" s="93"/>
      <c r="AE193" s="93"/>
    </row>
    <row r="194" spans="1:31" ht="16.2">
      <c r="A194" s="171"/>
      <c r="B194" s="179" t="s">
        <v>950</v>
      </c>
      <c r="C194" s="174" t="s">
        <v>951</v>
      </c>
      <c r="D194" s="292">
        <f>((fBUR_UP*1000*2-fp_opto*1000)/(2*3.1416*Rbias1*1000*2*fBUR_UP*1000*fp_opto*1000))*10^9</f>
        <v>4.6100922948988377</v>
      </c>
      <c r="E194" s="297" t="s">
        <v>73</v>
      </c>
      <c r="F194" s="314"/>
      <c r="G194" s="216"/>
      <c r="H194" s="216"/>
      <c r="I194" s="216"/>
      <c r="J194" s="93"/>
      <c r="K194" s="93"/>
      <c r="L194" s="93"/>
      <c r="M194" s="93"/>
      <c r="N194" s="93"/>
      <c r="O194" s="93"/>
      <c r="P194" s="93"/>
      <c r="Q194" s="93"/>
      <c r="R194" s="93"/>
      <c r="S194" s="93"/>
      <c r="T194" s="93"/>
      <c r="U194" s="93"/>
      <c r="V194" s="93"/>
      <c r="W194" s="93"/>
      <c r="X194" s="93"/>
      <c r="Y194" s="93"/>
      <c r="Z194" s="93"/>
      <c r="AA194" s="93"/>
      <c r="AB194" s="93"/>
      <c r="AC194" s="93"/>
      <c r="AD194" s="93"/>
      <c r="AE194" s="93"/>
    </row>
    <row r="195" spans="1:31" ht="16.2">
      <c r="A195" s="171"/>
      <c r="B195" s="203" t="s">
        <v>952</v>
      </c>
      <c r="C195" s="204" t="s">
        <v>953</v>
      </c>
      <c r="D195" s="66">
        <v>4.7</v>
      </c>
      <c r="E195" s="310" t="s">
        <v>73</v>
      </c>
      <c r="F195" s="307" t="s">
        <v>469</v>
      </c>
      <c r="G195" s="216"/>
      <c r="H195" s="216"/>
      <c r="I195" s="216"/>
      <c r="J195" s="93"/>
      <c r="K195" s="93"/>
      <c r="L195" s="93"/>
      <c r="M195" s="93"/>
      <c r="N195" s="93"/>
      <c r="O195" s="93"/>
      <c r="P195" s="93"/>
      <c r="Q195" s="93"/>
      <c r="R195" s="93"/>
      <c r="S195" s="93"/>
      <c r="T195" s="93"/>
      <c r="U195" s="93"/>
      <c r="V195" s="93"/>
      <c r="W195" s="93"/>
      <c r="X195" s="93"/>
      <c r="Y195" s="93"/>
      <c r="Z195" s="93"/>
      <c r="AA195" s="93"/>
      <c r="AB195" s="93"/>
      <c r="AC195" s="93"/>
      <c r="AD195" s="93"/>
      <c r="AE195" s="93"/>
    </row>
    <row r="196" spans="1:31" ht="16.2">
      <c r="A196" s="171"/>
      <c r="B196" s="179" t="s">
        <v>954</v>
      </c>
      <c r="C196" s="174" t="s">
        <v>955</v>
      </c>
      <c r="D196" s="248">
        <f>IF(Cdiff_act="",Cdiff_rec,Cdiff_act)</f>
        <v>4.7</v>
      </c>
      <c r="E196" s="297" t="s">
        <v>73</v>
      </c>
      <c r="F196" s="180"/>
      <c r="G196" s="216"/>
      <c r="H196" s="216"/>
      <c r="I196" s="216"/>
      <c r="J196" s="93"/>
      <c r="K196" s="93"/>
      <c r="L196" s="93"/>
      <c r="M196" s="93"/>
      <c r="N196" s="93"/>
      <c r="O196" s="93"/>
      <c r="P196" s="93"/>
      <c r="Q196" s="93"/>
      <c r="R196" s="93"/>
      <c r="S196" s="93"/>
      <c r="T196" s="93"/>
      <c r="U196" s="93"/>
      <c r="V196" s="93"/>
      <c r="W196" s="93"/>
      <c r="X196" s="93"/>
      <c r="Y196" s="93"/>
      <c r="Z196" s="93"/>
      <c r="AA196" s="93"/>
      <c r="AB196" s="93"/>
      <c r="AC196" s="93"/>
      <c r="AD196" s="93"/>
      <c r="AE196" s="93"/>
    </row>
    <row r="197" spans="1:31" ht="16.2">
      <c r="A197" s="171"/>
      <c r="B197" s="179" t="s">
        <v>956</v>
      </c>
      <c r="C197" s="174" t="s">
        <v>957</v>
      </c>
      <c r="D197" s="229">
        <f>1/(2*3.1416*2*fBUR_UP*1000*Cdiff*10^-9)</f>
        <v>497.98050975993988</v>
      </c>
      <c r="E197" s="297" t="s">
        <v>67</v>
      </c>
      <c r="F197" s="314"/>
      <c r="G197" s="216"/>
      <c r="H197" s="216"/>
      <c r="I197" s="216"/>
      <c r="J197" s="93"/>
      <c r="K197" s="93"/>
      <c r="L197" s="93"/>
      <c r="M197" s="93"/>
      <c r="N197" s="93"/>
      <c r="O197" s="93"/>
      <c r="P197" s="93"/>
      <c r="Q197" s="93"/>
      <c r="R197" s="93"/>
      <c r="S197" s="93"/>
      <c r="T197" s="93"/>
      <c r="U197" s="93"/>
      <c r="V197" s="93"/>
      <c r="W197" s="93"/>
      <c r="X197" s="93"/>
      <c r="Y197" s="93"/>
      <c r="Z197" s="93"/>
      <c r="AA197" s="93"/>
      <c r="AB197" s="93"/>
      <c r="AC197" s="93"/>
      <c r="AD197" s="93"/>
      <c r="AE197" s="93"/>
    </row>
    <row r="198" spans="1:31" ht="16.2">
      <c r="A198" s="171"/>
      <c r="B198" s="203" t="s">
        <v>958</v>
      </c>
      <c r="C198" s="204" t="s">
        <v>959</v>
      </c>
      <c r="D198" s="66">
        <v>499</v>
      </c>
      <c r="E198" s="310" t="s">
        <v>67</v>
      </c>
      <c r="F198" s="206"/>
      <c r="G198" s="216"/>
      <c r="H198" s="216"/>
      <c r="I198" s="216"/>
      <c r="J198" s="93"/>
      <c r="K198" s="93"/>
      <c r="L198" s="93"/>
      <c r="M198" s="93"/>
      <c r="N198" s="93"/>
      <c r="O198" s="93"/>
      <c r="P198" s="93"/>
      <c r="Q198" s="93"/>
      <c r="R198" s="93"/>
      <c r="S198" s="93"/>
      <c r="T198" s="93"/>
      <c r="U198" s="93"/>
      <c r="V198" s="93"/>
      <c r="W198" s="93"/>
      <c r="X198" s="93"/>
      <c r="Y198" s="93"/>
      <c r="Z198" s="93"/>
      <c r="AA198" s="93"/>
      <c r="AB198" s="93"/>
      <c r="AC198" s="93"/>
      <c r="AD198" s="93"/>
      <c r="AE198" s="93"/>
    </row>
    <row r="199" spans="1:31" ht="16.2">
      <c r="A199" s="171"/>
      <c r="B199" s="179" t="s">
        <v>960</v>
      </c>
      <c r="C199" s="174" t="s">
        <v>961</v>
      </c>
      <c r="D199" s="248">
        <f>IF(Rdiff_act="",Rdiff_rec,Rdiff_act)</f>
        <v>499</v>
      </c>
      <c r="E199" s="297" t="s">
        <v>35</v>
      </c>
      <c r="F199" s="180"/>
      <c r="G199" s="216"/>
      <c r="H199" s="216"/>
      <c r="I199" s="216"/>
      <c r="J199" s="93"/>
      <c r="K199" s="93"/>
      <c r="L199" s="93"/>
      <c r="M199" s="93"/>
      <c r="N199" s="93"/>
      <c r="O199" s="93"/>
      <c r="P199" s="93"/>
      <c r="Q199" s="93"/>
      <c r="R199" s="93"/>
      <c r="S199" s="93"/>
      <c r="T199" s="93"/>
      <c r="U199" s="93"/>
      <c r="V199" s="93"/>
      <c r="W199" s="93"/>
      <c r="X199" s="93"/>
      <c r="Y199" s="93"/>
      <c r="Z199" s="93"/>
      <c r="AA199" s="93"/>
      <c r="AB199" s="93"/>
      <c r="AC199" s="93"/>
      <c r="AD199" s="93"/>
      <c r="AE199" s="93"/>
    </row>
    <row r="200" spans="1:31" ht="18" customHeight="1">
      <c r="A200" s="171"/>
      <c r="B200" s="322" t="s">
        <v>1045</v>
      </c>
      <c r="C200" s="323"/>
      <c r="D200" s="324"/>
      <c r="E200" s="297"/>
      <c r="F200" s="314"/>
      <c r="G200" s="216"/>
      <c r="H200" s="216"/>
      <c r="I200" s="216"/>
      <c r="J200" s="93"/>
      <c r="K200" s="93"/>
      <c r="L200" s="93"/>
      <c r="M200" s="93"/>
      <c r="N200" s="93"/>
      <c r="O200" s="93"/>
      <c r="P200" s="93"/>
      <c r="Q200" s="93"/>
      <c r="R200" s="93"/>
      <c r="S200" s="93"/>
      <c r="T200" s="93"/>
      <c r="U200" s="93"/>
      <c r="V200" s="93"/>
      <c r="W200" s="93"/>
      <c r="X200" s="93"/>
      <c r="Y200" s="93"/>
      <c r="Z200" s="93"/>
      <c r="AA200" s="93"/>
      <c r="AB200" s="93"/>
      <c r="AC200" s="93"/>
      <c r="AD200" s="93"/>
      <c r="AE200" s="93"/>
    </row>
    <row r="201" spans="1:31" ht="16.2">
      <c r="A201" s="171"/>
      <c r="B201" s="179" t="s">
        <v>962</v>
      </c>
      <c r="C201" s="174" t="s">
        <v>963</v>
      </c>
      <c r="D201" s="292">
        <f>(1/(Rvo1_*1000*2*3.1416*Fcr_min*1000/10))*10^9</f>
        <v>4.5734072103240457</v>
      </c>
      <c r="E201" s="297" t="s">
        <v>73</v>
      </c>
      <c r="F201" s="314"/>
      <c r="G201" s="216"/>
      <c r="H201" s="216"/>
      <c r="I201" s="216"/>
      <c r="J201" s="93"/>
      <c r="K201" s="93"/>
      <c r="L201" s="93"/>
      <c r="M201" s="93"/>
      <c r="N201" s="93"/>
      <c r="O201" s="93"/>
      <c r="P201" s="93"/>
      <c r="Q201" s="93"/>
      <c r="R201" s="93"/>
      <c r="S201" s="93"/>
      <c r="T201" s="93"/>
      <c r="U201" s="93"/>
      <c r="V201" s="93"/>
      <c r="W201" s="93"/>
      <c r="X201" s="93"/>
      <c r="Y201" s="93"/>
      <c r="Z201" s="93"/>
      <c r="AA201" s="93"/>
      <c r="AB201" s="93"/>
      <c r="AC201" s="93"/>
      <c r="AD201" s="93"/>
      <c r="AE201" s="93"/>
    </row>
    <row r="202" spans="1:31" ht="16.2">
      <c r="A202" s="171"/>
      <c r="B202" s="203" t="s">
        <v>964</v>
      </c>
      <c r="C202" s="204" t="s">
        <v>965</v>
      </c>
      <c r="D202" s="66">
        <v>4.7</v>
      </c>
      <c r="E202" s="310" t="s">
        <v>73</v>
      </c>
      <c r="F202" s="307" t="s">
        <v>469</v>
      </c>
      <c r="G202" s="216"/>
      <c r="H202" s="216"/>
      <c r="I202" s="216"/>
      <c r="J202" s="93"/>
      <c r="K202" s="93"/>
      <c r="L202" s="93"/>
      <c r="M202" s="93"/>
      <c r="N202" s="93"/>
      <c r="O202" s="93"/>
      <c r="P202" s="93"/>
      <c r="Q202" s="93"/>
      <c r="R202" s="93"/>
      <c r="S202" s="93"/>
      <c r="T202" s="93"/>
      <c r="U202" s="93"/>
      <c r="V202" s="93"/>
      <c r="W202" s="93"/>
      <c r="X202" s="93"/>
      <c r="Y202" s="93"/>
      <c r="Z202" s="93"/>
      <c r="AA202" s="93"/>
      <c r="AB202" s="93"/>
      <c r="AC202" s="93"/>
      <c r="AD202" s="93"/>
      <c r="AE202" s="93"/>
    </row>
    <row r="203" spans="1:31" ht="16.2">
      <c r="A203" s="171"/>
      <c r="B203" s="179" t="s">
        <v>966</v>
      </c>
      <c r="C203" s="174" t="s">
        <v>967</v>
      </c>
      <c r="D203" s="248">
        <f>IF(Cint_act="",Cint_rec,Cint_act)</f>
        <v>4.7</v>
      </c>
      <c r="E203" s="297" t="s">
        <v>74</v>
      </c>
      <c r="F203" s="180"/>
      <c r="G203" s="216"/>
      <c r="H203" s="216"/>
      <c r="I203" s="216"/>
      <c r="J203" s="93"/>
      <c r="K203" s="93"/>
      <c r="L203" s="93"/>
      <c r="M203" s="93"/>
      <c r="N203" s="93"/>
      <c r="O203" s="93"/>
      <c r="P203" s="93"/>
      <c r="Q203" s="93"/>
      <c r="R203" s="93"/>
      <c r="S203" s="93"/>
      <c r="T203" s="93"/>
      <c r="U203" s="93"/>
      <c r="V203" s="93"/>
      <c r="W203" s="93"/>
      <c r="X203" s="93"/>
      <c r="Y203" s="93"/>
      <c r="Z203" s="93"/>
      <c r="AA203" s="93"/>
      <c r="AB203" s="93"/>
      <c r="AC203" s="93"/>
      <c r="AD203" s="93"/>
      <c r="AE203" s="93"/>
    </row>
    <row r="204" spans="1:31" ht="16.5" thickBot="1">
      <c r="A204" s="171"/>
      <c r="B204" s="325" t="s">
        <v>968</v>
      </c>
      <c r="C204" s="251" t="s">
        <v>969</v>
      </c>
      <c r="D204" s="260">
        <v>0</v>
      </c>
      <c r="E204" s="287" t="s">
        <v>67</v>
      </c>
      <c r="F204" s="262" t="s">
        <v>352</v>
      </c>
      <c r="G204" s="216"/>
      <c r="H204" s="216"/>
      <c r="I204" s="216"/>
      <c r="J204" s="93"/>
      <c r="K204" s="93"/>
      <c r="L204" s="93"/>
      <c r="M204" s="93"/>
      <c r="N204" s="93"/>
      <c r="O204" s="93"/>
      <c r="P204" s="93"/>
      <c r="Q204" s="93"/>
      <c r="R204" s="93"/>
      <c r="S204" s="93"/>
      <c r="T204" s="93"/>
      <c r="U204" s="93"/>
      <c r="V204" s="93"/>
      <c r="W204" s="93"/>
      <c r="X204" s="93"/>
      <c r="Y204" s="93"/>
      <c r="Z204" s="93"/>
      <c r="AA204" s="93"/>
      <c r="AB204" s="93"/>
      <c r="AC204" s="93"/>
      <c r="AD204" s="93"/>
      <c r="AE204" s="93"/>
    </row>
    <row r="205" spans="1:31">
      <c r="A205" s="171"/>
      <c r="B205" s="165"/>
      <c r="C205" s="211"/>
      <c r="D205" s="326"/>
      <c r="E205" s="165"/>
      <c r="F205" s="165"/>
      <c r="G205" s="216"/>
      <c r="H205" s="216"/>
      <c r="I205" s="216"/>
      <c r="J205" s="93"/>
      <c r="K205" s="93"/>
      <c r="L205" s="93"/>
      <c r="M205" s="93"/>
      <c r="N205" s="93"/>
      <c r="O205" s="93"/>
      <c r="P205" s="93"/>
      <c r="Q205" s="93"/>
      <c r="R205" s="93"/>
      <c r="S205" s="93"/>
      <c r="T205" s="93"/>
      <c r="U205" s="93"/>
      <c r="V205" s="93"/>
      <c r="W205" s="93"/>
      <c r="X205" s="93"/>
      <c r="Y205" s="93"/>
      <c r="Z205" s="93"/>
      <c r="AA205" s="93"/>
      <c r="AB205" s="93"/>
      <c r="AC205" s="93"/>
      <c r="AD205" s="93"/>
      <c r="AE205" s="93"/>
    </row>
    <row r="206" spans="1:31">
      <c r="A206" s="171"/>
      <c r="B206" s="165"/>
      <c r="C206" s="211"/>
      <c r="D206" s="326"/>
      <c r="E206" s="165"/>
      <c r="F206" s="165"/>
      <c r="G206" s="216"/>
      <c r="H206" s="216"/>
      <c r="I206" s="216"/>
      <c r="J206" s="93"/>
      <c r="K206" s="93"/>
      <c r="L206" s="93"/>
      <c r="M206" s="93"/>
      <c r="N206" s="93"/>
      <c r="O206" s="93"/>
      <c r="P206" s="93"/>
      <c r="Q206" s="93"/>
      <c r="R206" s="93"/>
      <c r="S206" s="93"/>
      <c r="T206" s="93"/>
      <c r="U206" s="93"/>
      <c r="V206" s="93"/>
      <c r="W206" s="93"/>
      <c r="X206" s="93"/>
      <c r="Y206" s="93"/>
      <c r="Z206" s="93"/>
      <c r="AA206" s="93"/>
      <c r="AB206" s="93"/>
      <c r="AC206" s="93"/>
      <c r="AD206" s="93"/>
      <c r="AE206" s="93"/>
    </row>
    <row r="207" spans="1:31">
      <c r="A207" s="171"/>
      <c r="B207" s="165"/>
      <c r="C207" s="211"/>
      <c r="D207" s="326"/>
      <c r="E207" s="165"/>
      <c r="F207" s="165"/>
      <c r="G207" s="216"/>
      <c r="H207" s="216"/>
      <c r="I207" s="216"/>
      <c r="J207" s="93"/>
      <c r="K207" s="93"/>
      <c r="L207" s="93"/>
      <c r="M207" s="93"/>
      <c r="N207" s="93"/>
      <c r="O207" s="93"/>
      <c r="P207" s="93"/>
      <c r="Q207" s="93"/>
      <c r="R207" s="93"/>
      <c r="S207" s="93"/>
      <c r="T207" s="93"/>
      <c r="U207" s="93"/>
      <c r="V207" s="93"/>
      <c r="W207" s="93"/>
      <c r="X207" s="93"/>
      <c r="Y207" s="93"/>
      <c r="Z207" s="93"/>
      <c r="AA207" s="93"/>
      <c r="AB207" s="93"/>
      <c r="AC207" s="93"/>
      <c r="AD207" s="93"/>
      <c r="AE207" s="93"/>
    </row>
    <row r="208" spans="1:31">
      <c r="A208" s="171"/>
      <c r="B208" s="165"/>
      <c r="C208" s="211"/>
      <c r="D208" s="326"/>
      <c r="E208" s="165"/>
      <c r="F208" s="165"/>
      <c r="G208" s="216"/>
      <c r="H208" s="216"/>
      <c r="I208" s="216"/>
      <c r="J208" s="93"/>
      <c r="K208" s="93"/>
      <c r="L208" s="93"/>
      <c r="M208" s="93"/>
      <c r="N208" s="93"/>
      <c r="O208" s="93"/>
      <c r="P208" s="93"/>
      <c r="Q208" s="93"/>
      <c r="R208" s="93"/>
      <c r="S208" s="93"/>
      <c r="T208" s="93"/>
      <c r="U208" s="93"/>
      <c r="V208" s="93"/>
      <c r="W208" s="93"/>
      <c r="X208" s="93"/>
      <c r="Y208" s="93"/>
      <c r="Z208" s="93"/>
      <c r="AA208" s="93"/>
      <c r="AB208" s="93"/>
      <c r="AC208" s="93"/>
      <c r="AD208" s="93"/>
      <c r="AE208" s="93"/>
    </row>
    <row r="209" spans="1:31">
      <c r="A209" s="171"/>
      <c r="B209" s="165"/>
      <c r="C209" s="211"/>
      <c r="D209" s="326"/>
      <c r="E209" s="165"/>
      <c r="F209" s="165"/>
      <c r="G209" s="216"/>
      <c r="H209" s="216"/>
      <c r="I209" s="216"/>
      <c r="J209" s="93"/>
      <c r="K209" s="93"/>
      <c r="L209" s="93"/>
      <c r="M209" s="93"/>
      <c r="N209" s="93"/>
      <c r="O209" s="93"/>
      <c r="P209" s="93"/>
      <c r="Q209" s="93"/>
      <c r="R209" s="93"/>
      <c r="S209" s="93"/>
      <c r="T209" s="93"/>
      <c r="U209" s="93"/>
      <c r="V209" s="93"/>
      <c r="W209" s="93"/>
      <c r="X209" s="93"/>
      <c r="Y209" s="93"/>
      <c r="Z209" s="93"/>
      <c r="AA209" s="93"/>
      <c r="AB209" s="93"/>
      <c r="AC209" s="93"/>
      <c r="AD209" s="93"/>
      <c r="AE209" s="93"/>
    </row>
    <row r="210" spans="1:31">
      <c r="A210" s="171"/>
      <c r="B210" s="165"/>
      <c r="C210" s="211"/>
      <c r="D210" s="326"/>
      <c r="E210" s="165"/>
      <c r="F210" s="165"/>
      <c r="G210" s="216"/>
      <c r="H210" s="216"/>
      <c r="I210" s="216"/>
      <c r="J210" s="93"/>
      <c r="K210" s="93"/>
      <c r="L210" s="93"/>
      <c r="M210" s="93"/>
      <c r="N210" s="93"/>
      <c r="O210" s="93"/>
      <c r="P210" s="93"/>
      <c r="Q210" s="93"/>
      <c r="R210" s="93"/>
      <c r="S210" s="93"/>
      <c r="T210" s="93"/>
      <c r="U210" s="93"/>
      <c r="V210" s="93"/>
      <c r="W210" s="93"/>
      <c r="X210" s="93"/>
      <c r="Y210" s="93"/>
      <c r="Z210" s="93"/>
      <c r="AA210" s="93"/>
      <c r="AB210" s="93"/>
      <c r="AC210" s="93"/>
      <c r="AD210" s="93"/>
      <c r="AE210" s="93"/>
    </row>
    <row r="211" spans="1:31">
      <c r="A211" s="171"/>
      <c r="B211" s="165"/>
      <c r="C211" s="211"/>
      <c r="D211" s="326"/>
      <c r="E211" s="165"/>
      <c r="F211" s="165"/>
      <c r="G211" s="216"/>
      <c r="H211" s="216"/>
      <c r="I211" s="216"/>
      <c r="J211" s="93"/>
      <c r="K211" s="93"/>
      <c r="L211" s="93"/>
      <c r="M211" s="93"/>
      <c r="N211" s="93"/>
      <c r="O211" s="93"/>
      <c r="P211" s="93"/>
      <c r="Q211" s="93"/>
      <c r="R211" s="93"/>
      <c r="S211" s="93"/>
      <c r="T211" s="93"/>
      <c r="U211" s="93"/>
      <c r="V211" s="93"/>
      <c r="W211" s="93"/>
      <c r="X211" s="93"/>
      <c r="Y211" s="93"/>
      <c r="Z211" s="93"/>
      <c r="AA211" s="93"/>
      <c r="AB211" s="93"/>
      <c r="AC211" s="93"/>
      <c r="AD211" s="93"/>
      <c r="AE211" s="93"/>
    </row>
    <row r="212" spans="1:31">
      <c r="A212" s="11"/>
      <c r="G212" s="93"/>
      <c r="H212" s="93"/>
      <c r="I212" s="93"/>
      <c r="J212" s="93"/>
      <c r="K212" s="93"/>
      <c r="L212" s="93"/>
      <c r="M212" s="93"/>
      <c r="N212" s="93"/>
      <c r="O212" s="93"/>
      <c r="P212" s="93"/>
      <c r="Q212" s="93"/>
      <c r="R212" s="93"/>
      <c r="S212" s="93"/>
      <c r="T212" s="93"/>
      <c r="U212" s="93"/>
      <c r="V212" s="93"/>
      <c r="W212" s="93"/>
      <c r="X212" s="93"/>
      <c r="Y212" s="93"/>
      <c r="Z212" s="93"/>
      <c r="AA212" s="93"/>
      <c r="AB212" s="93"/>
      <c r="AC212" s="93"/>
      <c r="AD212" s="93"/>
      <c r="AE212" s="93"/>
    </row>
    <row r="213" spans="1:31">
      <c r="A213" s="11"/>
      <c r="G213" s="93"/>
      <c r="H213" s="93"/>
      <c r="I213" s="93"/>
      <c r="J213" s="93"/>
      <c r="K213" s="93"/>
      <c r="L213" s="93"/>
      <c r="M213" s="93"/>
      <c r="N213" s="93"/>
      <c r="O213" s="93"/>
      <c r="P213" s="93"/>
      <c r="Q213" s="93"/>
      <c r="R213" s="93"/>
      <c r="S213" s="93"/>
      <c r="T213" s="93"/>
      <c r="U213" s="93"/>
      <c r="V213" s="93"/>
      <c r="W213" s="93"/>
      <c r="X213" s="93"/>
      <c r="Y213" s="93"/>
      <c r="Z213" s="93"/>
      <c r="AA213" s="93"/>
      <c r="AB213" s="93"/>
      <c r="AC213" s="93"/>
      <c r="AD213" s="93"/>
      <c r="AE213" s="93"/>
    </row>
    <row r="214" spans="1:31">
      <c r="A214" s="11"/>
    </row>
    <row r="215" spans="1:31">
      <c r="A215" s="11"/>
    </row>
    <row r="216" spans="1:31">
      <c r="A216" s="11"/>
    </row>
    <row r="217" spans="1:31">
      <c r="A217" s="11"/>
    </row>
    <row r="218" spans="1:31">
      <c r="A218" s="11"/>
    </row>
    <row r="219" spans="1:31">
      <c r="A219" s="11"/>
    </row>
    <row r="220" spans="1:31">
      <c r="A220" s="11"/>
    </row>
    <row r="221" spans="1:31">
      <c r="A221" s="11"/>
    </row>
    <row r="222" spans="1:31">
      <c r="A222" s="11"/>
    </row>
    <row r="223" spans="1:31">
      <c r="A223" s="11"/>
    </row>
    <row r="224" spans="1:31">
      <c r="A224" s="11"/>
    </row>
    <row r="225" spans="1:1">
      <c r="A225" s="11"/>
    </row>
    <row r="226" spans="1:1">
      <c r="A226" s="11"/>
    </row>
    <row r="227" spans="1:1">
      <c r="A227" s="11"/>
    </row>
    <row r="228" spans="1:1">
      <c r="A228" s="11"/>
    </row>
    <row r="229" spans="1:1">
      <c r="A229" s="11"/>
    </row>
    <row r="230" spans="1:1">
      <c r="A230" s="11"/>
    </row>
    <row r="231" spans="1:1">
      <c r="A231" s="11"/>
    </row>
    <row r="232" spans="1:1">
      <c r="A232" s="11"/>
    </row>
    <row r="233" spans="1:1">
      <c r="A233" s="11"/>
    </row>
    <row r="234" spans="1:1">
      <c r="A234" s="11"/>
    </row>
    <row r="235" spans="1:1">
      <c r="A235" s="11"/>
    </row>
    <row r="236" spans="1:1">
      <c r="A236" s="11"/>
    </row>
    <row r="237" spans="1:1">
      <c r="A237" s="11"/>
    </row>
    <row r="238" spans="1:1">
      <c r="A238" s="11"/>
    </row>
    <row r="239" spans="1:1">
      <c r="A239" s="11"/>
    </row>
    <row r="240" spans="1:1">
      <c r="A240" s="11"/>
    </row>
    <row r="241" spans="1:1">
      <c r="A241" s="11"/>
    </row>
    <row r="242" spans="1:1">
      <c r="A242" s="11"/>
    </row>
    <row r="243" spans="1:1">
      <c r="A243" s="11"/>
    </row>
    <row r="244" spans="1:1">
      <c r="A244" s="11"/>
    </row>
    <row r="245" spans="1:1">
      <c r="A245" s="11"/>
    </row>
    <row r="246" spans="1:1">
      <c r="A246" s="11"/>
    </row>
    <row r="247" spans="1:1">
      <c r="A247" s="11"/>
    </row>
    <row r="248" spans="1:1">
      <c r="A248" s="11"/>
    </row>
    <row r="249" spans="1:1">
      <c r="A249" s="11"/>
    </row>
    <row r="250" spans="1:1">
      <c r="A250" s="11"/>
    </row>
    <row r="251" spans="1:1">
      <c r="A251" s="11"/>
    </row>
    <row r="252" spans="1:1">
      <c r="A252" s="11"/>
    </row>
    <row r="253" spans="1:1">
      <c r="A253" s="11"/>
    </row>
    <row r="254" spans="1:1">
      <c r="A254" s="11"/>
    </row>
    <row r="255" spans="1:1">
      <c r="A255" s="11"/>
    </row>
    <row r="256" spans="1:1">
      <c r="A256" s="11"/>
    </row>
    <row r="257" spans="1:1">
      <c r="A257" s="11"/>
    </row>
    <row r="258" spans="1:1">
      <c r="A258" s="11"/>
    </row>
    <row r="259" spans="1:1">
      <c r="A259" s="11"/>
    </row>
    <row r="260" spans="1:1">
      <c r="A260" s="11"/>
    </row>
    <row r="261" spans="1:1">
      <c r="A261" s="11"/>
    </row>
    <row r="262" spans="1:1">
      <c r="A262" s="11"/>
    </row>
    <row r="263" spans="1:1">
      <c r="A263" s="11"/>
    </row>
    <row r="264" spans="1:1">
      <c r="A264" s="11"/>
    </row>
    <row r="265" spans="1:1">
      <c r="A265" s="11"/>
    </row>
    <row r="266" spans="1:1">
      <c r="A266" s="11"/>
    </row>
    <row r="267" spans="1:1">
      <c r="A267" s="11"/>
    </row>
    <row r="268" spans="1:1">
      <c r="A268" s="11"/>
    </row>
    <row r="269" spans="1:1">
      <c r="A269" s="11"/>
    </row>
    <row r="270" spans="1:1">
      <c r="A270" s="11"/>
    </row>
    <row r="271" spans="1:1">
      <c r="A271" s="11"/>
    </row>
    <row r="272" spans="1:1">
      <c r="A272" s="11"/>
    </row>
    <row r="273" spans="1:1">
      <c r="A273" s="11"/>
    </row>
    <row r="274" spans="1:1">
      <c r="A274" s="11"/>
    </row>
    <row r="275" spans="1:1">
      <c r="A275" s="11"/>
    </row>
    <row r="276" spans="1:1">
      <c r="A276" s="11"/>
    </row>
    <row r="277" spans="1:1">
      <c r="A277" s="11"/>
    </row>
    <row r="278" spans="1:1">
      <c r="A278" s="11"/>
    </row>
    <row r="279" spans="1:1">
      <c r="A279" s="11"/>
    </row>
    <row r="280" spans="1:1">
      <c r="A280" s="11"/>
    </row>
    <row r="281" spans="1:1">
      <c r="A281" s="11"/>
    </row>
    <row r="282" spans="1:1">
      <c r="A282" s="11"/>
    </row>
    <row r="283" spans="1:1">
      <c r="A283" s="11"/>
    </row>
    <row r="284" spans="1:1">
      <c r="A284" s="11"/>
    </row>
    <row r="285" spans="1:1">
      <c r="A285" s="11"/>
    </row>
    <row r="286" spans="1:1">
      <c r="A286" s="11"/>
    </row>
    <row r="287" spans="1:1">
      <c r="A287" s="11"/>
    </row>
    <row r="288" spans="1:1">
      <c r="A288" s="11"/>
    </row>
    <row r="289" spans="1:1">
      <c r="A289" s="11"/>
    </row>
    <row r="290" spans="1:1">
      <c r="A290" s="11"/>
    </row>
    <row r="291" spans="1:1">
      <c r="A291" s="11"/>
    </row>
    <row r="292" spans="1:1">
      <c r="A292" s="11"/>
    </row>
    <row r="293" spans="1:1">
      <c r="A293" s="11"/>
    </row>
    <row r="294" spans="1:1">
      <c r="A294" s="11"/>
    </row>
    <row r="295" spans="1:1">
      <c r="A295" s="11"/>
    </row>
    <row r="296" spans="1:1">
      <c r="A296" s="11"/>
    </row>
    <row r="297" spans="1:1">
      <c r="A297" s="11"/>
    </row>
    <row r="298" spans="1:1">
      <c r="A298" s="11"/>
    </row>
    <row r="299" spans="1:1">
      <c r="A299" s="11"/>
    </row>
    <row r="300" spans="1:1">
      <c r="A300" s="11"/>
    </row>
    <row r="301" spans="1:1">
      <c r="A301" s="11"/>
    </row>
    <row r="302" spans="1:1">
      <c r="A302" s="11"/>
    </row>
    <row r="303" spans="1:1">
      <c r="A303" s="11"/>
    </row>
    <row r="304" spans="1:1">
      <c r="A304" s="11"/>
    </row>
    <row r="305" spans="1:1">
      <c r="A305" s="11"/>
    </row>
    <row r="306" spans="1:1">
      <c r="A306" s="11"/>
    </row>
  </sheetData>
  <sheetProtection password="E9DD" sheet="1" selectLockedCells="1"/>
  <mergeCells count="20">
    <mergeCell ref="B2:F2"/>
    <mergeCell ref="B36:F36"/>
    <mergeCell ref="B56:F56"/>
    <mergeCell ref="B65:F65"/>
    <mergeCell ref="E138:F138"/>
    <mergeCell ref="E123:F123"/>
    <mergeCell ref="E125:F125"/>
    <mergeCell ref="E133:F133"/>
    <mergeCell ref="E119:F119"/>
    <mergeCell ref="E121:F121"/>
    <mergeCell ref="E118:F118"/>
    <mergeCell ref="C183:D183"/>
    <mergeCell ref="F173:F175"/>
    <mergeCell ref="E147:F147"/>
    <mergeCell ref="E157:F157"/>
    <mergeCell ref="E159:F159"/>
    <mergeCell ref="E158:F158"/>
    <mergeCell ref="E168:F168"/>
    <mergeCell ref="E148:F148"/>
    <mergeCell ref="E156:F156"/>
  </mergeCells>
  <phoneticPr fontId="28" type="noConversion"/>
  <pageMargins left="0.7" right="0.7" top="0.75" bottom="0.75" header="0.3" footer="0.3"/>
  <pageSetup orientation="portrait" r:id="rId1"/>
  <drawing r:id="rId2"/>
  <legacyDrawing r:id="rId3"/>
  <oleObjects>
    <mc:AlternateContent xmlns:mc="http://schemas.openxmlformats.org/markup-compatibility/2006">
      <mc:Choice Requires="x14">
        <oleObject progId="Visio.Drawing.15" shapeId="4173" r:id="rId4">
          <objectPr defaultSize="0" autoPict="0" r:id="rId5">
            <anchor moveWithCells="1">
              <from>
                <xdr:col>6</xdr:col>
                <xdr:colOff>99060</xdr:colOff>
                <xdr:row>71</xdr:row>
                <xdr:rowOff>83820</xdr:rowOff>
              </from>
              <to>
                <xdr:col>11</xdr:col>
                <xdr:colOff>567690</xdr:colOff>
                <xdr:row>79</xdr:row>
                <xdr:rowOff>152400</xdr:rowOff>
              </to>
            </anchor>
          </objectPr>
        </oleObject>
      </mc:Choice>
      <mc:Fallback>
        <oleObject progId="Visio.Drawing.15" shapeId="41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4:I135"/>
  <sheetViews>
    <sheetView topLeftCell="A100" zoomScale="55" zoomScaleNormal="55" workbookViewId="0"/>
  </sheetViews>
  <sheetFormatPr defaultRowHeight="14.4"/>
  <cols>
    <col min="1" max="1" width="4.26171875" customWidth="1"/>
    <col min="2" max="2" width="38.89453125" customWidth="1"/>
    <col min="3" max="3" width="40.3671875" customWidth="1"/>
    <col min="4" max="4" width="11.89453125" customWidth="1"/>
    <col min="5" max="5" width="5.3671875" customWidth="1"/>
    <col min="6" max="6" width="16.26171875" customWidth="1"/>
    <col min="7" max="7" width="11.89453125" customWidth="1"/>
    <col min="8" max="8" width="17.62890625" customWidth="1"/>
    <col min="9" max="9" width="18" customWidth="1"/>
  </cols>
  <sheetData>
    <row r="4" spans="7:9" ht="51" customHeight="1">
      <c r="I4" s="328" t="s">
        <v>361</v>
      </c>
    </row>
    <row r="6" spans="7:9">
      <c r="G6" s="21"/>
    </row>
    <row r="7" spans="7:9">
      <c r="G7" s="21"/>
    </row>
    <row r="10" spans="7:9" ht="14.25" customHeight="1">
      <c r="G10" s="162"/>
    </row>
    <row r="24" spans="2:9" ht="14.7" thickBot="1"/>
    <row r="25" spans="2:9" ht="20.100000000000001">
      <c r="B25" s="592" t="s">
        <v>483</v>
      </c>
      <c r="C25" s="593"/>
      <c r="D25" s="593"/>
      <c r="E25" s="593"/>
      <c r="F25" s="594"/>
      <c r="G25" s="21"/>
      <c r="H25" s="329"/>
      <c r="I25" s="329"/>
    </row>
    <row r="26" spans="2:9" ht="18" thickBot="1">
      <c r="B26" s="330" t="s">
        <v>78</v>
      </c>
      <c r="C26" s="595" t="s">
        <v>79</v>
      </c>
      <c r="D26" s="595"/>
      <c r="E26" s="595"/>
      <c r="F26" s="596"/>
    </row>
    <row r="27" spans="2:9" ht="15.3" thickBot="1">
      <c r="B27" s="580"/>
      <c r="C27" s="581"/>
      <c r="D27" s="581"/>
      <c r="E27" s="581"/>
      <c r="F27" s="582"/>
      <c r="G27" s="21"/>
    </row>
    <row r="28" spans="2:9" ht="15" customHeight="1">
      <c r="B28" s="583" t="s">
        <v>80</v>
      </c>
      <c r="C28" s="331" t="s">
        <v>81</v>
      </c>
      <c r="D28" s="332">
        <f>RCS</f>
        <v>0.73199999999999998</v>
      </c>
      <c r="E28" s="333" t="s">
        <v>11</v>
      </c>
      <c r="F28" s="334" t="s">
        <v>82</v>
      </c>
    </row>
    <row r="29" spans="2:9" ht="15" customHeight="1" thickBot="1">
      <c r="B29" s="584"/>
      <c r="C29" s="335" t="s">
        <v>360</v>
      </c>
      <c r="D29" s="336">
        <f>PRcs</f>
        <v>0.11662951087792579</v>
      </c>
      <c r="E29" s="588" t="s">
        <v>9</v>
      </c>
      <c r="F29" s="589"/>
    </row>
    <row r="30" spans="2:9" ht="15.3" thickBot="1">
      <c r="B30" s="580"/>
      <c r="C30" s="581"/>
      <c r="D30" s="581"/>
      <c r="E30" s="581"/>
      <c r="F30" s="582"/>
    </row>
    <row r="31" spans="2:9" ht="18.899999999999999" thickBot="1">
      <c r="B31" s="337" t="s">
        <v>85</v>
      </c>
      <c r="C31" s="331" t="s">
        <v>81</v>
      </c>
      <c r="D31" s="333">
        <f>RFB</f>
        <v>22</v>
      </c>
      <c r="E31" s="333" t="s">
        <v>84</v>
      </c>
      <c r="F31" s="334" t="s">
        <v>82</v>
      </c>
    </row>
    <row r="32" spans="2:9" ht="15.3" thickBot="1">
      <c r="B32" s="580"/>
      <c r="C32" s="581"/>
      <c r="D32" s="581"/>
      <c r="E32" s="581"/>
      <c r="F32" s="582"/>
    </row>
    <row r="33" spans="2:6" ht="18.899999999999999" thickBot="1">
      <c r="B33" s="338" t="s">
        <v>475</v>
      </c>
      <c r="C33" s="331" t="s">
        <v>81</v>
      </c>
      <c r="D33" s="339">
        <f>RBLEED</f>
        <v>10</v>
      </c>
      <c r="E33" s="340" t="s">
        <v>86</v>
      </c>
      <c r="F33" s="334"/>
    </row>
    <row r="34" spans="2:6" ht="15.3" thickBot="1">
      <c r="B34" s="580"/>
      <c r="C34" s="581"/>
      <c r="D34" s="581"/>
      <c r="E34" s="581"/>
      <c r="F34" s="582"/>
    </row>
    <row r="35" spans="2:6" ht="18.899999999999999" thickBot="1">
      <c r="B35" s="338" t="s">
        <v>87</v>
      </c>
      <c r="C35" s="331" t="s">
        <v>81</v>
      </c>
      <c r="D35" s="339">
        <f>RVS_1</f>
        <v>85</v>
      </c>
      <c r="E35" s="340" t="s">
        <v>84</v>
      </c>
      <c r="F35" s="334" t="s">
        <v>82</v>
      </c>
    </row>
    <row r="36" spans="2:6" ht="15.3" thickBot="1">
      <c r="B36" s="580"/>
      <c r="C36" s="581"/>
      <c r="D36" s="581"/>
      <c r="E36" s="581"/>
      <c r="F36" s="582"/>
    </row>
    <row r="37" spans="2:6" ht="18.899999999999999" thickBot="1">
      <c r="B37" s="337" t="s">
        <v>88</v>
      </c>
      <c r="C37" s="331" t="s">
        <v>81</v>
      </c>
      <c r="D37" s="333">
        <f>RVS_2</f>
        <v>20</v>
      </c>
      <c r="E37" s="333" t="s">
        <v>84</v>
      </c>
      <c r="F37" s="334" t="s">
        <v>82</v>
      </c>
    </row>
    <row r="38" spans="2:6" ht="15.7" customHeight="1" thickBot="1">
      <c r="B38" s="580"/>
      <c r="C38" s="581"/>
      <c r="D38" s="581"/>
      <c r="E38" s="581"/>
      <c r="F38" s="582"/>
    </row>
    <row r="39" spans="2:6" ht="18.899999999999999" thickBot="1">
      <c r="B39" s="338" t="s">
        <v>89</v>
      </c>
      <c r="C39" s="331" t="s">
        <v>81</v>
      </c>
      <c r="D39" s="339">
        <f>R_OPP</f>
        <v>7680</v>
      </c>
      <c r="E39" s="333" t="s">
        <v>11</v>
      </c>
      <c r="F39" s="334" t="s">
        <v>82</v>
      </c>
    </row>
    <row r="40" spans="2:6" ht="15.3" thickBot="1">
      <c r="B40" s="580"/>
      <c r="C40" s="581"/>
      <c r="D40" s="581"/>
      <c r="E40" s="581"/>
      <c r="F40" s="582"/>
    </row>
    <row r="41" spans="2:6" ht="18.899999999999999" thickBot="1">
      <c r="B41" s="338" t="s">
        <v>90</v>
      </c>
      <c r="C41" s="331" t="s">
        <v>81</v>
      </c>
      <c r="D41" s="339">
        <f>RDM</f>
        <v>60.4</v>
      </c>
      <c r="E41" s="340" t="s">
        <v>84</v>
      </c>
      <c r="F41" s="334" t="s">
        <v>82</v>
      </c>
    </row>
    <row r="42" spans="2:6" ht="15.3" thickBot="1">
      <c r="B42" s="580"/>
      <c r="C42" s="581"/>
      <c r="D42" s="581"/>
      <c r="E42" s="581"/>
      <c r="F42" s="582"/>
    </row>
    <row r="43" spans="2:6" ht="18.899999999999999" thickBot="1">
      <c r="B43" s="337" t="s">
        <v>91</v>
      </c>
      <c r="C43" s="331" t="s">
        <v>81</v>
      </c>
      <c r="D43" s="333">
        <f>RTZ</f>
        <v>590</v>
      </c>
      <c r="E43" s="333" t="s">
        <v>84</v>
      </c>
      <c r="F43" s="334" t="s">
        <v>82</v>
      </c>
    </row>
    <row r="44" spans="2:6" ht="15.7" customHeight="1" thickBot="1">
      <c r="B44" s="580"/>
      <c r="C44" s="581"/>
      <c r="D44" s="581"/>
      <c r="E44" s="581"/>
      <c r="F44" s="582"/>
    </row>
    <row r="45" spans="2:6" ht="18.899999999999999" thickBot="1">
      <c r="B45" s="338" t="s">
        <v>92</v>
      </c>
      <c r="C45" s="331" t="s">
        <v>81</v>
      </c>
      <c r="D45" s="339">
        <f>RBUR1</f>
        <v>113</v>
      </c>
      <c r="E45" s="340" t="s">
        <v>84</v>
      </c>
      <c r="F45" s="334" t="s">
        <v>82</v>
      </c>
    </row>
    <row r="46" spans="2:6" ht="15" customHeight="1" thickBot="1">
      <c r="B46" s="580"/>
      <c r="C46" s="581"/>
      <c r="D46" s="581"/>
      <c r="E46" s="581"/>
      <c r="F46" s="582"/>
    </row>
    <row r="47" spans="2:6" ht="18.899999999999999" thickBot="1">
      <c r="B47" s="338" t="s">
        <v>93</v>
      </c>
      <c r="C47" s="331" t="s">
        <v>81</v>
      </c>
      <c r="D47" s="339">
        <f>RBUR2</f>
        <v>63.4</v>
      </c>
      <c r="E47" s="340" t="s">
        <v>84</v>
      </c>
      <c r="F47" s="334" t="s">
        <v>82</v>
      </c>
    </row>
    <row r="48" spans="2:6" ht="15.3" thickBot="1">
      <c r="B48" s="580"/>
      <c r="C48" s="581"/>
      <c r="D48" s="581"/>
      <c r="E48" s="581"/>
      <c r="F48" s="582"/>
    </row>
    <row r="49" spans="2:6" ht="18.899999999999999" thickBot="1">
      <c r="B49" s="337" t="s">
        <v>94</v>
      </c>
      <c r="C49" s="331" t="s">
        <v>81</v>
      </c>
      <c r="D49" s="333">
        <f>RSWS</f>
        <v>121</v>
      </c>
      <c r="E49" s="333" t="s">
        <v>11</v>
      </c>
      <c r="F49" s="334"/>
    </row>
    <row r="50" spans="2:6" ht="15.7" customHeight="1" thickBot="1">
      <c r="B50" s="580"/>
      <c r="C50" s="581"/>
      <c r="D50" s="581"/>
      <c r="E50" s="581"/>
      <c r="F50" s="582"/>
    </row>
    <row r="51" spans="2:6" ht="18.899999999999999" thickBot="1">
      <c r="B51" s="338" t="s">
        <v>95</v>
      </c>
      <c r="C51" s="331" t="s">
        <v>81</v>
      </c>
      <c r="D51" s="339">
        <f>RHVG</f>
        <v>1</v>
      </c>
      <c r="E51" s="340" t="s">
        <v>86</v>
      </c>
      <c r="F51" s="334"/>
    </row>
    <row r="52" spans="2:6" ht="15.3" thickBot="1">
      <c r="B52" s="580"/>
      <c r="C52" s="581"/>
      <c r="D52" s="581"/>
      <c r="E52" s="581"/>
      <c r="F52" s="582"/>
    </row>
    <row r="53" spans="2:6" ht="18.899999999999999" thickBot="1">
      <c r="B53" s="338" t="s">
        <v>96</v>
      </c>
      <c r="C53" s="331" t="s">
        <v>81</v>
      </c>
      <c r="D53" s="339">
        <f>RDD2_</f>
        <v>10</v>
      </c>
      <c r="E53" s="333" t="s">
        <v>11</v>
      </c>
      <c r="F53" s="334"/>
    </row>
    <row r="54" spans="2:6" ht="15.3" thickBot="1">
      <c r="B54" s="580"/>
      <c r="C54" s="581"/>
      <c r="D54" s="581"/>
      <c r="E54" s="581"/>
      <c r="F54" s="582"/>
    </row>
    <row r="55" spans="2:6" ht="18.899999999999999" thickBot="1">
      <c r="B55" s="337" t="s">
        <v>97</v>
      </c>
      <c r="C55" s="331" t="s">
        <v>81</v>
      </c>
      <c r="D55" s="333">
        <f>RDD_1</f>
        <v>10</v>
      </c>
      <c r="E55" s="333" t="s">
        <v>11</v>
      </c>
      <c r="F55" s="334"/>
    </row>
    <row r="56" spans="2:6" ht="15.7" customHeight="1" thickBot="1">
      <c r="B56" s="580"/>
      <c r="C56" s="581"/>
      <c r="D56" s="581"/>
      <c r="E56" s="581"/>
      <c r="F56" s="582"/>
    </row>
    <row r="57" spans="2:6" ht="18.899999999999999" thickBot="1">
      <c r="B57" s="338" t="s">
        <v>478</v>
      </c>
      <c r="C57" s="331" t="s">
        <v>81</v>
      </c>
      <c r="D57" s="339">
        <f>Rbias1</f>
        <v>11</v>
      </c>
      <c r="E57" s="340" t="s">
        <v>84</v>
      </c>
      <c r="F57" s="334" t="s">
        <v>82</v>
      </c>
    </row>
    <row r="58" spans="2:6" ht="15" customHeight="1" thickBot="1">
      <c r="B58" s="580"/>
      <c r="C58" s="581"/>
      <c r="D58" s="581"/>
      <c r="E58" s="581"/>
      <c r="F58" s="582"/>
    </row>
    <row r="59" spans="2:6" ht="18.899999999999999" thickBot="1">
      <c r="B59" s="338" t="s">
        <v>477</v>
      </c>
      <c r="C59" s="331" t="s">
        <v>81</v>
      </c>
      <c r="D59" s="339">
        <f>Rbias2</f>
        <v>14</v>
      </c>
      <c r="E59" s="340" t="s">
        <v>84</v>
      </c>
      <c r="F59" s="334" t="s">
        <v>82</v>
      </c>
    </row>
    <row r="60" spans="2:6" ht="15.3" thickBot="1">
      <c r="B60" s="580"/>
      <c r="C60" s="581"/>
      <c r="D60" s="581"/>
      <c r="E60" s="581"/>
      <c r="F60" s="582"/>
    </row>
    <row r="61" spans="2:6" ht="18.899999999999999" thickBot="1">
      <c r="B61" s="337" t="s">
        <v>98</v>
      </c>
      <c r="C61" s="331" t="s">
        <v>81</v>
      </c>
      <c r="D61" s="333">
        <f>Rvo1_</f>
        <v>174</v>
      </c>
      <c r="E61" s="333" t="s">
        <v>84</v>
      </c>
      <c r="F61" s="334" t="s">
        <v>82</v>
      </c>
    </row>
    <row r="62" spans="2:6" ht="15.3" thickBot="1">
      <c r="B62" s="580"/>
      <c r="C62" s="581"/>
      <c r="D62" s="581"/>
      <c r="E62" s="581"/>
      <c r="F62" s="582"/>
    </row>
    <row r="63" spans="2:6" ht="18.899999999999999" thickBot="1">
      <c r="B63" s="338" t="s">
        <v>99</v>
      </c>
      <c r="C63" s="331" t="s">
        <v>81</v>
      </c>
      <c r="D63" s="339">
        <f>Rvo2_</f>
        <v>33.200000000000003</v>
      </c>
      <c r="E63" s="340" t="s">
        <v>84</v>
      </c>
      <c r="F63" s="334" t="s">
        <v>82</v>
      </c>
    </row>
    <row r="64" spans="2:6" ht="15.3" thickBot="1">
      <c r="B64" s="580"/>
      <c r="C64" s="581"/>
      <c r="D64" s="581"/>
      <c r="E64" s="581"/>
      <c r="F64" s="582"/>
    </row>
    <row r="65" spans="2:8" ht="18.899999999999999" thickBot="1">
      <c r="B65" s="338" t="s">
        <v>170</v>
      </c>
      <c r="C65" s="331" t="s">
        <v>81</v>
      </c>
      <c r="D65" s="339">
        <f>RCOMP</f>
        <v>1</v>
      </c>
      <c r="E65" s="340" t="s">
        <v>86</v>
      </c>
      <c r="F65" s="334"/>
    </row>
    <row r="66" spans="2:8" ht="15.3" thickBot="1">
      <c r="B66" s="580"/>
      <c r="C66" s="581"/>
      <c r="D66" s="581"/>
      <c r="E66" s="581"/>
      <c r="F66" s="582"/>
    </row>
    <row r="67" spans="2:8" ht="18.899999999999999" thickBot="1">
      <c r="B67" s="338" t="s">
        <v>476</v>
      </c>
      <c r="C67" s="331" t="s">
        <v>81</v>
      </c>
      <c r="D67" s="339">
        <f>Rdiff</f>
        <v>499</v>
      </c>
      <c r="E67" s="333" t="s">
        <v>11</v>
      </c>
      <c r="F67" s="334" t="s">
        <v>82</v>
      </c>
    </row>
    <row r="68" spans="2:8" ht="15.3" thickBot="1">
      <c r="B68" s="580"/>
      <c r="C68" s="581"/>
      <c r="D68" s="581"/>
      <c r="E68" s="581"/>
      <c r="F68" s="582"/>
      <c r="G68" s="21"/>
    </row>
    <row r="69" spans="2:8" ht="15">
      <c r="B69" s="583" t="s">
        <v>102</v>
      </c>
      <c r="C69" s="341" t="s">
        <v>83</v>
      </c>
      <c r="D69" s="585" t="s">
        <v>100</v>
      </c>
      <c r="E69" s="586"/>
      <c r="F69" s="587"/>
      <c r="G69" s="21"/>
    </row>
    <row r="70" spans="2:8" ht="15">
      <c r="B70" s="584"/>
      <c r="C70" s="335" t="s">
        <v>81</v>
      </c>
      <c r="D70" s="342">
        <f>CBULK</f>
        <v>15</v>
      </c>
      <c r="E70" s="342" t="s">
        <v>60</v>
      </c>
      <c r="F70" s="343"/>
      <c r="H70" s="21"/>
    </row>
    <row r="71" spans="2:8" ht="15.3" thickBot="1">
      <c r="B71" s="584"/>
      <c r="C71" s="335" t="s">
        <v>101</v>
      </c>
      <c r="D71" s="342">
        <f>Vcin_rated</f>
        <v>400</v>
      </c>
      <c r="E71" s="588" t="s">
        <v>8</v>
      </c>
      <c r="F71" s="589"/>
    </row>
    <row r="72" spans="2:8" ht="15.3" thickBot="1">
      <c r="B72" s="580"/>
      <c r="C72" s="581"/>
      <c r="D72" s="581"/>
      <c r="E72" s="581"/>
      <c r="F72" s="582"/>
    </row>
    <row r="73" spans="2:8" ht="15">
      <c r="B73" s="591" t="s">
        <v>484</v>
      </c>
      <c r="C73" s="341" t="s">
        <v>83</v>
      </c>
      <c r="D73" s="585" t="s">
        <v>100</v>
      </c>
      <c r="E73" s="586"/>
      <c r="F73" s="587"/>
      <c r="G73" s="21"/>
    </row>
    <row r="74" spans="2:8" ht="15">
      <c r="B74" s="584"/>
      <c r="C74" s="335" t="s">
        <v>81</v>
      </c>
      <c r="D74" s="342">
        <f>COUT</f>
        <v>470</v>
      </c>
      <c r="E74" s="342" t="s">
        <v>60</v>
      </c>
      <c r="F74" s="343"/>
      <c r="G74" s="344"/>
    </row>
    <row r="75" spans="2:8" ht="15">
      <c r="B75" s="584"/>
      <c r="C75" s="335" t="s">
        <v>101</v>
      </c>
      <c r="D75" s="342">
        <f>VOUT*1.25</f>
        <v>19.375</v>
      </c>
      <c r="E75" s="342" t="s">
        <v>8</v>
      </c>
      <c r="F75" s="343"/>
      <c r="G75" s="344"/>
    </row>
    <row r="76" spans="2:8" ht="15.3" thickBot="1">
      <c r="B76" s="584"/>
      <c r="C76" s="335" t="s">
        <v>474</v>
      </c>
      <c r="D76" s="342">
        <f>RCO</f>
        <v>20</v>
      </c>
      <c r="E76" s="588" t="s">
        <v>473</v>
      </c>
      <c r="F76" s="589"/>
      <c r="G76" s="21"/>
    </row>
    <row r="77" spans="2:8" ht="15.3" thickBot="1">
      <c r="B77" s="580"/>
      <c r="C77" s="581"/>
      <c r="D77" s="581"/>
      <c r="E77" s="581"/>
      <c r="F77" s="582"/>
    </row>
    <row r="78" spans="2:8" ht="15">
      <c r="B78" s="583" t="s">
        <v>479</v>
      </c>
      <c r="C78" s="341" t="s">
        <v>83</v>
      </c>
      <c r="D78" s="585" t="s">
        <v>103</v>
      </c>
      <c r="E78" s="586"/>
      <c r="F78" s="587"/>
      <c r="G78" s="21"/>
    </row>
    <row r="79" spans="2:8" ht="15">
      <c r="B79" s="584"/>
      <c r="C79" s="335" t="s">
        <v>81</v>
      </c>
      <c r="D79" s="342">
        <f>Cclamp</f>
        <v>0.09</v>
      </c>
      <c r="E79" s="342" t="s">
        <v>60</v>
      </c>
      <c r="F79" s="343"/>
    </row>
    <row r="80" spans="2:8" ht="15.3" thickBot="1">
      <c r="B80" s="584"/>
      <c r="C80" s="335" t="s">
        <v>101</v>
      </c>
      <c r="D80" s="342">
        <f>VOUT*NPS*2+50</f>
        <v>360</v>
      </c>
      <c r="E80" s="588" t="s">
        <v>8</v>
      </c>
      <c r="F80" s="589"/>
      <c r="G80" s="21"/>
    </row>
    <row r="81" spans="2:7" ht="15.3" thickBot="1">
      <c r="B81" s="580"/>
      <c r="C81" s="581"/>
      <c r="D81" s="581"/>
      <c r="E81" s="581"/>
      <c r="F81" s="582"/>
    </row>
    <row r="82" spans="2:7" ht="15">
      <c r="B82" s="583" t="s">
        <v>104</v>
      </c>
      <c r="C82" s="341" t="s">
        <v>83</v>
      </c>
      <c r="D82" s="585" t="s">
        <v>103</v>
      </c>
      <c r="E82" s="586"/>
      <c r="F82" s="587"/>
      <c r="G82" s="21"/>
    </row>
    <row r="83" spans="2:7" ht="15">
      <c r="B83" s="584"/>
      <c r="C83" s="335" t="s">
        <v>81</v>
      </c>
      <c r="D83" s="342">
        <f>CCS</f>
        <v>3.9</v>
      </c>
      <c r="E83" s="342" t="s">
        <v>105</v>
      </c>
      <c r="F83" s="343"/>
    </row>
    <row r="84" spans="2:7" ht="15.3" thickBot="1">
      <c r="B84" s="584"/>
      <c r="C84" s="335" t="s">
        <v>101</v>
      </c>
      <c r="D84" s="342">
        <v>50</v>
      </c>
      <c r="E84" s="588" t="s">
        <v>8</v>
      </c>
      <c r="F84" s="589"/>
    </row>
    <row r="85" spans="2:7" ht="15.3" thickBot="1">
      <c r="B85" s="580"/>
      <c r="C85" s="581"/>
      <c r="D85" s="581"/>
      <c r="E85" s="581"/>
      <c r="F85" s="582"/>
    </row>
    <row r="86" spans="2:7" ht="15">
      <c r="B86" s="583" t="s">
        <v>106</v>
      </c>
      <c r="C86" s="341" t="s">
        <v>83</v>
      </c>
      <c r="D86" s="585" t="s">
        <v>103</v>
      </c>
      <c r="E86" s="586"/>
      <c r="F86" s="587"/>
      <c r="G86" s="21"/>
    </row>
    <row r="87" spans="2:7" ht="15">
      <c r="B87" s="584"/>
      <c r="C87" s="335" t="s">
        <v>81</v>
      </c>
      <c r="D87" s="342">
        <f>CSWS</f>
        <v>22</v>
      </c>
      <c r="E87" s="342" t="s">
        <v>105</v>
      </c>
      <c r="F87" s="343"/>
    </row>
    <row r="88" spans="2:7" ht="15.3" thickBot="1">
      <c r="B88" s="584"/>
      <c r="C88" s="335" t="s">
        <v>101</v>
      </c>
      <c r="D88" s="342">
        <v>50</v>
      </c>
      <c r="E88" s="588" t="s">
        <v>8</v>
      </c>
      <c r="F88" s="589"/>
    </row>
    <row r="89" spans="2:7" ht="15.3" thickBot="1">
      <c r="B89" s="580"/>
      <c r="C89" s="581"/>
      <c r="D89" s="581"/>
      <c r="E89" s="581"/>
      <c r="F89" s="582"/>
    </row>
    <row r="90" spans="2:7" ht="15">
      <c r="B90" s="583" t="s">
        <v>121</v>
      </c>
      <c r="C90" s="341" t="s">
        <v>83</v>
      </c>
      <c r="D90" s="585" t="s">
        <v>103</v>
      </c>
      <c r="E90" s="586"/>
      <c r="F90" s="587"/>
      <c r="G90" s="21"/>
    </row>
    <row r="91" spans="2:7" ht="15">
      <c r="B91" s="584"/>
      <c r="C91" s="335" t="s">
        <v>81</v>
      </c>
      <c r="D91" s="342">
        <f>CBUR</f>
        <v>330</v>
      </c>
      <c r="E91" s="342" t="s">
        <v>14</v>
      </c>
      <c r="F91" s="343"/>
    </row>
    <row r="92" spans="2:7" ht="15.3" thickBot="1">
      <c r="B92" s="584"/>
      <c r="C92" s="335" t="s">
        <v>101</v>
      </c>
      <c r="D92" s="342">
        <v>50</v>
      </c>
      <c r="E92" s="588" t="s">
        <v>8</v>
      </c>
      <c r="F92" s="589"/>
      <c r="G92" s="21"/>
    </row>
    <row r="93" spans="2:7" ht="15.3" thickBot="1">
      <c r="B93" s="580"/>
      <c r="C93" s="581"/>
      <c r="D93" s="581"/>
      <c r="E93" s="581"/>
      <c r="F93" s="582"/>
    </row>
    <row r="94" spans="2:7" ht="15">
      <c r="B94" s="583" t="s">
        <v>107</v>
      </c>
      <c r="C94" s="341" t="s">
        <v>83</v>
      </c>
      <c r="D94" s="585" t="s">
        <v>103</v>
      </c>
      <c r="E94" s="586"/>
      <c r="F94" s="587"/>
      <c r="G94" s="21"/>
    </row>
    <row r="95" spans="2:7" ht="15">
      <c r="B95" s="584"/>
      <c r="C95" s="335" t="s">
        <v>81</v>
      </c>
      <c r="D95" s="342">
        <f>CHVG</f>
        <v>2.2000000000000002</v>
      </c>
      <c r="E95" s="342" t="s">
        <v>58</v>
      </c>
      <c r="F95" s="343"/>
    </row>
    <row r="96" spans="2:7" ht="15.3" thickBot="1">
      <c r="B96" s="584"/>
      <c r="C96" s="335" t="s">
        <v>101</v>
      </c>
      <c r="D96" s="342">
        <v>50</v>
      </c>
      <c r="E96" s="588" t="s">
        <v>8</v>
      </c>
      <c r="F96" s="589"/>
    </row>
    <row r="97" spans="2:7" ht="15.3" thickBot="1">
      <c r="B97" s="580"/>
      <c r="C97" s="581"/>
      <c r="D97" s="581"/>
      <c r="E97" s="581"/>
      <c r="F97" s="582"/>
    </row>
    <row r="98" spans="2:7" ht="15">
      <c r="B98" s="583" t="s">
        <v>108</v>
      </c>
      <c r="C98" s="341" t="s">
        <v>83</v>
      </c>
      <c r="D98" s="585" t="s">
        <v>103</v>
      </c>
      <c r="E98" s="586"/>
      <c r="F98" s="587"/>
      <c r="G98" s="21"/>
    </row>
    <row r="99" spans="2:7" ht="15">
      <c r="B99" s="584"/>
      <c r="C99" s="335" t="s">
        <v>81</v>
      </c>
      <c r="D99" s="342">
        <f>CREF</f>
        <v>0.1</v>
      </c>
      <c r="E99" s="342" t="s">
        <v>60</v>
      </c>
      <c r="F99" s="343"/>
    </row>
    <row r="100" spans="2:7" ht="15.3" thickBot="1">
      <c r="B100" s="584"/>
      <c r="C100" s="335" t="s">
        <v>101</v>
      </c>
      <c r="D100" s="342">
        <v>25</v>
      </c>
      <c r="E100" s="588" t="s">
        <v>8</v>
      </c>
      <c r="F100" s="589"/>
    </row>
    <row r="101" spans="2:7" ht="15.3" thickBot="1">
      <c r="B101" s="580"/>
      <c r="C101" s="581"/>
      <c r="D101" s="581"/>
      <c r="E101" s="581"/>
      <c r="F101" s="582"/>
    </row>
    <row r="102" spans="2:7" ht="15">
      <c r="B102" s="583" t="s">
        <v>480</v>
      </c>
      <c r="C102" s="341" t="s">
        <v>83</v>
      </c>
      <c r="D102" s="585" t="s">
        <v>103</v>
      </c>
      <c r="E102" s="586"/>
      <c r="F102" s="587"/>
      <c r="G102" s="21"/>
    </row>
    <row r="103" spans="2:7" ht="15">
      <c r="B103" s="584"/>
      <c r="C103" s="335" t="s">
        <v>81</v>
      </c>
      <c r="D103" s="342">
        <f>Cboot</f>
        <v>15</v>
      </c>
      <c r="E103" s="342" t="s">
        <v>58</v>
      </c>
      <c r="F103" s="343"/>
    </row>
    <row r="104" spans="2:7" ht="15.3" thickBot="1">
      <c r="B104" s="584"/>
      <c r="C104" s="335" t="s">
        <v>101</v>
      </c>
      <c r="D104" s="342">
        <v>50</v>
      </c>
      <c r="E104" s="588" t="s">
        <v>8</v>
      </c>
      <c r="F104" s="589"/>
      <c r="G104" s="21"/>
    </row>
    <row r="105" spans="2:7" ht="15.3" thickBot="1">
      <c r="B105" s="580"/>
      <c r="C105" s="581"/>
      <c r="D105" s="581"/>
      <c r="E105" s="581"/>
      <c r="F105" s="582"/>
    </row>
    <row r="106" spans="2:7" ht="15">
      <c r="B106" s="583" t="s">
        <v>109</v>
      </c>
      <c r="C106" s="341" t="s">
        <v>83</v>
      </c>
      <c r="D106" s="585" t="s">
        <v>103</v>
      </c>
      <c r="E106" s="586"/>
      <c r="F106" s="587"/>
      <c r="G106" s="21"/>
    </row>
    <row r="107" spans="2:7" ht="15">
      <c r="B107" s="584"/>
      <c r="C107" s="335" t="s">
        <v>81</v>
      </c>
      <c r="D107" s="342">
        <f>CDD2_</f>
        <v>0.15</v>
      </c>
      <c r="E107" s="342" t="s">
        <v>60</v>
      </c>
      <c r="F107" s="343"/>
    </row>
    <row r="108" spans="2:7" ht="15.3" thickBot="1">
      <c r="B108" s="584"/>
      <c r="C108" s="335" t="s">
        <v>101</v>
      </c>
      <c r="D108" s="342">
        <v>25</v>
      </c>
      <c r="E108" s="588" t="s">
        <v>8</v>
      </c>
      <c r="F108" s="589"/>
    </row>
    <row r="109" spans="2:7" ht="15.3" thickBot="1">
      <c r="B109" s="580"/>
      <c r="C109" s="581"/>
      <c r="D109" s="581"/>
      <c r="E109" s="581"/>
      <c r="F109" s="582"/>
    </row>
    <row r="110" spans="2:7" ht="15">
      <c r="B110" s="583" t="s">
        <v>110</v>
      </c>
      <c r="C110" s="341" t="s">
        <v>83</v>
      </c>
      <c r="D110" s="585" t="s">
        <v>103</v>
      </c>
      <c r="E110" s="586"/>
      <c r="F110" s="587"/>
      <c r="G110" s="21"/>
    </row>
    <row r="111" spans="2:7" ht="15">
      <c r="B111" s="584"/>
      <c r="C111" s="335" t="s">
        <v>81</v>
      </c>
      <c r="D111" s="342">
        <f>CDD_1</f>
        <v>18</v>
      </c>
      <c r="E111" s="342" t="s">
        <v>60</v>
      </c>
      <c r="F111" s="343"/>
    </row>
    <row r="112" spans="2:7" ht="15.3" thickBot="1">
      <c r="B112" s="584"/>
      <c r="C112" s="335" t="s">
        <v>101</v>
      </c>
      <c r="D112" s="342">
        <v>35</v>
      </c>
      <c r="E112" s="588" t="s">
        <v>8</v>
      </c>
      <c r="F112" s="589"/>
      <c r="G112" s="21"/>
    </row>
    <row r="113" spans="2:7" ht="15.3" thickBot="1">
      <c r="B113" s="580"/>
      <c r="C113" s="581"/>
      <c r="D113" s="581"/>
      <c r="E113" s="581"/>
      <c r="F113" s="582"/>
    </row>
    <row r="114" spans="2:7" ht="15">
      <c r="B114" s="583" t="s">
        <v>481</v>
      </c>
      <c r="C114" s="341" t="s">
        <v>83</v>
      </c>
      <c r="D114" s="585" t="s">
        <v>103</v>
      </c>
      <c r="E114" s="586"/>
      <c r="F114" s="587"/>
      <c r="G114" s="21"/>
    </row>
    <row r="115" spans="2:7" ht="15">
      <c r="B115" s="584"/>
      <c r="C115" s="335" t="s">
        <v>81</v>
      </c>
      <c r="D115" s="342">
        <f>Cdiff</f>
        <v>4.7</v>
      </c>
      <c r="E115" s="342" t="s">
        <v>58</v>
      </c>
      <c r="F115" s="343"/>
    </row>
    <row r="116" spans="2:7" ht="15.3" thickBot="1">
      <c r="B116" s="584"/>
      <c r="C116" s="335" t="s">
        <v>101</v>
      </c>
      <c r="D116" s="342">
        <v>50</v>
      </c>
      <c r="E116" s="588" t="s">
        <v>8</v>
      </c>
      <c r="F116" s="589"/>
    </row>
    <row r="117" spans="2:7" ht="15.3" thickBot="1">
      <c r="B117" s="580"/>
      <c r="C117" s="581"/>
      <c r="D117" s="581"/>
      <c r="E117" s="581"/>
      <c r="F117" s="582"/>
    </row>
    <row r="118" spans="2:7" ht="15">
      <c r="B118" s="583" t="s">
        <v>133</v>
      </c>
      <c r="C118" s="341" t="s">
        <v>83</v>
      </c>
      <c r="D118" s="585" t="s">
        <v>103</v>
      </c>
      <c r="E118" s="586"/>
      <c r="F118" s="587"/>
      <c r="G118" s="21"/>
    </row>
    <row r="119" spans="2:7" ht="15">
      <c r="B119" s="584"/>
      <c r="C119" s="335" t="s">
        <v>81</v>
      </c>
      <c r="D119" s="342">
        <f>CFB</f>
        <v>100</v>
      </c>
      <c r="E119" s="342" t="s">
        <v>126</v>
      </c>
      <c r="F119" s="343"/>
    </row>
    <row r="120" spans="2:7" ht="15.3" thickBot="1">
      <c r="B120" s="584"/>
      <c r="C120" s="335" t="s">
        <v>101</v>
      </c>
      <c r="D120" s="342">
        <v>50</v>
      </c>
      <c r="E120" s="588" t="s">
        <v>8</v>
      </c>
      <c r="F120" s="589"/>
    </row>
    <row r="121" spans="2:7" ht="15.3" thickBot="1">
      <c r="B121" s="580"/>
      <c r="C121" s="581"/>
      <c r="D121" s="581"/>
      <c r="E121" s="581"/>
      <c r="F121" s="582"/>
    </row>
    <row r="122" spans="2:7" ht="15">
      <c r="B122" s="583" t="s">
        <v>482</v>
      </c>
      <c r="C122" s="341" t="s">
        <v>83</v>
      </c>
      <c r="D122" s="585" t="s">
        <v>103</v>
      </c>
      <c r="E122" s="586"/>
      <c r="F122" s="587"/>
      <c r="G122" s="21"/>
    </row>
    <row r="123" spans="2:7" ht="15">
      <c r="B123" s="584"/>
      <c r="C123" s="335" t="s">
        <v>81</v>
      </c>
      <c r="D123" s="342">
        <f>Cint</f>
        <v>4.7</v>
      </c>
      <c r="E123" s="342" t="s">
        <v>58</v>
      </c>
      <c r="F123" s="343"/>
    </row>
    <row r="124" spans="2:7" ht="15.3" thickBot="1">
      <c r="B124" s="584"/>
      <c r="C124" s="335" t="s">
        <v>101</v>
      </c>
      <c r="D124" s="342">
        <v>50</v>
      </c>
      <c r="E124" s="588" t="s">
        <v>8</v>
      </c>
      <c r="F124" s="589"/>
    </row>
    <row r="125" spans="2:7" ht="15.3" thickBot="1">
      <c r="B125" s="580"/>
      <c r="C125" s="581"/>
      <c r="D125" s="581"/>
      <c r="E125" s="581"/>
      <c r="F125" s="582"/>
    </row>
    <row r="126" spans="2:7" ht="15">
      <c r="B126" s="583" t="s">
        <v>485</v>
      </c>
      <c r="C126" s="345" t="s">
        <v>111</v>
      </c>
      <c r="D126" s="346">
        <f>LM</f>
        <v>361</v>
      </c>
      <c r="E126" s="347" t="s">
        <v>22</v>
      </c>
      <c r="F126" s="348"/>
      <c r="G126" s="21"/>
    </row>
    <row r="127" spans="2:7" ht="15">
      <c r="B127" s="590"/>
      <c r="C127" s="345" t="s">
        <v>116</v>
      </c>
      <c r="D127" s="349">
        <f>LK_act</f>
        <v>7.2</v>
      </c>
      <c r="E127" s="347" t="s">
        <v>22</v>
      </c>
      <c r="F127" s="348"/>
    </row>
    <row r="128" spans="2:7" ht="18">
      <c r="B128" s="584"/>
      <c r="C128" s="345" t="s">
        <v>112</v>
      </c>
      <c r="D128" s="350">
        <f>NPS</f>
        <v>10</v>
      </c>
      <c r="E128" s="347"/>
      <c r="F128" s="348" t="s">
        <v>228</v>
      </c>
    </row>
    <row r="129" spans="2:7" ht="18">
      <c r="B129" s="584"/>
      <c r="C129" s="345" t="s">
        <v>206</v>
      </c>
      <c r="D129" s="350">
        <f>NA/NS</f>
        <v>1.3</v>
      </c>
      <c r="E129" s="347"/>
      <c r="F129" s="348" t="s">
        <v>362</v>
      </c>
    </row>
    <row r="130" spans="2:7" ht="18">
      <c r="B130" s="584"/>
      <c r="C130" s="345" t="s">
        <v>113</v>
      </c>
      <c r="D130" s="351">
        <f>NP</f>
        <v>100</v>
      </c>
      <c r="E130" s="347"/>
      <c r="F130" s="348" t="s">
        <v>229</v>
      </c>
    </row>
    <row r="131" spans="2:7" ht="18">
      <c r="B131" s="584"/>
      <c r="C131" s="345" t="s">
        <v>114</v>
      </c>
      <c r="D131" s="351">
        <f>NS</f>
        <v>10</v>
      </c>
      <c r="E131" s="347"/>
      <c r="F131" s="348" t="s">
        <v>230</v>
      </c>
      <c r="G131" s="21"/>
    </row>
    <row r="132" spans="2:7" ht="18.3" thickBot="1">
      <c r="B132" s="584"/>
      <c r="C132" s="352" t="s">
        <v>115</v>
      </c>
      <c r="D132" s="351">
        <f>NA</f>
        <v>13</v>
      </c>
      <c r="E132" s="347"/>
      <c r="F132" s="348" t="s">
        <v>231</v>
      </c>
      <c r="G132" s="21"/>
    </row>
    <row r="133" spans="2:7" ht="15.3" thickBot="1">
      <c r="B133" s="580"/>
      <c r="C133" s="581"/>
      <c r="D133" s="581"/>
      <c r="E133" s="581"/>
      <c r="F133" s="582"/>
      <c r="G133" s="21"/>
    </row>
    <row r="134" spans="2:7">
      <c r="B134" s="21"/>
    </row>
    <row r="135" spans="2:7">
      <c r="C135" s="21"/>
    </row>
  </sheetData>
  <sheetProtection password="E9DD" sheet="1" objects="1" scenarios="1"/>
  <mergeCells count="83">
    <mergeCell ref="B66:F66"/>
    <mergeCell ref="B25:F25"/>
    <mergeCell ref="C26:F26"/>
    <mergeCell ref="B27:F27"/>
    <mergeCell ref="E29:F29"/>
    <mergeCell ref="B28:B29"/>
    <mergeCell ref="B32:F32"/>
    <mergeCell ref="B30:F30"/>
    <mergeCell ref="B38:F38"/>
    <mergeCell ref="B40:F40"/>
    <mergeCell ref="B44:F44"/>
    <mergeCell ref="B42:F42"/>
    <mergeCell ref="B36:F36"/>
    <mergeCell ref="B73:B76"/>
    <mergeCell ref="D73:F73"/>
    <mergeCell ref="E76:F76"/>
    <mergeCell ref="B34:F34"/>
    <mergeCell ref="B46:F46"/>
    <mergeCell ref="B50:F50"/>
    <mergeCell ref="B60:F60"/>
    <mergeCell ref="B54:F54"/>
    <mergeCell ref="B48:F48"/>
    <mergeCell ref="B52:F52"/>
    <mergeCell ref="B56:F56"/>
    <mergeCell ref="B58:F58"/>
    <mergeCell ref="B62:F62"/>
    <mergeCell ref="B68:F68"/>
    <mergeCell ref="D69:F69"/>
    <mergeCell ref="B64:F64"/>
    <mergeCell ref="B69:B71"/>
    <mergeCell ref="E71:F71"/>
    <mergeCell ref="B97:F97"/>
    <mergeCell ref="B98:B100"/>
    <mergeCell ref="D98:F98"/>
    <mergeCell ref="E100:F100"/>
    <mergeCell ref="B77:F77"/>
    <mergeCell ref="B78:B80"/>
    <mergeCell ref="D78:F78"/>
    <mergeCell ref="E80:F80"/>
    <mergeCell ref="B81:F81"/>
    <mergeCell ref="B82:B84"/>
    <mergeCell ref="D82:F82"/>
    <mergeCell ref="E84:F84"/>
    <mergeCell ref="B85:F85"/>
    <mergeCell ref="B72:F72"/>
    <mergeCell ref="B109:F109"/>
    <mergeCell ref="B110:B112"/>
    <mergeCell ref="D110:F110"/>
    <mergeCell ref="E112:F112"/>
    <mergeCell ref="B86:B88"/>
    <mergeCell ref="D86:F86"/>
    <mergeCell ref="E88:F88"/>
    <mergeCell ref="B93:F93"/>
    <mergeCell ref="B94:B96"/>
    <mergeCell ref="D94:F94"/>
    <mergeCell ref="E96:F96"/>
    <mergeCell ref="B89:F89"/>
    <mergeCell ref="B90:B92"/>
    <mergeCell ref="D90:F90"/>
    <mergeCell ref="E92:F92"/>
    <mergeCell ref="B101:F101"/>
    <mergeCell ref="B102:B104"/>
    <mergeCell ref="D102:F102"/>
    <mergeCell ref="E104:F104"/>
    <mergeCell ref="B106:B108"/>
    <mergeCell ref="D106:F106"/>
    <mergeCell ref="E108:F108"/>
    <mergeCell ref="B105:F105"/>
    <mergeCell ref="B113:F113"/>
    <mergeCell ref="B133:F133"/>
    <mergeCell ref="B122:B124"/>
    <mergeCell ref="D122:F122"/>
    <mergeCell ref="E124:F124"/>
    <mergeCell ref="B125:F125"/>
    <mergeCell ref="B126:B132"/>
    <mergeCell ref="B114:B116"/>
    <mergeCell ref="D114:F114"/>
    <mergeCell ref="E116:F116"/>
    <mergeCell ref="B121:F121"/>
    <mergeCell ref="B117:F117"/>
    <mergeCell ref="B118:B120"/>
    <mergeCell ref="D118:F118"/>
    <mergeCell ref="E120:F120"/>
  </mergeCells>
  <phoneticPr fontId="28"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U103"/>
  <sheetViews>
    <sheetView topLeftCell="A7" zoomScale="70" zoomScaleNormal="70" workbookViewId="0">
      <selection activeCell="E25" sqref="E25:H25"/>
    </sheetView>
  </sheetViews>
  <sheetFormatPr defaultRowHeight="14.4"/>
  <cols>
    <col min="1" max="1" width="4.3671875" customWidth="1"/>
    <col min="2" max="2" width="9" customWidth="1"/>
    <col min="3" max="3" width="14.1015625" bestFit="1" customWidth="1"/>
    <col min="4" max="4" width="11.3671875" customWidth="1"/>
    <col min="5" max="7" width="7.62890625" customWidth="1"/>
    <col min="9" max="9" width="10.26171875" bestFit="1" customWidth="1"/>
    <col min="15" max="15" width="10.26171875" bestFit="1" customWidth="1"/>
  </cols>
  <sheetData>
    <row r="2" spans="2:18" ht="27.6">
      <c r="B2" s="146" t="s">
        <v>295</v>
      </c>
      <c r="N2" s="21"/>
      <c r="R2" s="22"/>
    </row>
    <row r="16" spans="2:18">
      <c r="P16" s="434"/>
      <c r="Q16" s="426"/>
      <c r="R16" s="426"/>
    </row>
    <row r="17" spans="1:21">
      <c r="P17" s="426"/>
      <c r="Q17" s="426"/>
      <c r="R17" s="426"/>
    </row>
    <row r="18" spans="1:21">
      <c r="P18" s="434"/>
      <c r="Q18" s="426"/>
      <c r="R18" s="426"/>
    </row>
    <row r="19" spans="1:21">
      <c r="P19" s="434"/>
      <c r="Q19" s="426"/>
      <c r="R19" s="426"/>
    </row>
    <row r="20" spans="1:21">
      <c r="P20" s="434"/>
      <c r="Q20" s="426"/>
      <c r="R20" s="426"/>
      <c r="S20" s="426"/>
    </row>
    <row r="22" spans="1:21">
      <c r="F22" s="19"/>
      <c r="G22" s="19"/>
      <c r="H22" s="19"/>
      <c r="I22" s="19"/>
      <c r="J22" s="19"/>
    </row>
    <row r="23" spans="1:21">
      <c r="F23" s="19"/>
      <c r="G23" s="19"/>
      <c r="H23" s="19"/>
      <c r="J23" s="19"/>
      <c r="K23" s="19"/>
      <c r="O23" s="147" t="s">
        <v>679</v>
      </c>
    </row>
    <row r="24" spans="1:21" ht="16.5">
      <c r="B24" s="148" t="s">
        <v>296</v>
      </c>
      <c r="C24" s="148"/>
      <c r="D24" s="148"/>
      <c r="E24" s="148"/>
      <c r="F24" s="19"/>
      <c r="G24" s="19"/>
      <c r="I24" s="149"/>
    </row>
    <row r="25" spans="1:21" ht="16.2">
      <c r="B25" s="597" t="s">
        <v>460</v>
      </c>
      <c r="C25" s="597"/>
      <c r="D25" s="597"/>
      <c r="E25" s="600" t="s">
        <v>1046</v>
      </c>
      <c r="F25" s="601"/>
      <c r="G25" s="601"/>
      <c r="H25" s="602"/>
      <c r="I25" s="604"/>
      <c r="J25" s="604"/>
      <c r="K25" s="604"/>
      <c r="L25" s="604"/>
      <c r="M25" s="604"/>
      <c r="N25" s="604"/>
    </row>
    <row r="26" spans="1:21" ht="16.2">
      <c r="B26" s="597" t="s">
        <v>678</v>
      </c>
      <c r="C26" s="597"/>
      <c r="D26" s="597"/>
      <c r="E26" s="598">
        <v>-70</v>
      </c>
      <c r="F26" s="598"/>
      <c r="G26" s="598"/>
      <c r="H26" s="164" t="s">
        <v>134</v>
      </c>
      <c r="I26" s="597" t="s">
        <v>1006</v>
      </c>
      <c r="J26" s="597"/>
      <c r="K26" s="597"/>
      <c r="L26" s="597"/>
      <c r="M26" s="597"/>
      <c r="N26" s="597"/>
    </row>
    <row r="27" spans="1:21" ht="16.2">
      <c r="A27" s="19"/>
      <c r="B27" s="597" t="s">
        <v>297</v>
      </c>
      <c r="C27" s="597"/>
      <c r="D27" s="597"/>
      <c r="E27" s="599">
        <f>(1-DOPP_min)^2*(((NPS^2)/(1*(3.1416^2)*LK_act*10^-6*(fsw_OPP_min*1000)^2))*10^6)/((1+Co1_dec/100))</f>
        <v>39.314265136104197</v>
      </c>
      <c r="F27" s="599"/>
      <c r="G27" s="599"/>
      <c r="H27" s="45" t="s">
        <v>60</v>
      </c>
      <c r="I27" s="597" t="s">
        <v>1008</v>
      </c>
      <c r="J27" s="597"/>
      <c r="K27" s="597"/>
      <c r="L27" s="597"/>
      <c r="M27" s="597"/>
      <c r="N27" s="597"/>
    </row>
    <row r="28" spans="1:21" ht="16.2">
      <c r="A28" s="19"/>
      <c r="B28" s="597" t="s">
        <v>298</v>
      </c>
      <c r="C28" s="597"/>
      <c r="D28" s="597"/>
      <c r="E28" s="600">
        <v>220</v>
      </c>
      <c r="F28" s="601"/>
      <c r="G28" s="602"/>
      <c r="H28" s="45" t="s">
        <v>60</v>
      </c>
      <c r="I28" s="597" t="s">
        <v>1007</v>
      </c>
      <c r="J28" s="597"/>
      <c r="K28" s="597"/>
      <c r="L28" s="597"/>
      <c r="M28" s="597"/>
      <c r="N28" s="597"/>
    </row>
    <row r="29" spans="1:21" ht="12" customHeight="1">
      <c r="A29" s="19"/>
      <c r="B29" s="150"/>
      <c r="C29" s="150"/>
      <c r="D29" s="150"/>
      <c r="E29" s="151"/>
      <c r="F29" s="151"/>
      <c r="G29" s="151"/>
      <c r="H29" s="151"/>
      <c r="I29" s="152"/>
      <c r="J29" s="153"/>
      <c r="K29" s="12"/>
      <c r="L29" s="12"/>
      <c r="M29" s="12"/>
      <c r="U29" s="426"/>
    </row>
    <row r="30" spans="1:21" ht="16.2">
      <c r="A30" s="19"/>
      <c r="B30" s="604" t="s">
        <v>676</v>
      </c>
      <c r="C30" s="604"/>
      <c r="D30" s="604"/>
      <c r="E30" s="605">
        <f>(10/((2*3.1416*1000*fsw_OPP_min)^2*Co_1*(100+Co1_dec)/100*10^-6) - 1/((2*3.1416*1000*fsw_OPP_min)^2*COUT*10^-6) - 0.001*RCO/(2*3.1416*fsw_OPP_min*1000))*10^6</f>
        <v>0.10478243286828755</v>
      </c>
      <c r="F30" s="605"/>
      <c r="G30" s="605"/>
      <c r="H30" s="46" t="s">
        <v>135</v>
      </c>
      <c r="I30" s="615"/>
      <c r="J30" s="616"/>
      <c r="K30" s="616"/>
      <c r="L30" s="616"/>
      <c r="M30" s="616"/>
      <c r="N30" s="616"/>
      <c r="O30" s="21"/>
      <c r="P30" s="147"/>
      <c r="R30" s="22"/>
      <c r="U30" s="435"/>
    </row>
    <row r="31" spans="1:21" ht="16.2">
      <c r="A31" s="19"/>
      <c r="B31" s="604" t="s">
        <v>677</v>
      </c>
      <c r="C31" s="604"/>
      <c r="D31" s="604"/>
      <c r="E31" s="598">
        <v>0.45</v>
      </c>
      <c r="F31" s="598"/>
      <c r="G31" s="598"/>
      <c r="H31" s="46" t="s">
        <v>135</v>
      </c>
      <c r="I31" s="617"/>
      <c r="J31" s="618"/>
      <c r="K31" s="618"/>
      <c r="L31" s="618"/>
      <c r="M31" s="618"/>
      <c r="N31" s="618"/>
      <c r="O31" s="21"/>
      <c r="U31" s="435"/>
    </row>
    <row r="32" spans="1:21" ht="12" customHeight="1">
      <c r="A32" s="19"/>
      <c r="B32" s="150"/>
      <c r="C32" s="150"/>
      <c r="D32" s="150"/>
      <c r="E32" s="151"/>
      <c r="F32" s="151"/>
      <c r="G32" s="151"/>
      <c r="H32" s="151"/>
      <c r="I32" s="153"/>
      <c r="J32" s="153"/>
      <c r="K32" s="12"/>
      <c r="L32" s="12"/>
      <c r="M32" s="12"/>
    </row>
    <row r="33" spans="1:18" ht="16.8">
      <c r="A33" s="19"/>
      <c r="B33" s="597" t="s">
        <v>1000</v>
      </c>
      <c r="C33" s="597"/>
      <c r="D33" s="597"/>
      <c r="E33" s="603">
        <f>Lo*0.13</f>
        <v>5.8500000000000003E-2</v>
      </c>
      <c r="F33" s="603"/>
      <c r="G33" s="603"/>
      <c r="H33" s="45" t="s">
        <v>135</v>
      </c>
      <c r="I33" s="611" t="s">
        <v>1002</v>
      </c>
      <c r="J33" s="611"/>
      <c r="K33" s="611"/>
      <c r="L33" s="611"/>
      <c r="M33" s="611"/>
      <c r="N33" s="611"/>
      <c r="O33" s="21"/>
      <c r="P33" s="22"/>
    </row>
    <row r="34" spans="1:18" ht="16.2">
      <c r="A34" s="19"/>
      <c r="B34" s="597" t="s">
        <v>232</v>
      </c>
      <c r="C34" s="597"/>
      <c r="D34" s="597"/>
      <c r="E34" s="598">
        <v>4.7E-2</v>
      </c>
      <c r="F34" s="598"/>
      <c r="G34" s="598"/>
      <c r="H34" s="45" t="s">
        <v>22</v>
      </c>
      <c r="I34" s="597" t="s">
        <v>1003</v>
      </c>
      <c r="J34" s="597"/>
      <c r="K34" s="597"/>
      <c r="L34" s="597"/>
      <c r="M34" s="597"/>
      <c r="N34" s="597"/>
    </row>
    <row r="35" spans="1:18" ht="20.399999999999999">
      <c r="A35" s="19"/>
      <c r="B35" s="597" t="s">
        <v>1001</v>
      </c>
      <c r="C35" s="597"/>
      <c r="D35" s="597"/>
      <c r="E35" s="607">
        <f>SQRT(Lo/(Co_1*(100+Co1_dec)/100))</f>
        <v>8.2572282384477044E-2</v>
      </c>
      <c r="F35" s="607"/>
      <c r="G35" s="607"/>
      <c r="H35" s="45" t="s">
        <v>35</v>
      </c>
      <c r="I35" s="612" t="s">
        <v>1004</v>
      </c>
      <c r="J35" s="613"/>
      <c r="K35" s="613"/>
      <c r="L35" s="613"/>
      <c r="M35" s="613"/>
      <c r="N35" s="614"/>
      <c r="O35" t="s">
        <v>486</v>
      </c>
      <c r="R35" s="22"/>
    </row>
    <row r="36" spans="1:18" ht="16.149999999999999" customHeight="1">
      <c r="A36" s="19"/>
      <c r="B36" s="597" t="s">
        <v>233</v>
      </c>
      <c r="C36" s="597"/>
      <c r="D36" s="597"/>
      <c r="E36" s="598">
        <v>0.08</v>
      </c>
      <c r="F36" s="598"/>
      <c r="G36" s="598"/>
      <c r="H36" s="45" t="s">
        <v>208</v>
      </c>
      <c r="I36" s="597" t="s">
        <v>1005</v>
      </c>
      <c r="J36" s="597"/>
      <c r="K36" s="597"/>
      <c r="L36" s="597"/>
      <c r="M36" s="597"/>
      <c r="N36" s="597"/>
      <c r="Q36" s="22"/>
    </row>
    <row r="37" spans="1:18">
      <c r="A37" s="19"/>
      <c r="B37" s="154"/>
      <c r="C37" s="154"/>
      <c r="D37" s="154"/>
      <c r="I37" s="19"/>
      <c r="J37" s="19"/>
      <c r="K37" s="19"/>
      <c r="L37" s="19"/>
      <c r="M37" s="19"/>
    </row>
    <row r="38" spans="1:18">
      <c r="A38" s="19"/>
      <c r="B38" s="154"/>
      <c r="C38" s="154"/>
      <c r="D38" s="154"/>
      <c r="I38" s="19"/>
      <c r="J38" s="19"/>
      <c r="K38" s="19"/>
      <c r="L38" s="19"/>
      <c r="M38" s="19"/>
    </row>
    <row r="39" spans="1:18" ht="16.5">
      <c r="B39" s="155" t="s">
        <v>300</v>
      </c>
      <c r="C39" s="156"/>
      <c r="E39" s="608" t="s">
        <v>166</v>
      </c>
      <c r="F39" s="608"/>
      <c r="G39" s="608"/>
      <c r="H39" s="81">
        <f>Lo*0.13</f>
        <v>5.8500000000000003E-2</v>
      </c>
      <c r="I39" s="81" t="s">
        <v>12</v>
      </c>
      <c r="J39" s="81"/>
      <c r="K39" s="157"/>
      <c r="L39" s="157"/>
      <c r="N39" s="81"/>
      <c r="O39" s="81"/>
      <c r="P39" s="81"/>
    </row>
    <row r="40" spans="1:18" ht="18.75" customHeight="1">
      <c r="B40" s="94" t="s">
        <v>999</v>
      </c>
      <c r="F40" s="81" t="s">
        <v>680</v>
      </c>
      <c r="G40" s="81"/>
      <c r="H40" s="81"/>
      <c r="I40" s="81"/>
      <c r="J40" s="81"/>
      <c r="K40" s="81"/>
      <c r="L40" s="81"/>
      <c r="M40" s="81"/>
      <c r="N40" s="81"/>
      <c r="O40" s="157"/>
      <c r="P40" s="81"/>
    </row>
    <row r="41" spans="1:18">
      <c r="O41" s="21"/>
    </row>
    <row r="54" spans="2:14">
      <c r="B54" s="81"/>
      <c r="C54" s="81"/>
      <c r="D54" s="81"/>
      <c r="E54" s="81"/>
      <c r="F54" s="81"/>
      <c r="G54" s="81"/>
      <c r="H54" s="81"/>
      <c r="I54" s="81"/>
      <c r="J54" s="81"/>
      <c r="K54" s="81"/>
      <c r="L54" s="81"/>
      <c r="M54" s="81"/>
      <c r="N54" s="81"/>
    </row>
    <row r="55" spans="2:14" ht="16.2">
      <c r="B55" s="81"/>
      <c r="C55" s="81"/>
      <c r="D55" s="81"/>
      <c r="E55" s="81" t="s">
        <v>299</v>
      </c>
      <c r="F55" s="81"/>
      <c r="G55" s="81"/>
      <c r="H55" s="81"/>
      <c r="I55" s="81"/>
      <c r="J55" s="81"/>
      <c r="K55" s="81"/>
      <c r="L55" s="81"/>
      <c r="M55" s="81"/>
      <c r="N55" s="81"/>
    </row>
    <row r="56" spans="2:14">
      <c r="B56" s="81"/>
      <c r="C56" s="81"/>
      <c r="D56" s="81"/>
      <c r="E56" s="81"/>
      <c r="F56" s="81"/>
      <c r="G56" s="81"/>
      <c r="H56" s="81"/>
      <c r="I56" s="81"/>
      <c r="J56" s="81"/>
      <c r="K56" s="81"/>
      <c r="L56" s="81"/>
      <c r="M56" s="81"/>
      <c r="N56" s="81"/>
    </row>
    <row r="57" spans="2:14">
      <c r="B57" s="81"/>
      <c r="C57" s="81"/>
      <c r="D57" s="81"/>
      <c r="E57" s="81"/>
      <c r="F57" s="81"/>
      <c r="G57" s="81"/>
      <c r="H57" s="81"/>
      <c r="I57" s="81"/>
      <c r="J57" s="81"/>
      <c r="K57" s="81"/>
      <c r="L57" s="81"/>
      <c r="M57" s="81"/>
      <c r="N57" s="81"/>
    </row>
    <row r="58" spans="2:14" ht="16.5">
      <c r="B58" s="155" t="s">
        <v>681</v>
      </c>
      <c r="C58" s="144"/>
      <c r="D58" s="81"/>
      <c r="E58" s="81"/>
      <c r="F58" s="81"/>
      <c r="G58" s="81"/>
      <c r="H58" s="81"/>
      <c r="I58" s="81"/>
      <c r="J58" s="81"/>
      <c r="K58" s="81"/>
      <c r="L58" s="81"/>
      <c r="M58" s="81"/>
      <c r="N58" s="81"/>
    </row>
    <row r="59" spans="2:14" ht="16.2">
      <c r="B59" s="81" t="s">
        <v>682</v>
      </c>
      <c r="C59" s="81"/>
      <c r="D59" s="81"/>
      <c r="E59" s="81"/>
      <c r="F59" s="81"/>
      <c r="G59" s="81"/>
      <c r="H59" s="81"/>
      <c r="I59" s="81"/>
      <c r="J59" s="81"/>
      <c r="K59" s="81"/>
      <c r="L59" s="81"/>
      <c r="M59" s="81"/>
      <c r="N59" s="81"/>
    </row>
    <row r="60" spans="2:14" ht="16.2">
      <c r="B60" s="81" t="s">
        <v>683</v>
      </c>
      <c r="C60" s="81"/>
      <c r="D60" s="81"/>
      <c r="E60" s="81"/>
      <c r="F60" s="81"/>
      <c r="G60" s="81"/>
      <c r="H60" s="81"/>
      <c r="I60" s="157"/>
      <c r="J60" s="157"/>
      <c r="K60" s="157"/>
      <c r="L60" s="81"/>
      <c r="M60" s="81"/>
      <c r="N60" s="81"/>
    </row>
    <row r="61" spans="2:14">
      <c r="B61" s="81"/>
      <c r="C61" s="81"/>
      <c r="D61" s="81"/>
      <c r="E61" s="81"/>
      <c r="F61" s="81"/>
      <c r="G61" s="81"/>
      <c r="H61" s="81"/>
      <c r="I61" s="81"/>
      <c r="J61" s="81"/>
      <c r="K61" s="81"/>
      <c r="L61" s="81"/>
      <c r="M61" s="81"/>
      <c r="N61" s="81"/>
    </row>
    <row r="62" spans="2:14" ht="16.2">
      <c r="B62" s="81"/>
      <c r="C62" s="81"/>
      <c r="D62" s="81"/>
      <c r="E62" s="81"/>
      <c r="F62" s="81"/>
      <c r="G62" s="81"/>
      <c r="H62" s="619" t="s">
        <v>301</v>
      </c>
      <c r="I62" s="619"/>
      <c r="J62" s="81"/>
      <c r="K62" s="81"/>
      <c r="L62" s="81"/>
      <c r="M62" s="81"/>
      <c r="N62" s="81"/>
    </row>
    <row r="76" spans="1:17">
      <c r="A76" s="156"/>
      <c r="B76" s="156"/>
      <c r="C76" s="156"/>
      <c r="D76" s="156"/>
      <c r="E76" s="156"/>
    </row>
    <row r="77" spans="1:17">
      <c r="A77" s="156"/>
      <c r="B77" s="606" t="s">
        <v>234</v>
      </c>
      <c r="C77" s="606"/>
      <c r="D77" s="606"/>
      <c r="E77" s="156"/>
    </row>
    <row r="78" spans="1:17" ht="54" customHeight="1">
      <c r="A78" s="156"/>
      <c r="B78" s="158"/>
      <c r="C78" s="147" t="s">
        <v>235</v>
      </c>
      <c r="D78" s="156"/>
      <c r="E78" s="156"/>
      <c r="J78" s="127"/>
      <c r="L78" s="159"/>
      <c r="M78" s="609" t="s">
        <v>302</v>
      </c>
      <c r="N78" s="609"/>
      <c r="O78" s="609"/>
      <c r="P78" s="609"/>
      <c r="Q78" s="609"/>
    </row>
    <row r="79" spans="1:17">
      <c r="K79" s="127"/>
      <c r="L79" s="127"/>
      <c r="M79" s="127"/>
      <c r="N79" s="127"/>
      <c r="O79" s="127"/>
    </row>
    <row r="80" spans="1:17">
      <c r="K80" s="127"/>
      <c r="L80" s="127"/>
      <c r="M80" s="127"/>
      <c r="N80" s="127"/>
      <c r="O80" s="127"/>
    </row>
    <row r="81" spans="6:18" ht="60.7" customHeight="1">
      <c r="L81" s="160"/>
      <c r="M81" s="610" t="s">
        <v>305</v>
      </c>
      <c r="N81" s="610"/>
      <c r="O81" s="610"/>
      <c r="P81" s="610"/>
      <c r="Q81" s="610"/>
      <c r="R81" s="161"/>
    </row>
    <row r="82" spans="6:18">
      <c r="L82" s="127"/>
      <c r="M82" s="127"/>
      <c r="N82" s="127"/>
    </row>
    <row r="83" spans="6:18">
      <c r="L83" s="127"/>
      <c r="M83" s="127"/>
      <c r="N83" s="127"/>
    </row>
    <row r="84" spans="6:18">
      <c r="L84" s="127"/>
      <c r="M84" s="127"/>
      <c r="N84" s="127"/>
    </row>
    <row r="85" spans="6:18">
      <c r="K85" s="127"/>
      <c r="L85" s="127"/>
      <c r="M85" s="127"/>
      <c r="N85" s="127"/>
      <c r="O85" s="127"/>
    </row>
    <row r="86" spans="6:18" ht="16.2">
      <c r="F86" s="81" t="s">
        <v>172</v>
      </c>
      <c r="O86" s="127"/>
    </row>
    <row r="102" spans="4:13" ht="18.3">
      <c r="D102" s="162" t="s">
        <v>303</v>
      </c>
      <c r="L102" s="163" t="s">
        <v>304</v>
      </c>
    </row>
    <row r="103" spans="4:13" ht="18.3">
      <c r="D103" s="162"/>
      <c r="E103" s="162"/>
      <c r="F103" s="162"/>
      <c r="K103" s="163"/>
      <c r="L103" s="163"/>
      <c r="M103" s="163"/>
    </row>
  </sheetData>
  <sheetProtection password="E9DD" sheet="1" selectLockedCells="1"/>
  <mergeCells count="35">
    <mergeCell ref="I25:N25"/>
    <mergeCell ref="M78:Q78"/>
    <mergeCell ref="M81:Q81"/>
    <mergeCell ref="I33:N33"/>
    <mergeCell ref="I34:N34"/>
    <mergeCell ref="I35:N35"/>
    <mergeCell ref="I36:N36"/>
    <mergeCell ref="I30:N30"/>
    <mergeCell ref="I31:N31"/>
    <mergeCell ref="H62:I62"/>
    <mergeCell ref="E25:H25"/>
    <mergeCell ref="I27:N27"/>
    <mergeCell ref="I28:N28"/>
    <mergeCell ref="I26:N26"/>
    <mergeCell ref="B77:D77"/>
    <mergeCell ref="B35:D35"/>
    <mergeCell ref="E35:G35"/>
    <mergeCell ref="B36:D36"/>
    <mergeCell ref="E36:G36"/>
    <mergeCell ref="E39:G39"/>
    <mergeCell ref="B34:D34"/>
    <mergeCell ref="E34:G34"/>
    <mergeCell ref="B28:D28"/>
    <mergeCell ref="E28:G28"/>
    <mergeCell ref="B33:D33"/>
    <mergeCell ref="E33:G33"/>
    <mergeCell ref="B31:D31"/>
    <mergeCell ref="E31:G31"/>
    <mergeCell ref="B30:D30"/>
    <mergeCell ref="E30:G30"/>
    <mergeCell ref="B25:D25"/>
    <mergeCell ref="B26:D26"/>
    <mergeCell ref="E26:G26"/>
    <mergeCell ref="B27:D27"/>
    <mergeCell ref="E27:G27"/>
  </mergeCells>
  <phoneticPr fontId="28"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2:T29"/>
  <sheetViews>
    <sheetView topLeftCell="A28" zoomScaleNormal="100" workbookViewId="0">
      <selection activeCell="C9" sqref="C9"/>
    </sheetView>
  </sheetViews>
  <sheetFormatPr defaultRowHeight="14.4"/>
  <cols>
    <col min="1" max="1" width="3.89453125" customWidth="1"/>
    <col min="3" max="3" width="9.1015625" customWidth="1"/>
    <col min="4" max="4" width="3.62890625" customWidth="1"/>
    <col min="6" max="6" width="9.1015625" bestFit="1" customWidth="1"/>
    <col min="7" max="7" width="3.62890625" customWidth="1"/>
    <col min="12" max="12" width="15.62890625" customWidth="1"/>
  </cols>
  <sheetData>
    <row r="2" spans="2:20" ht="28.2">
      <c r="B2" s="126" t="s">
        <v>266</v>
      </c>
      <c r="M2" s="22"/>
      <c r="N2" s="22"/>
      <c r="T2" s="22"/>
    </row>
    <row r="3" spans="2:20" ht="28.2">
      <c r="D3" s="126" t="s">
        <v>998</v>
      </c>
      <c r="E3" s="127"/>
      <c r="F3" s="128"/>
      <c r="J3" s="128"/>
      <c r="K3" s="128"/>
      <c r="L3" s="128"/>
    </row>
    <row r="4" spans="2:20" ht="18.3">
      <c r="C4" s="73"/>
    </row>
    <row r="5" spans="2:20" ht="16.2">
      <c r="B5" s="129" t="s">
        <v>306</v>
      </c>
      <c r="C5" s="36">
        <f>NA</f>
        <v>13</v>
      </c>
      <c r="D5" s="130" t="s">
        <v>213</v>
      </c>
      <c r="E5" s="131"/>
      <c r="F5" s="624" t="s">
        <v>459</v>
      </c>
      <c r="G5" s="625"/>
      <c r="H5" s="625"/>
      <c r="N5" s="29"/>
      <c r="O5" s="22"/>
    </row>
    <row r="6" spans="2:20" ht="16.2">
      <c r="B6" s="129" t="s">
        <v>307</v>
      </c>
      <c r="C6" s="27">
        <v>13</v>
      </c>
      <c r="D6" s="132" t="s">
        <v>214</v>
      </c>
      <c r="E6" s="133"/>
      <c r="F6" s="134"/>
      <c r="G6" s="127"/>
      <c r="H6" s="127"/>
      <c r="J6" s="19"/>
    </row>
    <row r="7" spans="2:20" ht="16.2">
      <c r="B7" s="129" t="s">
        <v>219</v>
      </c>
      <c r="C7" s="135">
        <f>NS</f>
        <v>10</v>
      </c>
      <c r="D7" s="136" t="s">
        <v>214</v>
      </c>
      <c r="E7" s="137"/>
      <c r="F7" s="134"/>
      <c r="G7" s="134"/>
      <c r="H7" s="127"/>
    </row>
    <row r="8" spans="2:20" ht="16.2">
      <c r="B8" s="129" t="s">
        <v>308</v>
      </c>
      <c r="C8" s="138">
        <f>RBUR1</f>
        <v>113</v>
      </c>
      <c r="D8" s="139" t="s">
        <v>207</v>
      </c>
      <c r="E8" s="134"/>
      <c r="F8" s="134"/>
      <c r="G8" s="134"/>
      <c r="H8" s="127"/>
      <c r="I8" s="140" t="s">
        <v>315</v>
      </c>
      <c r="J8" s="127"/>
      <c r="K8" s="127"/>
      <c r="L8" s="127"/>
    </row>
    <row r="9" spans="2:20" ht="16.2">
      <c r="B9" s="129" t="s">
        <v>309</v>
      </c>
      <c r="C9" s="27">
        <v>20</v>
      </c>
      <c r="D9" s="141" t="s">
        <v>176</v>
      </c>
      <c r="E9" s="129" t="s">
        <v>311</v>
      </c>
      <c r="F9" s="27">
        <v>0.97499999999999998</v>
      </c>
      <c r="G9" s="141" t="s">
        <v>176</v>
      </c>
      <c r="H9" s="623" t="s">
        <v>313</v>
      </c>
      <c r="I9" s="623"/>
      <c r="J9" s="623"/>
      <c r="K9" s="462"/>
      <c r="L9" s="462"/>
    </row>
    <row r="10" spans="2:20" ht="16.2">
      <c r="B10" s="129" t="s">
        <v>310</v>
      </c>
      <c r="C10" s="27">
        <v>5</v>
      </c>
      <c r="D10" s="141" t="s">
        <v>176</v>
      </c>
      <c r="E10" s="129" t="s">
        <v>312</v>
      </c>
      <c r="F10" s="27">
        <v>0.84199999999999997</v>
      </c>
      <c r="G10" s="141" t="s">
        <v>176</v>
      </c>
      <c r="H10" s="623" t="s">
        <v>314</v>
      </c>
      <c r="I10" s="623"/>
      <c r="J10" s="623"/>
      <c r="K10" s="462"/>
      <c r="L10" s="462"/>
    </row>
    <row r="11" spans="2:20" ht="16.2">
      <c r="B11" s="134"/>
      <c r="C11" s="620" t="s">
        <v>1047</v>
      </c>
      <c r="D11" s="621"/>
      <c r="E11" s="622"/>
      <c r="F11" s="135">
        <f>Vbur1-Vbur2</f>
        <v>0.13300000000000001</v>
      </c>
      <c r="G11" s="141" t="s">
        <v>8</v>
      </c>
      <c r="H11" s="626" t="s">
        <v>1048</v>
      </c>
      <c r="I11" s="627"/>
      <c r="J11" s="624"/>
      <c r="K11" s="127"/>
      <c r="L11" s="127"/>
    </row>
    <row r="12" spans="2:20">
      <c r="B12" s="134"/>
      <c r="C12" s="134"/>
      <c r="D12" s="134"/>
      <c r="E12" s="134"/>
      <c r="F12" s="134"/>
      <c r="G12" s="134"/>
      <c r="H12" s="127"/>
      <c r="I12" s="127"/>
      <c r="J12" s="127"/>
      <c r="K12" s="127"/>
      <c r="L12" s="127"/>
    </row>
    <row r="13" spans="2:20" ht="16.2">
      <c r="B13" s="142" t="s">
        <v>316</v>
      </c>
      <c r="C13" s="145">
        <f>(Na1_+Na2_)*C8*(Vbur2*Vomax-Vbur1*Vomin)/-(VREF*NS_*(Vbur1-Vbur2)+(Na1_+Na2_)*(VREF*(Vomin-Vomax)+(Vbur2*Vomax-Vbur1*Vomin)))</f>
        <v>21.536501537745213</v>
      </c>
      <c r="D13" s="134" t="s">
        <v>207</v>
      </c>
      <c r="E13" s="425"/>
      <c r="F13" s="134"/>
      <c r="G13" s="134"/>
      <c r="H13" s="127"/>
      <c r="I13" s="127"/>
      <c r="J13" s="127"/>
      <c r="K13" s="127"/>
      <c r="L13" s="127"/>
    </row>
    <row r="14" spans="2:20" ht="16.2">
      <c r="B14" s="142" t="s">
        <v>317</v>
      </c>
      <c r="C14" s="145">
        <f>(Na1_+Na2_)*C8*(Vbur2*Vomax-Vbur1*Vomin)/(VREF*NS_*(Vbur1-Vbur2))/1000</f>
        <v>5.2861909774436082</v>
      </c>
      <c r="D14" s="134" t="s">
        <v>239</v>
      </c>
      <c r="E14" s="425"/>
      <c r="F14" s="134"/>
      <c r="G14" s="134"/>
      <c r="H14" s="127"/>
      <c r="I14" s="127"/>
      <c r="J14" s="127"/>
      <c r="K14" s="127"/>
      <c r="L14" s="127"/>
    </row>
    <row r="15" spans="2:20">
      <c r="E15" s="431"/>
      <c r="F15" s="431"/>
      <c r="H15" s="143"/>
    </row>
    <row r="16" spans="2:20" ht="16.2">
      <c r="B16" s="144" t="s">
        <v>1049</v>
      </c>
      <c r="C16" s="144"/>
      <c r="D16" s="81"/>
      <c r="E16" s="81"/>
      <c r="F16" s="81"/>
      <c r="G16" s="81"/>
    </row>
    <row r="17" spans="2:11" ht="16.2">
      <c r="B17" s="81" t="s">
        <v>318</v>
      </c>
      <c r="C17" s="81"/>
      <c r="D17" s="81"/>
      <c r="E17" s="81"/>
      <c r="F17" s="81"/>
      <c r="G17" s="81"/>
    </row>
    <row r="18" spans="2:11" ht="16.2">
      <c r="B18" s="81" t="s">
        <v>458</v>
      </c>
      <c r="C18" s="81"/>
      <c r="D18" s="81"/>
      <c r="E18" s="81"/>
      <c r="F18" s="81"/>
      <c r="G18" s="81"/>
    </row>
    <row r="20" spans="2:11">
      <c r="B20" s="57"/>
      <c r="C20" s="57"/>
      <c r="D20" s="57"/>
      <c r="E20" s="57"/>
    </row>
    <row r="21" spans="2:11">
      <c r="C21" s="21"/>
      <c r="H21" s="22"/>
    </row>
    <row r="22" spans="2:11">
      <c r="C22" s="21"/>
      <c r="H22" s="22"/>
    </row>
    <row r="23" spans="2:11">
      <c r="C23" s="21"/>
      <c r="H23" s="22"/>
    </row>
    <row r="24" spans="2:11">
      <c r="C24" s="21"/>
      <c r="K24" s="22"/>
    </row>
    <row r="26" spans="2:11">
      <c r="F26" s="216"/>
      <c r="G26" s="216"/>
    </row>
    <row r="29" spans="2:11">
      <c r="H29" s="18"/>
    </row>
  </sheetData>
  <sheetProtection password="E9DD" sheet="1" selectLockedCells="1"/>
  <mergeCells count="5">
    <mergeCell ref="C11:E11"/>
    <mergeCell ref="H9:J9"/>
    <mergeCell ref="H10:J10"/>
    <mergeCell ref="F5:H5"/>
    <mergeCell ref="H11:J11"/>
  </mergeCells>
  <phoneticPr fontId="28"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T138"/>
  <sheetViews>
    <sheetView zoomScaleNormal="100" workbookViewId="0"/>
  </sheetViews>
  <sheetFormatPr defaultRowHeight="14.4"/>
  <cols>
    <col min="1" max="1" width="5.26171875" customWidth="1"/>
    <col min="2" max="2" width="64.62890625" customWidth="1"/>
    <col min="3" max="3" width="16.62890625" style="18" customWidth="1"/>
    <col min="4" max="4" width="13.62890625" customWidth="1"/>
    <col min="5" max="5" width="5.62890625" customWidth="1"/>
    <col min="6" max="6" width="25.62890625" customWidth="1"/>
    <col min="7" max="7" width="9.62890625" customWidth="1"/>
    <col min="15" max="15" width="13" bestFit="1" customWidth="1"/>
    <col min="18" max="18" width="14.89453125" customWidth="1"/>
  </cols>
  <sheetData>
    <row r="1" spans="2:20" ht="18.600000000000001" thickBot="1">
      <c r="C1" s="95"/>
      <c r="T1" s="58"/>
    </row>
    <row r="2" spans="2:20" ht="15">
      <c r="B2" s="628" t="s">
        <v>51</v>
      </c>
      <c r="C2" s="629"/>
      <c r="D2" s="629"/>
      <c r="E2" s="629"/>
      <c r="F2" s="630"/>
      <c r="G2" s="59"/>
      <c r="H2" s="59"/>
    </row>
    <row r="3" spans="2:20" ht="16.2">
      <c r="B3" s="10" t="s">
        <v>670</v>
      </c>
      <c r="C3" s="14" t="s">
        <v>671</v>
      </c>
      <c r="D3" s="96">
        <f>SQRT(LK_act/Cclamp)*(ID_SR_max*0.9)/NPS</f>
        <v>180.31652170558306</v>
      </c>
      <c r="E3" s="77" t="s">
        <v>13</v>
      </c>
      <c r="F3" s="78"/>
      <c r="G3" s="59"/>
      <c r="H3" s="59"/>
    </row>
    <row r="4" spans="2:20" ht="16.2">
      <c r="B4" s="10" t="s">
        <v>672</v>
      </c>
      <c r="C4" s="14" t="s">
        <v>673</v>
      </c>
      <c r="D4" s="96">
        <f>SQRT(LK_act/Cclamp)*(IQH_max*0.9)</f>
        <v>32.199378875996977</v>
      </c>
      <c r="E4" s="77" t="s">
        <v>13</v>
      </c>
      <c r="F4" s="78"/>
      <c r="G4" s="59"/>
      <c r="H4" s="59"/>
    </row>
    <row r="5" spans="2:20" ht="16.5" thickBot="1">
      <c r="B5" s="3" t="s">
        <v>674</v>
      </c>
      <c r="C5" s="15" t="s">
        <v>675</v>
      </c>
      <c r="D5" s="97">
        <f>MIN(Vclamp_max_SR,Vclamp_max_QH)</f>
        <v>32.199378875996977</v>
      </c>
      <c r="E5" s="85" t="s">
        <v>13</v>
      </c>
      <c r="F5" s="84"/>
      <c r="G5" s="59"/>
    </row>
    <row r="6" spans="2:20" ht="14.7" thickBot="1">
      <c r="B6" s="11"/>
      <c r="C6" s="98"/>
      <c r="D6" s="11"/>
      <c r="E6" s="11"/>
      <c r="F6" s="11"/>
      <c r="G6" s="59"/>
      <c r="H6" s="59"/>
      <c r="R6" s="60"/>
    </row>
    <row r="7" spans="2:20" ht="20.399999999999999">
      <c r="B7" s="48" t="s">
        <v>971</v>
      </c>
      <c r="C7" s="99"/>
      <c r="D7" s="49" t="s">
        <v>491</v>
      </c>
      <c r="E7" s="49"/>
      <c r="F7" s="50"/>
      <c r="G7" s="61"/>
      <c r="H7" s="59"/>
    </row>
    <row r="8" spans="2:20" ht="18.3">
      <c r="B8" s="2" t="s">
        <v>660</v>
      </c>
      <c r="C8" s="13" t="s">
        <v>661</v>
      </c>
      <c r="D8" s="100">
        <f>IF(Vin_type="AC",(NPS*(VOUT+Vf_SR))/(VINPUT_Brownin*1.414+NPS*(VOUT+Vf_SR)),(NPS*(VOUT+Vf_SR))/(VINPUT_Brownin+NPS*(VOUT+Vf_SR)))</f>
        <v>0.39202792250493196</v>
      </c>
      <c r="E8" s="46"/>
      <c r="F8" s="101"/>
      <c r="G8" s="59"/>
      <c r="H8" s="62"/>
    </row>
    <row r="9" spans="2:20" ht="18.3">
      <c r="B9" s="102" t="s">
        <v>662</v>
      </c>
      <c r="C9" s="103" t="s">
        <v>663</v>
      </c>
      <c r="D9" s="104">
        <f>IF(Vin_type="AC",PO_FL*OPP*0.01/(ηXFMR*1.414*VINPUT_Brownin),PO_FL*OPP*0.01/(ηXFMR*VINPUT_Brownin))</f>
        <v>0.14761573744796544</v>
      </c>
      <c r="E9" s="105" t="s">
        <v>24</v>
      </c>
      <c r="F9" s="101"/>
      <c r="G9" s="59"/>
      <c r="H9" s="62"/>
    </row>
    <row r="10" spans="2:20" ht="18.3">
      <c r="B10" s="2" t="s">
        <v>664</v>
      </c>
      <c r="C10" s="13" t="s">
        <v>665</v>
      </c>
      <c r="D10" s="106">
        <f>IF(Vin_type="AC",-SQRT(CSWN_T_vbi*(10^-12)/(LM*(10^-6)))*1.414*VINPUT_Brownin,-SQRT(CSWN_T_vbi*(10^-12)/(LM*(10^-6)))*VINPUT_Brownin)</f>
        <v>-0.12778027441635909</v>
      </c>
      <c r="E10" s="107" t="s">
        <v>24</v>
      </c>
      <c r="F10" s="108"/>
      <c r="G10" s="59"/>
      <c r="H10" s="62"/>
    </row>
    <row r="11" spans="2:20" ht="18.3">
      <c r="B11" s="2" t="s">
        <v>666</v>
      </c>
      <c r="C11" s="13" t="s">
        <v>667</v>
      </c>
      <c r="D11" s="106">
        <f>IF(Vin_type="AC",
(1.414*VINPUT_Brownin*DOPP_run^2)/(2*(LM*10^-6)*IIN_OPP_run-DOPP_run*(LM*10^-6)*(IM_nega_run)+DOPP_run*1.414*VINPUT_Brownin*(IF(1.414*VINPUT_Brownin&gt;NPS*(VOUT+Vf_SR),3.1416-ACOS(NPS*(VOUT+Vf_SR)/(1.414*VINPUT_Brownin)),3.1416-ACOS(1.414*VINPUT_Brownin/(NPS*(VOUT+Vf_SR)))))*SQRT((LM*10^-6)*(CSWN_T_vbi*10^-12)))/1000,
(VINPUT_Brownin*DOPP_run^2)/(2*(LM*10^-6)*IIN_OPP_run-DOPP_run*(LM*10^-6)*(IM_nega_run)+DOPP_run*VINPUT_Brownin*(IF(VINPUT_Brownin&gt;NPS*(VOUT+Vf_SR),3.1416-ACOS(NPS*(VOUT+Vf_SR)/VINPUT_Brownin),3.1416-ACOS(VINPUT_Brownin/(NPS*(VOUT+Vf_SR)))))*SQRT((LM*10^-6)*(CSWN_T_vbi*10^-12)))/1000)</f>
        <v>222.89610809688875</v>
      </c>
      <c r="E11" s="107" t="s">
        <v>10</v>
      </c>
      <c r="F11" s="109"/>
      <c r="G11" s="21"/>
      <c r="H11" s="62"/>
      <c r="N11" s="431"/>
      <c r="O11" s="432"/>
      <c r="Q11" s="18"/>
      <c r="R11" s="51"/>
    </row>
    <row r="12" spans="2:20" ht="16.5" thickBot="1">
      <c r="B12" s="3" t="s">
        <v>668</v>
      </c>
      <c r="C12" s="15" t="s">
        <v>669</v>
      </c>
      <c r="D12" s="97">
        <f>SQRT(IM_nega_run^2+2*(PO_FL*OPP*0.01/ηXFMR)*(1/(fsw_OPP_run*1000*LM*10^-6)))</f>
        <v>0.94778304181673367</v>
      </c>
      <c r="E12" s="47" t="s">
        <v>24</v>
      </c>
      <c r="F12" s="110"/>
      <c r="G12" s="59"/>
      <c r="H12" s="58"/>
    </row>
    <row r="13" spans="2:20" ht="14.7" thickBot="1">
      <c r="B13" s="11"/>
      <c r="C13" s="98"/>
      <c r="D13" s="11"/>
      <c r="E13" s="11"/>
      <c r="F13" s="11"/>
      <c r="G13" s="59"/>
      <c r="H13" s="59"/>
    </row>
    <row r="14" spans="2:20" ht="20.399999999999999">
      <c r="B14" s="48" t="s">
        <v>38</v>
      </c>
      <c r="C14" s="16"/>
      <c r="D14" s="49" t="s">
        <v>492</v>
      </c>
      <c r="E14" s="49"/>
      <c r="F14" s="50"/>
      <c r="G14" s="61"/>
    </row>
    <row r="15" spans="2:20" ht="18.3">
      <c r="B15" s="76" t="s">
        <v>643</v>
      </c>
      <c r="C15" s="13" t="s">
        <v>644</v>
      </c>
      <c r="D15" s="106">
        <f>IF(Vin_type="AC",-SQRT(CSWN_T_vmin*(10^-12)/(LM*(10^-6)))*NPS*VOUT,-SQRT(CSWN_T_vmin*(10^-12)/(LM*(10^-6)))*NPS*VOUT)</f>
        <v>-8.5741916200453211E-2</v>
      </c>
      <c r="E15" s="111" t="s">
        <v>24</v>
      </c>
      <c r="F15" s="101"/>
      <c r="G15" s="59"/>
      <c r="H15" s="62"/>
      <c r="P15" s="59"/>
    </row>
    <row r="16" spans="2:20" ht="18.3">
      <c r="B16" s="2" t="s">
        <v>645</v>
      </c>
      <c r="C16" s="13" t="s">
        <v>646</v>
      </c>
      <c r="D16" s="106">
        <f>SQRT(IM_nega_OPP_min^2+2*(PO_FL*OPP*0.01/ηXFMR)*(1/(fsw_OPP_min*1000*LM*10^-6)))</f>
        <v>1.0619858069266983</v>
      </c>
      <c r="E16" s="111" t="s">
        <v>24</v>
      </c>
      <c r="F16" s="101"/>
      <c r="G16" s="59"/>
      <c r="H16" s="62"/>
    </row>
    <row r="17" spans="2:18" ht="18.3">
      <c r="B17" s="2" t="s">
        <v>647</v>
      </c>
      <c r="C17" s="13" t="s">
        <v>648</v>
      </c>
      <c r="D17" s="106">
        <f>IF(Vin_type="AC",(VBulk_min_tgt*DOPP_min^2)/(2*(LM*10^-6)*IIN_OPP_min-DOPP_min*(LM*10^-6)*(IM_nega_OPP_min)+DOPP_min*VBulk_min_tgt*(IF(VBulk_min_tgt&gt;NPS*(VOUT+Vf_SR),3.1416-ACOS(NPS*(VOUT+Vf_SR)/VBulk_min_tgt),3.1416-ACOS(VBulk_min_tgt/(NPS*(VOUT+Vf_SR)))))*SQRT((LM*10^-6)*(CSWN_T_vmin*10^-12)))/1000,(VBulk_min_tgt*DOPP_min^2)/(2*(LM*10^-6)*IIN_OPP_min-DOPP_min*(LM*10^-6)*(IM_nega_OPP_min)+DOPP_min*VBulk_min_tgt*(IF(VBulk_min_tgt&gt;NPS*(VOUT+Vf_SR),3.1416-ACOS(NPS*(VOUT+Vf_SR)/VBulk_min_tgt),3.1416-ACOS(VBulk_min_tgt/(NPS*(VOUT+Vf_SR)))))*SQRT((LM*10^-6)*(CSWN_T_vmin*10^-12)))/1000)</f>
        <v>175.45129735883398</v>
      </c>
      <c r="E17" s="111" t="s">
        <v>10</v>
      </c>
      <c r="F17" s="101"/>
      <c r="G17" s="59"/>
      <c r="I17" s="62"/>
      <c r="N17" s="62"/>
    </row>
    <row r="18" spans="2:18" ht="18.3">
      <c r="B18" s="2" t="s">
        <v>649</v>
      </c>
      <c r="C18" s="13" t="s">
        <v>650</v>
      </c>
      <c r="D18" s="100">
        <f>IF(Vin_type="AC",PO_FL*OPP*0.01/(ηXFMR*VBulk_min_tgt),PO_FL*OPP*0.01/(ηXFMR*VBulk_min_tgt))</f>
        <v>0.22177419354838707</v>
      </c>
      <c r="E18" s="43" t="s">
        <v>24</v>
      </c>
      <c r="F18" s="101"/>
      <c r="G18" s="59"/>
      <c r="H18" s="62"/>
      <c r="K18" s="52"/>
      <c r="O18" s="60"/>
    </row>
    <row r="19" spans="2:18" ht="18.3">
      <c r="B19" s="10" t="s">
        <v>651</v>
      </c>
      <c r="C19" s="13" t="s">
        <v>652</v>
      </c>
      <c r="D19" s="100">
        <f>IF(Vin_type="AC",(NPS*(VOUT+Vf_SR))/(VBulk_min_tgt+NPS*(VOUT+Vf_SR)),(NPS*(VOUT+Vf_SR))/(VBulk_min_tgt+NPS*(VOUT+Vf_SR)))</f>
        <v>0.49206349206349204</v>
      </c>
      <c r="E19" s="86"/>
      <c r="F19" s="112"/>
      <c r="G19" s="59"/>
      <c r="H19" s="62"/>
      <c r="Q19" s="18"/>
      <c r="R19" s="51"/>
    </row>
    <row r="20" spans="2:18" ht="18.3">
      <c r="B20" s="10" t="s">
        <v>653</v>
      </c>
      <c r="C20" s="13" t="s">
        <v>654</v>
      </c>
      <c r="D20" s="100">
        <f>IF(Vin_type="AC",ipk_OPP_min*LM/(VBulk_min_tgt),ipk_OPP_min*LM/(VBulk_min_tgt))</f>
        <v>2.3961054768783629</v>
      </c>
      <c r="E20" s="43" t="s">
        <v>27</v>
      </c>
      <c r="F20" s="101"/>
      <c r="G20" s="59"/>
      <c r="H20" s="62"/>
    </row>
    <row r="21" spans="2:18" ht="18.3">
      <c r="B21" s="10" t="s">
        <v>359</v>
      </c>
      <c r="C21" s="13" t="s">
        <v>655</v>
      </c>
      <c r="D21" s="100">
        <f>(Vxl*CSW_0toVx*(10^-12)/ipk_OPP_min)/(10^-9)</f>
        <v>10.22489182922715</v>
      </c>
      <c r="E21" s="43" t="s">
        <v>270</v>
      </c>
      <c r="F21" s="101"/>
      <c r="G21" s="59"/>
      <c r="H21" s="62"/>
    </row>
    <row r="22" spans="2:18" ht="16.2">
      <c r="B22" s="10" t="s">
        <v>656</v>
      </c>
      <c r="C22" s="14" t="s">
        <v>657</v>
      </c>
      <c r="D22" s="96">
        <f>COSS_QL_bg + COSS_QH_sm + CTr+CBootD_T + (COSS_SR_H)/NPS^2 + (CDaux_H)/(NP/NA)^2</f>
        <v>217.1738</v>
      </c>
      <c r="E22" s="86" t="s">
        <v>41</v>
      </c>
      <c r="F22" s="88"/>
      <c r="G22" s="59"/>
    </row>
    <row r="23" spans="2:18" ht="18.600000000000001" thickBot="1">
      <c r="B23" s="3" t="s">
        <v>658</v>
      </c>
      <c r="C23" s="15" t="s">
        <v>659</v>
      </c>
      <c r="D23" s="97">
        <f>TD_CS_filter + tD_CS + TD_LDr + TD_Ql_Coss_vmin</f>
        <v>190.22489182922715</v>
      </c>
      <c r="E23" s="17" t="s">
        <v>43</v>
      </c>
      <c r="F23" s="110"/>
      <c r="G23" s="59"/>
      <c r="H23" s="62"/>
      <c r="J23" s="52"/>
    </row>
    <row r="24" spans="2:18" ht="14.7" thickBot="1">
      <c r="B24" s="11"/>
      <c r="C24" s="98"/>
      <c r="D24" s="11"/>
      <c r="E24" s="11"/>
      <c r="F24" s="11"/>
      <c r="G24" s="59"/>
    </row>
    <row r="25" spans="2:18" ht="20.399999999999999">
      <c r="B25" s="48" t="s">
        <v>44</v>
      </c>
      <c r="C25" s="16"/>
      <c r="D25" s="49" t="s">
        <v>493</v>
      </c>
      <c r="E25" s="49"/>
      <c r="F25" s="50"/>
      <c r="G25" s="61"/>
    </row>
    <row r="26" spans="2:18" ht="16.2">
      <c r="B26" s="10" t="s">
        <v>358</v>
      </c>
      <c r="C26" s="13" t="s">
        <v>622</v>
      </c>
      <c r="D26" s="100">
        <f>(Vxl*CSW_0toVx*(10^-12)/ipk_OPP_max)/(10^-9)</f>
        <v>11.857531749886054</v>
      </c>
      <c r="E26" s="46" t="s">
        <v>270</v>
      </c>
      <c r="F26" s="113"/>
      <c r="G26" s="59"/>
    </row>
    <row r="27" spans="2:18" ht="16.2">
      <c r="B27" s="2" t="s">
        <v>623</v>
      </c>
      <c r="C27" s="83" t="s">
        <v>624</v>
      </c>
      <c r="D27" s="100">
        <f>TD_CS_filter+tD_CS+TD_LDr+TD_Ql_Coss_vmax</f>
        <v>191.85753174988605</v>
      </c>
      <c r="E27" s="46" t="s">
        <v>270</v>
      </c>
      <c r="F27" s="113"/>
      <c r="G27" s="59"/>
    </row>
    <row r="28" spans="2:18" ht="18.3">
      <c r="B28" s="102" t="s">
        <v>625</v>
      </c>
      <c r="C28" s="103" t="s">
        <v>626</v>
      </c>
      <c r="D28" s="114">
        <f>IF(Vin_type="AC",-SQRT(CSWN_T_vmax*(10^-12)/(LM*(10^-6)))*1.414*VINPUT_max,-SQRT(CSWN_T_vmax*(10^-12)/(LM*(10^-6)))*VINPUT_max)</f>
        <v>-0.1612377569510739</v>
      </c>
      <c r="E28" s="115" t="s">
        <v>24</v>
      </c>
      <c r="F28" s="101"/>
      <c r="G28" s="59"/>
      <c r="H28" s="62"/>
      <c r="K28" s="60"/>
    </row>
    <row r="29" spans="2:18" ht="18.3">
      <c r="B29" s="2" t="s">
        <v>627</v>
      </c>
      <c r="C29" s="13" t="s">
        <v>628</v>
      </c>
      <c r="D29" s="106">
        <f>IF(Vin_type="AC",
(1.414*VINPUT_max*DOPP_max^2)/(2*(LM*10^-6)*IIN_OPP_max-DOPP_max*(LM*10^-6)*(IM_nega_max)+DOPP_max*1.414*VINPUT_max*(IF(1.414*VINPUT_max&gt;NPS*(VOUT+Vf_SR),3.1416-ACOS(NPS*(VOUT+Vf_SR)/(1.414*VINPUT_max)),3.1416-ACOS(1.414*VINPUT_max/(NPS*(VOUT+Vf_SR)))))*SQRT((LM*10^-6)*(CSWN_T_vmax*10^-12)))/1000,
(VINPUT_max*DOPP_max^2)/(2*(LM*10^-6)*IIN_OPP_max-DOPP_max*(LM*10^-6)*(IM_nega_max)+DOPP_max*VINPUT_max*(IF(VINPUT_max&gt;NPS*(VOUT+Vf_SR),3.1416-ACOS(NPS*(VOUT+Vf_SR)/VINPUT_max),3.1416-ACOS(VINPUT_max/(NPS*(VOUT+Vf_SR)))))*SQRT((LM*10^-6)*(CSWN_T_vmax*10^-12)))/1000)</f>
        <v>241.91561818983436</v>
      </c>
      <c r="E29" s="111" t="s">
        <v>10</v>
      </c>
      <c r="F29" s="101"/>
      <c r="G29" s="21"/>
      <c r="H29" s="62"/>
      <c r="L29" s="57"/>
      <c r="M29" s="431"/>
      <c r="N29" s="59"/>
    </row>
    <row r="30" spans="2:18" ht="18.3">
      <c r="B30" s="2" t="s">
        <v>629</v>
      </c>
      <c r="C30" s="13" t="s">
        <v>630</v>
      </c>
      <c r="D30" s="100">
        <f>SQRT(IM_nega_max^2+2*(PO_FL*OPP*0.01/ηXFMR)*(1/(fsw_OPP_max*1000*LM*10^-6)))</f>
        <v>0.91576309716432747</v>
      </c>
      <c r="E30" s="43" t="s">
        <v>24</v>
      </c>
      <c r="F30" s="101"/>
      <c r="G30" s="59"/>
      <c r="H30" s="62"/>
      <c r="O30" s="62"/>
      <c r="P30" s="60"/>
      <c r="Q30" s="18"/>
      <c r="R30" s="51"/>
    </row>
    <row r="31" spans="2:18" ht="18.3">
      <c r="B31" s="10" t="s">
        <v>631</v>
      </c>
      <c r="C31" s="13" t="s">
        <v>632</v>
      </c>
      <c r="D31" s="100">
        <f>IF(Vin_type="AC",(NPS*(VOUT+Vf_SR))/(1.414*VINPUT_max+NPS*(VOUT+Vf_SR)),(NPS*(VOUT+Vf_SR))/(VINPUT_max+NPS*(VOUT+Vf_SR)))</f>
        <v>0.33256093374527979</v>
      </c>
      <c r="E31" s="43"/>
      <c r="F31" s="112"/>
      <c r="G31" s="59"/>
      <c r="H31" s="62"/>
    </row>
    <row r="32" spans="2:18" ht="18.3">
      <c r="B32" s="2" t="s">
        <v>633</v>
      </c>
      <c r="C32" s="13" t="s">
        <v>634</v>
      </c>
      <c r="D32" s="100">
        <f>IF(Vin_type="AC",PO_FL*OPP*0.01/(ηXFMR*1.414*VINPUT_max),PO_FL*OPP*0.01/(ηXFMR*VINPUT_max))</f>
        <v>0.11406670620979147</v>
      </c>
      <c r="E32" s="43" t="s">
        <v>24</v>
      </c>
      <c r="F32" s="101"/>
      <c r="G32" s="59"/>
      <c r="H32" s="62"/>
    </row>
    <row r="33" spans="2:18" ht="18.75" customHeight="1">
      <c r="B33" s="80" t="s">
        <v>635</v>
      </c>
      <c r="C33" s="13" t="s">
        <v>636</v>
      </c>
      <c r="D33" s="100">
        <f>IF(Vin_type="AC", 1.414*VINPUT_max*RCS*(tD_CST_vmax*10^-9)/(LM*10^-6), VINPUT_max*RCS*(tD_CST_vmax*10^-9)/(LM*10^-6))</f>
        <v>0.12101935178666021</v>
      </c>
      <c r="E33" s="86" t="s">
        <v>42</v>
      </c>
      <c r="F33" s="112"/>
      <c r="G33" s="21"/>
      <c r="H33" s="62"/>
    </row>
    <row r="34" spans="2:18" ht="18.3">
      <c r="B34" s="10" t="s">
        <v>637</v>
      </c>
      <c r="C34" s="13" t="s">
        <v>638</v>
      </c>
      <c r="D34" s="100">
        <f>IF(Vin_type="AC",(((1.414*VINPUT_max-VR_pri_max-VLk_pri_max)*NA/NP-Vs_clamp)/(RVS_1*1000)-Vs_clamp/(RVS_2*1000))*10^3,(((VINPUT_max-VR_pri_max-VLk_pri_max)*NA/NP-Vs_clamp)/(RVS_1*1000)-Vs_clamp/(RVS_2*1000))*10^3)</f>
        <v>0.4494358254627922</v>
      </c>
      <c r="E34" s="43" t="s">
        <v>46</v>
      </c>
      <c r="F34" s="116"/>
      <c r="G34" s="59"/>
      <c r="H34" s="62"/>
    </row>
    <row r="35" spans="2:18" ht="16.2">
      <c r="B35" s="10" t="s">
        <v>639</v>
      </c>
      <c r="C35" s="14" t="s">
        <v>640</v>
      </c>
      <c r="D35" s="96">
        <f>ipk_OPP_max*(Rpri_dc + RDSon_QL + RCS )</f>
        <v>0.91759462335865616</v>
      </c>
      <c r="E35" s="86" t="s">
        <v>42</v>
      </c>
      <c r="F35" s="112"/>
      <c r="G35" s="59"/>
    </row>
    <row r="36" spans="2:18" ht="18.600000000000001" thickBot="1">
      <c r="B36" s="3" t="s">
        <v>641</v>
      </c>
      <c r="C36" s="15" t="s">
        <v>642</v>
      </c>
      <c r="D36" s="97">
        <f>IF(Vin_type="AC",1.414*VINPUT_max/LM*LK_act,VINPUT_max/LM*LK_act)</f>
        <v>6.2043656509695282</v>
      </c>
      <c r="E36" s="17" t="s">
        <v>42</v>
      </c>
      <c r="F36" s="117"/>
      <c r="G36" s="59"/>
      <c r="H36" s="62"/>
    </row>
    <row r="37" spans="2:18" ht="14.7" thickBot="1">
      <c r="B37" s="11"/>
      <c r="C37" s="98"/>
      <c r="D37" s="11"/>
      <c r="E37" s="11"/>
      <c r="F37" s="11"/>
      <c r="G37" s="59"/>
      <c r="H37" s="59"/>
    </row>
    <row r="38" spans="2:18" ht="20.399999999999999">
      <c r="B38" s="48" t="s">
        <v>53</v>
      </c>
      <c r="C38" s="16"/>
      <c r="D38" s="49" t="s">
        <v>494</v>
      </c>
      <c r="E38" s="49"/>
      <c r="F38" s="50"/>
      <c r="G38" s="61"/>
      <c r="H38" s="59"/>
    </row>
    <row r="39" spans="2:18" ht="18.3">
      <c r="B39" s="76" t="s">
        <v>606</v>
      </c>
      <c r="C39" s="13" t="s">
        <v>607</v>
      </c>
      <c r="D39" s="100">
        <f>IF(Vin_type="AC",-SQRT(CSWN_T_vbur*(10^-12)/(LM*(10^-6)))*1.414*VINPUT_BUR,-SQRT(CSWN_T_vbur*(10^-12)/(LM*(10^-6)))*VINPUT_BUR)</f>
        <v>-0.1612377569510739</v>
      </c>
      <c r="E39" s="43" t="s">
        <v>24</v>
      </c>
      <c r="F39" s="101"/>
      <c r="G39" s="59"/>
      <c r="H39" s="62"/>
      <c r="K39" s="60"/>
    </row>
    <row r="40" spans="2:18" ht="18.3">
      <c r="B40" s="2" t="s">
        <v>608</v>
      </c>
      <c r="C40" s="13" t="s">
        <v>609</v>
      </c>
      <c r="D40" s="106">
        <f>IF(Vin_type="AC",
(1.414*VINPUT_BUR*DBUR^2)/(2*(LM*10^-6)*IIN_BUR-DBUR*(LM*10^-6)*(IM_nega_BUR)+DBUR*1.414*VINPUT_BUR*(IF(1.414*VINPUT_BUR&gt;NPS*(VOUT+Vf_SR),3.1416-ACOS(NPS*(VOUT+Vf_SR)/(1.414*VINPUT_BUR)),3.1416-ACOS(1.414*VINPUT_BUR/(NPS*(VOUT+Vf_SR)))))*SQRT((LM*10^-6)*(CSWN_T_vbur*10^-12)))/1000,
(VINPUT_BUR*DBUR^2)/(2*(LM*10^-6)*IIN_BUR-DBUR*(LM*10^-6)*(IM_nega_BUR)+DBUR*VINPUT_BUR*(IF(VINPUT_BUR&gt;NPS*(VOUT+Vf_SR),3.1416-ACOS(NPS*(VOUT+Vf_SR)/VINPUT_BUR),3.1416-ACOS(VINPUT_BUR/(NPS*(VOUT+Vf_SR)))))*SQRT((LM*10^-6)*(CSWN_T_vbur*10^-12)))/1000)</f>
        <v>328.34277805503916</v>
      </c>
      <c r="E40" s="43" t="s">
        <v>10</v>
      </c>
      <c r="F40" s="101"/>
      <c r="G40" s="21"/>
      <c r="H40" s="62"/>
      <c r="L40" s="57"/>
      <c r="M40" s="58"/>
      <c r="N40" s="59"/>
    </row>
    <row r="41" spans="2:18" ht="18.3">
      <c r="B41" s="2" t="s">
        <v>610</v>
      </c>
      <c r="C41" s="13" t="s">
        <v>611</v>
      </c>
      <c r="D41" s="100">
        <f>SQRT(IM_nega_BUR^2+2*(PO_FL*BUR*0.01/ηXFMR)*(1/(fsw_BUR*1000*LM*10^-6)))</f>
        <v>0.59377948593468644</v>
      </c>
      <c r="E41" s="43" t="s">
        <v>24</v>
      </c>
      <c r="F41" s="101"/>
      <c r="G41" s="59"/>
      <c r="H41" s="59"/>
      <c r="M41" s="62"/>
      <c r="Q41" s="18"/>
      <c r="R41" s="51"/>
    </row>
    <row r="42" spans="2:18" ht="18.3">
      <c r="B42" s="10" t="s">
        <v>612</v>
      </c>
      <c r="C42" s="13" t="s">
        <v>613</v>
      </c>
      <c r="D42" s="100">
        <f>(Vxl*CSW_0toVx*(10^-12)/ipk_BUR)/(10^-9)</f>
        <v>18.287411837589847</v>
      </c>
      <c r="E42" s="43" t="s">
        <v>270</v>
      </c>
      <c r="F42" s="101"/>
      <c r="G42" s="59"/>
      <c r="H42" s="59"/>
      <c r="M42" s="62"/>
    </row>
    <row r="43" spans="2:18" ht="18.3">
      <c r="B43" s="10" t="s">
        <v>614</v>
      </c>
      <c r="C43" s="13" t="s">
        <v>615</v>
      </c>
      <c r="D43" s="100">
        <f>TD_CS_filter + tD_CS + TD_LDr + TD_Ql_Coss_BUR</f>
        <v>198.28741183758984</v>
      </c>
      <c r="E43" s="43" t="s">
        <v>270</v>
      </c>
      <c r="F43" s="101"/>
      <c r="G43" s="59"/>
      <c r="H43" s="59"/>
      <c r="M43" s="62"/>
    </row>
    <row r="44" spans="2:18" ht="18.3">
      <c r="B44" s="10" t="s">
        <v>616</v>
      </c>
      <c r="C44" s="103" t="s">
        <v>617</v>
      </c>
      <c r="D44" s="104">
        <f>IF(Vin_type="AC",(NPS*(VOUT+Vf_SR))/(1.414*VINPUT_BUR+NPS*(VOUT+Vf_SR)),(NPS*(VOUT+Vf_SR))/(VINPUT_BUR+NPS*(VOUT+Vf_SR)))</f>
        <v>0.33256093374527979</v>
      </c>
      <c r="E44" s="43"/>
      <c r="F44" s="112"/>
      <c r="G44" s="59"/>
      <c r="H44" s="62"/>
    </row>
    <row r="45" spans="2:18" ht="18.3">
      <c r="B45" s="2" t="s">
        <v>618</v>
      </c>
      <c r="C45" s="13" t="s">
        <v>619</v>
      </c>
      <c r="D45" s="100">
        <f>IF(Vin_type="AC",PO_FL*BUR*0.01/(ηXFMR*1.414*VINPUT_BUR),PO_FL*BUR*0.01/(ηXFMR*VINPUT_BUR))</f>
        <v>6.2218203387158985E-2</v>
      </c>
      <c r="E45" s="43" t="s">
        <v>24</v>
      </c>
      <c r="F45" s="101"/>
      <c r="G45" s="59"/>
      <c r="H45" s="62"/>
    </row>
    <row r="46" spans="2:18" ht="18.600000000000001" thickBot="1">
      <c r="B46" s="3" t="s">
        <v>620</v>
      </c>
      <c r="C46" s="15" t="s">
        <v>621</v>
      </c>
      <c r="D46" s="97">
        <f>IF(Vin_type="AC",(((1.414*VINPUT_BUR-VR_pri_max-VLk_pri_max)*NA/NP-Vs_clamp)/(RVS_1*1000)-Vs_clamp/(RVS_2*1000))*10^3,(((VINPUT_BUR-VR_pri_max-VLk_pri_max)*NA/NP-Vs_clamp)/(RVS_1*1000)-Vs_clamp/(RVS_2*1000))*10^3)</f>
        <v>0.4494358254627922</v>
      </c>
      <c r="E46" s="85" t="s">
        <v>46</v>
      </c>
      <c r="F46" s="117"/>
      <c r="G46" s="59"/>
      <c r="H46" s="62"/>
    </row>
    <row r="47" spans="2:18" ht="14.7" thickBot="1">
      <c r="B47" s="11"/>
      <c r="C47" s="98"/>
      <c r="D47" s="11"/>
      <c r="E47" s="11"/>
      <c r="F47" s="11"/>
      <c r="G47" s="59"/>
      <c r="H47" s="59"/>
    </row>
    <row r="48" spans="2:18" ht="20.399999999999999">
      <c r="B48" s="48" t="s">
        <v>57</v>
      </c>
      <c r="C48" s="16"/>
      <c r="D48" s="49" t="s">
        <v>493</v>
      </c>
      <c r="E48" s="49"/>
      <c r="F48" s="50"/>
      <c r="G48" s="61"/>
      <c r="H48" s="59"/>
    </row>
    <row r="49" spans="2:18" ht="18.600000000000001" thickBot="1">
      <c r="B49" s="3" t="s">
        <v>604</v>
      </c>
      <c r="C49" s="15" t="s">
        <v>605</v>
      </c>
      <c r="D49" s="97">
        <f>IF(Vin_type="AC",((CSWN_T_vmax*10^-12)*(1.414*VINPUT_max+NPS*VOUT)/ipk_BUR)*10^9,((CSWN_T_vmax*10^-12)*(VINPUT_max+NPS*VOUT)/ipk_BUR)*10^9)</f>
        <v>76.12578691125087</v>
      </c>
      <c r="E49" s="85" t="s">
        <v>132</v>
      </c>
      <c r="F49" s="84"/>
      <c r="G49" s="35"/>
      <c r="H49" s="62"/>
      <c r="L49" s="57"/>
      <c r="M49" s="60"/>
    </row>
    <row r="50" spans="2:18" ht="14.7" thickBot="1">
      <c r="B50" s="11"/>
      <c r="C50" s="98"/>
      <c r="D50" s="11"/>
      <c r="E50" s="11"/>
      <c r="F50" s="11"/>
      <c r="G50" s="59"/>
      <c r="H50" s="59"/>
    </row>
    <row r="51" spans="2:18" ht="20.399999999999999">
      <c r="B51" s="48" t="s">
        <v>61</v>
      </c>
      <c r="C51" s="16"/>
      <c r="D51" s="49" t="s">
        <v>491</v>
      </c>
      <c r="E51" s="118"/>
      <c r="F51" s="119"/>
      <c r="G51" s="61"/>
      <c r="H51" s="59"/>
    </row>
    <row r="52" spans="2:18" ht="16.2">
      <c r="B52" s="2" t="s">
        <v>592</v>
      </c>
      <c r="C52" s="13" t="s">
        <v>593</v>
      </c>
      <c r="D52" s="100">
        <f>(RDSon_QL/(RDSon_QH+RDSon_QL))*((15-IVCC_qcc)/10^9)*10^9</f>
        <v>5.937799043062201</v>
      </c>
      <c r="E52" s="86" t="s">
        <v>69</v>
      </c>
      <c r="F52" s="87"/>
      <c r="G52" s="35"/>
      <c r="H52" s="436"/>
    </row>
    <row r="53" spans="2:18" ht="30">
      <c r="B53" s="76" t="s">
        <v>594</v>
      </c>
      <c r="C53" s="13" t="s">
        <v>595</v>
      </c>
      <c r="D53" s="100">
        <f>IF(Vin_type="AC",-SQRT(CSWN_T_vbi*(10^-12)/(LM*(10^-6)))*1.414*VINPUT_Brownin,-SQRT(CSWN_T_vbi*(10^-12)/(LM*(10^-6)))*VINPUT_Brownin)</f>
        <v>-0.12778027441635909</v>
      </c>
      <c r="E53" s="43" t="s">
        <v>15</v>
      </c>
      <c r="F53" s="120"/>
      <c r="G53" s="59"/>
      <c r="H53" s="62"/>
      <c r="M53" s="52"/>
      <c r="P53" s="60"/>
    </row>
    <row r="54" spans="2:18" ht="18.3">
      <c r="B54" s="76" t="s">
        <v>596</v>
      </c>
      <c r="C54" s="13" t="s">
        <v>597</v>
      </c>
      <c r="D54" s="106">
        <f>IF(Vin_type="AC",
(1.414*VINPUT_Brownin*DBUR_min^2)/(2*(LM*10^-6)*IIN_BUR_min-DBUR_min*(LM*10^-6)*(IM_nega_BUR_min)+DBUR_min*1.414*VINPUT_Brownin*(IF(1.414*VINPUT_Brownin&gt;NPS*(VOUT+Vf_SR),3.1416-ACOS(NPS*(VOUT+Vf_SR)/(1.414*VINPUT_Brownin)),3.1416-ACOS(1.414*VINPUT_Brownin/(NPS*(VOUT+Vf_SR)))))*SQRT((LM*10^-6)*(CSWN_T_vbi*10^-12)))/1000,
(VINPUT_Brownin*DBUR_min^2)/(2*(LM*10^-6)*IIN_BUR_min-DBUR_min*(LM*10^-6)*(IM_nega_BUR_min)+DBUR_min*VINPUT_Brownin*(IF(VINPUT_Brownin&gt;NPS*(VOUT+Vf_SR),3.1416-ACOS(NPS*(VOUT+Vf_SR)/VINPUT_Brownin),3.1416-ACOS(VINPUT_Brownin/(NPS*(VOUT+Vf_SR)))))*SQRT((LM*10^-6)*(CSWN_T_vbi*10^-12)))/1000)</f>
        <v>314.95502813214011</v>
      </c>
      <c r="E54" s="43" t="s">
        <v>10</v>
      </c>
      <c r="F54" s="101"/>
      <c r="G54" s="21"/>
      <c r="H54" s="62"/>
      <c r="M54" s="52"/>
      <c r="N54" s="431"/>
    </row>
    <row r="55" spans="2:18" ht="18.3">
      <c r="B55" s="2" t="s">
        <v>598</v>
      </c>
      <c r="C55" s="13" t="s">
        <v>599</v>
      </c>
      <c r="D55" s="100">
        <f>SQRT(IM_nega_BUR^2+2*(PO_FL*BUR*0.01/ηXFMR)*(1/(fsw_BUR_min*1000*LM*10^-6)))</f>
        <v>0.6053559437188889</v>
      </c>
      <c r="E55" s="121" t="s">
        <v>15</v>
      </c>
      <c r="F55" s="120"/>
      <c r="G55" s="35"/>
      <c r="H55" s="59"/>
      <c r="M55" s="62"/>
      <c r="Q55" s="18"/>
      <c r="R55" s="51"/>
    </row>
    <row r="56" spans="2:18" ht="18.3">
      <c r="B56" s="2" t="s">
        <v>600</v>
      </c>
      <c r="C56" s="13" t="s">
        <v>601</v>
      </c>
      <c r="D56" s="100">
        <f>IF(Vin_type="AC",(NPS*(VOUT+Vf_SR))/(1.414*VINPUT_Brownin+NPS*(VOUT+Vf_SR)),(NPS*(VOUT+Vf_SR))/(VINPUT_Brownin+NPS*(VOUT+Vf_SR)))</f>
        <v>0.39202792250493196</v>
      </c>
      <c r="E56" s="43"/>
      <c r="F56" s="112"/>
      <c r="G56" s="59"/>
      <c r="H56" s="62"/>
    </row>
    <row r="57" spans="2:18" ht="18.600000000000001" thickBot="1">
      <c r="B57" s="3" t="s">
        <v>602</v>
      </c>
      <c r="C57" s="15" t="s">
        <v>603</v>
      </c>
      <c r="D57" s="97">
        <f>IF(Vin_type="AC",PO_FL*BUR*0.01/(ηXFMR*1.414*VINPUT_Brownin),PO_FL*BUR*0.01/(ηXFMR*VINPUT_Brownin))</f>
        <v>8.051767497161752E-2</v>
      </c>
      <c r="E57" s="85" t="s">
        <v>15</v>
      </c>
      <c r="F57" s="110"/>
      <c r="G57" s="59"/>
      <c r="H57" s="62"/>
    </row>
    <row r="58" spans="2:18" ht="14.7" thickBot="1">
      <c r="B58" s="11"/>
      <c r="C58" s="98"/>
      <c r="D58" s="11"/>
      <c r="E58" s="11"/>
      <c r="F58" s="11"/>
      <c r="G58" s="59"/>
      <c r="H58" s="59"/>
    </row>
    <row r="59" spans="2:18" ht="20.399999999999999">
      <c r="B59" s="48" t="s">
        <v>970</v>
      </c>
      <c r="C59" s="122"/>
      <c r="D59" s="49" t="s">
        <v>496</v>
      </c>
      <c r="E59" s="49"/>
      <c r="F59" s="50"/>
      <c r="G59" s="61"/>
      <c r="H59" s="59"/>
    </row>
    <row r="60" spans="2:18" ht="30">
      <c r="B60" s="76" t="s">
        <v>580</v>
      </c>
      <c r="C60" s="13" t="s">
        <v>581</v>
      </c>
      <c r="D60" s="100">
        <f>IF(Vin_type="AC",-SQRT(CSWN_T_vbi_30*(10^-12)/(LM*(10^-6)))*(1.414*VINPUT_Brownin+30),-SQRT(CSWN_T_vbi_30*(10^-12)/(LM*(10^-6)))*(VINPUT_Brownin+30))</f>
        <v>-0.14207213619421744</v>
      </c>
      <c r="E60" s="43" t="s">
        <v>24</v>
      </c>
      <c r="F60" s="101"/>
      <c r="G60" s="59"/>
      <c r="H60" s="62"/>
    </row>
    <row r="61" spans="2:18" ht="18.3">
      <c r="B61" s="2" t="s">
        <v>582</v>
      </c>
      <c r="C61" s="13" t="s">
        <v>583</v>
      </c>
      <c r="D61" s="106">
        <f>IF(Vin_type="AC",
((1.414*VINPUT_Brownin+30)*DOPP_start^2)/(2*(LM*10^-6)*IIN_OPP_start-DOPP_start*(LM*10^-6)*(IM_nega_start)+DOPP_start*(1.414*VINPUT_Brownin+30)*(IF((1.414*VINPUT_Brownin+30)&gt;NPS*(VOUT+Vf_SR),3.1416-ACOS(NPS*(VOUT+Vf_SR)/(1.414*VINPUT_Brownin+30)),3.1416-ACOS((1.414*VINPUT_Brownin+30)/(NPS*(VOUT+Vf_SR)))))*SQRT((LM*10^-6)*(CSWN_T_vbi_30*10^-12)))/1000,
((VINPUT_Brownin+30)*DOPP_start^2)/(2*(LM*10^-6)*IIN_OPP_start-DOPP_start*(LM*10^-6)*(IM_nega_start)+DOPP_start*(VINPUT_Brownin+30)*(IF((VINPUT_Brownin+30)&gt;NPS*(VOUT+Vf_SR),3.1416-ACOS(NPS*(VOUT+Vf_SR)/(VINPUT_Brownin+30)),3.1416-ACOS((VINPUT_Brownin+30)/(NPS*(VOUT+Vf_SR)))))*SQRT((LM*10^-6)*(CSWN_T_vbi_30*10^-12)))/1000)</f>
        <v>134.86138118603284</v>
      </c>
      <c r="E61" s="43" t="s">
        <v>10</v>
      </c>
      <c r="F61" s="101"/>
      <c r="G61" s="21"/>
      <c r="H61" s="62"/>
      <c r="N61" s="431"/>
      <c r="O61" s="426"/>
    </row>
    <row r="62" spans="2:18" ht="18.3">
      <c r="B62" s="2" t="s">
        <v>584</v>
      </c>
      <c r="C62" s="13" t="s">
        <v>585</v>
      </c>
      <c r="D62" s="100">
        <f>SQRT(IM_nega_start^2+2*(PO_FL*OPP*0.5*0.01*1.333/ηXFMR)*(1/(fsw_OPP_start*1000*LM*10^-6)))</f>
        <v>0.99585999546485393</v>
      </c>
      <c r="E62" s="43" t="s">
        <v>24</v>
      </c>
      <c r="F62" s="101"/>
      <c r="G62" s="59"/>
      <c r="H62" s="59"/>
      <c r="K62" s="52"/>
      <c r="N62" s="62"/>
      <c r="Q62" s="18"/>
      <c r="R62" s="51"/>
    </row>
    <row r="63" spans="2:18" ht="18.3">
      <c r="B63" s="2" t="s">
        <v>586</v>
      </c>
      <c r="C63" s="13" t="s">
        <v>587</v>
      </c>
      <c r="D63" s="100">
        <f>IF(Vin_type="AC",PO_FL*OPP*0.01*1.333*0.5/(ηXFMR*(1.414*VINPUT_Brownin+30)),PO_FL*OPP*0.01*1.333*0.5/(ηXFMR*(VINPUT_Brownin+30)))</f>
        <v>8.7469487388120409E-2</v>
      </c>
      <c r="E63" s="43" t="s">
        <v>24</v>
      </c>
      <c r="F63" s="101"/>
      <c r="G63" s="59"/>
      <c r="H63" s="62"/>
      <c r="K63" s="59"/>
    </row>
    <row r="64" spans="2:18" ht="18.3">
      <c r="B64" s="10" t="s">
        <v>588</v>
      </c>
      <c r="C64" s="13" t="s">
        <v>589</v>
      </c>
      <c r="D64" s="100">
        <f>IF(Vin_type="AC",(NPS*(VOUT/2+Vf_SR))/((1.414*VINPUT_Brownin+30)+NPS*(VOUT/2+Vf_SR)),(NPS*(VOUT/2+Vf_SR))/((VINPUT_Brownin+30)+NPS*(VOUT/2+Vf_SR)))</f>
        <v>0.22277796941474071</v>
      </c>
      <c r="E64" s="86"/>
      <c r="F64" s="112"/>
      <c r="G64" s="59"/>
      <c r="H64" s="62"/>
    </row>
    <row r="65" spans="2:18" ht="16.5" thickBot="1">
      <c r="B65" s="3" t="s">
        <v>590</v>
      </c>
      <c r="C65" s="15" t="s">
        <v>591</v>
      </c>
      <c r="D65" s="97">
        <f>(((15-IVCC_qcc)*10^-3)/10^6)*fsw_OPP_start*1000*10^3</f>
        <v>1.9689761653160798</v>
      </c>
      <c r="E65" s="17" t="s">
        <v>65</v>
      </c>
      <c r="F65" s="89"/>
      <c r="G65" s="35"/>
      <c r="H65" s="59"/>
    </row>
    <row r="66" spans="2:18" ht="14.7" thickBot="1">
      <c r="B66" s="11"/>
      <c r="C66" s="98"/>
      <c r="D66" s="11"/>
      <c r="E66" s="11"/>
      <c r="F66" s="11"/>
      <c r="G66" s="59"/>
      <c r="H66" s="59"/>
    </row>
    <row r="67" spans="2:18" ht="20.399999999999999">
      <c r="B67" s="48" t="s">
        <v>66</v>
      </c>
      <c r="C67" s="16"/>
      <c r="D67" s="49" t="s">
        <v>491</v>
      </c>
      <c r="E67" s="49"/>
      <c r="F67" s="50"/>
      <c r="G67" s="61"/>
      <c r="H67" s="59"/>
    </row>
    <row r="68" spans="2:18" ht="18.3">
      <c r="B68" s="2" t="s">
        <v>522</v>
      </c>
      <c r="C68" s="13" t="s">
        <v>523</v>
      </c>
      <c r="D68" s="106">
        <f>IF(Vin_type="AC",-SQRT(CSWN_T_vbi*(10^-12)/(LM*(10^-6)))*1.414*VINPUT_Brownin,-SQRT(CSWN_T_vbi*(10^-12)/(LM*(10^-6)))*VINPUT_Brownin)</f>
        <v>-0.12778027441635909</v>
      </c>
      <c r="E68" s="43" t="s">
        <v>15</v>
      </c>
      <c r="F68" s="101"/>
      <c r="G68" s="59"/>
      <c r="H68" s="62"/>
    </row>
    <row r="69" spans="2:18" ht="18.3">
      <c r="B69" s="2" t="s">
        <v>524</v>
      </c>
      <c r="C69" s="13" t="s">
        <v>525</v>
      </c>
      <c r="D69" s="106">
        <f>IF(Vin_type="AC",
(1.414*VINPUT_Brownin*Dmin^2)/(2*(LM*10^-6)*IIN_min-Dmin*(LM*10^-6)*(IM_nega_min)+Dmin*1.414*VINPUT_Brownin*(IF(1.4142*VINPUT_Brownin&gt;NPS*(VOUT+Vf_SR),3.1416-ACOS(NPS*(VOUT+Vf_SR)/(1.4142*VINPUT_Brownin)),3.1416-ACOS(1.4142*VINPUT_Brownin/(NPS*(VOUT+Vf_SR)))))*SQRT((LM*10^-6)*(CSWN_T_vbi*10^-12))),
(VINPUT_Brownin*Dmin^2)/(2*(LM*10^-6)*IIN_min-Dmin*(LM*10^-6)*(IM_nega_min)+Dmin*VINPUT_Brownin*(IF(VINPUT_Brownin&gt;NPS*(VOUT+Vf_SR),3.1416-ACOS(NPS*(VOUT+Vf_SR)/VINPUT_Brownin),3.1416-ACOS(VINPUT_Brownin/(NPS*(VOUT+Vf_SR)))))*SQRT((LM*10^-6)*(CSWN_T_vbi*10^-12))))</f>
        <v>236738.55985635536</v>
      </c>
      <c r="E69" s="43" t="s">
        <v>25</v>
      </c>
      <c r="F69" s="101"/>
      <c r="G69" s="21"/>
      <c r="H69" s="62"/>
      <c r="N69" s="431"/>
      <c r="Q69" s="18"/>
      <c r="R69" s="51"/>
    </row>
    <row r="70" spans="2:18" ht="18.3">
      <c r="B70" s="2" t="s">
        <v>526</v>
      </c>
      <c r="C70" s="13" t="s">
        <v>527</v>
      </c>
      <c r="D70" s="100">
        <f>SQRT(IM_nega_min^2+2*(PO_FL/ηXFMR)*(1/(fsw_min*LM*10^-6)))</f>
        <v>0.87819840876275301</v>
      </c>
      <c r="E70" s="43" t="s">
        <v>15</v>
      </c>
      <c r="F70" s="101"/>
      <c r="G70" s="59"/>
      <c r="H70" s="62"/>
      <c r="J70" s="62"/>
      <c r="L70" s="63"/>
    </row>
    <row r="71" spans="2:18" ht="18.3">
      <c r="B71" s="2" t="s">
        <v>528</v>
      </c>
      <c r="C71" s="13" t="s">
        <v>529</v>
      </c>
      <c r="D71" s="100">
        <f>IF(Vin_type="AC",PO_FL/(ηXFMR*1.414*VINPUT_Brownin),PO_FL/(ηXFMR*VINPUT_Brownin))</f>
        <v>0.13419612495269587</v>
      </c>
      <c r="E71" s="43" t="s">
        <v>15</v>
      </c>
      <c r="F71" s="101"/>
      <c r="G71" s="59"/>
      <c r="H71" s="62"/>
      <c r="L71" s="52"/>
    </row>
    <row r="72" spans="2:18" ht="18.3">
      <c r="B72" s="10" t="s">
        <v>530</v>
      </c>
      <c r="C72" s="13" t="s">
        <v>531</v>
      </c>
      <c r="D72" s="100">
        <f>IF(Vin_type="AC",(NPS*(VOUT+Vf_SR))/(1.414*VINPUT_Brownin+NPS*(VOUT+Vf_SR)),(NPS*(VOUT+Vf_SR))/(VINPUT_Brownin+NPS*(VOUT+Vf_SR)))</f>
        <v>0.39202792250493196</v>
      </c>
      <c r="E72" s="86"/>
      <c r="F72" s="112"/>
      <c r="G72" s="59"/>
      <c r="H72" s="62"/>
    </row>
    <row r="73" spans="2:18" ht="18.600000000000001" thickBot="1">
      <c r="B73" s="92" t="s">
        <v>532</v>
      </c>
      <c r="C73" s="15" t="s">
        <v>533</v>
      </c>
      <c r="D73" s="97">
        <f>IF(Vin_type="AC",(NPS*1.414*VINPUT_Brownin/(2*RCS*(1.414*VINPUT_Brownin+NPS*VOUT)))/(0.8*(COUT*10^-6)*(((1.414*VINPUT_Brownin*NPS^2*(ipk_min+IM_nega_min))/(2*(1.414*VINPUT_Brownin+NPS*VOUT)^2)+IOUT/VOUT)*RCO*0.001+1)),(NPS*VINPUT_Brownin/(2*RCS*(VINPUT_Brownin+NPS*VOUT)))/(0.8*(COUT*10^-6)*(((VINPUT_Brownin*NPS^2*(ipk_min+IM_nega_min))/(2*(VINPUT_Brownin+NPS*VOUT)^2)+IOUT/VOUT)*RCO*0.001+1)))</f>
        <v>11004.539068306418</v>
      </c>
      <c r="E73" s="17"/>
      <c r="F73" s="117"/>
      <c r="G73" s="35"/>
      <c r="H73" s="62"/>
      <c r="K73" s="35"/>
    </row>
    <row r="76" spans="2:18">
      <c r="C76" s="19" t="s">
        <v>463</v>
      </c>
      <c r="D76" s="123" t="s">
        <v>462</v>
      </c>
    </row>
    <row r="77" spans="2:18">
      <c r="C77" s="19" t="s">
        <v>136</v>
      </c>
      <c r="D77" s="124">
        <v>0</v>
      </c>
    </row>
    <row r="78" spans="2:18">
      <c r="C78" s="19" t="s">
        <v>177</v>
      </c>
      <c r="D78" s="125">
        <v>1</v>
      </c>
    </row>
    <row r="79" spans="2:18" ht="14.7" thickBot="1">
      <c r="L79" s="426"/>
    </row>
    <row r="80" spans="2:18" ht="18">
      <c r="B80" s="48" t="s">
        <v>461</v>
      </c>
      <c r="C80" s="16"/>
      <c r="D80" s="49" t="s">
        <v>495</v>
      </c>
      <c r="E80" s="49"/>
      <c r="F80" s="50"/>
      <c r="L80" s="426"/>
    </row>
    <row r="81" spans="2:14" ht="16.2">
      <c r="B81" s="2" t="s">
        <v>574</v>
      </c>
      <c r="C81" s="13" t="s">
        <v>575</v>
      </c>
      <c r="D81" s="100">
        <f>IF(Vin_type="AC",
 106/(1.414*VINPUT_Brownin),
 106/VINPUT_Brownin)</f>
        <v>0.44096846659455863</v>
      </c>
      <c r="E81" s="43"/>
      <c r="F81" s="101"/>
      <c r="G81" s="426"/>
    </row>
    <row r="82" spans="2:14" ht="16.2">
      <c r="B82" s="2" t="s">
        <v>576</v>
      </c>
      <c r="C82" s="13" t="s">
        <v>577</v>
      </c>
      <c r="D82" s="100">
        <f>IF(Vin_type="AC",
 (IF(Kvsl*1*VBulk_min_tgt&gt;290, VCST_OPP4, IF(Kvsl*1*VBulk_min_tgt&gt;130, 0.475-0.00003125*(Kvsl*1*VBulk_min_tgt-130), IF(Kvsl*1*VBulk_min_tgt&gt;70, VCST_OPP1-0.002083*(Kvsl*1*VBulk_min_tgt-70), VCST_OPP1)))),
 (IF(Kvsl*VBulk_min_tgt&gt;290, VCST_OPP4, IF(Kvsl*VBulk_min_tgt&gt;130, 0.475-0.00003125*(Kvsl*VBulk_min_tgt-130), IF(Kvsl*VBulk_min_tgt&gt;70, VCST_OPP1-0.002083*(Kvsl*VBulk_min_tgt-70), VCST_OPP1)))))</f>
        <v>0.59884402945336546</v>
      </c>
      <c r="E82" s="43" t="s">
        <v>8</v>
      </c>
      <c r="F82" s="101" t="s">
        <v>520</v>
      </c>
      <c r="G82" s="21"/>
      <c r="N82" s="428"/>
    </row>
    <row r="83" spans="2:14" ht="16.2">
      <c r="B83" s="2" t="s">
        <v>578</v>
      </c>
      <c r="C83" s="13" t="s">
        <v>579</v>
      </c>
      <c r="D83" s="100">
        <f>IF(Vin_type="AC",
 (IF(Kvsl*1.414*VINPUT_max&gt;290, VCST_OPP4, IF(Kvsl*1.414*VINPUT_max&gt;130, 0.475-0.00003125*(Kvsl*1.414*VINPUT_max-130), IF(Kvsl*1.414*VINPUT_max&gt;70, VCST_OPP1-0.002083*(Kvsl*1.414*VINPUT_max-70), VCST_OPP1)))),
 (IF(Kvsl*VINPUT_max&gt;290, VCST_OPP4, IF(Kvsl*VINPUT_max&gt;130, 0.475-0.00003125*(Kvsl*VINPUT_max-130), IF(Kvsl*VINPUT_max&gt;70, VCST_OPP1-0.002083*(Kvsl*VINPUT_max-70), VCST_OPP1)))))</f>
        <v>0.47477573529411765</v>
      </c>
      <c r="E83" s="43" t="s">
        <v>8</v>
      </c>
      <c r="F83" s="101" t="s">
        <v>521</v>
      </c>
      <c r="G83" s="426"/>
      <c r="H83" s="21"/>
    </row>
    <row r="84" spans="2:14">
      <c r="B84" s="2"/>
      <c r="C84" s="13"/>
      <c r="D84" s="100"/>
      <c r="E84" s="43"/>
      <c r="F84" s="101"/>
    </row>
    <row r="85" spans="2:14">
      <c r="B85" s="10"/>
      <c r="C85" s="13"/>
      <c r="D85" s="100"/>
      <c r="E85" s="86"/>
      <c r="F85" s="112"/>
    </row>
    <row r="86" spans="2:14" ht="14.7" thickBot="1">
      <c r="B86" s="92"/>
      <c r="C86" s="15"/>
      <c r="D86" s="97"/>
      <c r="E86" s="17"/>
      <c r="F86" s="117"/>
    </row>
    <row r="88" spans="2:14" ht="14.7" thickBot="1">
      <c r="G88" s="21"/>
    </row>
    <row r="89" spans="2:14" ht="18">
      <c r="B89" s="38" t="s">
        <v>77</v>
      </c>
      <c r="C89" s="39"/>
      <c r="D89" s="39" t="s">
        <v>492</v>
      </c>
      <c r="E89" s="39"/>
      <c r="F89" s="40"/>
    </row>
    <row r="90" spans="2:14" ht="16.2">
      <c r="B90" s="2" t="s">
        <v>264</v>
      </c>
      <c r="C90" s="13" t="s">
        <v>566</v>
      </c>
      <c r="D90" s="53">
        <f>IF(Vin_type="AC",((COSS_QH_bg*Vxh*(10^-12)+COSS_QH_sm*(10^-12)*(VBulk_min_tgt+NPS*VOUT-Vxh))/(VBulk_min_tgt+VOUT*NPS))*10^12,((COSS_QH_bg*Vxh*(10^-12)+COSS_QH_sm*(10^-12)*(VBulk_min_tgt+NPS*VOUT-Vxh))/(VBulk_min_tgt+VOUT*NPS))*10^12)</f>
        <v>35.968253968253961</v>
      </c>
      <c r="E90" s="5" t="s">
        <v>283</v>
      </c>
      <c r="F90" s="7"/>
      <c r="G90" s="427"/>
    </row>
    <row r="91" spans="2:14" ht="16.2">
      <c r="B91" s="2" t="s">
        <v>265</v>
      </c>
      <c r="C91" s="13" t="s">
        <v>567</v>
      </c>
      <c r="D91" s="53">
        <f>IF(Vin_type="AC",((COSS_QL_bg*Vxl*(10^-12)+COSS_QL_sm*(10^-12)*(VBulk_min_tgt+NPS*VOUT-Vxl))/(VBulk_min_tgt+VOUT*NPS))*10^12,((COSS_QL_bg*Vxl*(10^-12)+COSS_QL_sm*(10^-12)*(VBulk_min_tgt+NPS*VOUT-Vxl))/(VBulk_min_tgt+VOUT*NPS))*10^12)</f>
        <v>47.079365079365083</v>
      </c>
      <c r="E91" s="5" t="s">
        <v>283</v>
      </c>
      <c r="F91" s="7"/>
      <c r="G91" s="427"/>
    </row>
    <row r="92" spans="2:14" ht="16.2">
      <c r="B92" s="2" t="s">
        <v>145</v>
      </c>
      <c r="C92" s="13" t="s">
        <v>568</v>
      </c>
      <c r="D92" s="53">
        <f>CTr</f>
        <v>3.1</v>
      </c>
      <c r="E92" s="5" t="s">
        <v>23</v>
      </c>
      <c r="F92" s="7"/>
      <c r="G92" s="427"/>
    </row>
    <row r="93" spans="2:14" ht="16.2">
      <c r="B93" s="2" t="s">
        <v>454</v>
      </c>
      <c r="C93" s="13" t="s">
        <v>569</v>
      </c>
      <c r="D93" s="8">
        <f>CBootD_T</f>
        <v>10</v>
      </c>
      <c r="E93" s="5" t="s">
        <v>29</v>
      </c>
      <c r="F93" s="7"/>
      <c r="G93" s="427"/>
    </row>
    <row r="94" spans="2:14" ht="16.2">
      <c r="B94" s="2" t="s">
        <v>146</v>
      </c>
      <c r="C94" s="13" t="s">
        <v>570</v>
      </c>
      <c r="D94" s="54">
        <f>COSS_Qs</f>
        <v>1.7</v>
      </c>
      <c r="E94" s="5" t="s">
        <v>14</v>
      </c>
      <c r="F94" s="44"/>
      <c r="G94" s="427"/>
    </row>
    <row r="95" spans="2:14" ht="16.2">
      <c r="B95" s="10" t="s">
        <v>497</v>
      </c>
      <c r="C95" s="14" t="s">
        <v>571</v>
      </c>
      <c r="D95" s="55">
        <f>IF(Vin_type="AC",(Coss_SR_bg*Vx_SR+Coss_SR_sm*(VOUT+VBulk_min_tgt/NPS-Vx_SR))/(VOUT+VBulk_min_tgt/NPS),(Coss_SR_bg*Vx_SR+Coss_SR_sm*(VOUT+VBulk_min_tgt/NPS-Vx_SR))/(VOUT+VBulk_min_tgt/NPS))</f>
        <v>1253.968253968254</v>
      </c>
      <c r="E95" s="5" t="s">
        <v>23</v>
      </c>
      <c r="F95" s="44"/>
      <c r="G95" s="427"/>
    </row>
    <row r="96" spans="2:14" ht="16.2">
      <c r="B96" s="10" t="s">
        <v>498</v>
      </c>
      <c r="C96" s="14" t="s">
        <v>572</v>
      </c>
      <c r="D96" s="55">
        <f>CDaux_T</f>
        <v>4.68</v>
      </c>
      <c r="E96" s="5" t="s">
        <v>23</v>
      </c>
      <c r="F96" s="7"/>
      <c r="G96" s="427"/>
    </row>
    <row r="97" spans="2:7" ht="16.5" thickBot="1">
      <c r="B97" s="3" t="s">
        <v>455</v>
      </c>
      <c r="C97" s="15" t="s">
        <v>573</v>
      </c>
      <c r="D97" s="56">
        <f>COSS_QH_T_vmin + COSS_QL_T_vmin + CTr_vmin + CBootD_T_vmin + COSS_Qs_vmin + COSS_SR_vmin/(NP/NS)^2 + C_Daux_vmin/(NP/NA)^2</f>
        <v>110.46639358730158</v>
      </c>
      <c r="E97" s="6" t="s">
        <v>23</v>
      </c>
      <c r="F97" s="9"/>
      <c r="G97" s="427"/>
    </row>
    <row r="98" spans="2:7" ht="14.7" thickBot="1"/>
    <row r="99" spans="2:7" ht="18">
      <c r="B99" s="38" t="s">
        <v>77</v>
      </c>
      <c r="C99" s="39"/>
      <c r="D99" s="39" t="s">
        <v>491</v>
      </c>
      <c r="E99" s="39"/>
      <c r="F99" s="40"/>
    </row>
    <row r="100" spans="2:7" ht="16.2">
      <c r="B100" s="2" t="s">
        <v>264</v>
      </c>
      <c r="C100" s="13" t="s">
        <v>558</v>
      </c>
      <c r="D100" s="53">
        <f>IF(Vin_type="AC",
((COSS_QH_bg*Vxh*(10^-12)+COSS_QH_sm*(10^-12)*(1.4142*VINPUT_Brownin+NPS*VOUT-Vxh))/(1.4142*VINPUT_Brownin+VOUT*NPS))*10^12,
((COSS_QH_bg*Vxh*(10^-12)+COSS_QH_sm*(10^-12)*(VINPUT_Brownin+NPS*VOUT-Vxh))/(VINPUT_Brownin+VOUT*NPS))*10^12)</f>
        <v>33.127577678079177</v>
      </c>
      <c r="E100" s="5" t="s">
        <v>283</v>
      </c>
      <c r="F100" s="7"/>
      <c r="G100" s="21"/>
    </row>
    <row r="101" spans="2:7" ht="16.2">
      <c r="B101" s="2" t="s">
        <v>265</v>
      </c>
      <c r="C101" s="13" t="s">
        <v>559</v>
      </c>
      <c r="D101" s="53">
        <f>IF(Vin_type="AC",
((COSS_QL_bg*Vxl*(10^-12)+COSS_QL_sm*(10^-12)*(1.4142*VINPUT_Brownin+NPS*VOUT-Vxl))/(1.4142*VINPUT_Brownin+VOUT*NPS))*10^12,
((COSS_QL_bg*Vxl*(10^-12)+COSS_QL_sm*(10^-12)*(VINPUT_Brownin+NPS*VOUT-Vxl))/(VINPUT_Brownin+VOUT*NPS))*10^12)</f>
        <v>41.979059922005789</v>
      </c>
      <c r="E101" s="5" t="s">
        <v>283</v>
      </c>
      <c r="F101" s="7"/>
      <c r="G101" s="21"/>
    </row>
    <row r="102" spans="2:7" ht="16.2">
      <c r="B102" s="2" t="s">
        <v>145</v>
      </c>
      <c r="C102" s="13" t="s">
        <v>560</v>
      </c>
      <c r="D102" s="53">
        <f>CTr</f>
        <v>3.1</v>
      </c>
      <c r="E102" s="5" t="s">
        <v>23</v>
      </c>
      <c r="F102" s="7"/>
      <c r="G102" s="427"/>
    </row>
    <row r="103" spans="2:7" ht="16.2">
      <c r="B103" s="2" t="s">
        <v>454</v>
      </c>
      <c r="C103" s="13" t="s">
        <v>561</v>
      </c>
      <c r="D103" s="8">
        <f>CBootD_T</f>
        <v>10</v>
      </c>
      <c r="E103" s="5" t="s">
        <v>29</v>
      </c>
      <c r="F103" s="7"/>
      <c r="G103" s="427"/>
    </row>
    <row r="104" spans="2:7" ht="16.2">
      <c r="B104" s="2" t="s">
        <v>146</v>
      </c>
      <c r="C104" s="13" t="s">
        <v>562</v>
      </c>
      <c r="D104" s="54">
        <f>COSS_Qs</f>
        <v>1.7</v>
      </c>
      <c r="E104" s="5" t="s">
        <v>14</v>
      </c>
      <c r="F104" s="44"/>
      <c r="G104" s="427"/>
    </row>
    <row r="105" spans="2:7" ht="16.2">
      <c r="B105" s="10" t="s">
        <v>497</v>
      </c>
      <c r="C105" s="14" t="s">
        <v>563</v>
      </c>
      <c r="D105" s="55">
        <f>IF(Vin_type="AC",
(Coss_SR_bg*Vx_SR+Coss_SR_sm*(VOUT+1.4142*VINPUT_Brownin/NPS-Vx_SR))/(VOUT+1.4142*VINPUT_Brownin/NPS),
(Coss_SR_bg*Vx_SR+Coss_SR_sm*(VOUT+VINPUT_Brownin/NPS-Vx_SR))/(VOUT+VINPUT_Brownin/NPS))</f>
        <v>1202.3195941468941</v>
      </c>
      <c r="E105" s="5" t="s">
        <v>23</v>
      </c>
      <c r="F105" s="44"/>
      <c r="G105" s="21"/>
    </row>
    <row r="106" spans="2:7" ht="16.2">
      <c r="B106" s="10" t="s">
        <v>498</v>
      </c>
      <c r="C106" s="14" t="s">
        <v>564</v>
      </c>
      <c r="D106" s="55">
        <f>CDaux_T</f>
        <v>4.68</v>
      </c>
      <c r="E106" s="5" t="s">
        <v>23</v>
      </c>
      <c r="F106" s="7"/>
      <c r="G106" s="427"/>
    </row>
    <row r="107" spans="2:7" ht="16.5" thickBot="1">
      <c r="B107" s="3" t="s">
        <v>455</v>
      </c>
      <c r="C107" s="15" t="s">
        <v>565</v>
      </c>
      <c r="D107" s="56">
        <f>COSS_QH_T_vbi + COSS_QL_T_vbi + CTr_vbi + CBootD_T_vbi + COSS_Qs_vbi + COSS_SR_vbi/(NP/NS)^2 + C_Daux_vbi/(NP/NA)^2</f>
        <v>102.00892554155391</v>
      </c>
      <c r="E107" s="6" t="s">
        <v>23</v>
      </c>
      <c r="F107" s="9"/>
      <c r="G107" s="427"/>
    </row>
    <row r="108" spans="2:7" ht="14.7" thickBot="1">
      <c r="G108" s="427"/>
    </row>
    <row r="109" spans="2:7" ht="18">
      <c r="B109" s="38" t="s">
        <v>77</v>
      </c>
      <c r="C109" s="39"/>
      <c r="D109" s="39" t="s">
        <v>496</v>
      </c>
      <c r="E109" s="39"/>
      <c r="F109" s="40"/>
    </row>
    <row r="110" spans="2:7" ht="16.2">
      <c r="B110" s="2" t="s">
        <v>264</v>
      </c>
      <c r="C110" s="13" t="s">
        <v>550</v>
      </c>
      <c r="D110" s="53">
        <f>IF(Vin_type="AC",
((COSS_QH_bg*Vxh*(10^-12)+COSS_QH_sm*(10^-12)*((1.4142*VINPUT_Brownin+30)+NPS*VOUT-Vxh))/((1.4142*VINPUT_Brownin+30)+VOUT*NPS))*10^12,
((COSS_QH_bg*Vxh*(10^-12)+COSS_QH_sm*(10^-12)*((VINPUT_Brownin+30)+NPS*VOUT-Vxh))/((VINPUT_Brownin+30)+VOUT*NPS))*10^12)</f>
        <v>32.342866008170866</v>
      </c>
      <c r="E110" s="5" t="s">
        <v>283</v>
      </c>
      <c r="F110" s="7"/>
      <c r="G110" s="21"/>
    </row>
    <row r="111" spans="2:7" ht="16.2">
      <c r="B111" s="2" t="s">
        <v>265</v>
      </c>
      <c r="C111" s="13" t="s">
        <v>551</v>
      </c>
      <c r="D111" s="53">
        <f>IF(Vin_type="AC",
((COSS_QL_bg*Vxl*(10^-12)+COSS_QL_sm*(10^-12)*((1.4142*VINPUT_Brownin+30)+NPS*VOUT-Vxl))/((1.4142*VINPUT_Brownin+30)+VOUT*NPS))*10^12,
((COSS_QL_bg*Vxl*(10^-12)+COSS_QL_sm*(10^-12)*((VINPUT_Brownin+30)+NPS*VOUT-Vxl))/((VINPUT_Brownin+30)+VOUT*NPS))*10^12)</f>
        <v>40.570145787397685</v>
      </c>
      <c r="E111" s="5" t="s">
        <v>283</v>
      </c>
      <c r="F111" s="7"/>
      <c r="G111" s="21"/>
    </row>
    <row r="112" spans="2:7" ht="16.2">
      <c r="B112" s="2" t="s">
        <v>145</v>
      </c>
      <c r="C112" s="13" t="s">
        <v>552</v>
      </c>
      <c r="D112" s="53">
        <f>CTr</f>
        <v>3.1</v>
      </c>
      <c r="E112" s="5" t="s">
        <v>23</v>
      </c>
      <c r="F112" s="7"/>
      <c r="G112" s="427"/>
    </row>
    <row r="113" spans="2:7" ht="16.2">
      <c r="B113" s="2" t="s">
        <v>454</v>
      </c>
      <c r="C113" s="13" t="s">
        <v>553</v>
      </c>
      <c r="D113" s="8">
        <f>CBootD_T</f>
        <v>10</v>
      </c>
      <c r="E113" s="5" t="s">
        <v>29</v>
      </c>
      <c r="F113" s="7"/>
      <c r="G113" s="427"/>
    </row>
    <row r="114" spans="2:7" ht="16.2">
      <c r="B114" s="2" t="s">
        <v>146</v>
      </c>
      <c r="C114" s="13" t="s">
        <v>554</v>
      </c>
      <c r="D114" s="54">
        <f>COSS_Qs</f>
        <v>1.7</v>
      </c>
      <c r="E114" s="5" t="s">
        <v>14</v>
      </c>
      <c r="F114" s="44"/>
      <c r="G114" s="427"/>
    </row>
    <row r="115" spans="2:7" ht="16.2">
      <c r="B115" s="10" t="s">
        <v>497</v>
      </c>
      <c r="C115" s="14" t="s">
        <v>555</v>
      </c>
      <c r="D115" s="55">
        <f>IF(Vin_type="AC",
(Coss_SR_bg*Vx_SR+Coss_SR_sm*(VOUT+(1.4142*VINPUT_Brownin+30)/NPS-Vx_SR))/(VOUT+(1.4142*VINPUT_Brownin+30)/NPS),
(Coss_SR_bg*Vx_SR+Coss_SR_sm*(VOUT+(VINPUT_Brownin+30)/NPS-Vx_SR))/(VOUT+(VINPUT_Brownin+30)/NPS))</f>
        <v>1188.0521092394702</v>
      </c>
      <c r="E115" s="5" t="s">
        <v>23</v>
      </c>
      <c r="F115" s="44"/>
      <c r="G115" s="21"/>
    </row>
    <row r="116" spans="2:7" ht="16.2">
      <c r="B116" s="10" t="s">
        <v>498</v>
      </c>
      <c r="C116" s="14" t="s">
        <v>556</v>
      </c>
      <c r="D116" s="55">
        <f>CDaux_T</f>
        <v>4.68</v>
      </c>
      <c r="E116" s="5" t="s">
        <v>23</v>
      </c>
      <c r="F116" s="7"/>
      <c r="G116" s="427"/>
    </row>
    <row r="117" spans="2:7" ht="16.5" thickBot="1">
      <c r="B117" s="3" t="s">
        <v>455</v>
      </c>
      <c r="C117" s="15" t="s">
        <v>557</v>
      </c>
      <c r="D117" s="56">
        <f>COSS_QH_T_vbi_30 + COSS_QL_T_vbi_30 + CTr_vbi_30 + CBootD_T_vbi_30 + COSS_Qs_vbi_30 + COSS_SR_vbi_30/(NP/NS)^2 + C_Daux_vbi_30/(NP/NA)^2</f>
        <v>99.672624887963252</v>
      </c>
      <c r="E117" s="6" t="s">
        <v>23</v>
      </c>
      <c r="F117" s="9"/>
      <c r="G117" s="427"/>
    </row>
    <row r="118" spans="2:7" ht="14.7" thickBot="1"/>
    <row r="119" spans="2:7" ht="18">
      <c r="B119" s="38" t="s">
        <v>77</v>
      </c>
      <c r="C119" s="39"/>
      <c r="D119" s="39" t="s">
        <v>494</v>
      </c>
      <c r="E119" s="39"/>
      <c r="F119" s="40"/>
    </row>
    <row r="120" spans="2:7" ht="16.2">
      <c r="B120" s="2" t="s">
        <v>264</v>
      </c>
      <c r="C120" s="13" t="s">
        <v>542</v>
      </c>
      <c r="D120" s="53">
        <f>IF(Vin_type="AC",
((COSS_QH_bg*Vxh*(10^-12)+COSS_QH_sm*(10^-12)*(1.4142*VINPUT_BUR+NPS*VOUT-Vxh))/(1.4142*VINPUT_BUR+VOUT*NPS))*10^12,
((COSS_QH_bg*Vxh*(10^-12)+COSS_QH_sm*(10^-12)*(VINPUT_BUR+NPS*VOUT-Vxh))/(VINPUT_BUR+VOUT*NPS))*10^12)</f>
        <v>31.43954827470802</v>
      </c>
      <c r="E120" s="5" t="s">
        <v>283</v>
      </c>
      <c r="F120" s="7"/>
      <c r="G120" s="21"/>
    </row>
    <row r="121" spans="2:7" ht="16.2">
      <c r="B121" s="2" t="s">
        <v>265</v>
      </c>
      <c r="C121" s="13" t="s">
        <v>543</v>
      </c>
      <c r="D121" s="53">
        <f>IF(Vin_type="AC",
((COSS_QL_bg*Vxl*(10^-12)+COSS_QL_sm*(10^-12)*(1.4142*VINPUT_BUR+NPS*VOUT-Vxl))/(1.4142*VINPUT_BUR+VOUT*NPS))*10^12,
((COSS_QL_bg*Vxl*(10^-12)+COSS_QL_sm*(10^-12)*(VINPUT_BUR+NPS*VOUT-Vxl))/(VINPUT_BUR+VOUT*NPS))*10^12)</f>
        <v>38.948279856862122</v>
      </c>
      <c r="E121" s="5" t="s">
        <v>283</v>
      </c>
      <c r="F121" s="7"/>
      <c r="G121" s="21"/>
    </row>
    <row r="122" spans="2:7" ht="16.2">
      <c r="B122" s="2" t="s">
        <v>145</v>
      </c>
      <c r="C122" s="13" t="s">
        <v>544</v>
      </c>
      <c r="D122" s="53">
        <f>CTr</f>
        <v>3.1</v>
      </c>
      <c r="E122" s="5" t="s">
        <v>23</v>
      </c>
      <c r="F122" s="7"/>
      <c r="G122" s="427"/>
    </row>
    <row r="123" spans="2:7" ht="16.2">
      <c r="B123" s="2" t="s">
        <v>454</v>
      </c>
      <c r="C123" s="13" t="s">
        <v>545</v>
      </c>
      <c r="D123" s="8">
        <f>CBootD_T</f>
        <v>10</v>
      </c>
      <c r="E123" s="5" t="s">
        <v>29</v>
      </c>
      <c r="F123" s="7"/>
      <c r="G123" s="427"/>
    </row>
    <row r="124" spans="2:7" ht="16.2">
      <c r="B124" s="2" t="s">
        <v>146</v>
      </c>
      <c r="C124" s="13" t="s">
        <v>546</v>
      </c>
      <c r="D124" s="54">
        <f>COSS_Qs</f>
        <v>1.7</v>
      </c>
      <c r="E124" s="5" t="s">
        <v>14</v>
      </c>
      <c r="F124" s="44"/>
      <c r="G124" s="427"/>
    </row>
    <row r="125" spans="2:7" ht="16.2">
      <c r="B125" s="10" t="s">
        <v>497</v>
      </c>
      <c r="C125" s="14" t="s">
        <v>547</v>
      </c>
      <c r="D125" s="55">
        <f>IF(Vin_type="AC",
(Coss_SR_bg*Vx_SR+Coss_SR_sm*(VOUT+(1.4142*VINPUT_BUR)/NPS-Vx_SR))/(VOUT+(1.4142*VINPUT_BUR)/NPS),
(Coss_SR_bg*Vx_SR+Coss_SR_sm*(VOUT+(VINPUT_BUR)/NPS-Vx_SR))/(VOUT+(VINPUT_BUR)/NPS))</f>
        <v>1171.6281504492367</v>
      </c>
      <c r="E125" s="5" t="s">
        <v>23</v>
      </c>
      <c r="F125" s="44"/>
      <c r="G125" s="21"/>
    </row>
    <row r="126" spans="2:7" ht="16.2">
      <c r="B126" s="10" t="s">
        <v>498</v>
      </c>
      <c r="C126" s="14" t="s">
        <v>548</v>
      </c>
      <c r="D126" s="55">
        <f>CDaux_T</f>
        <v>4.68</v>
      </c>
      <c r="E126" s="5" t="s">
        <v>23</v>
      </c>
      <c r="F126" s="7"/>
      <c r="G126" s="427"/>
    </row>
    <row r="127" spans="2:7" ht="16.5" thickBot="1">
      <c r="B127" s="3" t="s">
        <v>455</v>
      </c>
      <c r="C127" s="15" t="s">
        <v>549</v>
      </c>
      <c r="D127" s="56">
        <f>COSS_QH_T_vbur + COSS_QL_T_vbur + CTr_vbur + CBootD_T_vbur + COSS_Qs_vbur + COSS_SR_vbur/(NP/NS)^2 + C_Daux_vbur/(NP/NA)^2</f>
        <v>96.983201636062518</v>
      </c>
      <c r="E127" s="6" t="s">
        <v>23</v>
      </c>
      <c r="F127" s="9"/>
      <c r="G127" s="427"/>
    </row>
    <row r="128" spans="2:7" ht="14.7" thickBot="1"/>
    <row r="129" spans="2:7" ht="18">
      <c r="B129" s="38" t="s">
        <v>77</v>
      </c>
      <c r="C129" s="39"/>
      <c r="D129" s="39" t="s">
        <v>493</v>
      </c>
      <c r="E129" s="39"/>
      <c r="F129" s="40"/>
    </row>
    <row r="130" spans="2:7" ht="16.2">
      <c r="B130" s="2" t="s">
        <v>264</v>
      </c>
      <c r="C130" s="13" t="s">
        <v>534</v>
      </c>
      <c r="D130" s="53">
        <f>IF(Vin_type="AC",
((COSS_QH_bg*Vxh*(10^-12)+COSS_QH_sm*(10^-12)*(1.4142*VINPUT_max+NPS*VOUT-Vxh))/(1.4142*VINPUT_max+VOUT*NPS))*10^12,
((COSS_QH_bg*Vxh*(10^-12)+COSS_QH_sm*(10^-12)*(VINPUT_max+NPS*VOUT-Vxh))/(VINPUT_max+VOUT*NPS))*10^12)</f>
        <v>31.43954827470802</v>
      </c>
      <c r="E130" s="5" t="s">
        <v>283</v>
      </c>
      <c r="F130" s="7"/>
      <c r="G130" s="457"/>
    </row>
    <row r="131" spans="2:7" ht="16.2">
      <c r="B131" s="2" t="s">
        <v>265</v>
      </c>
      <c r="C131" s="13" t="s">
        <v>535</v>
      </c>
      <c r="D131" s="53">
        <f>IF(Vin_type="AC",
((COSS_QL_bg*Vxl*(10^-12)+COSS_QL_sm*(10^-12)*(1.4142*VINPUT_max+NPS*VOUT-Vxl))/(1.4142*VINPUT_max+VOUT*NPS))*10^12,
((COSS_QL_bg*Vxl*(10^-12)+COSS_QL_sm*(10^-12)*(VINPUT_max+NPS*VOUT-Vxl))/(VINPUT_max+VOUT*NPS))*10^12)</f>
        <v>38.948279856862122</v>
      </c>
      <c r="E131" s="5" t="s">
        <v>283</v>
      </c>
      <c r="F131" s="7"/>
      <c r="G131" s="457"/>
    </row>
    <row r="132" spans="2:7" ht="16.2">
      <c r="B132" s="2" t="s">
        <v>145</v>
      </c>
      <c r="C132" s="13" t="s">
        <v>536</v>
      </c>
      <c r="D132" s="53">
        <f>CTr</f>
        <v>3.1</v>
      </c>
      <c r="E132" s="5" t="s">
        <v>23</v>
      </c>
      <c r="F132" s="7"/>
      <c r="G132" s="427"/>
    </row>
    <row r="133" spans="2:7" ht="16.2">
      <c r="B133" s="2" t="s">
        <v>454</v>
      </c>
      <c r="C133" s="13" t="s">
        <v>537</v>
      </c>
      <c r="D133" s="8">
        <f>CBootD_T</f>
        <v>10</v>
      </c>
      <c r="E133" s="5" t="s">
        <v>29</v>
      </c>
      <c r="F133" s="7"/>
      <c r="G133" s="427"/>
    </row>
    <row r="134" spans="2:7" ht="16.2">
      <c r="B134" s="2" t="s">
        <v>146</v>
      </c>
      <c r="C134" s="13" t="s">
        <v>538</v>
      </c>
      <c r="D134" s="54">
        <f>COSS_Qs</f>
        <v>1.7</v>
      </c>
      <c r="E134" s="5" t="s">
        <v>14</v>
      </c>
      <c r="F134" s="44"/>
      <c r="G134" s="427"/>
    </row>
    <row r="135" spans="2:7" ht="16.2">
      <c r="B135" s="10" t="s">
        <v>497</v>
      </c>
      <c r="C135" s="14" t="s">
        <v>539</v>
      </c>
      <c r="D135" s="55">
        <f>IF(Vin_type="AC",
(Coss_SR_bg*Vx_SR+Coss_SR_sm*(VOUT+(1.4142*VINPUT_max)/NPS-Vx_SR))/(VOUT+(1.4142*VINPUT_max)/NPS),
(Coss_SR_bg*Vx_SR+Coss_SR_sm*(VOUT+(VINPUT_max)/NPS-Vx_SR))/(VOUT+(VINPUT_max)/NPS))</f>
        <v>1171.6281504492367</v>
      </c>
      <c r="E135" s="5" t="s">
        <v>23</v>
      </c>
      <c r="F135" s="44"/>
      <c r="G135" s="457"/>
    </row>
    <row r="136" spans="2:7" ht="16.2">
      <c r="B136" s="10" t="s">
        <v>498</v>
      </c>
      <c r="C136" s="14" t="s">
        <v>540</v>
      </c>
      <c r="D136" s="55">
        <f>CDaux_T</f>
        <v>4.68</v>
      </c>
      <c r="E136" s="5" t="s">
        <v>23</v>
      </c>
      <c r="F136" s="7"/>
      <c r="G136" s="427"/>
    </row>
    <row r="137" spans="2:7" ht="16.5" thickBot="1">
      <c r="B137" s="3" t="s">
        <v>455</v>
      </c>
      <c r="C137" s="15" t="s">
        <v>541</v>
      </c>
      <c r="D137" s="56">
        <f>COSS_QH_T_vmax + COSS_QL_T_vmax + CTr_vmax + CBootD_T_vmax + COSS_Qs_vmax + COSS_SR_vmax/(NP/NS)^2 + C_Daux_vmax/(NP/NA)^2</f>
        <v>96.983201636062518</v>
      </c>
      <c r="E137" s="6" t="s">
        <v>23</v>
      </c>
      <c r="F137" s="9"/>
      <c r="G137" s="427"/>
    </row>
    <row r="138" spans="2:7">
      <c r="G138" s="427"/>
    </row>
  </sheetData>
  <sheetProtection selectLockedCells="1"/>
  <autoFilter ref="D76:D78" xr:uid="{00000000-0009-0000-0000-000005000000}"/>
  <mergeCells count="1">
    <mergeCell ref="B2:F2"/>
  </mergeCells>
  <phoneticPr fontId="28" type="noConversion"/>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CEA1B-9472-499C-83F8-AA22BA96CE17}">
  <dimension ref="A1:E5"/>
  <sheetViews>
    <sheetView workbookViewId="0">
      <selection activeCell="E4" sqref="E4"/>
    </sheetView>
  </sheetViews>
  <sheetFormatPr defaultRowHeight="14.4"/>
  <cols>
    <col min="1" max="1" width="3.26171875" customWidth="1"/>
    <col min="2" max="2" width="12.62890625" customWidth="1"/>
    <col min="3" max="3" width="7.62890625" customWidth="1"/>
    <col min="4" max="4" width="14.62890625" customWidth="1"/>
    <col min="5" max="5" width="82.62890625" customWidth="1"/>
  </cols>
  <sheetData>
    <row r="1" spans="1:5" ht="14.7" thickBot="1">
      <c r="A1" s="165"/>
      <c r="B1" s="165"/>
      <c r="C1" s="165"/>
      <c r="D1" s="165"/>
      <c r="E1" s="425"/>
    </row>
    <row r="2" spans="1:5" ht="29.1" thickBot="1">
      <c r="A2" s="165"/>
      <c r="B2" s="443" t="s">
        <v>980</v>
      </c>
      <c r="C2" s="444" t="s">
        <v>981</v>
      </c>
      <c r="D2" s="445" t="s">
        <v>982</v>
      </c>
      <c r="E2" s="446" t="s">
        <v>983</v>
      </c>
    </row>
    <row r="3" spans="1:5" ht="82.5" customHeight="1">
      <c r="A3" s="165"/>
      <c r="B3" s="458" t="s">
        <v>987</v>
      </c>
      <c r="C3" s="459" t="s">
        <v>984</v>
      </c>
      <c r="D3" s="460" t="s">
        <v>988</v>
      </c>
      <c r="E3" s="461" t="s">
        <v>1050</v>
      </c>
    </row>
    <row r="4" spans="1:5" ht="45" customHeight="1">
      <c r="A4" s="165"/>
      <c r="B4" s="447" t="s">
        <v>987</v>
      </c>
      <c r="C4" s="448" t="s">
        <v>985</v>
      </c>
      <c r="D4" s="449" t="s">
        <v>986</v>
      </c>
      <c r="E4" s="450" t="s">
        <v>989</v>
      </c>
    </row>
    <row r="5" spans="1:5" ht="15" customHeight="1" thickBot="1">
      <c r="A5" s="165"/>
      <c r="B5" s="451"/>
      <c r="C5" s="452"/>
      <c r="D5" s="453"/>
      <c r="E5" s="454"/>
    </row>
  </sheetData>
  <sheetProtection password="E9DD" sheet="1" objects="1" scenarios="1"/>
  <phoneticPr fontId="11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347</vt:i4>
      </vt:variant>
    </vt:vector>
  </HeadingPairs>
  <TitlesOfParts>
    <vt:vector size="354" baseType="lpstr">
      <vt:lpstr>Input Here</vt:lpstr>
      <vt:lpstr>Calculation</vt:lpstr>
      <vt:lpstr>Schematic and Values</vt:lpstr>
      <vt:lpstr>Secondary Resonance and ARC</vt:lpstr>
      <vt:lpstr>Burst Mode for USB-PD</vt:lpstr>
      <vt:lpstr>Hide Calculate</vt:lpstr>
      <vt:lpstr>Revision History</vt:lpstr>
      <vt:lpstr>_∆V_MIN</vt:lpstr>
      <vt:lpstr>_∆VO_ABM</vt:lpstr>
      <vt:lpstr>BUR</vt:lpstr>
      <vt:lpstr>C_Daux_vbi</vt:lpstr>
      <vt:lpstr>C_Daux_vbi_30</vt:lpstr>
      <vt:lpstr>C_Daux_vbur</vt:lpstr>
      <vt:lpstr>C_Daux_vmax</vt:lpstr>
      <vt:lpstr>C_Daux_vmin</vt:lpstr>
      <vt:lpstr>Cboot</vt:lpstr>
      <vt:lpstr>CBootD_T</vt:lpstr>
      <vt:lpstr>CBootD_T_vbi</vt:lpstr>
      <vt:lpstr>CBootD_T_vbi_30</vt:lpstr>
      <vt:lpstr>CBootD_T_vbur</vt:lpstr>
      <vt:lpstr>CBootD_T_vmax</vt:lpstr>
      <vt:lpstr>CBootD_T_vmin</vt:lpstr>
      <vt:lpstr>CBULK</vt:lpstr>
      <vt:lpstr>CBULK_act</vt:lpstr>
      <vt:lpstr>CBULK_rec</vt:lpstr>
      <vt:lpstr>CBUR</vt:lpstr>
      <vt:lpstr>CBUR_act</vt:lpstr>
      <vt:lpstr>CBUR_max</vt:lpstr>
      <vt:lpstr>Cclamp</vt:lpstr>
      <vt:lpstr>Cclamp_act</vt:lpstr>
      <vt:lpstr>Cclamp_eff</vt:lpstr>
      <vt:lpstr>Cclamp_rec</vt:lpstr>
      <vt:lpstr>CCS</vt:lpstr>
      <vt:lpstr>CCS_act</vt:lpstr>
      <vt:lpstr>CCS_rec</vt:lpstr>
      <vt:lpstr>CDaux_H</vt:lpstr>
      <vt:lpstr>CDaux_T</vt:lpstr>
      <vt:lpstr>CDD_1</vt:lpstr>
      <vt:lpstr>CDD1_act</vt:lpstr>
      <vt:lpstr>CDD1_rec</vt:lpstr>
      <vt:lpstr>CDD2_</vt:lpstr>
      <vt:lpstr>Cdiff</vt:lpstr>
      <vt:lpstr>Cdiff_act</vt:lpstr>
      <vt:lpstr>Cdiff_rec</vt:lpstr>
      <vt:lpstr>CDz</vt:lpstr>
      <vt:lpstr>CFB</vt:lpstr>
      <vt:lpstr>CHVG</vt:lpstr>
      <vt:lpstr>CHVG_act</vt:lpstr>
      <vt:lpstr>CHVG_rec</vt:lpstr>
      <vt:lpstr>Cint</vt:lpstr>
      <vt:lpstr>Cint_act</vt:lpstr>
      <vt:lpstr>Cint_rec</vt:lpstr>
      <vt:lpstr>Ciss_Qs</vt:lpstr>
      <vt:lpstr>Co_1</vt:lpstr>
      <vt:lpstr>Co1_dec</vt:lpstr>
      <vt:lpstr>Co1_rec</vt:lpstr>
      <vt:lpstr>COSS_QH_bg</vt:lpstr>
      <vt:lpstr>COSS_QH_sm</vt:lpstr>
      <vt:lpstr>Coss_QH_T</vt:lpstr>
      <vt:lpstr>COSS_QH_T_vbi</vt:lpstr>
      <vt:lpstr>COSS_QH_T_vbi_30</vt:lpstr>
      <vt:lpstr>COSS_QH_T_vbur</vt:lpstr>
      <vt:lpstr>COSS_QH_T_vmax</vt:lpstr>
      <vt:lpstr>COSS_QH_T_vmin</vt:lpstr>
      <vt:lpstr>COSS_QL_bg</vt:lpstr>
      <vt:lpstr>COSS_QL_sm</vt:lpstr>
      <vt:lpstr>Coss_QL_T</vt:lpstr>
      <vt:lpstr>COSS_QL_T_vbi</vt:lpstr>
      <vt:lpstr>COSS_QL_T_vbi_30</vt:lpstr>
      <vt:lpstr>COSS_QL_T_vbur</vt:lpstr>
      <vt:lpstr>COSS_QL_T_vmax</vt:lpstr>
      <vt:lpstr>COSS_QL_T_vmin</vt:lpstr>
      <vt:lpstr>COSS_Qs</vt:lpstr>
      <vt:lpstr>COSS_Qs_vbi</vt:lpstr>
      <vt:lpstr>COSS_Qs_vbi_30</vt:lpstr>
      <vt:lpstr>COSS_Qs_vbur</vt:lpstr>
      <vt:lpstr>COSS_Qs_vmax</vt:lpstr>
      <vt:lpstr>COSS_Qs_vmin</vt:lpstr>
      <vt:lpstr>Coss_SR_bg</vt:lpstr>
      <vt:lpstr>COSS_SR_H</vt:lpstr>
      <vt:lpstr>Coss_SR_sm</vt:lpstr>
      <vt:lpstr>Coss_SR_T</vt:lpstr>
      <vt:lpstr>COSS_SR_vbi</vt:lpstr>
      <vt:lpstr>COSS_SR_vbi_30</vt:lpstr>
      <vt:lpstr>COSS_SR_vbur</vt:lpstr>
      <vt:lpstr>COSS_SR_vmax</vt:lpstr>
      <vt:lpstr>COSS_SR_vmin</vt:lpstr>
      <vt:lpstr>COUT</vt:lpstr>
      <vt:lpstr>COUT_act</vt:lpstr>
      <vt:lpstr>COUT_rec</vt:lpstr>
      <vt:lpstr>CREF</vt:lpstr>
      <vt:lpstr>CREF_act</vt:lpstr>
      <vt:lpstr>CREF_rec</vt:lpstr>
      <vt:lpstr>Crfl_Daux_vbi</vt:lpstr>
      <vt:lpstr>Crfl_Daux_vbi_30</vt:lpstr>
      <vt:lpstr>Crfl_Daux_vbur</vt:lpstr>
      <vt:lpstr>Crfl_Daux_vmin</vt:lpstr>
      <vt:lpstr>Crfl_sr_vbi</vt:lpstr>
      <vt:lpstr>Crfl_sr_vbi_30</vt:lpstr>
      <vt:lpstr>Crfl_sr_vbur</vt:lpstr>
      <vt:lpstr>Crfl_sr_vmin</vt:lpstr>
      <vt:lpstr>CSW_0toVx</vt:lpstr>
      <vt:lpstr>CSWN_T</vt:lpstr>
      <vt:lpstr>CSWN_T_vbi</vt:lpstr>
      <vt:lpstr>CSWN_T_vbi_30</vt:lpstr>
      <vt:lpstr>CSWN_T_vbur</vt:lpstr>
      <vt:lpstr>CSWN_T_vmax</vt:lpstr>
      <vt:lpstr>CSWN_T_vmin</vt:lpstr>
      <vt:lpstr>CSWS</vt:lpstr>
      <vt:lpstr>CSWS_act</vt:lpstr>
      <vt:lpstr>CSWS_rec</vt:lpstr>
      <vt:lpstr>CTr</vt:lpstr>
      <vt:lpstr>CTr_vbi</vt:lpstr>
      <vt:lpstr>CTr_vbi_30</vt:lpstr>
      <vt:lpstr>CTr_vbur</vt:lpstr>
      <vt:lpstr>CTr_vmax</vt:lpstr>
      <vt:lpstr>CTr_vmin</vt:lpstr>
      <vt:lpstr>CTRmax</vt:lpstr>
      <vt:lpstr>CTRmin</vt:lpstr>
      <vt:lpstr>D_max</vt:lpstr>
      <vt:lpstr>DBUR</vt:lpstr>
      <vt:lpstr>DBUR_min</vt:lpstr>
      <vt:lpstr>Dmin</vt:lpstr>
      <vt:lpstr>DOPP_max</vt:lpstr>
      <vt:lpstr>DOPP_min</vt:lpstr>
      <vt:lpstr>DOPP_run</vt:lpstr>
      <vt:lpstr>DOPP_start</vt:lpstr>
      <vt:lpstr>Drea_CDD1</vt:lpstr>
      <vt:lpstr>Drea_clamp</vt:lpstr>
      <vt:lpstr>fBUR_LR</vt:lpstr>
      <vt:lpstr>fBUR_standyby</vt:lpstr>
      <vt:lpstr>fBUR_UP</vt:lpstr>
      <vt:lpstr>Fcr_min</vt:lpstr>
      <vt:lpstr>fLINE_min</vt:lpstr>
      <vt:lpstr>fp_opto</vt:lpstr>
      <vt:lpstr>fsw_BUR</vt:lpstr>
      <vt:lpstr>fsw_BUR_min</vt:lpstr>
      <vt:lpstr>fsw_min</vt:lpstr>
      <vt:lpstr>fsw_OPP_max</vt:lpstr>
      <vt:lpstr>fsw_OPP_min</vt:lpstr>
      <vt:lpstr>fsw_OPP_run</vt:lpstr>
      <vt:lpstr>fsw_OPP_start</vt:lpstr>
      <vt:lpstr>fSWmin</vt:lpstr>
      <vt:lpstr>ID_SR_max</vt:lpstr>
      <vt:lpstr>IDaux_max</vt:lpstr>
      <vt:lpstr>IEN_VDD</vt:lpstr>
      <vt:lpstr>IFB_max</vt:lpstr>
      <vt:lpstr>IIN_BUR</vt:lpstr>
      <vt:lpstr>IIN_BUR_min</vt:lpstr>
      <vt:lpstr>IIN_min</vt:lpstr>
      <vt:lpstr>IIN_OPP_max</vt:lpstr>
      <vt:lpstr>IIN_OPP_min</vt:lpstr>
      <vt:lpstr>IIN_OPP_run</vt:lpstr>
      <vt:lpstr>IIN_OPP_start</vt:lpstr>
      <vt:lpstr>IKA_min</vt:lpstr>
      <vt:lpstr>IM_nega_BUR</vt:lpstr>
      <vt:lpstr>IM_nega_BUR_min</vt:lpstr>
      <vt:lpstr>IM_nega_max</vt:lpstr>
      <vt:lpstr>IM_nega_min</vt:lpstr>
      <vt:lpstr>IM_nega_OPP_min</vt:lpstr>
      <vt:lpstr>IM_nega_run</vt:lpstr>
      <vt:lpstr>IM_nega_start</vt:lpstr>
      <vt:lpstr>IOUT</vt:lpstr>
      <vt:lpstr>IOUT_OPP</vt:lpstr>
      <vt:lpstr>ipk_BUR</vt:lpstr>
      <vt:lpstr>ipk_BUR_min</vt:lpstr>
      <vt:lpstr>ipk_min</vt:lpstr>
      <vt:lpstr>ipk_OPP_max</vt:lpstr>
      <vt:lpstr>ipk_OPP_min</vt:lpstr>
      <vt:lpstr>ipk_OPP_run</vt:lpstr>
      <vt:lpstr>ipk_OPP_start</vt:lpstr>
      <vt:lpstr>IQH_max</vt:lpstr>
      <vt:lpstr>IQL_max</vt:lpstr>
      <vt:lpstr>iQL_RMS</vt:lpstr>
      <vt:lpstr>Iref_431</vt:lpstr>
      <vt:lpstr>Iref_431_max</vt:lpstr>
      <vt:lpstr>IRUN_VDD</vt:lpstr>
      <vt:lpstr>Istart_HVG</vt:lpstr>
      <vt:lpstr>IVCC_qcc</vt:lpstr>
      <vt:lpstr>IVCC_sw</vt:lpstr>
      <vt:lpstr>iVSL_BUR</vt:lpstr>
      <vt:lpstr>iVSL_max</vt:lpstr>
      <vt:lpstr>IVSL_run</vt:lpstr>
      <vt:lpstr>Iwait_VDD</vt:lpstr>
      <vt:lpstr>KBUR_CST</vt:lpstr>
      <vt:lpstr>KCTR_Temp</vt:lpstr>
      <vt:lpstr>Kder</vt:lpstr>
      <vt:lpstr>Kder_SR</vt:lpstr>
      <vt:lpstr>KDM</vt:lpstr>
      <vt:lpstr>KLC</vt:lpstr>
      <vt:lpstr>KRES</vt:lpstr>
      <vt:lpstr>KTZ</vt:lpstr>
      <vt:lpstr>KVC</vt:lpstr>
      <vt:lpstr>Kvsl</vt:lpstr>
      <vt:lpstr>LK_act</vt:lpstr>
      <vt:lpstr>LM</vt:lpstr>
      <vt:lpstr>LM_act</vt:lpstr>
      <vt:lpstr>LM_rec</vt:lpstr>
      <vt:lpstr>Lo</vt:lpstr>
      <vt:lpstr>LQs</vt:lpstr>
      <vt:lpstr>NA</vt:lpstr>
      <vt:lpstr>NA_max</vt:lpstr>
      <vt:lpstr>NA_min</vt:lpstr>
      <vt:lpstr>Na1_</vt:lpstr>
      <vt:lpstr>Na2_</vt:lpstr>
      <vt:lpstr>NP</vt:lpstr>
      <vt:lpstr>NPS</vt:lpstr>
      <vt:lpstr>NPS_min</vt:lpstr>
      <vt:lpstr>NS</vt:lpstr>
      <vt:lpstr>NS_</vt:lpstr>
      <vt:lpstr>NS_rec</vt:lpstr>
      <vt:lpstr>NSS</vt:lpstr>
      <vt:lpstr>OPP</vt:lpstr>
      <vt:lpstr>OVP</vt:lpstr>
      <vt:lpstr>OVP_tgt</vt:lpstr>
      <vt:lpstr>PO_FL</vt:lpstr>
      <vt:lpstr>PRcs</vt:lpstr>
      <vt:lpstr>Qg_Qh</vt:lpstr>
      <vt:lpstr>R_OPP</vt:lpstr>
      <vt:lpstr>R_OPP_act</vt:lpstr>
      <vt:lpstr>R_OPP_rec</vt:lpstr>
      <vt:lpstr>Rbias1</vt:lpstr>
      <vt:lpstr>Rbias1_max_ABM</vt:lpstr>
      <vt:lpstr>Rbias1_max_SBP</vt:lpstr>
      <vt:lpstr>Rbias2</vt:lpstr>
      <vt:lpstr>Rbias2_act</vt:lpstr>
      <vt:lpstr>Rbias2_rec</vt:lpstr>
      <vt:lpstr>RBLEED</vt:lpstr>
      <vt:lpstr>RBLEED_act</vt:lpstr>
      <vt:lpstr>RBLEED_rec</vt:lpstr>
      <vt:lpstr>RBUR1</vt:lpstr>
      <vt:lpstr>RBUR1_act</vt:lpstr>
      <vt:lpstr>RBUR1_rec</vt:lpstr>
      <vt:lpstr>RBUR2</vt:lpstr>
      <vt:lpstr>RBUR2_act</vt:lpstr>
      <vt:lpstr>RBUR2_rec</vt:lpstr>
      <vt:lpstr>RCO</vt:lpstr>
      <vt:lpstr>RCOMP</vt:lpstr>
      <vt:lpstr>RCS</vt:lpstr>
      <vt:lpstr>RCS_act</vt:lpstr>
      <vt:lpstr>RCS_rec</vt:lpstr>
      <vt:lpstr>RDD_1</vt:lpstr>
      <vt:lpstr>RDD1_act</vt:lpstr>
      <vt:lpstr>RDD1_rec</vt:lpstr>
      <vt:lpstr>RDD2_</vt:lpstr>
      <vt:lpstr>RDD2_rec</vt:lpstr>
      <vt:lpstr>Rdiff</vt:lpstr>
      <vt:lpstr>Rdiff_act</vt:lpstr>
      <vt:lpstr>Rdiff_rec</vt:lpstr>
      <vt:lpstr>RDM</vt:lpstr>
      <vt:lpstr>RDM_act</vt:lpstr>
      <vt:lpstr>RDM_rec</vt:lpstr>
      <vt:lpstr>RDSon_QH</vt:lpstr>
      <vt:lpstr>RDSon_QL</vt:lpstr>
      <vt:lpstr>RFB</vt:lpstr>
      <vt:lpstr>RFB_act</vt:lpstr>
      <vt:lpstr>RFB_int</vt:lpstr>
      <vt:lpstr>RFB_max</vt:lpstr>
      <vt:lpstr>RHVG</vt:lpstr>
      <vt:lpstr>RHVG_act</vt:lpstr>
      <vt:lpstr>RHVG_rec</vt:lpstr>
      <vt:lpstr>Rpri_dc</vt:lpstr>
      <vt:lpstr>RSWS</vt:lpstr>
      <vt:lpstr>RSWS_act</vt:lpstr>
      <vt:lpstr>RSWS_rec</vt:lpstr>
      <vt:lpstr>RTZ</vt:lpstr>
      <vt:lpstr>RTZ_act</vt:lpstr>
      <vt:lpstr>RTZ_rec</vt:lpstr>
      <vt:lpstr>Rvo1_</vt:lpstr>
      <vt:lpstr>Rvo1_act</vt:lpstr>
      <vt:lpstr>Rvo1_rec</vt:lpstr>
      <vt:lpstr>Rvo2_</vt:lpstr>
      <vt:lpstr>Rvo2_act</vt:lpstr>
      <vt:lpstr>Rvo2_rec</vt:lpstr>
      <vt:lpstr>RVS_1</vt:lpstr>
      <vt:lpstr>RVS_2</vt:lpstr>
      <vt:lpstr>RVS1_act</vt:lpstr>
      <vt:lpstr>RVS1_rec</vt:lpstr>
      <vt:lpstr>RVS2_act</vt:lpstr>
      <vt:lpstr>RVS2_rec</vt:lpstr>
      <vt:lpstr>SET</vt:lpstr>
      <vt:lpstr>T_on_min</vt:lpstr>
      <vt:lpstr>tD_CS</vt:lpstr>
      <vt:lpstr>TD_CS_filter</vt:lpstr>
      <vt:lpstr>tD_CST_BUR</vt:lpstr>
      <vt:lpstr>tD_CST_vmax</vt:lpstr>
      <vt:lpstr>tD_CST_vmin</vt:lpstr>
      <vt:lpstr>TD_HDr</vt:lpstr>
      <vt:lpstr>TD_LDr</vt:lpstr>
      <vt:lpstr>TD_Ql_Coss_BUR</vt:lpstr>
      <vt:lpstr>TD_Ql_Coss_vmax</vt:lpstr>
      <vt:lpstr>TD_Ql_Coss_vmin</vt:lpstr>
      <vt:lpstr>tD_RUN_PWML</vt:lpstr>
      <vt:lpstr>TFDR</vt:lpstr>
      <vt:lpstr>THVG</vt:lpstr>
      <vt:lpstr>Trise_max</vt:lpstr>
      <vt:lpstr>TSS_max</vt:lpstr>
      <vt:lpstr>TZ_min</vt:lpstr>
      <vt:lpstr>VBulk_min_tgt</vt:lpstr>
      <vt:lpstr>Vbur1</vt:lpstr>
      <vt:lpstr>Vbur2</vt:lpstr>
      <vt:lpstr>VCE_sat_opto</vt:lpstr>
      <vt:lpstr>Vcin_rated</vt:lpstr>
      <vt:lpstr>Vclamp_max</vt:lpstr>
      <vt:lpstr>Vclamp_max_QH</vt:lpstr>
      <vt:lpstr>Vclamp_max_SR</vt:lpstr>
      <vt:lpstr>VCST_BUR</vt:lpstr>
      <vt:lpstr>VCST_max</vt:lpstr>
      <vt:lpstr>VCST_OPP_adj_Rcs</vt:lpstr>
      <vt:lpstr>VCST_OPP_adj_Ropp</vt:lpstr>
      <vt:lpstr>VCST_OPP1</vt:lpstr>
      <vt:lpstr>VCST_OPP4</vt:lpstr>
      <vt:lpstr>VD_LED</vt:lpstr>
      <vt:lpstr>VD_LED_off</vt:lpstr>
      <vt:lpstr>VDD</vt:lpstr>
      <vt:lpstr>VDD_max</vt:lpstr>
      <vt:lpstr>VDD_off</vt:lpstr>
      <vt:lpstr>VDD_on</vt:lpstr>
      <vt:lpstr>VDD_PCT</vt:lpstr>
      <vt:lpstr>VDS_actual</vt:lpstr>
      <vt:lpstr>VDz</vt:lpstr>
      <vt:lpstr>Vf_BootD</vt:lpstr>
      <vt:lpstr>Vf_Daux</vt:lpstr>
      <vt:lpstr>Vf_SR</vt:lpstr>
      <vt:lpstr>VFB_max</vt:lpstr>
      <vt:lpstr>Vgs_Qs</vt:lpstr>
      <vt:lpstr>VHVG</vt:lpstr>
      <vt:lpstr>VIN_min</vt:lpstr>
      <vt:lpstr>Vin_type</vt:lpstr>
      <vt:lpstr>VINPUT_Brownin</vt:lpstr>
      <vt:lpstr>VINPUT_Brownout</vt:lpstr>
      <vt:lpstr>VINPUT_BUR</vt:lpstr>
      <vt:lpstr>VINPUT_max</vt:lpstr>
      <vt:lpstr>VLk_pri_max</vt:lpstr>
      <vt:lpstr>Vo_drop</vt:lpstr>
      <vt:lpstr>Voffset_CS_OPP</vt:lpstr>
      <vt:lpstr>Vomax</vt:lpstr>
      <vt:lpstr>Vomin</vt:lpstr>
      <vt:lpstr>VOUT</vt:lpstr>
      <vt:lpstr>VR_pri_max</vt:lpstr>
      <vt:lpstr>VREF</vt:lpstr>
      <vt:lpstr>Vref_431</vt:lpstr>
      <vt:lpstr>VRfl</vt:lpstr>
      <vt:lpstr>Vs_clamp</vt:lpstr>
      <vt:lpstr>VSR_actual</vt:lpstr>
      <vt:lpstr>Vth_Qs</vt:lpstr>
      <vt:lpstr>VVS_OVP</vt:lpstr>
      <vt:lpstr>Vx_SR</vt:lpstr>
      <vt:lpstr>Vxh</vt:lpstr>
      <vt:lpstr>Vxl</vt:lpstr>
      <vt:lpstr>ΔVCLAMP</vt:lpstr>
      <vt:lpstr>ΔVSPIKE_SR</vt:lpstr>
      <vt:lpstr>η_min</vt:lpstr>
      <vt:lpstr>ηXFMR</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Kuan Wei</dc:creator>
  <cp:lastModifiedBy>Mueller, Florian</cp:lastModifiedBy>
  <cp:lastPrinted>2019-12-05T17:01:24Z</cp:lastPrinted>
  <dcterms:created xsi:type="dcterms:W3CDTF">2018-06-20T15:06:35Z</dcterms:created>
  <dcterms:modified xsi:type="dcterms:W3CDTF">2024-11-25T12:53:51Z</dcterms:modified>
</cp:coreProperties>
</file>