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package1" ContentType="application/vnd.ms-visio.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P\PR30\PR308F\測報\"/>
    </mc:Choice>
  </mc:AlternateContent>
  <workbookProtection workbookPassword="E9DD" lockStructure="1"/>
  <bookViews>
    <workbookView xWindow="-15" yWindow="5850" windowWidth="15375" windowHeight="3030" tabRatio="721" activeTab="1"/>
  </bookViews>
  <sheets>
    <sheet name="Input Here" sheetId="1" r:id="rId1"/>
    <sheet name="Calculation" sheetId="2" r:id="rId2"/>
    <sheet name="Schematic and Values" sheetId="4" r:id="rId3"/>
    <sheet name="Secondary Resonance and ARC" sheetId="5" r:id="rId4"/>
    <sheet name="Burst Mode for USB-PD" sheetId="7" r:id="rId5"/>
    <sheet name="Hide Calculate" sheetId="6" state="hidden" r:id="rId6"/>
  </sheets>
  <definedNames>
    <definedName name="_∆V_MIN">Calculation!$D$31</definedName>
    <definedName name="_∆VO_ABM">Calculation!$D$26</definedName>
    <definedName name="_xlnm._FilterDatabase" localSheetId="5" hidden="1">'Hide Calculate'!$D$76:$D$78</definedName>
    <definedName name="_xlnm._FilterDatabase" localSheetId="0" hidden="1">'Input Here'!$B$62:$G$68</definedName>
    <definedName name="BUR">'Input Here'!$D$34</definedName>
    <definedName name="C_Daux_vbi">'Hide Calculate'!$D$106</definedName>
    <definedName name="C_Daux_vbi_30">'Hide Calculate'!$D$116</definedName>
    <definedName name="C_Daux_vbur">'Hide Calculate'!$D$126</definedName>
    <definedName name="C_Daux_vmax">'Hide Calculate'!$D$136</definedName>
    <definedName name="C_Daux_vmin">'Hide Calculate'!$D$96</definedName>
    <definedName name="Cboot">Calculation!$D$148</definedName>
    <definedName name="CBootD_T">'Input Here'!$D$67</definedName>
    <definedName name="CBootD_T_vbi">'Hide Calculate'!$D$103</definedName>
    <definedName name="CBootD_T_vbi_30">'Hide Calculate'!$D$113</definedName>
    <definedName name="CBootD_T_vbur">'Hide Calculate'!$D$123</definedName>
    <definedName name="CBootD_T_vmax">'Hide Calculate'!$D$133</definedName>
    <definedName name="CBootD_T_vmin">'Hide Calculate'!$D$93</definedName>
    <definedName name="CBULK">'Input Here'!$D$73</definedName>
    <definedName name="CBULK_act">'Input Here'!$D$72</definedName>
    <definedName name="CBULK_rec">'Input Here'!$D$71</definedName>
    <definedName name="CBUR">Calculation!$D$124</definedName>
    <definedName name="CBUR_act">Calculation!$D$123</definedName>
    <definedName name="CBUR_max">Calculation!$D$122</definedName>
    <definedName name="Cclamp">Calculation!$D$69</definedName>
    <definedName name="Cclamp_act">Calculation!$D$67</definedName>
    <definedName name="Cclamp_eff">Calculation!$D$68</definedName>
    <definedName name="Cclamp_rec">Calculation!$D$66</definedName>
    <definedName name="CCS">Calculation!$D$98</definedName>
    <definedName name="CCS_act">Calculation!$D$97</definedName>
    <definedName name="CCS_rec">Calculation!$D$96</definedName>
    <definedName name="CDaux_H">'Input Here'!$D$128</definedName>
    <definedName name="CDaux_T">'Input Here'!$D$127</definedName>
    <definedName name="CDD_1">Calculation!$D$164</definedName>
    <definedName name="CDD1_act">Calculation!$D$163</definedName>
    <definedName name="CDD1_rec">Calculation!$D$162</definedName>
    <definedName name="CDD2_">Calculation!$D$150</definedName>
    <definedName name="Cdiff">Calculation!$D$195</definedName>
    <definedName name="Cdiff_act">Calculation!$D$194</definedName>
    <definedName name="Cdiff_rec">Calculation!$D$193</definedName>
    <definedName name="CDz">'Input Here'!$D$123</definedName>
    <definedName name="CFB">Calculation!$D$170</definedName>
    <definedName name="CHVG">Calculation!$D$140</definedName>
    <definedName name="CHVG_act">Calculation!$D$139</definedName>
    <definedName name="CHVG_rec">Calculation!$D$138</definedName>
    <definedName name="Cint">Calculation!$D$202</definedName>
    <definedName name="Cint_act">Calculation!$D$201</definedName>
    <definedName name="Cint_rec">Calculation!$D$200</definedName>
    <definedName name="Ciss_Qs">'Input Here'!$D$117</definedName>
    <definedName name="Co_1">'Secondary Resonance and ARC'!$E$28:$G$28</definedName>
    <definedName name="Co1_dec">'Secondary Resonance and ARC'!$E$26</definedName>
    <definedName name="Co1_rec">'Secondary Resonance and ARC'!$E$27</definedName>
    <definedName name="COSS_QH_bg">'Input Here'!$D$48</definedName>
    <definedName name="COSS_QH_sm">'Input Here'!$D$49</definedName>
    <definedName name="Coss_QH_T">'Input Here'!$D$52</definedName>
    <definedName name="COSS_QH_T_vbi">'Hide Calculate'!$D$100</definedName>
    <definedName name="COSS_QH_T_vbi_30">'Hide Calculate'!$D$110</definedName>
    <definedName name="COSS_QH_T_vbur">'Hide Calculate'!$D$120</definedName>
    <definedName name="COSS_QH_T_vmax">'Hide Calculate'!$D$130</definedName>
    <definedName name="COSS_QH_T_vmin">'Hide Calculate'!$D$90</definedName>
    <definedName name="COSS_QL_bg">'Input Here'!$D$56</definedName>
    <definedName name="COSS_QL_sm">'Input Here'!$D$57</definedName>
    <definedName name="Coss_QL_T">'Input Here'!$D$60</definedName>
    <definedName name="COSS_QL_T_vbi">'Hide Calculate'!$D$101</definedName>
    <definedName name="COSS_QL_T_vbi_30">'Hide Calculate'!$D$111</definedName>
    <definedName name="COSS_QL_T_vbur">'Hide Calculate'!$D$121</definedName>
    <definedName name="COSS_QL_T_vmax">'Hide Calculate'!$D$131</definedName>
    <definedName name="COSS_QL_T_vmin">'Hide Calculate'!$D$91</definedName>
    <definedName name="COSS_Qs">'Input Here'!$D$114</definedName>
    <definedName name="COSS_Qs_vbi">'Hide Calculate'!$D$104</definedName>
    <definedName name="COSS_Qs_vbi_30">'Hide Calculate'!$D$114</definedName>
    <definedName name="COSS_Qs_vbur">'Hide Calculate'!$D$124</definedName>
    <definedName name="COSS_Qs_vmax">'Hide Calculate'!$D$134</definedName>
    <definedName name="COSS_Qs_vmin">'Hide Calculate'!$D$94</definedName>
    <definedName name="Coss_SR_bg">'Input Here'!$D$87</definedName>
    <definedName name="COSS_SR_H">'Input Here'!$D$91</definedName>
    <definedName name="Coss_SR_sm">'Input Here'!$D$88</definedName>
    <definedName name="Coss_SR_T">'Input Here'!$D$90</definedName>
    <definedName name="COSS_SR_t_vmax">'Hide Calculate'!#REF!</definedName>
    <definedName name="COSS_SR_vbi">'Hide Calculate'!$D$105</definedName>
    <definedName name="COSS_SR_vbi_30">'Hide Calculate'!$D$115</definedName>
    <definedName name="COSS_SR_vbur">'Hide Calculate'!$D$125</definedName>
    <definedName name="COSS_SR_vmax">'Hide Calculate'!$D$135</definedName>
    <definedName name="COSS_SR_vmin">'Hide Calculate'!$D$95</definedName>
    <definedName name="COUT">'Input Here'!$D$80</definedName>
    <definedName name="COUT_act">'Input Here'!$D$79</definedName>
    <definedName name="COUT_rec">'Input Here'!$D$78</definedName>
    <definedName name="CREF">Calculation!$D$143</definedName>
    <definedName name="CREF_act">Calculation!$D$142</definedName>
    <definedName name="CREF_rec">Calculation!$D$141</definedName>
    <definedName name="Crfl_Daux_vbi">'Hide Calculate'!$D$106</definedName>
    <definedName name="Crfl_Daux_vbi_30">'Hide Calculate'!$D$116</definedName>
    <definedName name="Crfl_Daux_vbur">'Hide Calculate'!$D$126</definedName>
    <definedName name="Crfl_Daux_vmin">'Hide Calculate'!$D$96</definedName>
    <definedName name="Crfl_sr_vbi">'Hide Calculate'!$D$105</definedName>
    <definedName name="Crfl_sr_vbi_30">'Hide Calculate'!$D$115</definedName>
    <definedName name="Crfl_sr_vbur">'Hide Calculate'!$D$125</definedName>
    <definedName name="Crfl_sr_vmin">'Hide Calculate'!$D$95</definedName>
    <definedName name="CSW_0toVx">'Hide Calculate'!$D$22</definedName>
    <definedName name="CSWN_T">Calculation!$D$62</definedName>
    <definedName name="CSWN_T_vbi">'Hide Calculate'!$D$107</definedName>
    <definedName name="CSWN_T_vbi_30">'Hide Calculate'!$D$117</definedName>
    <definedName name="CSWN_T_vbur">'Hide Calculate'!$D$127</definedName>
    <definedName name="CSWN_T_vmax">'Hide Calculate'!$D$137</definedName>
    <definedName name="CSWN_T_vmin">'Hide Calculate'!$D$97</definedName>
    <definedName name="CSWS">Calculation!$D$129</definedName>
    <definedName name="CSWS_act">Calculation!$D$128</definedName>
    <definedName name="CSWS_rec">Calculation!$D$127</definedName>
    <definedName name="CTr">Calculation!$D$52</definedName>
    <definedName name="CTr_vbi">'Hide Calculate'!$D$102</definedName>
    <definedName name="CTr_vbi_30">'Hide Calculate'!$D$112</definedName>
    <definedName name="CTr_vbur">'Hide Calculate'!$D$122</definedName>
    <definedName name="CTr_vmax">'Hide Calculate'!$D$132</definedName>
    <definedName name="CTr_vmin">'Hide Calculate'!$D$92</definedName>
    <definedName name="CTRmax">'Input Here'!$D$101</definedName>
    <definedName name="CTRmin">'Input Here'!$D$102</definedName>
    <definedName name="D_max">Calculation!$D$46</definedName>
    <definedName name="DBUR">'Hide Calculate'!$D$44</definedName>
    <definedName name="DBUR_min">'Hide Calculate'!$D$56</definedName>
    <definedName name="Dmin">'Hide Calculate'!$D$72</definedName>
    <definedName name="DOPP_max">'Hide Calculate'!$D$31</definedName>
    <definedName name="DOPP_min">'Hide Calculate'!$D$19</definedName>
    <definedName name="DOPP_run">'Hide Calculate'!$D$8</definedName>
    <definedName name="DOPP_start">'Hide Calculate'!$D$64</definedName>
    <definedName name="Drea_CDD1">Calculation!$D$161</definedName>
    <definedName name="Drea_clamp">Calculation!$D$65</definedName>
    <definedName name="fBUR_LR">Calculation!$D$28</definedName>
    <definedName name="fBUR_standyby">'Input Here'!$D$37</definedName>
    <definedName name="fBUR_UP">Calculation!$D$27</definedName>
    <definedName name="Fcr_min">'Input Here'!$D$36</definedName>
    <definedName name="fLINE_min">'Input Here'!$D$24</definedName>
    <definedName name="fp_opto">'Input Here'!$D$100</definedName>
    <definedName name="fsw_BUR">'Hide Calculate'!$D$40</definedName>
    <definedName name="fsw_BUR_min">'Hide Calculate'!$D$54</definedName>
    <definedName name="fsw_min">'Hide Calculate'!$D$69</definedName>
    <definedName name="fsw_OPP_max">'Hide Calculate'!$D$29</definedName>
    <definedName name="fsw_OPP_min">'Hide Calculate'!$D$17</definedName>
    <definedName name="fsw_OPP_run">'Hide Calculate'!$D$11</definedName>
    <definedName name="fsw_OPP_start">'Hide Calculate'!$D$61</definedName>
    <definedName name="fSWmin">'Input Here'!$D$35</definedName>
    <definedName name="ID_SR_max">'Input Here'!$D$93</definedName>
    <definedName name="IDaux_max">'Input Here'!$D$130</definedName>
    <definedName name="IEN_VDD">Calculation!$D$22</definedName>
    <definedName name="IFB_max">Calculation!$D$25</definedName>
    <definedName name="IIN_BUR">'Hide Calculate'!$D$45</definedName>
    <definedName name="IIN_BUR_min">'Hide Calculate'!$D$57</definedName>
    <definedName name="IIN_min">'Hide Calculate'!$D$71</definedName>
    <definedName name="IIN_OPP_max">'Hide Calculate'!$D$32</definedName>
    <definedName name="IIN_OPP_min">'Hide Calculate'!$D$18</definedName>
    <definedName name="IIN_OPP_run">'Hide Calculate'!$D$9</definedName>
    <definedName name="IIN_OPP_start">'Hide Calculate'!$D$63</definedName>
    <definedName name="IKA_min">'Input Here'!$D$107</definedName>
    <definedName name="IM_nega_BUR">'Hide Calculate'!$D$39</definedName>
    <definedName name="IM_nega_BUR_min">'Hide Calculate'!$D$53</definedName>
    <definedName name="IM_nega_max">'Hide Calculate'!$D$28</definedName>
    <definedName name="IM_nega_min">'Hide Calculate'!$D$68</definedName>
    <definedName name="IM_nega_OPP_min">'Hide Calculate'!$D$15</definedName>
    <definedName name="IM_nega_run">'Hide Calculate'!$D$10</definedName>
    <definedName name="IM_nega_start">'Hide Calculate'!$D$60</definedName>
    <definedName name="IOUT">'Input Here'!$D$31</definedName>
    <definedName name="IOUT_OPP">'Input Here'!$D$33</definedName>
    <definedName name="ipk_BUR">'Hide Calculate'!$D$41</definedName>
    <definedName name="ipk_BUR_min">'Hide Calculate'!$D$55</definedName>
    <definedName name="ipk_min">'Hide Calculate'!$D$70</definedName>
    <definedName name="ipk_OPP_max">'Hide Calculate'!$D$30</definedName>
    <definedName name="ipk_OPP_min">'Hide Calculate'!$D$16</definedName>
    <definedName name="ipk_OPP_run">'Hide Calculate'!$D$12</definedName>
    <definedName name="ipk_OPP_start">'Hide Calculate'!$D$62</definedName>
    <definedName name="IQH_max">'Input Here'!$D$51</definedName>
    <definedName name="IQL_max">'Input Here'!$D$59</definedName>
    <definedName name="iQL_RMS">Calculation!$D$89</definedName>
    <definedName name="Iref_431">'Input Here'!$D$109</definedName>
    <definedName name="Iref_431_max">'Input Here'!$D$110</definedName>
    <definedName name="IRUN_VDD">Calculation!$D$18</definedName>
    <definedName name="Istart_HVG">Calculation!$D$21</definedName>
    <definedName name="IVCC_qcc">'Input Here'!$D$68</definedName>
    <definedName name="IVCC_sw">'Hide Calculate'!$D$65</definedName>
    <definedName name="iVSL_BUR">'Hide Calculate'!$D$46</definedName>
    <definedName name="iVSL_max">'Hide Calculate'!$D$34</definedName>
    <definedName name="IVSL_run">Calculation!$D$7</definedName>
    <definedName name="Iwait_VDD">Calculation!$D$19</definedName>
    <definedName name="KBUR_CST">Calculation!$D$16</definedName>
    <definedName name="KCTR_Temp">'Input Here'!$D$103</definedName>
    <definedName name="Kder">'Input Here'!$D$40</definedName>
    <definedName name="Kder_SR">'Input Here'!$D$84</definedName>
    <definedName name="KDM">Calculation!$D$15</definedName>
    <definedName name="KLC">Calculation!$D$14</definedName>
    <definedName name="KRES">Calculation!$D$30</definedName>
    <definedName name="KTZ">'Input Here'!$D$44</definedName>
    <definedName name="KVC">'Hide Calculate'!$D$73</definedName>
    <definedName name="Kvsl">'Hide Calculate'!$D$81</definedName>
    <definedName name="kZmax">'Hide Calculate'!#REF!</definedName>
    <definedName name="LK_act">Calculation!$D$50</definedName>
    <definedName name="LM">Calculation!$D$49</definedName>
    <definedName name="LM_act">Calculation!$D$48</definedName>
    <definedName name="LM_rec">Calculation!$D$47</definedName>
    <definedName name="Lo">'Secondary Resonance and ARC'!$E$31</definedName>
    <definedName name="LQs">'Input Here'!$D$116</definedName>
    <definedName name="NA">Calculation!$D$44</definedName>
    <definedName name="NA_act">Calculation!#REF!</definedName>
    <definedName name="NA_max">Calculation!$D$43</definedName>
    <definedName name="NA_min">Calculation!$D$42</definedName>
    <definedName name="Na1_">'Burst Mode for USB-PD'!$C$5</definedName>
    <definedName name="Na2_">'Burst Mode for USB-PD'!$C$6</definedName>
    <definedName name="NP">Calculation!$D$39</definedName>
    <definedName name="NPS">Calculation!$D$38</definedName>
    <definedName name="NPS_actual">Calculation!#REF!</definedName>
    <definedName name="NPS_min">Calculation!$D$36</definedName>
    <definedName name="NPS_recommended">Calculation!#REF!</definedName>
    <definedName name="NS">Calculation!$D$41</definedName>
    <definedName name="NS_">'Burst Mode for USB-PD'!$C$7</definedName>
    <definedName name="NS_rec">Calculation!$D$40</definedName>
    <definedName name="NSS">Calculation!$D$41</definedName>
    <definedName name="OPP">'Input Here'!$D$32</definedName>
    <definedName name="OVP">Calculation!$D$82</definedName>
    <definedName name="OVP_tgt">'Input Here'!$D$29</definedName>
    <definedName name="PO_FL">'Input Here'!$D$30</definedName>
    <definedName name="PRcs">Calculation!$D$90</definedName>
    <definedName name="Qg_Qh">'Hide Calculate'!$D$52</definedName>
    <definedName name="R_OPP">Calculation!$D$95</definedName>
    <definedName name="R_OPP_act">Calculation!$D$94</definedName>
    <definedName name="R_OPP_rec">Calculation!$D$93</definedName>
    <definedName name="Rbias1">Calculation!$D$179</definedName>
    <definedName name="Rbias1_max_ABM">Calculation!$D$176</definedName>
    <definedName name="Rbias1_max_SBP">Calculation!$D$175</definedName>
    <definedName name="Rbias2">Calculation!$D$174</definedName>
    <definedName name="Rbias2_act">Calculation!$D$173</definedName>
    <definedName name="Rbias2_rec">Calculation!$D$172</definedName>
    <definedName name="RBLEED">Calculation!$D$72</definedName>
    <definedName name="RBLEED_act">Calculation!$D$71</definedName>
    <definedName name="RBLEED_rec">Calculation!$D$70</definedName>
    <definedName name="RBLEED_rec1">Calculation!#REF!</definedName>
    <definedName name="RBUR1">Calculation!$D$120</definedName>
    <definedName name="RBUR1_act">Calculation!$D$119</definedName>
    <definedName name="RBUR1_rec">Calculation!$D$118</definedName>
    <definedName name="RBUR2">Calculation!$D$117</definedName>
    <definedName name="RBUR2_act">Calculation!$D$116</definedName>
    <definedName name="RBUR2_rec">Calculation!$D$115</definedName>
    <definedName name="RCO">'Input Here'!$D$76</definedName>
    <definedName name="RCOMP">Calculation!$D$171</definedName>
    <definedName name="RCS">Calculation!$D$88</definedName>
    <definedName name="RCS_act">Calculation!$D$87</definedName>
    <definedName name="RCS_rec">Calculation!$D$86</definedName>
    <definedName name="RDD_1">Calculation!$D$158</definedName>
    <definedName name="RDD1_act">Calculation!$D$157</definedName>
    <definedName name="RDD1_rec">Calculation!$D$156</definedName>
    <definedName name="RDD2_">Calculation!$D$152</definedName>
    <definedName name="RDD2_rec">Calculation!$D$151</definedName>
    <definedName name="Rdiff">Calculation!$D$198</definedName>
    <definedName name="Rdiff_act">Calculation!$D$197</definedName>
    <definedName name="Rdiff_rec">Calculation!$D$196</definedName>
    <definedName name="RDM">Calculation!$D$104</definedName>
    <definedName name="RDM_act">Calculation!$D$103</definedName>
    <definedName name="RDM_rec">Calculation!$D$102</definedName>
    <definedName name="RDSon_QH">'Input Here'!$D$47</definedName>
    <definedName name="RDSon_QL">'Input Here'!$D$55</definedName>
    <definedName name="RFB">Calculation!$D$169</definedName>
    <definedName name="RFB_act">Calculation!$D$168</definedName>
    <definedName name="RFB_int">Calculation!$D$24</definedName>
    <definedName name="RFB_max">Calculation!$D$167</definedName>
    <definedName name="RHVG">Calculation!$D$137</definedName>
    <definedName name="RHVG_act">Calculation!$D$136</definedName>
    <definedName name="RHVG_rec">Calculation!$D$135</definedName>
    <definedName name="Rpri_dc">Calculation!$D$53</definedName>
    <definedName name="RSWS">Calculation!$D$132</definedName>
    <definedName name="RSWS_act">Calculation!$D$131</definedName>
    <definedName name="RSWS_rec">Calculation!$D$130</definedName>
    <definedName name="RTZ">Calculation!$D$110</definedName>
    <definedName name="RTZ_act">Calculation!$D$109</definedName>
    <definedName name="RTZ_rec">Calculation!$D$108</definedName>
    <definedName name="Rvo1_">Calculation!$D$188</definedName>
    <definedName name="Rvo1_act">Calculation!$D$187</definedName>
    <definedName name="Rvo1_rec">Calculation!$D$186</definedName>
    <definedName name="Rvo2_">Calculation!$D$185</definedName>
    <definedName name="Rvo2_act">Calculation!$D$184</definedName>
    <definedName name="Rvo2_rec">Calculation!$D$183</definedName>
    <definedName name="RVS_1">Calculation!$D$77</definedName>
    <definedName name="RVS_2">Calculation!$D$81</definedName>
    <definedName name="RVS1_act">Calculation!$D$76</definedName>
    <definedName name="RVS1_rec">Calculation!$D$75</definedName>
    <definedName name="RVS2_act">Calculation!$D$80</definedName>
    <definedName name="RVS2_rec">Calculation!$D$79</definedName>
    <definedName name="SET">'Input Here'!$D$43</definedName>
    <definedName name="SETPIN">'Input Here'!#REF!</definedName>
    <definedName name="solver_adj" localSheetId="4" hidden="1">'Burst Mode for USB-PD'!$C$9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USB-PD'!$C$7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Calculation!$D$9</definedName>
    <definedName name="TD_CS_filter">Calculation!$D$85</definedName>
    <definedName name="tD_CST_BUR">'Hide Calculate'!$D$43</definedName>
    <definedName name="tD_CST_vmax">'Hide Calculate'!$D$27</definedName>
    <definedName name="tD_CST_vmin">'Hide Calculate'!$D$23</definedName>
    <definedName name="TD_HDr">'Input Here'!$D$65</definedName>
    <definedName name="TD_LDr">'Input Here'!$D$64</definedName>
    <definedName name="TD_Ql_Coss_BUR">'Hide Calculate'!$D$42</definedName>
    <definedName name="TD_Ql_Coss_vmax">'Hide Calculate'!$D$26</definedName>
    <definedName name="TD_Ql_Coss_vmin">'Hide Calculate'!$D$21</definedName>
    <definedName name="tD_RUN_PWML">Calculation!$D$20</definedName>
    <definedName name="TFDR">Calculation!$D$29</definedName>
    <definedName name="THVG">Calculation!$D$159</definedName>
    <definedName name="tres">'Hide Calculate'!#REF!</definedName>
    <definedName name="Trise_max">'Hide Calculate'!$D$49</definedName>
    <definedName name="TSS_max">Calculation!$D$160</definedName>
    <definedName name="tSW">'Hide Calculate'!#REF!</definedName>
    <definedName name="tSW_off">'Hide Calculate'!#REF!</definedName>
    <definedName name="tSW_on">'Hide Calculate'!#REF!</definedName>
    <definedName name="tSWmax">'Hide Calculate'!#REF!</definedName>
    <definedName name="TZ_min">Calculation!$D$107</definedName>
    <definedName name="VBulk_min_tgt">'Input Here'!$D$22</definedName>
    <definedName name="VBULK_min_tgt1">'Input Here'!#REF!</definedName>
    <definedName name="Vbur1">'Burst Mode for USB-PD'!$F$9</definedName>
    <definedName name="Vbur2">'Burst Mode for USB-PD'!$F$10</definedName>
    <definedName name="VCE_sat_opto">'Input Here'!$D$97</definedName>
    <definedName name="Vcin_rated">'Input Here'!$D$74</definedName>
    <definedName name="Vclamp_max">'Hide Calculate'!$D$5</definedName>
    <definedName name="Vclamp_max_QH">'Hide Calculate'!$D$4</definedName>
    <definedName name="Vclamp_max_SR">'Hide Calculate'!$D$3</definedName>
    <definedName name="VCST_BUR">Calculation!$D$113</definedName>
    <definedName name="VCST_max">Calculation!$D$10</definedName>
    <definedName name="VCST_OPP_adj_Rcs">'Hide Calculate'!$D$82</definedName>
    <definedName name="VCST_OPP_adj_Ropp">'Hide Calculate'!$D$83</definedName>
    <definedName name="VCST_OPP1">Calculation!$D$11</definedName>
    <definedName name="VCST_OPP4">Calculation!$D$12</definedName>
    <definedName name="VD_LED">'Input Here'!$D$98</definedName>
    <definedName name="VD_LED_off">'Input Here'!$D$99</definedName>
    <definedName name="VDD">Calculation!$D$155</definedName>
    <definedName name="VDD_max">Calculation!$D$5</definedName>
    <definedName name="VDD_off">Calculation!$D$3</definedName>
    <definedName name="VDD_on">Calculation!$D$4</definedName>
    <definedName name="VDD_PCT">Calculation!$D$6</definedName>
    <definedName name="VDS_actual">'Input Here'!$D$42</definedName>
    <definedName name="VDz">'Input Here'!$D$122</definedName>
    <definedName name="Vf_BootD">'Input Here'!$D$66</definedName>
    <definedName name="Vf_Daux">'Input Here'!$D$129</definedName>
    <definedName name="Vf_SR">'Input Here'!$D$92</definedName>
    <definedName name="VFB_max">Calculation!$D$23</definedName>
    <definedName name="Vgs_Qs">'Input Here'!$D$115</definedName>
    <definedName name="VHVG">Calculation!$D$17</definedName>
    <definedName name="Vhys_CS">Calculation!#REF!</definedName>
    <definedName name="VIN_min">'Input Here'!$D$19</definedName>
    <definedName name="Vin_type">'Input Here'!$D$16</definedName>
    <definedName name="VINPUT_Brownin">'Input Here'!$D$20</definedName>
    <definedName name="VINPUT_Brownout">'Input Here'!$D$21</definedName>
    <definedName name="VINPUT_BUR">'Input Here'!$D$18</definedName>
    <definedName name="VINPUT_max">'Input Here'!$D$17</definedName>
    <definedName name="VLk_pri_max">'Hide Calculate'!$D$36</definedName>
    <definedName name="Vo_drop">'Input Here'!$D$77</definedName>
    <definedName name="Voffset_CS_OPP">'Hide Calculate'!$D$33</definedName>
    <definedName name="Vomax">'Burst Mode for USB-PD'!$C$9</definedName>
    <definedName name="Vomin">'Burst Mode for USB-PD'!$C$10</definedName>
    <definedName name="VOUT">'Input Here'!$D$28</definedName>
    <definedName name="VR_pri_max">'Hide Calculate'!$D$35</definedName>
    <definedName name="Vref_431">'Input Here'!$D$108</definedName>
    <definedName name="VRfl">Calculation!$D$45</definedName>
    <definedName name="Vs_clamp">Calculation!$D$13</definedName>
    <definedName name="VSR_actual">'Input Here'!$D$86</definedName>
    <definedName name="Vth_Qs">'Input Here'!$D$118</definedName>
    <definedName name="VVS_OVP">Calculation!$D$8</definedName>
    <definedName name="Vx_SR">'Input Here'!$D$89</definedName>
    <definedName name="Vxh">'Input Here'!$D$50</definedName>
    <definedName name="Vxl">'Input Here'!$D$58</definedName>
    <definedName name="ΔVCLAMP">Calculation!$D$33</definedName>
    <definedName name="ΔVSPIKE_SR">Calculation!$D$32</definedName>
    <definedName name="η">Calculation!#REF!</definedName>
    <definedName name="η_min">'Input Here'!$D$25</definedName>
    <definedName name="ηXFMR">Calculation!$D$51</definedName>
  </definedNames>
  <calcPr calcId="152511"/>
</workbook>
</file>

<file path=xl/calcChain.xml><?xml version="1.0" encoding="utf-8"?>
<calcChain xmlns="http://schemas.openxmlformats.org/spreadsheetml/2006/main">
  <c r="D71" i="1" l="1"/>
  <c r="D193" i="2" l="1"/>
  <c r="D68" i="2"/>
  <c r="E35" i="5" l="1"/>
  <c r="E22" i="1" l="1"/>
  <c r="D81" i="2" l="1"/>
  <c r="D37" i="4" s="1"/>
  <c r="D81" i="6" l="1"/>
  <c r="D82" i="6" s="1"/>
  <c r="D83" i="6" l="1"/>
  <c r="D131" i="6"/>
  <c r="D130" i="6"/>
  <c r="D121" i="6"/>
  <c r="D120" i="6"/>
  <c r="D111" i="6"/>
  <c r="D110" i="6"/>
  <c r="D101" i="6"/>
  <c r="D100" i="6"/>
  <c r="D91" i="6"/>
  <c r="D90" i="6"/>
  <c r="D125" i="6"/>
  <c r="D135" i="6"/>
  <c r="D136" i="6"/>
  <c r="D126" i="6"/>
  <c r="D116" i="6"/>
  <c r="D115" i="6"/>
  <c r="D105" i="6"/>
  <c r="D95" i="6"/>
  <c r="D106" i="6"/>
  <c r="D96" i="6"/>
  <c r="D134" i="6"/>
  <c r="D133" i="6"/>
  <c r="D132" i="6"/>
  <c r="D124" i="6"/>
  <c r="D123" i="6"/>
  <c r="D122" i="6"/>
  <c r="D114" i="6"/>
  <c r="D113" i="6"/>
  <c r="D112" i="6"/>
  <c r="D104" i="6"/>
  <c r="D103" i="6"/>
  <c r="D102" i="6"/>
  <c r="D94" i="6"/>
  <c r="D93" i="6"/>
  <c r="D92" i="6"/>
  <c r="D76" i="4" l="1"/>
  <c r="D75" i="4"/>
  <c r="D120" i="2" l="1"/>
  <c r="C8" i="7" s="1"/>
  <c r="D72" i="6" l="1"/>
  <c r="D71" i="6"/>
  <c r="D64" i="6"/>
  <c r="D63" i="6"/>
  <c r="D57" i="6"/>
  <c r="D56" i="6"/>
  <c r="D45" i="6"/>
  <c r="D44" i="6"/>
  <c r="D9" i="6"/>
  <c r="D31" i="6"/>
  <c r="D32" i="6"/>
  <c r="D41" i="1" l="1"/>
  <c r="D46" i="2"/>
  <c r="D47" i="2" s="1"/>
  <c r="D69" i="2" l="1"/>
  <c r="D19" i="6"/>
  <c r="D18" i="6"/>
  <c r="D4" i="6" l="1"/>
  <c r="D3" i="6"/>
  <c r="D90" i="1"/>
  <c r="D52" i="1"/>
  <c r="D56" i="2" s="1"/>
  <c r="D60" i="1"/>
  <c r="D57" i="2" s="1"/>
  <c r="D74" i="1"/>
  <c r="D33" i="1"/>
  <c r="D31" i="1"/>
  <c r="D78" i="1" s="1"/>
  <c r="D52" i="6" l="1"/>
  <c r="D8" i="6"/>
  <c r="H39" i="5"/>
  <c r="E33" i="5"/>
  <c r="D130" i="4"/>
  <c r="D128" i="4"/>
  <c r="D127" i="4"/>
  <c r="D119" i="4"/>
  <c r="D107" i="4"/>
  <c r="D103" i="4"/>
  <c r="D80" i="4"/>
  <c r="D65" i="4"/>
  <c r="D57" i="4"/>
  <c r="D53" i="4"/>
  <c r="D202" i="2"/>
  <c r="D123" i="4" s="1"/>
  <c r="D198" i="2"/>
  <c r="D67" i="4" s="1"/>
  <c r="D195" i="2"/>
  <c r="D188" i="2"/>
  <c r="D200" i="2" s="1"/>
  <c r="D185" i="2"/>
  <c r="D63" i="4" s="1"/>
  <c r="D183" i="2"/>
  <c r="C182" i="2"/>
  <c r="D176" i="2"/>
  <c r="D174" i="2"/>
  <c r="D59" i="4" s="1"/>
  <c r="D172" i="2"/>
  <c r="D169" i="2"/>
  <c r="D31" i="4" s="1"/>
  <c r="D167" i="2"/>
  <c r="D164" i="2"/>
  <c r="D111" i="4" s="1"/>
  <c r="D158" i="2"/>
  <c r="D55" i="4" s="1"/>
  <c r="D149" i="2"/>
  <c r="D143" i="2"/>
  <c r="D99" i="4" s="1"/>
  <c r="D141" i="2"/>
  <c r="D140" i="2"/>
  <c r="D95" i="4" s="1"/>
  <c r="D137" i="2"/>
  <c r="D51" i="4" s="1"/>
  <c r="D135" i="2"/>
  <c r="D132" i="2"/>
  <c r="D49" i="4" s="1"/>
  <c r="D129" i="2"/>
  <c r="D87" i="4" s="1"/>
  <c r="D127" i="2"/>
  <c r="D124" i="2"/>
  <c r="D91" i="4" s="1"/>
  <c r="D45" i="4"/>
  <c r="D117" i="2"/>
  <c r="D110" i="2"/>
  <c r="D43" i="4" s="1"/>
  <c r="D104" i="2"/>
  <c r="D41" i="4" s="1"/>
  <c r="D98" i="2"/>
  <c r="D83" i="4" s="1"/>
  <c r="D95" i="2"/>
  <c r="D96" i="2" s="1"/>
  <c r="D88" i="2"/>
  <c r="D77" i="2"/>
  <c r="D72" i="2"/>
  <c r="D33" i="4" s="1"/>
  <c r="D60" i="2"/>
  <c r="D59" i="2"/>
  <c r="D58" i="2"/>
  <c r="D49" i="2"/>
  <c r="D45" i="2"/>
  <c r="D40" i="2"/>
  <c r="D41" i="2" s="1"/>
  <c r="D37" i="2"/>
  <c r="D36" i="2"/>
  <c r="D15" i="2"/>
  <c r="D85" i="1"/>
  <c r="D80" i="1"/>
  <c r="D74" i="4" s="1"/>
  <c r="D71" i="4"/>
  <c r="D73" i="1"/>
  <c r="D70" i="4" s="1"/>
  <c r="D44" i="1"/>
  <c r="E19" i="1"/>
  <c r="E18" i="1"/>
  <c r="E17" i="1"/>
  <c r="E20" i="1"/>
  <c r="E21" i="1"/>
  <c r="D21" i="1"/>
  <c r="D121" i="2" l="1"/>
  <c r="D66" i="2"/>
  <c r="D36" i="6"/>
  <c r="D43" i="2"/>
  <c r="D42" i="2"/>
  <c r="C7" i="7"/>
  <c r="D131" i="4"/>
  <c r="D115" i="4"/>
  <c r="D196" i="2"/>
  <c r="D189" i="2"/>
  <c r="D186" i="2"/>
  <c r="D175" i="2"/>
  <c r="D177" i="2" s="1"/>
  <c r="D61" i="4"/>
  <c r="D122" i="2"/>
  <c r="D130" i="2"/>
  <c r="D159" i="2"/>
  <c r="D28" i="4"/>
  <c r="D99" i="2"/>
  <c r="D160" i="2"/>
  <c r="D79" i="4"/>
  <c r="D47" i="4"/>
  <c r="D151" i="2"/>
  <c r="D35" i="4"/>
  <c r="D39" i="4"/>
  <c r="D126" i="4"/>
  <c r="D5" i="6"/>
  <c r="D70" i="2" s="1"/>
  <c r="D78" i="2" l="1"/>
  <c r="D82" i="2"/>
  <c r="D102" i="2"/>
  <c r="D137" i="6"/>
  <c r="D127" i="6"/>
  <c r="D39" i="6" s="1"/>
  <c r="D40" i="6" s="1"/>
  <c r="D117" i="6"/>
  <c r="D60" i="6" s="1"/>
  <c r="D61" i="6" s="1"/>
  <c r="D107" i="6"/>
  <c r="D97" i="6"/>
  <c r="D15" i="6" s="1"/>
  <c r="D132" i="4"/>
  <c r="D22" i="6"/>
  <c r="D129" i="4"/>
  <c r="D155" i="2"/>
  <c r="D156" i="2" s="1"/>
  <c r="D79" i="2"/>
  <c r="D75" i="2"/>
  <c r="D61" i="2"/>
  <c r="D62" i="2" s="1"/>
  <c r="C5" i="7"/>
  <c r="C12" i="7" s="1"/>
  <c r="D17" i="6" l="1"/>
  <c r="D10" i="6"/>
  <c r="D11" i="6" s="1"/>
  <c r="D53" i="6"/>
  <c r="D54" i="6" s="1"/>
  <c r="D68" i="6"/>
  <c r="D69" i="6" s="1"/>
  <c r="D28" i="6"/>
  <c r="D107" i="2"/>
  <c r="D147" i="2"/>
  <c r="C13" i="7"/>
  <c r="E30" i="5" l="1"/>
  <c r="E27" i="5"/>
  <c r="D55" i="6"/>
  <c r="D146" i="2" s="1"/>
  <c r="D12" i="6"/>
  <c r="D65" i="6"/>
  <c r="D162" i="2" s="1"/>
  <c r="D70" i="6"/>
  <c r="D73" i="6" s="1"/>
  <c r="D108" i="2"/>
  <c r="D29" i="6"/>
  <c r="D30" i="6" s="1"/>
  <c r="D35" i="6" s="1"/>
  <c r="D41" i="6"/>
  <c r="D49" i="6" s="1"/>
  <c r="D34" i="6" l="1"/>
  <c r="D46" i="6"/>
  <c r="D42" i="6"/>
  <c r="D43" i="6" s="1"/>
  <c r="D138" i="2"/>
  <c r="D16" i="6"/>
  <c r="D26" i="6"/>
  <c r="D178" i="2"/>
  <c r="D62" i="6"/>
  <c r="D20" i="6" l="1"/>
  <c r="D89" i="2"/>
  <c r="D90" i="2" s="1"/>
  <c r="D29" i="4" s="1"/>
  <c r="D21" i="6"/>
  <c r="D27" i="6"/>
  <c r="D33" i="6" s="1"/>
  <c r="D93" i="2" s="1"/>
  <c r="D23" i="6" l="1"/>
  <c r="D86" i="2" s="1"/>
  <c r="D113" i="2" l="1"/>
  <c r="D118" i="2" s="1"/>
  <c r="D114" i="2" l="1"/>
  <c r="D115" i="2"/>
</calcChain>
</file>

<file path=xl/sharedStrings.xml><?xml version="1.0" encoding="utf-8"?>
<sst xmlns="http://schemas.openxmlformats.org/spreadsheetml/2006/main" count="1506" uniqueCount="1036">
  <si>
    <t>CLEAR ALL USER INPUT CELLS BEFORE STARTING A NEW DESIGN</t>
  </si>
  <si>
    <t>DESIGN REQUIREMENTS</t>
  </si>
  <si>
    <t>UCC28780 DESIGN CALCULATOR TOOL</t>
    <phoneticPr fontId="27" type="noConversion"/>
  </si>
  <si>
    <t/>
  </si>
  <si>
    <t>Hz</t>
  </si>
  <si>
    <t>%</t>
    <phoneticPr fontId="27" type="noConversion"/>
  </si>
  <si>
    <t>OUTPUT SPECIFICATIONS</t>
  </si>
  <si>
    <t>A</t>
  </si>
  <si>
    <t>V</t>
  </si>
  <si>
    <t>W</t>
    <phoneticPr fontId="27" type="noConversion"/>
  </si>
  <si>
    <t>kHz</t>
    <phoneticPr fontId="27" type="noConversion"/>
  </si>
  <si>
    <t>For loop compensation</t>
    <phoneticPr fontId="27" type="noConversion"/>
  </si>
  <si>
    <t>Ω</t>
  </si>
  <si>
    <t>µH</t>
    <phoneticPr fontId="27" type="noConversion"/>
  </si>
  <si>
    <t>V</t>
    <phoneticPr fontId="27" type="noConversion"/>
  </si>
  <si>
    <t>pF</t>
    <phoneticPr fontId="27" type="noConversion"/>
  </si>
  <si>
    <t>A</t>
    <phoneticPr fontId="27" type="noConversion"/>
  </si>
  <si>
    <t>V</t>
    <phoneticPr fontId="27" type="noConversion"/>
  </si>
  <si>
    <t>A</t>
    <phoneticPr fontId="27" type="noConversion"/>
  </si>
  <si>
    <t>Optocoupler</t>
    <phoneticPr fontId="27" type="noConversion"/>
  </si>
  <si>
    <t>V</t>
    <phoneticPr fontId="27" type="noConversion"/>
  </si>
  <si>
    <t>nH</t>
    <phoneticPr fontId="27" type="noConversion"/>
  </si>
  <si>
    <t>Auxiliary Rectifier Diode</t>
    <phoneticPr fontId="27" type="noConversion"/>
  </si>
  <si>
    <t>µH</t>
  </si>
  <si>
    <t>pF</t>
    <phoneticPr fontId="27" type="noConversion"/>
  </si>
  <si>
    <t>A</t>
    <phoneticPr fontId="27" type="noConversion"/>
  </si>
  <si>
    <t>Hz</t>
    <phoneticPr fontId="27" type="noConversion"/>
  </si>
  <si>
    <t>µF</t>
    <phoneticPr fontId="27" type="noConversion"/>
  </si>
  <si>
    <t>µs</t>
    <phoneticPr fontId="27" type="noConversion"/>
  </si>
  <si>
    <t>µF</t>
    <phoneticPr fontId="27" type="noConversion"/>
  </si>
  <si>
    <t>pF</t>
    <phoneticPr fontId="27" type="noConversion"/>
  </si>
  <si>
    <t>Resistor Divider of VS Pin</t>
    <phoneticPr fontId="27" type="noConversion"/>
  </si>
  <si>
    <r>
      <t>R</t>
    </r>
    <r>
      <rPr>
        <vertAlign val="subscript"/>
        <sz val="11"/>
        <color theme="1"/>
        <rFont val="Arial"/>
        <family val="2"/>
      </rPr>
      <t>VS1_rec</t>
    </r>
    <r>
      <rPr>
        <sz val="11"/>
        <color theme="1"/>
        <rFont val="Arial"/>
        <family val="2"/>
      </rPr>
      <t xml:space="preserve"> =</t>
    </r>
    <phoneticPr fontId="27" type="noConversion"/>
  </si>
  <si>
    <r>
      <t>R</t>
    </r>
    <r>
      <rPr>
        <vertAlign val="subscript"/>
        <sz val="11"/>
        <color theme="1"/>
        <rFont val="Arial"/>
        <family val="2"/>
      </rPr>
      <t>VS1_act</t>
    </r>
    <r>
      <rPr>
        <sz val="11"/>
        <color theme="1"/>
        <rFont val="Arial"/>
        <family val="2"/>
      </rPr>
      <t xml:space="preserve"> =</t>
    </r>
    <phoneticPr fontId="27" type="noConversion"/>
  </si>
  <si>
    <r>
      <t>R</t>
    </r>
    <r>
      <rPr>
        <vertAlign val="subscript"/>
        <sz val="11"/>
        <color theme="1"/>
        <rFont val="Arial"/>
        <family val="2"/>
      </rPr>
      <t>VS1</t>
    </r>
    <r>
      <rPr>
        <sz val="11"/>
        <color theme="1"/>
        <rFont val="Arial"/>
        <family val="2"/>
      </rPr>
      <t xml:space="preserve"> =</t>
    </r>
    <phoneticPr fontId="27" type="noConversion"/>
  </si>
  <si>
    <r>
      <t>R</t>
    </r>
    <r>
      <rPr>
        <vertAlign val="subscript"/>
        <sz val="11"/>
        <color theme="1"/>
        <rFont val="Arial"/>
        <family val="2"/>
      </rPr>
      <t>VS2_rec</t>
    </r>
    <r>
      <rPr>
        <sz val="11"/>
        <color theme="1"/>
        <rFont val="Arial"/>
        <family val="2"/>
      </rPr>
      <t xml:space="preserve"> =</t>
    </r>
    <phoneticPr fontId="27" type="noConversion"/>
  </si>
  <si>
    <t>Ω</t>
    <phoneticPr fontId="27" type="noConversion"/>
  </si>
  <si>
    <r>
      <t>R</t>
    </r>
    <r>
      <rPr>
        <vertAlign val="subscript"/>
        <sz val="11"/>
        <color theme="1"/>
        <rFont val="Arial"/>
        <family val="2"/>
      </rPr>
      <t>VS2_act</t>
    </r>
    <r>
      <rPr>
        <sz val="11"/>
        <color theme="1"/>
        <rFont val="Arial"/>
        <family val="2"/>
      </rPr>
      <t xml:space="preserve"> =</t>
    </r>
    <phoneticPr fontId="27" type="noConversion"/>
  </si>
  <si>
    <r>
      <t>R</t>
    </r>
    <r>
      <rPr>
        <vertAlign val="subscript"/>
        <sz val="11"/>
        <color theme="1"/>
        <rFont val="Arial"/>
        <family val="2"/>
      </rPr>
      <t>VS2</t>
    </r>
    <r>
      <rPr>
        <sz val="11"/>
        <color theme="1"/>
        <rFont val="Arial"/>
        <family val="2"/>
      </rPr>
      <t xml:space="preserve"> =</t>
    </r>
    <phoneticPr fontId="27" type="noConversion"/>
  </si>
  <si>
    <r>
      <t>Current Sense Resistor, R</t>
    </r>
    <r>
      <rPr>
        <b/>
        <i/>
        <vertAlign val="subscript"/>
        <sz val="12"/>
        <color theme="0"/>
        <rFont val="Arial"/>
        <family val="2"/>
      </rPr>
      <t>CS</t>
    </r>
    <phoneticPr fontId="27" type="noConversion"/>
  </si>
  <si>
    <t>ns</t>
    <phoneticPr fontId="27" type="noConversion"/>
  </si>
  <si>
    <t>ns</t>
    <phoneticPr fontId="27" type="noConversion"/>
  </si>
  <si>
    <t>pF</t>
    <phoneticPr fontId="27" type="noConversion"/>
  </si>
  <si>
    <t>V</t>
    <phoneticPr fontId="27" type="noConversion"/>
  </si>
  <si>
    <t>ns</t>
    <phoneticPr fontId="27" type="noConversion"/>
  </si>
  <si>
    <t>OPP Programming Resistor</t>
    <phoneticPr fontId="27" type="noConversion"/>
  </si>
  <si>
    <r>
      <t>R</t>
    </r>
    <r>
      <rPr>
        <vertAlign val="subscript"/>
        <sz val="11"/>
        <color theme="1"/>
        <rFont val="Arial"/>
        <family val="2"/>
      </rPr>
      <t>_OPP_rec</t>
    </r>
    <r>
      <rPr>
        <sz val="11"/>
        <color theme="1"/>
        <rFont val="Arial"/>
        <family val="2"/>
      </rPr>
      <t xml:space="preserve"> =</t>
    </r>
    <phoneticPr fontId="27" type="noConversion"/>
  </si>
  <si>
    <t>mA</t>
    <phoneticPr fontId="27" type="noConversion"/>
  </si>
  <si>
    <r>
      <t>R</t>
    </r>
    <r>
      <rPr>
        <vertAlign val="subscript"/>
        <sz val="11"/>
        <color theme="1"/>
        <rFont val="Arial"/>
        <family val="2"/>
      </rPr>
      <t>_OPP_act</t>
    </r>
    <r>
      <rPr>
        <sz val="11"/>
        <color theme="1"/>
        <rFont val="Arial"/>
        <family val="2"/>
      </rPr>
      <t xml:space="preserve"> =</t>
    </r>
    <phoneticPr fontId="27" type="noConversion"/>
  </si>
  <si>
    <r>
      <t>C</t>
    </r>
    <r>
      <rPr>
        <vertAlign val="subscript"/>
        <sz val="11"/>
        <color theme="1"/>
        <rFont val="Arial"/>
        <family val="2"/>
      </rPr>
      <t xml:space="preserve">CS_act </t>
    </r>
    <r>
      <rPr>
        <sz val="11"/>
        <color theme="1"/>
        <rFont val="Arial"/>
        <family val="2"/>
      </rPr>
      <t>=</t>
    </r>
    <phoneticPr fontId="27" type="noConversion"/>
  </si>
  <si>
    <t>RDM Pin Setting</t>
    <phoneticPr fontId="27" type="noConversion"/>
  </si>
  <si>
    <t>RTZ Pin Setting</t>
    <phoneticPr fontId="27" type="noConversion"/>
  </si>
  <si>
    <t>Clamp Capacitance</t>
    <phoneticPr fontId="27" type="noConversion"/>
  </si>
  <si>
    <t>ns</t>
    <phoneticPr fontId="27" type="noConversion"/>
  </si>
  <si>
    <t>BUR Pin Setting</t>
    <phoneticPr fontId="27" type="noConversion"/>
  </si>
  <si>
    <t>V</t>
    <phoneticPr fontId="27" type="noConversion"/>
  </si>
  <si>
    <t>Damping Network for Depletion FET</t>
    <phoneticPr fontId="27" type="noConversion"/>
  </si>
  <si>
    <t>pF</t>
    <phoneticPr fontId="27" type="noConversion"/>
  </si>
  <si>
    <t>Decoupling Cap of Internal Regulator</t>
    <phoneticPr fontId="27" type="noConversion"/>
  </si>
  <si>
    <t>nF</t>
    <phoneticPr fontId="27" type="noConversion"/>
  </si>
  <si>
    <t>nF</t>
    <phoneticPr fontId="27" type="noConversion"/>
  </si>
  <si>
    <t>µF</t>
  </si>
  <si>
    <t>VDD Supply for Driver</t>
    <phoneticPr fontId="27" type="noConversion"/>
  </si>
  <si>
    <t>AUX Power on Primary Side</t>
    <phoneticPr fontId="27" type="noConversion"/>
  </si>
  <si>
    <t>ms</t>
    <phoneticPr fontId="27" type="noConversion"/>
  </si>
  <si>
    <t>mA</t>
    <phoneticPr fontId="27" type="noConversion"/>
  </si>
  <si>
    <t>mA</t>
    <phoneticPr fontId="27" type="noConversion"/>
  </si>
  <si>
    <t>Optocoupler Feedback</t>
    <phoneticPr fontId="27" type="noConversion"/>
  </si>
  <si>
    <t>Ω</t>
    <phoneticPr fontId="27" type="noConversion"/>
  </si>
  <si>
    <t>Rbias2 to supply shunt regulator when opto-coupler is cut off</t>
    <phoneticPr fontId="27" type="noConversion"/>
  </si>
  <si>
    <t>nC</t>
    <phoneticPr fontId="27" type="noConversion"/>
  </si>
  <si>
    <t>V</t>
    <phoneticPr fontId="27" type="noConversion"/>
  </si>
  <si>
    <t>nA</t>
    <phoneticPr fontId="27" type="noConversion"/>
  </si>
  <si>
    <t>kΩ</t>
    <phoneticPr fontId="27" type="noConversion"/>
  </si>
  <si>
    <t>nF</t>
    <phoneticPr fontId="27" type="noConversion"/>
  </si>
  <si>
    <t>nF</t>
    <phoneticPr fontId="27" type="noConversion"/>
  </si>
  <si>
    <t>kΩ</t>
    <phoneticPr fontId="27" type="noConversion"/>
  </si>
  <si>
    <t>MΩ</t>
    <phoneticPr fontId="27" type="noConversion"/>
  </si>
  <si>
    <r>
      <t>Switching Node Capacitance, C</t>
    </r>
    <r>
      <rPr>
        <b/>
        <i/>
        <vertAlign val="subscript"/>
        <sz val="12"/>
        <color theme="0"/>
        <rFont val="Arial"/>
        <family val="2"/>
      </rPr>
      <t>SW</t>
    </r>
    <phoneticPr fontId="27" type="noConversion"/>
  </si>
  <si>
    <t>Reference Designator</t>
  </si>
  <si>
    <t>Description/Comments</t>
  </si>
  <si>
    <r>
      <t>R</t>
    </r>
    <r>
      <rPr>
        <b/>
        <vertAlign val="subscript"/>
        <sz val="12"/>
        <color rgb="FFFF0000"/>
        <rFont val="Arial"/>
        <family val="2"/>
      </rPr>
      <t>CS</t>
    </r>
  </si>
  <si>
    <t>Value:</t>
  </si>
  <si>
    <t>±1%</t>
  </si>
  <si>
    <t>Type:</t>
  </si>
  <si>
    <t>kΩ</t>
  </si>
  <si>
    <r>
      <t>R</t>
    </r>
    <r>
      <rPr>
        <b/>
        <vertAlign val="subscript"/>
        <sz val="12"/>
        <color rgb="FFFF0000"/>
        <rFont val="Arial"/>
        <family val="2"/>
      </rPr>
      <t>FB</t>
    </r>
    <phoneticPr fontId="27" type="noConversion"/>
  </si>
  <si>
    <r>
      <t>M</t>
    </r>
    <r>
      <rPr>
        <sz val="12"/>
        <color theme="1"/>
        <rFont val="Calibri"/>
        <family val="2"/>
      </rPr>
      <t>Ω</t>
    </r>
    <phoneticPr fontId="27" type="noConversion"/>
  </si>
  <si>
    <r>
      <t>R</t>
    </r>
    <r>
      <rPr>
        <b/>
        <vertAlign val="subscript"/>
        <sz val="12"/>
        <color rgb="FFFF0000"/>
        <rFont val="Arial"/>
        <family val="2"/>
      </rPr>
      <t>VS1</t>
    </r>
    <phoneticPr fontId="27" type="noConversion"/>
  </si>
  <si>
    <r>
      <t>R</t>
    </r>
    <r>
      <rPr>
        <b/>
        <vertAlign val="subscript"/>
        <sz val="12"/>
        <color rgb="FFFF0000"/>
        <rFont val="Arial"/>
        <family val="2"/>
      </rPr>
      <t>VS2</t>
    </r>
    <phoneticPr fontId="27" type="noConversion"/>
  </si>
  <si>
    <r>
      <t>R</t>
    </r>
    <r>
      <rPr>
        <b/>
        <vertAlign val="subscript"/>
        <sz val="12"/>
        <color rgb="FFFF0000"/>
        <rFont val="Arial"/>
        <family val="2"/>
      </rPr>
      <t>OPP</t>
    </r>
    <phoneticPr fontId="27" type="noConversion"/>
  </si>
  <si>
    <r>
      <t>R</t>
    </r>
    <r>
      <rPr>
        <b/>
        <vertAlign val="subscript"/>
        <sz val="12"/>
        <color rgb="FFFF0000"/>
        <rFont val="Arial"/>
        <family val="2"/>
      </rPr>
      <t>DM</t>
    </r>
    <phoneticPr fontId="27" type="noConversion"/>
  </si>
  <si>
    <r>
      <t>R</t>
    </r>
    <r>
      <rPr>
        <b/>
        <vertAlign val="subscript"/>
        <sz val="12"/>
        <color rgb="FFFF0000"/>
        <rFont val="Arial"/>
        <family val="2"/>
      </rPr>
      <t>TZ</t>
    </r>
    <phoneticPr fontId="27" type="noConversion"/>
  </si>
  <si>
    <r>
      <t>R</t>
    </r>
    <r>
      <rPr>
        <b/>
        <vertAlign val="subscript"/>
        <sz val="12"/>
        <color rgb="FFFF0000"/>
        <rFont val="Arial"/>
        <family val="2"/>
      </rPr>
      <t>BUR1</t>
    </r>
    <phoneticPr fontId="27" type="noConversion"/>
  </si>
  <si>
    <r>
      <t>R</t>
    </r>
    <r>
      <rPr>
        <b/>
        <vertAlign val="subscript"/>
        <sz val="12"/>
        <color rgb="FFFF0000"/>
        <rFont val="Arial"/>
        <family val="2"/>
      </rPr>
      <t>BUR2</t>
    </r>
    <phoneticPr fontId="27" type="noConversion"/>
  </si>
  <si>
    <r>
      <t>R</t>
    </r>
    <r>
      <rPr>
        <b/>
        <vertAlign val="subscript"/>
        <sz val="12"/>
        <color rgb="FFFF0000"/>
        <rFont val="Arial"/>
        <family val="2"/>
      </rPr>
      <t>SWS</t>
    </r>
    <phoneticPr fontId="27" type="noConversion"/>
  </si>
  <si>
    <r>
      <t>R</t>
    </r>
    <r>
      <rPr>
        <b/>
        <vertAlign val="subscript"/>
        <sz val="12"/>
        <color rgb="FFFF0000"/>
        <rFont val="Arial"/>
        <family val="2"/>
      </rPr>
      <t>HVG</t>
    </r>
    <phoneticPr fontId="27" type="noConversion"/>
  </si>
  <si>
    <r>
      <t>R</t>
    </r>
    <r>
      <rPr>
        <b/>
        <vertAlign val="subscript"/>
        <sz val="12"/>
        <color rgb="FFFF0000"/>
        <rFont val="Arial"/>
        <family val="2"/>
      </rPr>
      <t>DD2</t>
    </r>
    <phoneticPr fontId="27" type="noConversion"/>
  </si>
  <si>
    <r>
      <t>R</t>
    </r>
    <r>
      <rPr>
        <b/>
        <vertAlign val="subscript"/>
        <sz val="12"/>
        <color rgb="FFFF0000"/>
        <rFont val="Arial"/>
        <family val="2"/>
      </rPr>
      <t>DD1</t>
    </r>
    <phoneticPr fontId="27" type="noConversion"/>
  </si>
  <si>
    <r>
      <t>R</t>
    </r>
    <r>
      <rPr>
        <b/>
        <vertAlign val="subscript"/>
        <sz val="12"/>
        <color rgb="FFFF0000"/>
        <rFont val="Arial"/>
        <family val="2"/>
      </rPr>
      <t>Vo1</t>
    </r>
    <phoneticPr fontId="27" type="noConversion"/>
  </si>
  <si>
    <r>
      <t>R</t>
    </r>
    <r>
      <rPr>
        <b/>
        <vertAlign val="subscript"/>
        <sz val="12"/>
        <color rgb="FFFF0000"/>
        <rFont val="Arial"/>
        <family val="2"/>
      </rPr>
      <t>Vo2</t>
    </r>
    <phoneticPr fontId="27" type="noConversion"/>
  </si>
  <si>
    <t>Aluminum Electrolytic</t>
  </si>
  <si>
    <t>Minimum Voltage Rating:</t>
  </si>
  <si>
    <r>
      <t>C</t>
    </r>
    <r>
      <rPr>
        <b/>
        <vertAlign val="subscript"/>
        <sz val="12"/>
        <color rgb="FFFF0000"/>
        <rFont val="Arial"/>
        <family val="2"/>
      </rPr>
      <t>BULK</t>
    </r>
    <phoneticPr fontId="27" type="noConversion"/>
  </si>
  <si>
    <t>Ceramic</t>
    <phoneticPr fontId="27" type="noConversion"/>
  </si>
  <si>
    <r>
      <t>C</t>
    </r>
    <r>
      <rPr>
        <b/>
        <vertAlign val="subscript"/>
        <sz val="12"/>
        <color rgb="FFFF0000"/>
        <rFont val="Arial"/>
        <family val="2"/>
      </rPr>
      <t>CS</t>
    </r>
    <phoneticPr fontId="27" type="noConversion"/>
  </si>
  <si>
    <t>pF</t>
    <phoneticPr fontId="27" type="noConversion"/>
  </si>
  <si>
    <r>
      <t>C</t>
    </r>
    <r>
      <rPr>
        <b/>
        <vertAlign val="subscript"/>
        <sz val="12"/>
        <color rgb="FFFF0000"/>
        <rFont val="Arial"/>
        <family val="2"/>
      </rPr>
      <t>SWS</t>
    </r>
    <phoneticPr fontId="27" type="noConversion"/>
  </si>
  <si>
    <r>
      <t>C</t>
    </r>
    <r>
      <rPr>
        <b/>
        <vertAlign val="subscript"/>
        <sz val="12"/>
        <color rgb="FFFF0000"/>
        <rFont val="Arial"/>
        <family val="2"/>
      </rPr>
      <t>HVG</t>
    </r>
    <phoneticPr fontId="27" type="noConversion"/>
  </si>
  <si>
    <r>
      <t>C</t>
    </r>
    <r>
      <rPr>
        <b/>
        <vertAlign val="subscript"/>
        <sz val="12"/>
        <color rgb="FFFF0000"/>
        <rFont val="Arial"/>
        <family val="2"/>
      </rPr>
      <t>REF</t>
    </r>
    <phoneticPr fontId="27" type="noConversion"/>
  </si>
  <si>
    <r>
      <t>C</t>
    </r>
    <r>
      <rPr>
        <b/>
        <vertAlign val="subscript"/>
        <sz val="12"/>
        <color rgb="FFFF0000"/>
        <rFont val="Arial"/>
        <family val="2"/>
      </rPr>
      <t>DD2</t>
    </r>
    <phoneticPr fontId="27" type="noConversion"/>
  </si>
  <si>
    <r>
      <t>C</t>
    </r>
    <r>
      <rPr>
        <b/>
        <vertAlign val="subscript"/>
        <sz val="12"/>
        <color rgb="FFFF0000"/>
        <rFont val="Arial"/>
        <family val="2"/>
      </rPr>
      <t>DD1</t>
    </r>
    <phoneticPr fontId="27" type="noConversion"/>
  </si>
  <si>
    <t>Primary Inductance:</t>
  </si>
  <si>
    <t>Primary to Secondary Turns Ratio:</t>
  </si>
  <si>
    <t>Primary Turns:</t>
    <phoneticPr fontId="27" type="noConversion"/>
  </si>
  <si>
    <t>Secondary Turns:</t>
    <phoneticPr fontId="27" type="noConversion"/>
  </si>
  <si>
    <t>Auxiliary Turns:</t>
    <phoneticPr fontId="27" type="noConversion"/>
  </si>
  <si>
    <t>Leakage Inductance</t>
    <phoneticPr fontId="27" type="noConversion"/>
  </si>
  <si>
    <t>TI Literature Number:</t>
    <phoneticPr fontId="27" type="noConversion"/>
  </si>
  <si>
    <t>kΩ</t>
    <phoneticPr fontId="27" type="noConversion"/>
  </si>
  <si>
    <t>pF</t>
    <phoneticPr fontId="27" type="noConversion"/>
  </si>
  <si>
    <t>pF</t>
    <phoneticPr fontId="27" type="noConversion"/>
  </si>
  <si>
    <r>
      <t>C</t>
    </r>
    <r>
      <rPr>
        <b/>
        <vertAlign val="subscript"/>
        <sz val="12"/>
        <color rgb="FFFF0000"/>
        <rFont val="Arial"/>
        <family val="2"/>
      </rPr>
      <t>BUR</t>
    </r>
    <phoneticPr fontId="27" type="noConversion"/>
  </si>
  <si>
    <t>Disclaimer</t>
    <phoneticPr fontId="27" type="noConversion"/>
  </si>
  <si>
    <t>pF</t>
    <phoneticPr fontId="27" type="noConversion"/>
  </si>
  <si>
    <t>Hz</t>
    <phoneticPr fontId="27" type="noConversion"/>
  </si>
  <si>
    <t>A</t>
    <phoneticPr fontId="27" type="noConversion"/>
  </si>
  <si>
    <t>pF</t>
    <phoneticPr fontId="27" type="noConversion"/>
  </si>
  <si>
    <t>kΩ</t>
    <phoneticPr fontId="27" type="noConversion"/>
  </si>
  <si>
    <r>
      <t>C</t>
    </r>
    <r>
      <rPr>
        <vertAlign val="subscript"/>
        <sz val="11"/>
        <color theme="1"/>
        <rFont val="Arial"/>
        <family val="2"/>
      </rPr>
      <t xml:space="preserve">CS_max </t>
    </r>
    <r>
      <rPr>
        <sz val="11"/>
        <color theme="1"/>
        <rFont val="Arial"/>
        <family val="2"/>
      </rPr>
      <t>=</t>
    </r>
    <phoneticPr fontId="27" type="noConversion"/>
  </si>
  <si>
    <t>µF</t>
    <phoneticPr fontId="27" type="noConversion"/>
  </si>
  <si>
    <r>
      <t>R</t>
    </r>
    <r>
      <rPr>
        <vertAlign val="subscript"/>
        <sz val="11"/>
        <color theme="1"/>
        <rFont val="Arial"/>
        <family val="2"/>
      </rPr>
      <t>_OPP</t>
    </r>
    <r>
      <rPr>
        <sz val="11"/>
        <color theme="1"/>
        <rFont val="Arial"/>
        <family val="2"/>
      </rPr>
      <t xml:space="preserve"> =</t>
    </r>
    <phoneticPr fontId="27" type="noConversion"/>
  </si>
  <si>
    <t>20% tolerance</t>
    <phoneticPr fontId="27" type="noConversion"/>
  </si>
  <si>
    <t>ns</t>
    <phoneticPr fontId="27" type="noConversion"/>
  </si>
  <si>
    <r>
      <t>C</t>
    </r>
    <r>
      <rPr>
        <b/>
        <vertAlign val="subscript"/>
        <sz val="12"/>
        <color rgb="FFFF0000"/>
        <rFont val="Arial"/>
        <family val="2"/>
      </rPr>
      <t>FB</t>
    </r>
    <phoneticPr fontId="27" type="noConversion"/>
  </si>
  <si>
    <t>%</t>
    <phoneticPr fontId="27" type="noConversion"/>
  </si>
  <si>
    <t>µH</t>
    <phoneticPr fontId="27" type="noConversion"/>
  </si>
  <si>
    <t>AC</t>
    <phoneticPr fontId="27" type="noConversion"/>
  </si>
  <si>
    <t>V</t>
    <phoneticPr fontId="27" type="noConversion"/>
  </si>
  <si>
    <t>pF</t>
    <phoneticPr fontId="27" type="noConversion"/>
  </si>
  <si>
    <t>Maximum Bias-Supply Operating Voltage</t>
    <phoneticPr fontId="27" type="noConversion"/>
  </si>
  <si>
    <t>Offset to Power Cycle for Long Output Voltage Overshoot</t>
    <phoneticPr fontId="27" type="noConversion"/>
  </si>
  <si>
    <t>Propagation Delay of CS Comparator High to PWML Low</t>
    <phoneticPr fontId="27" type="noConversion"/>
  </si>
  <si>
    <t>HVG Voltage Level</t>
    <phoneticPr fontId="27" type="noConversion"/>
  </si>
  <si>
    <t>Primary Turns</t>
    <phoneticPr fontId="27" type="noConversion"/>
  </si>
  <si>
    <t>Magnetizing Inductance Used in Calculations</t>
    <phoneticPr fontId="27" type="noConversion"/>
  </si>
  <si>
    <t>Transformer Parasitic Capacitance</t>
    <phoneticPr fontId="27" type="noConversion"/>
  </si>
  <si>
    <t>Depletion FET Output Capacitance</t>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</si>
  <si>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</si>
  <si>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7" type="noConversion"/>
  </si>
  <si>
    <r>
      <t>R</t>
    </r>
    <r>
      <rPr>
        <vertAlign val="subscript"/>
        <sz val="11"/>
        <color theme="1"/>
        <rFont val="Arial"/>
        <family val="2"/>
      </rPr>
      <t>VS1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</si>
  <si>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</si>
  <si>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</si>
  <si>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Recommended</t>
    </r>
    <r>
      <rPr>
        <sz val="11"/>
        <color theme="1"/>
        <rFont val="Arial"/>
        <family val="2"/>
      </rPr>
      <t xml:space="preserve"> OPP Resistor</t>
    </r>
    <phoneticPr fontId="27" type="noConversion"/>
  </si>
  <si>
    <r>
      <rPr>
        <b/>
        <sz val="11"/>
        <color theme="1"/>
        <rFont val="Arial"/>
        <family val="2"/>
      </rPr>
      <t>Actual</t>
    </r>
    <r>
      <rPr>
        <sz val="11"/>
        <color theme="1"/>
        <rFont val="Arial"/>
        <family val="2"/>
      </rPr>
      <t xml:space="preserve"> OPP Resistor</t>
    </r>
    <phoneticPr fontId="27" type="noConversion"/>
  </si>
  <si>
    <t>OPP Resistor Used in Calculations</t>
    <phoneticPr fontId="27" type="noConversion"/>
  </si>
  <si>
    <t>Transition Time for ZVS</t>
    <phoneticPr fontId="27" type="noConversion"/>
  </si>
  <si>
    <t>RTZ Resistor Used in Calculations</t>
    <phoneticPr fontId="27" type="noConversion"/>
  </si>
  <si>
    <t>Capacitance Used in Calculations</t>
    <phoneticPr fontId="27" type="noConversion"/>
  </si>
  <si>
    <t>Resistor Used in Calculations</t>
    <phoneticPr fontId="27" type="noConversion"/>
  </si>
  <si>
    <t>Boot Capacitance Used in Calculations</t>
    <phoneticPr fontId="27" type="noConversion"/>
  </si>
  <si>
    <t>Typical Output Voltage</t>
    <phoneticPr fontId="27" type="noConversion"/>
  </si>
  <si>
    <t>%</t>
    <phoneticPr fontId="27" type="noConversion"/>
  </si>
  <si>
    <r>
      <t>C</t>
    </r>
    <r>
      <rPr>
        <vertAlign val="subscript"/>
        <sz val="11"/>
        <color theme="1"/>
        <rFont val="Arial"/>
        <family val="2"/>
      </rPr>
      <t xml:space="preserve">CS </t>
    </r>
    <r>
      <rPr>
        <sz val="11"/>
        <color theme="1"/>
        <rFont val="Arial"/>
        <family val="2"/>
      </rPr>
      <t>=</t>
    </r>
    <phoneticPr fontId="27" type="noConversion"/>
  </si>
  <si>
    <t>pF</t>
    <phoneticPr fontId="27" type="noConversion"/>
  </si>
  <si>
    <r>
      <t>T</t>
    </r>
    <r>
      <rPr>
        <vertAlign val="subscript"/>
        <sz val="11"/>
        <color theme="1"/>
        <rFont val="Arial"/>
        <family val="2"/>
      </rPr>
      <t>D_CS_filter_act</t>
    </r>
    <r>
      <rPr>
        <sz val="11"/>
        <color theme="1"/>
        <rFont val="Arial"/>
        <family val="2"/>
      </rPr>
      <t xml:space="preserve"> =</t>
    </r>
    <phoneticPr fontId="27" type="noConversion"/>
  </si>
  <si>
    <t>ns</t>
    <phoneticPr fontId="27" type="noConversion"/>
  </si>
  <si>
    <r>
      <t>L</t>
    </r>
    <r>
      <rPr>
        <vertAlign val="subscript"/>
        <sz val="11"/>
        <color theme="1"/>
        <rFont val="Arial"/>
        <family val="2"/>
      </rPr>
      <t>DAMP</t>
    </r>
    <r>
      <rPr>
        <sz val="11"/>
        <color theme="1"/>
        <rFont val="Arial"/>
        <family val="2"/>
      </rPr>
      <t xml:space="preserve"> no smaller than</t>
    </r>
    <phoneticPr fontId="27" type="noConversion"/>
  </si>
  <si>
    <t>V</t>
    <phoneticPr fontId="27" type="noConversion"/>
  </si>
  <si>
    <t>µF</t>
    <phoneticPr fontId="27" type="noConversion"/>
  </si>
  <si>
    <t>Ω</t>
    <phoneticPr fontId="27" type="noConversion"/>
  </si>
  <si>
    <r>
      <t>R</t>
    </r>
    <r>
      <rPr>
        <b/>
        <vertAlign val="subscript"/>
        <sz val="12"/>
        <color rgb="FFFF0000"/>
        <rFont val="Arial"/>
        <family val="2"/>
      </rPr>
      <t>COMP</t>
    </r>
    <phoneticPr fontId="27" type="noConversion"/>
  </si>
  <si>
    <t>MΩ</t>
    <phoneticPr fontId="27"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</si>
  <si>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7" type="noConversion"/>
  </si>
  <si>
    <t>%</t>
    <phoneticPr fontId="27" type="noConversion"/>
  </si>
  <si>
    <t>V</t>
    <phoneticPr fontId="27" type="noConversion"/>
  </si>
  <si>
    <t>C3216JB1E336M160AC</t>
    <phoneticPr fontId="27" type="noConversion"/>
  </si>
  <si>
    <t>Minimum Recommended Secondary Turns</t>
    <phoneticPr fontId="27" type="noConversion"/>
  </si>
  <si>
    <t>V</t>
    <phoneticPr fontId="27" type="noConversion"/>
  </si>
  <si>
    <t>DC</t>
  </si>
  <si>
    <t>ns</t>
    <phoneticPr fontId="28" type="noConversion"/>
  </si>
  <si>
    <t>ds specs</t>
  </si>
  <si>
    <t>V</t>
    <phoneticPr fontId="28" type="noConversion"/>
  </si>
  <si>
    <t>A/A</t>
  </si>
  <si>
    <t>V/V</t>
  </si>
  <si>
    <t>V</t>
    <phoneticPr fontId="28" type="noConversion"/>
  </si>
  <si>
    <t>mA</t>
    <phoneticPr fontId="28" type="noConversion"/>
  </si>
  <si>
    <t>µs</t>
  </si>
  <si>
    <t>mA</t>
    <phoneticPr fontId="28" type="noConversion"/>
  </si>
  <si>
    <t>µA</t>
    <phoneticPr fontId="28" type="noConversion"/>
  </si>
  <si>
    <t>mV</t>
    <phoneticPr fontId="28" type="noConversion"/>
  </si>
  <si>
    <t>kHz</t>
    <phoneticPr fontId="28" type="noConversion"/>
  </si>
  <si>
    <t>kHz</t>
    <phoneticPr fontId="28" type="noConversion"/>
  </si>
  <si>
    <t>s</t>
    <phoneticPr fontId="28" type="noConversion"/>
  </si>
  <si>
    <t>1% tolerance</t>
  </si>
  <si>
    <t>UCC28780 ACTIVE-CLAMP FLYBACK DESIGN CALCULATOR</t>
  </si>
  <si>
    <t>ATL431</t>
  </si>
  <si>
    <t>at  80°C ambient</t>
  </si>
  <si>
    <t>FODM8801A</t>
  </si>
  <si>
    <t>Target frequency at maximum load, minimum line</t>
  </si>
  <si>
    <t xml:space="preserve">nA             </t>
  </si>
  <si>
    <t>Input Voltage Type, AC or DC</t>
  </si>
  <si>
    <t>INPUT  SPECIFICATIONS</t>
  </si>
  <si>
    <t>CDSOD323-T18</t>
  </si>
  <si>
    <t>BSS126</t>
  </si>
  <si>
    <t>CSFMT108-HF</t>
  </si>
  <si>
    <t>Voltage at which diode current is negligible</t>
  </si>
  <si>
    <t>µA</t>
  </si>
  <si>
    <t>Loop Stability in AAM</t>
  </si>
  <si>
    <t>Auxillary to Secondary Turns Ratio:</t>
  </si>
  <si>
    <t>kΩ</t>
  </si>
  <si>
    <t>Ω</t>
  </si>
  <si>
    <t>Voltage Above Reflected Output Voltage</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</si>
  <si>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</si>
  <si>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</si>
  <si>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</si>
  <si>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t>Turns</t>
  </si>
  <si>
    <t xml:space="preserve">Turns </t>
  </si>
  <si>
    <t xml:space="preserve">kΩ                </t>
  </si>
  <si>
    <r>
      <t>N</t>
    </r>
    <r>
      <rPr>
        <vertAlign val="subscript"/>
        <sz val="11"/>
        <rFont val="Arial"/>
        <family val="2"/>
      </rPr>
      <t xml:space="preserve">PS </t>
    </r>
    <r>
      <rPr>
        <sz val="11"/>
        <rFont val="Arial"/>
        <family val="2"/>
      </rPr>
      <t>=</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</si>
  <si>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</si>
  <si>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</si>
  <si>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</si>
  <si>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t>N</t>
    </r>
    <r>
      <rPr>
        <vertAlign val="subscript"/>
        <sz val="11"/>
        <rFont val="Arial"/>
        <family val="2"/>
      </rPr>
      <t>A_min</t>
    </r>
    <r>
      <rPr>
        <sz val="11"/>
        <rFont val="Arial"/>
        <family val="2"/>
      </rPr>
      <t xml:space="preserve"> =</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</si>
  <si>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</si>
  <si>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</si>
  <si>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</si>
  <si>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</si>
  <si>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M</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</si>
  <si>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</si>
  <si>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</si>
  <si>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N</t>
    </r>
    <r>
      <rPr>
        <vertAlign val="subscript"/>
        <sz val="12"/>
        <rFont val="Arial"/>
        <family val="2"/>
      </rPr>
      <t>PS</t>
    </r>
    <r>
      <rPr>
        <sz val="12"/>
        <color theme="1"/>
        <rFont val="Arial"/>
        <family val="2"/>
      </rPr>
      <t/>
    </r>
  </si>
  <si>
    <r>
      <t>N</t>
    </r>
    <r>
      <rPr>
        <vertAlign val="subscript"/>
        <sz val="12"/>
        <rFont val="Arial"/>
        <family val="2"/>
      </rPr>
      <t>P</t>
    </r>
  </si>
  <si>
    <r>
      <t>N</t>
    </r>
    <r>
      <rPr>
        <vertAlign val="subscript"/>
        <sz val="12"/>
        <rFont val="Arial"/>
        <family val="2"/>
      </rPr>
      <t>S</t>
    </r>
  </si>
  <si>
    <r>
      <t>N</t>
    </r>
    <r>
      <rPr>
        <vertAlign val="subscript"/>
        <sz val="12"/>
        <rFont val="Arial"/>
        <family val="2"/>
      </rPr>
      <t>A</t>
    </r>
  </si>
  <si>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</si>
  <si>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</si>
  <si>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</si>
  <si>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</si>
  <si>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t>C.   ARC Circuit</t>
  </si>
  <si>
    <r>
      <rPr>
        <b/>
        <sz val="12"/>
        <color rgb="FFFF0000"/>
        <rFont val="新細明體"/>
        <family val="2"/>
        <scheme val="minor"/>
      </rPr>
      <t>C. 1.  R</t>
    </r>
    <r>
      <rPr>
        <b/>
        <sz val="7"/>
        <color rgb="FFFF0000"/>
        <rFont val="新細明體"/>
        <family val="2"/>
        <scheme val="minor"/>
      </rPr>
      <t>COMP</t>
    </r>
    <r>
      <rPr>
        <b/>
        <sz val="12"/>
        <color rgb="FFFF0000"/>
        <rFont val="新細明體"/>
        <family val="2"/>
        <scheme val="minor"/>
      </rPr>
      <t xml:space="preserve"> Determination</t>
    </r>
  </si>
  <si>
    <t>TVS Clamping Diode For SWS</t>
  </si>
  <si>
    <t xml:space="preserve">Ω            </t>
  </si>
  <si>
    <t>RDM Pin Coefficient</t>
  </si>
  <si>
    <t>MΩ</t>
  </si>
  <si>
    <t>Values</t>
  </si>
  <si>
    <t xml:space="preserve">Units </t>
  </si>
  <si>
    <t>This product is designed as an aid for customers of Texas Instruments.  No warranties, either expressed or implied, with respect to this software or its fitness for any particular purpose, are claimed by Texas Instruments or by the author.  The software is licensed solely on an "as is" basis.  The entire risk as to its quality and performance is with the customer.</t>
  </si>
  <si>
    <r>
      <t xml:space="preserve">All </t>
    </r>
    <r>
      <rPr>
        <b/>
        <sz val="14"/>
        <color theme="6" tint="-0.249977111117893"/>
        <rFont val="Arial"/>
        <family val="2"/>
      </rPr>
      <t>Green-Shaded</t>
    </r>
    <r>
      <rPr>
        <b/>
        <sz val="14"/>
        <color theme="1"/>
        <rFont val="Arial"/>
        <family val="2"/>
      </rPr>
      <t xml:space="preserve"> cells are USER INPUTS.</t>
    </r>
  </si>
  <si>
    <t>Target efficiency at maximum load, minimum line</t>
  </si>
  <si>
    <t>Power-level threshold to start OPP timer</t>
  </si>
  <si>
    <t>No-load frequency</t>
  </si>
  <si>
    <t>Input Cap and Output Cap Selection</t>
  </si>
  <si>
    <r>
      <t>Depletion-mode V</t>
    </r>
    <r>
      <rPr>
        <b/>
        <vertAlign val="subscript"/>
        <sz val="11"/>
        <color theme="0"/>
        <rFont val="Arial"/>
        <family val="2"/>
      </rPr>
      <t>SW</t>
    </r>
    <r>
      <rPr>
        <b/>
        <sz val="11"/>
        <color theme="0"/>
        <rFont val="Arial"/>
        <family val="2"/>
      </rPr>
      <t>-Sensing FET</t>
    </r>
  </si>
  <si>
    <t>UCC28780 Electrical Characteristics (from datasheet SLUSD12A)</t>
  </si>
  <si>
    <t>Typical VDD Turn-off Threshold</t>
  </si>
  <si>
    <t>VS Line-Sense Run Current</t>
  </si>
  <si>
    <t>VS Pin Over-Voltage Threshold</t>
  </si>
  <si>
    <t>VS Pin Negative-Clamp Level</t>
  </si>
  <si>
    <t>Line-Compensation Current Ratio</t>
  </si>
  <si>
    <t>HVG Sink-Current During Start-up</t>
  </si>
  <si>
    <t>Fault-Delay-Recovery Time</t>
  </si>
  <si>
    <t>Typical VDD Turn-on Threshold</t>
  </si>
  <si>
    <t>Transformer Parameters</t>
  </si>
  <si>
    <t>Minimum Primary-to-Secondary Turns Ratio</t>
  </si>
  <si>
    <t xml:space="preserve">Maximum Primary-to-Secondary Turns Ratio </t>
  </si>
  <si>
    <t>Primary-to-Secondary Turns Ratio Used in Calculations</t>
  </si>
  <si>
    <r>
      <rPr>
        <b/>
        <sz val="11"/>
        <rFont val="Arial"/>
        <family val="2"/>
      </rPr>
      <t>Minimum</t>
    </r>
    <r>
      <rPr>
        <sz val="11"/>
        <rFont val="Arial"/>
        <family val="2"/>
      </rPr>
      <t xml:space="preserve"> Auxiliary-Winding Turns</t>
    </r>
  </si>
  <si>
    <r>
      <rPr>
        <b/>
        <sz val="11"/>
        <rFont val="Arial"/>
        <family val="2"/>
      </rPr>
      <t>Maximum</t>
    </r>
    <r>
      <rPr>
        <sz val="11"/>
        <rFont val="Arial"/>
        <family val="2"/>
      </rPr>
      <t xml:space="preserve"> Auxiliary-Winding Turns</t>
    </r>
  </si>
  <si>
    <t>Maximum Duty-Cycle</t>
  </si>
  <si>
    <t>Time-Based Output Capacitance of QH</t>
  </si>
  <si>
    <t>Time-Based Output Capacitance of QL</t>
  </si>
  <si>
    <t>Multi-Level Burst-Mode Threshold Calculations for USB-PD Applications</t>
  </si>
  <si>
    <t>(with Aux-winding arrangement shown below)</t>
  </si>
  <si>
    <t>Ripple-Regulation in ABM</t>
  </si>
  <si>
    <t>Frequency Compensation Networks</t>
  </si>
  <si>
    <t>Voltage-Divider for Shunt Regulator</t>
  </si>
  <si>
    <t>ns</t>
  </si>
  <si>
    <t>Maximum Control FB Current (typ)</t>
  </si>
  <si>
    <t>VDD Supply Current, Wait-state</t>
  </si>
  <si>
    <t>Maximum Threshold on CS Pin</t>
  </si>
  <si>
    <t>Estimate spike voltage due to inductive ringing</t>
  </si>
  <si>
    <t>Lowest RMS or DC input  voltage, steady-state</t>
  </si>
  <si>
    <t>Highest RMS or DC input voltage, steady-state</t>
  </si>
  <si>
    <t>Burst threshold is normally set at high line</t>
  </si>
  <si>
    <t>Primary Half-Bridge MOSFET Switches, QL, QH</t>
  </si>
  <si>
    <t>Selected QH Part Number (for reference)</t>
  </si>
  <si>
    <t>Selected QL Part Number (for reference)</t>
  </si>
  <si>
    <t>Output Rectifier Part Number (for reference)</t>
  </si>
  <si>
    <t>Selected Part Number (for reference)</t>
  </si>
  <si>
    <t xml:space="preserve">pF  </t>
  </si>
  <si>
    <t>Select standard value including tolerance</t>
  </si>
  <si>
    <t>RMS or DC Brown-out voltage (result of Brown-in choice)</t>
  </si>
  <si>
    <t>at ~4V</t>
  </si>
  <si>
    <t>Secondary Rectifier, SR or Diode     (Synchronous Rectifier (SR) MOSFET assumed for highest efficiency.  Diode parameters may also be used.)</t>
  </si>
  <si>
    <t xml:space="preserve">At maximum voltage rating of rectifier </t>
  </si>
  <si>
    <t>For SR use 0V</t>
  </si>
  <si>
    <t>Pulsed current rating</t>
  </si>
  <si>
    <r>
      <t>WHERE APPLICABLE, A RECOMMENDED VALUE IS CALCULATED THAT WILL BE THE BEST CHOICE TO MEET THE GIVEN SPECIFICATION(S).  
IT IS IN THE BEST INTEREST OF THE USER TO SPECIFY A STANDARD VALUE AS CLOSE AS POSSIBLE TO THE RECOMMENDED</t>
    </r>
    <r>
      <rPr>
        <sz val="11"/>
        <color rgb="FFFF00FF"/>
        <rFont val="Arial"/>
        <family val="2"/>
      </rPr>
      <t xml:space="preserve"> </t>
    </r>
    <r>
      <rPr>
        <sz val="11"/>
        <rFont val="Arial"/>
        <family val="2"/>
      </rPr>
      <t>VALUE.  
FOR ACCURATE RESULTS, THE USER MUST ENTER THE ACTUAL VALUE USED INTO THE APPROPRIATE CELL.</t>
    </r>
  </si>
  <si>
    <t>VCC current of driver without switching</t>
  </si>
  <si>
    <t>UCC27712</t>
  </si>
  <si>
    <t>Half-Bridge Gate Driver Part Number (for reference)</t>
  </si>
  <si>
    <t>Gate Driver (primary-side half-bridge driver specifications)</t>
  </si>
  <si>
    <t>Secondary Resonance and Active Ripple Compensation (ARC) Circuits</t>
  </si>
  <si>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bscript"/>
        <sz val="11"/>
        <color theme="1"/>
        <rFont val="Arial"/>
        <family val="2"/>
      </rPr>
      <t>PS</t>
    </r>
    <r>
      <rPr>
        <b/>
        <vertAlign val="superscript"/>
        <sz val="11"/>
        <color theme="1"/>
        <rFont val="Arial"/>
        <family val="2"/>
      </rPr>
      <t>2</t>
    </r>
    <r>
      <rPr>
        <b/>
        <sz val="11"/>
        <color theme="1"/>
        <rFont val="Arial"/>
        <family val="2"/>
      </rPr>
      <t>, and clamp voltage is constant</t>
    </r>
  </si>
  <si>
    <r>
      <t>Recommended C</t>
    </r>
    <r>
      <rPr>
        <vertAlign val="subscript"/>
        <sz val="11"/>
        <rFont val="Arial"/>
        <family val="2"/>
      </rPr>
      <t>O1</t>
    </r>
    <r>
      <rPr>
        <sz val="11"/>
        <rFont val="Arial"/>
        <family val="2"/>
      </rPr>
      <t xml:space="preserve">  </t>
    </r>
  </si>
  <si>
    <r>
      <t>C</t>
    </r>
    <r>
      <rPr>
        <vertAlign val="subscript"/>
        <sz val="11"/>
        <rFont val="Arial"/>
        <family val="2"/>
      </rPr>
      <t>O1</t>
    </r>
    <r>
      <rPr>
        <sz val="11"/>
        <rFont val="Arial"/>
        <family val="2"/>
      </rPr>
      <t xml:space="preserve"> Used in Calculation</t>
    </r>
  </si>
  <si>
    <r>
      <t>Higher Efficiency &lt;== Unstable V</t>
    </r>
    <r>
      <rPr>
        <vertAlign val="subscript"/>
        <sz val="11"/>
        <color theme="1"/>
        <rFont val="Arial"/>
        <family val="2"/>
      </rPr>
      <t xml:space="preserve">gs(SR) </t>
    </r>
    <r>
      <rPr>
        <sz val="11"/>
        <color theme="1"/>
        <rFont val="Arial"/>
        <family val="2"/>
      </rPr>
      <t>&lt;== Higher V</t>
    </r>
    <r>
      <rPr>
        <vertAlign val="subscript"/>
        <sz val="11"/>
        <color theme="1"/>
        <rFont val="Arial"/>
        <family val="2"/>
      </rPr>
      <t>Co1</t>
    </r>
    <r>
      <rPr>
        <sz val="11"/>
        <color theme="1"/>
        <rFont val="Arial"/>
        <family val="2"/>
      </rPr>
      <t xml:space="preserve"> ripple &lt;== Increase L</t>
    </r>
    <r>
      <rPr>
        <vertAlign val="subscript"/>
        <sz val="11"/>
        <color theme="1"/>
        <rFont val="Arial"/>
        <family val="2"/>
      </rPr>
      <t>DAMP</t>
    </r>
    <r>
      <rPr>
        <sz val="11"/>
        <color theme="1"/>
        <rFont val="Arial"/>
        <family val="2"/>
      </rPr>
      <t xml:space="preserve"> for weaker damping</t>
    </r>
  </si>
  <si>
    <r>
      <t>A.  L</t>
    </r>
    <r>
      <rPr>
        <b/>
        <vertAlign val="subscript"/>
        <sz val="11"/>
        <color rgb="FFFF0000"/>
        <rFont val="Arial"/>
        <family val="2"/>
      </rPr>
      <t>DAMP</t>
    </r>
    <r>
      <rPr>
        <b/>
        <sz val="11"/>
        <color rgb="FFFF0000"/>
        <rFont val="Arial"/>
        <family val="2"/>
      </rPr>
      <t xml:space="preserve"> Determination</t>
    </r>
  </si>
  <si>
    <r>
      <t>Increase C</t>
    </r>
    <r>
      <rPr>
        <vertAlign val="subscript"/>
        <sz val="11"/>
        <color theme="1"/>
        <rFont val="Arial"/>
        <family val="2"/>
      </rPr>
      <t>O1</t>
    </r>
  </si>
  <si>
    <t>For reference, please see Section 7.3.2 of the UCC28780 datasheet for more detail about the ARC circuit.</t>
  </si>
  <si>
    <t>Variable Burst Packets</t>
  </si>
  <si>
    <t>Consistent Burst Packets</t>
  </si>
  <si>
    <r>
      <t>Suggested start with R</t>
    </r>
    <r>
      <rPr>
        <vertAlign val="subscript"/>
        <sz val="11"/>
        <rFont val="Arial"/>
        <family val="2"/>
      </rPr>
      <t>COMP</t>
    </r>
    <r>
      <rPr>
        <sz val="11"/>
        <rFont val="Arial"/>
        <family val="2"/>
      </rPr>
      <t xml:space="preserve"> = 1MΩ, can reduce value to improve ABM stability, but no smaller than 510kΩ, or will affect start up and OPP</t>
    </r>
  </si>
  <si>
    <r>
      <t>N</t>
    </r>
    <r>
      <rPr>
        <vertAlign val="subscript"/>
        <sz val="11"/>
        <rFont val="Arial"/>
        <family val="2"/>
      </rPr>
      <t>aux1</t>
    </r>
    <r>
      <rPr>
        <sz val="11"/>
        <rFont val="Arial"/>
        <family val="2"/>
      </rPr>
      <t xml:space="preserve"> =</t>
    </r>
  </si>
  <si>
    <r>
      <t>N</t>
    </r>
    <r>
      <rPr>
        <vertAlign val="subscript"/>
        <sz val="11"/>
        <rFont val="Arial"/>
        <family val="2"/>
      </rPr>
      <t>aux2</t>
    </r>
    <r>
      <rPr>
        <sz val="11"/>
        <rFont val="Arial"/>
        <family val="2"/>
      </rPr>
      <t xml:space="preserve"> =</t>
    </r>
  </si>
  <si>
    <r>
      <t>R</t>
    </r>
    <r>
      <rPr>
        <vertAlign val="subscript"/>
        <sz val="11"/>
        <rFont val="Arial"/>
        <family val="2"/>
      </rPr>
      <t>BUR1</t>
    </r>
    <r>
      <rPr>
        <sz val="11"/>
        <rFont val="Arial"/>
        <family val="2"/>
      </rPr>
      <t xml:space="preserve"> =</t>
    </r>
  </si>
  <si>
    <r>
      <t>V</t>
    </r>
    <r>
      <rPr>
        <vertAlign val="subscript"/>
        <sz val="11"/>
        <rFont val="Arial"/>
        <family val="2"/>
      </rPr>
      <t>O_high</t>
    </r>
    <r>
      <rPr>
        <sz val="11"/>
        <rFont val="Arial"/>
        <family val="2"/>
      </rPr>
      <t xml:space="preserve"> =</t>
    </r>
  </si>
  <si>
    <r>
      <t>V</t>
    </r>
    <r>
      <rPr>
        <vertAlign val="subscript"/>
        <sz val="11"/>
        <rFont val="Arial"/>
        <family val="2"/>
      </rPr>
      <t>O_low</t>
    </r>
    <r>
      <rPr>
        <sz val="11"/>
        <rFont val="Arial"/>
        <family val="2"/>
      </rPr>
      <t xml:space="preserve"> =</t>
    </r>
  </si>
  <si>
    <r>
      <t>V</t>
    </r>
    <r>
      <rPr>
        <vertAlign val="subscript"/>
        <sz val="11"/>
        <rFont val="Arial"/>
        <family val="2"/>
      </rPr>
      <t>BUR1</t>
    </r>
    <r>
      <rPr>
        <sz val="11"/>
        <rFont val="Arial"/>
        <family val="2"/>
      </rPr>
      <t xml:space="preserve"> =</t>
    </r>
  </si>
  <si>
    <r>
      <t>V</t>
    </r>
    <r>
      <rPr>
        <vertAlign val="subscript"/>
        <sz val="11"/>
        <rFont val="Arial"/>
        <family val="2"/>
      </rPr>
      <t>BUR2</t>
    </r>
    <r>
      <rPr>
        <sz val="11"/>
        <rFont val="Arial"/>
        <family val="2"/>
      </rPr>
      <t xml:space="preserve"> =</t>
    </r>
  </si>
  <si>
    <r>
      <t>0.7V &lt; V</t>
    </r>
    <r>
      <rPr>
        <vertAlign val="subscript"/>
        <sz val="11"/>
        <rFont val="Arial"/>
        <family val="2"/>
      </rPr>
      <t>BUR1</t>
    </r>
    <r>
      <rPr>
        <sz val="11"/>
        <rFont val="Arial"/>
        <family val="2"/>
      </rPr>
      <t xml:space="preserve"> &lt; 2.4V</t>
    </r>
  </si>
  <si>
    <r>
      <t>0.7V &lt; V</t>
    </r>
    <r>
      <rPr>
        <vertAlign val="subscript"/>
        <sz val="11"/>
        <rFont val="Arial"/>
        <family val="2"/>
      </rPr>
      <t>BUR2</t>
    </r>
    <r>
      <rPr>
        <sz val="11"/>
        <rFont val="Arial"/>
        <family val="2"/>
      </rPr>
      <t xml:space="preserve"> &lt; 2.4V</t>
    </r>
  </si>
  <si>
    <t>Keep:</t>
  </si>
  <si>
    <r>
      <t>Keep: 
V</t>
    </r>
    <r>
      <rPr>
        <vertAlign val="subscript"/>
        <sz val="11"/>
        <rFont val="Arial"/>
        <family val="2"/>
      </rPr>
      <t>BUR1</t>
    </r>
    <r>
      <rPr>
        <sz val="11"/>
        <rFont val="Arial"/>
        <family val="2"/>
      </rPr>
      <t xml:space="preserve"> - V</t>
    </r>
    <r>
      <rPr>
        <vertAlign val="subscript"/>
        <sz val="11"/>
        <rFont val="Arial"/>
        <family val="2"/>
      </rPr>
      <t>BUR2</t>
    </r>
    <r>
      <rPr>
        <sz val="11"/>
        <rFont val="Arial"/>
        <family val="2"/>
      </rPr>
      <t xml:space="preserve"> &gt; 100 mV</t>
    </r>
  </si>
  <si>
    <r>
      <t>R</t>
    </r>
    <r>
      <rPr>
        <vertAlign val="subscript"/>
        <sz val="11"/>
        <rFont val="Arial"/>
        <family val="2"/>
      </rPr>
      <t>BUR2</t>
    </r>
    <r>
      <rPr>
        <sz val="11"/>
        <rFont val="Arial"/>
        <family val="2"/>
      </rPr>
      <t xml:space="preserve"> =</t>
    </r>
  </si>
  <si>
    <r>
      <t>R</t>
    </r>
    <r>
      <rPr>
        <vertAlign val="subscript"/>
        <sz val="11"/>
        <rFont val="Arial"/>
        <family val="2"/>
      </rPr>
      <t>BUR3</t>
    </r>
    <r>
      <rPr>
        <sz val="11"/>
        <rFont val="Arial"/>
        <family val="2"/>
      </rPr>
      <t xml:space="preserve"> =</t>
    </r>
  </si>
  <si>
    <r>
      <t>1.  Improves ABM and transient stability for lower V</t>
    </r>
    <r>
      <rPr>
        <vertAlign val="subscript"/>
        <sz val="11"/>
        <color theme="1"/>
        <rFont val="Arial"/>
        <family val="2"/>
      </rPr>
      <t>O</t>
    </r>
    <r>
      <rPr>
        <sz val="11"/>
        <color theme="1"/>
        <rFont val="Arial"/>
        <family val="2"/>
      </rPr>
      <t xml:space="preserve"> </t>
    </r>
  </si>
  <si>
    <t>ds recommendation</t>
  </si>
  <si>
    <t>typical</t>
  </si>
  <si>
    <t>ds page 20</t>
  </si>
  <si>
    <t>Over-Power Threshold on CS Pin,  at Ivsl = -1.25mA</t>
  </si>
  <si>
    <r>
      <t>L</t>
    </r>
    <r>
      <rPr>
        <vertAlign val="subscript"/>
        <sz val="11"/>
        <rFont val="Arial"/>
        <family val="2"/>
      </rPr>
      <t xml:space="preserve">M_act </t>
    </r>
    <r>
      <rPr>
        <sz val="11"/>
        <rFont val="Arial"/>
        <family val="2"/>
      </rPr>
      <t>=</t>
    </r>
  </si>
  <si>
    <r>
      <rPr>
        <b/>
        <sz val="11"/>
        <rFont val="Arial"/>
        <family val="2"/>
      </rPr>
      <t>Actual</t>
    </r>
    <r>
      <rPr>
        <sz val="11"/>
        <rFont val="Arial"/>
        <family val="2"/>
      </rPr>
      <t xml:space="preserve"> Primary Leakage Inductance</t>
    </r>
  </si>
  <si>
    <r>
      <t>L</t>
    </r>
    <r>
      <rPr>
        <vertAlign val="subscript"/>
        <sz val="11"/>
        <rFont val="Arial"/>
        <family val="2"/>
      </rPr>
      <t>K_act</t>
    </r>
    <r>
      <rPr>
        <sz val="11"/>
        <rFont val="Arial"/>
        <family val="2"/>
      </rPr>
      <t>=</t>
    </r>
  </si>
  <si>
    <t>Secondary Side Reflected to Primary Side</t>
  </si>
  <si>
    <t xml:space="preserve">Initial capacitance is reduced by this percentage due to applied voltage </t>
  </si>
  <si>
    <t>Bleed Resistance Used in Calculations</t>
  </si>
  <si>
    <t>Estimated Transformer Efficiency</t>
  </si>
  <si>
    <r>
      <rPr>
        <sz val="12"/>
        <rFont val="Arial"/>
        <family val="2"/>
      </rPr>
      <t>η</t>
    </r>
    <r>
      <rPr>
        <vertAlign val="subscript"/>
        <sz val="11"/>
        <rFont val="Arial"/>
        <family val="2"/>
      </rPr>
      <t>XFMR</t>
    </r>
    <r>
      <rPr>
        <sz val="11"/>
        <rFont val="Arial"/>
        <family val="2"/>
      </rPr>
      <t xml:space="preserve"> =</t>
    </r>
  </si>
  <si>
    <t>Transformer Primary Winding Capacitance</t>
  </si>
  <si>
    <t>DC Resistance of Primary Winding</t>
  </si>
  <si>
    <t>Derived from self-resonant frequency of primary winding</t>
  </si>
  <si>
    <t>Measured from transformer sample</t>
  </si>
  <si>
    <r>
      <t>N</t>
    </r>
    <r>
      <rPr>
        <sz val="7"/>
        <rFont val="Arial"/>
        <family val="2"/>
      </rPr>
      <t xml:space="preserve">PS_min </t>
    </r>
    <r>
      <rPr>
        <sz val="11"/>
        <rFont val="Arial"/>
        <family val="2"/>
      </rPr>
      <t>&lt; N</t>
    </r>
    <r>
      <rPr>
        <sz val="7"/>
        <rFont val="Arial"/>
        <family val="2"/>
      </rPr>
      <t xml:space="preserve">PS </t>
    </r>
    <r>
      <rPr>
        <sz val="11"/>
        <rFont val="Arial"/>
        <family val="2"/>
      </rPr>
      <t>&lt; N</t>
    </r>
    <r>
      <rPr>
        <sz val="7"/>
        <rFont val="Arial"/>
        <family val="2"/>
      </rPr>
      <t>PS_max</t>
    </r>
    <r>
      <rPr>
        <sz val="11"/>
        <rFont val="Arial"/>
        <family val="2"/>
      </rPr>
      <t xml:space="preserve"> </t>
    </r>
  </si>
  <si>
    <t>Delay from RUN High to PWML High</t>
  </si>
  <si>
    <t>FB Pin Pull-up Resistance</t>
  </si>
  <si>
    <t>Regulated FB Pull-up Voltage</t>
  </si>
  <si>
    <t>Upper Threshold of Burst Frequency in ABM</t>
  </si>
  <si>
    <t>Lower Threshold of Burst Frequency in ABM</t>
  </si>
  <si>
    <t>Resonant Duty-Cycle Factor</t>
  </si>
  <si>
    <t>Maximum Voltage Spike (if any) on Output Rectifier</t>
  </si>
  <si>
    <t>Estimate maximum increase in clamp voltage during LPM</t>
  </si>
  <si>
    <t>Margin added to VDD_off threshold to calculate minimum AUX turns</t>
  </si>
  <si>
    <t>Estimate portion of maximum switching period for ZVS resonance, at low-line</t>
  </si>
  <si>
    <r>
      <rPr>
        <sz val="11"/>
        <color theme="1"/>
        <rFont val="FangSong"/>
        <family val="3"/>
        <charset val="134"/>
      </rPr>
      <t xml:space="preserve">≈ </t>
    </r>
    <r>
      <rPr>
        <sz val="11"/>
        <color theme="1"/>
        <rFont val="Arial"/>
        <family val="2"/>
      </rPr>
      <t>R</t>
    </r>
    <r>
      <rPr>
        <vertAlign val="subscript"/>
        <sz val="11"/>
        <color theme="1"/>
        <rFont val="Arial"/>
        <family val="2"/>
      </rPr>
      <t>OPP</t>
    </r>
    <r>
      <rPr>
        <sz val="11"/>
        <color theme="1"/>
        <rFont val="Arial"/>
        <family val="2"/>
      </rPr>
      <t xml:space="preserve"> x C</t>
    </r>
    <r>
      <rPr>
        <vertAlign val="subscript"/>
        <sz val="11"/>
        <color theme="1"/>
        <rFont val="Arial"/>
        <family val="2"/>
      </rPr>
      <t>CS</t>
    </r>
  </si>
  <si>
    <t>Enter nearest standard value, 1%</t>
  </si>
  <si>
    <t>Maximum Bias Resistor1 During SBP mode</t>
  </si>
  <si>
    <t>Maximum Bias Resistor1 During ABM mode</t>
  </si>
  <si>
    <t>Bias Resistor2 Used in Calculations</t>
  </si>
  <si>
    <t>Shunt Regulator Part Number (for reference)</t>
  </si>
  <si>
    <t>(This value not calculated at this time.)</t>
  </si>
  <si>
    <t>Initial capacitance is reduced by this percentage due to applied voltage</t>
  </si>
  <si>
    <t>Calculated Resistance in Series with Source to SWS</t>
  </si>
  <si>
    <t>Output Voltage Reflected to Auxiliary Winding</t>
  </si>
  <si>
    <t>Estimated with no external load applied.</t>
  </si>
  <si>
    <t>FB Pin Resistance Used in Calculations</t>
  </si>
  <si>
    <t>Target Threshold Voltage at CS Input</t>
  </si>
  <si>
    <t>Turn-off Delay Time due to Coss of low-side MOSFET</t>
  </si>
  <si>
    <t>Turn-off Delay Time due to Coss of low-side MOSFET at min bulk</t>
  </si>
  <si>
    <t>Max Power Dissipation:</t>
  </si>
  <si>
    <t>Secondary-side Resonance in another tab</t>
  </si>
  <si>
    <r>
      <t>N</t>
    </r>
    <r>
      <rPr>
        <vertAlign val="subscript"/>
        <sz val="12"/>
        <rFont val="Arial"/>
        <family val="2"/>
      </rPr>
      <t>AS</t>
    </r>
    <r>
      <rPr>
        <sz val="12"/>
        <color theme="1"/>
        <rFont val="Arial"/>
        <family val="2"/>
      </rPr>
      <t/>
    </r>
  </si>
  <si>
    <t>OVP =</t>
  </si>
  <si>
    <t>OPP =</t>
  </si>
  <si>
    <t>BUR =</t>
  </si>
  <si>
    <t>SET =</t>
  </si>
  <si>
    <r>
      <t xml:space="preserve"> V</t>
    </r>
    <r>
      <rPr>
        <vertAlign val="subscript"/>
        <sz val="11"/>
        <rFont val="Arial"/>
        <family val="2"/>
      </rPr>
      <t>CE_sat_opto</t>
    </r>
    <r>
      <rPr>
        <sz val="11"/>
        <rFont val="Arial"/>
        <family val="2"/>
      </rPr>
      <t>=</t>
    </r>
  </si>
  <si>
    <r>
      <t>V</t>
    </r>
    <r>
      <rPr>
        <vertAlign val="subscript"/>
        <sz val="11"/>
        <rFont val="Arial"/>
        <family val="2"/>
      </rPr>
      <t>D_LED</t>
    </r>
    <r>
      <rPr>
        <sz val="11"/>
        <rFont val="Arial"/>
        <family val="2"/>
      </rPr>
      <t>=</t>
    </r>
  </si>
  <si>
    <r>
      <t xml:space="preserve"> f</t>
    </r>
    <r>
      <rPr>
        <vertAlign val="subscript"/>
        <sz val="11"/>
        <rFont val="Arial"/>
        <family val="2"/>
      </rPr>
      <t>p_opto</t>
    </r>
    <r>
      <rPr>
        <sz val="11"/>
        <rFont val="Arial"/>
        <family val="2"/>
      </rPr>
      <t>=</t>
    </r>
  </si>
  <si>
    <r>
      <t xml:space="preserve"> K</t>
    </r>
    <r>
      <rPr>
        <vertAlign val="subscript"/>
        <sz val="11"/>
        <rFont val="Arial"/>
        <family val="2"/>
      </rPr>
      <t>CTR_Temp</t>
    </r>
    <r>
      <rPr>
        <sz val="11"/>
        <rFont val="Arial"/>
        <family val="2"/>
      </rPr>
      <t>=</t>
    </r>
  </si>
  <si>
    <r>
      <t xml:space="preserve"> I</t>
    </r>
    <r>
      <rPr>
        <vertAlign val="subscript"/>
        <sz val="11"/>
        <color theme="1"/>
        <rFont val="Arial"/>
        <family val="2"/>
      </rPr>
      <t>KA_min</t>
    </r>
    <r>
      <rPr>
        <sz val="11"/>
        <color theme="1"/>
        <rFont val="Arial"/>
        <family val="2"/>
      </rPr>
      <t>=</t>
    </r>
  </si>
  <si>
    <r>
      <t xml:space="preserve"> V</t>
    </r>
    <r>
      <rPr>
        <vertAlign val="subscript"/>
        <sz val="11"/>
        <color theme="1"/>
        <rFont val="Arial"/>
        <family val="2"/>
      </rPr>
      <t>ref_431</t>
    </r>
    <r>
      <rPr>
        <sz val="11"/>
        <color theme="1"/>
        <rFont val="Arial"/>
        <family val="2"/>
      </rPr>
      <t>=</t>
    </r>
  </si>
  <si>
    <r>
      <t xml:space="preserve"> I</t>
    </r>
    <r>
      <rPr>
        <vertAlign val="subscript"/>
        <sz val="11"/>
        <rFont val="Arial"/>
        <family val="2"/>
      </rPr>
      <t>ref_431_typ</t>
    </r>
    <r>
      <rPr>
        <sz val="11"/>
        <rFont val="Arial"/>
        <family val="2"/>
      </rPr>
      <t>=</t>
    </r>
  </si>
  <si>
    <r>
      <t xml:space="preserve"> I</t>
    </r>
    <r>
      <rPr>
        <vertAlign val="subscript"/>
        <sz val="11"/>
        <color theme="1"/>
        <rFont val="Arial"/>
        <family val="2"/>
      </rPr>
      <t>ref_431_max</t>
    </r>
    <r>
      <rPr>
        <sz val="11"/>
        <color theme="1"/>
        <rFont val="Arial"/>
        <family val="2"/>
      </rPr>
      <t xml:space="preserve"> =</t>
    </r>
  </si>
  <si>
    <r>
      <t xml:space="preserve"> C</t>
    </r>
    <r>
      <rPr>
        <vertAlign val="subscript"/>
        <sz val="11"/>
        <color theme="1"/>
        <rFont val="Arial"/>
        <family val="2"/>
      </rPr>
      <t>OSS_Qs</t>
    </r>
    <r>
      <rPr>
        <sz val="11"/>
        <color theme="1"/>
        <rFont val="Arial"/>
        <family val="2"/>
      </rPr>
      <t>=</t>
    </r>
  </si>
  <si>
    <r>
      <t xml:space="preserve"> V</t>
    </r>
    <r>
      <rPr>
        <vertAlign val="subscript"/>
        <sz val="11"/>
        <color theme="1"/>
        <rFont val="Arial"/>
        <family val="2"/>
      </rPr>
      <t>gs_Qs</t>
    </r>
    <r>
      <rPr>
        <sz val="11"/>
        <color theme="1"/>
        <rFont val="Arial"/>
        <family val="2"/>
      </rPr>
      <t>=</t>
    </r>
  </si>
  <si>
    <r>
      <t xml:space="preserve"> L</t>
    </r>
    <r>
      <rPr>
        <vertAlign val="subscript"/>
        <sz val="11"/>
        <color theme="1"/>
        <rFont val="Arial"/>
        <family val="2"/>
      </rPr>
      <t>Qs</t>
    </r>
    <r>
      <rPr>
        <sz val="11"/>
        <color theme="1"/>
        <rFont val="Arial"/>
        <family val="2"/>
      </rPr>
      <t>=</t>
    </r>
  </si>
  <si>
    <r>
      <t xml:space="preserve"> V</t>
    </r>
    <r>
      <rPr>
        <vertAlign val="subscript"/>
        <sz val="11"/>
        <color theme="1"/>
        <rFont val="Arial"/>
        <family val="2"/>
      </rPr>
      <t>th_Qs</t>
    </r>
    <r>
      <rPr>
        <sz val="11"/>
        <color theme="1"/>
        <rFont val="Arial"/>
        <family val="2"/>
      </rPr>
      <t>=</t>
    </r>
  </si>
  <si>
    <r>
      <t xml:space="preserve"> V</t>
    </r>
    <r>
      <rPr>
        <vertAlign val="subscript"/>
        <sz val="11"/>
        <rFont val="Arial"/>
        <family val="2"/>
      </rPr>
      <t>Dz_rec</t>
    </r>
    <r>
      <rPr>
        <sz val="11"/>
        <rFont val="Arial"/>
        <family val="2"/>
      </rPr>
      <t xml:space="preserve"> =</t>
    </r>
  </si>
  <si>
    <r>
      <t xml:space="preserve"> C</t>
    </r>
    <r>
      <rPr>
        <vertAlign val="subscript"/>
        <sz val="11"/>
        <rFont val="Arial"/>
        <family val="2"/>
      </rPr>
      <t xml:space="preserve">Dz </t>
    </r>
    <r>
      <rPr>
        <sz val="11"/>
        <rFont val="Arial"/>
        <family val="2"/>
      </rPr>
      <t>=</t>
    </r>
  </si>
  <si>
    <r>
      <t xml:space="preserve"> C</t>
    </r>
    <r>
      <rPr>
        <vertAlign val="subscript"/>
        <sz val="11"/>
        <color theme="1"/>
        <rFont val="Arial"/>
        <family val="2"/>
      </rPr>
      <t>Daux_T</t>
    </r>
    <r>
      <rPr>
        <sz val="11"/>
        <color theme="1"/>
        <rFont val="Arial"/>
        <family val="2"/>
      </rPr>
      <t>=</t>
    </r>
  </si>
  <si>
    <r>
      <t xml:space="preserve"> C</t>
    </r>
    <r>
      <rPr>
        <vertAlign val="subscript"/>
        <sz val="11"/>
        <color theme="1"/>
        <rFont val="Arial"/>
        <family val="2"/>
      </rPr>
      <t>Daux_H</t>
    </r>
    <r>
      <rPr>
        <sz val="11"/>
        <color theme="1"/>
        <rFont val="Arial"/>
        <family val="2"/>
      </rPr>
      <t>=</t>
    </r>
  </si>
  <si>
    <r>
      <t xml:space="preserve"> V</t>
    </r>
    <r>
      <rPr>
        <vertAlign val="subscript"/>
        <sz val="11"/>
        <color theme="1"/>
        <rFont val="Arial"/>
        <family val="2"/>
      </rPr>
      <t>f_Daux</t>
    </r>
    <r>
      <rPr>
        <sz val="11"/>
        <color theme="1"/>
        <rFont val="Arial"/>
        <family val="2"/>
      </rPr>
      <t>=</t>
    </r>
  </si>
  <si>
    <r>
      <t xml:space="preserve"> I</t>
    </r>
    <r>
      <rPr>
        <vertAlign val="subscript"/>
        <sz val="11"/>
        <color theme="1"/>
        <rFont val="Arial"/>
        <family val="2"/>
      </rPr>
      <t>Daux_max</t>
    </r>
    <r>
      <rPr>
        <sz val="11"/>
        <color theme="1"/>
        <rFont val="Arial"/>
        <family val="2"/>
      </rPr>
      <t>=</t>
    </r>
  </si>
  <si>
    <t>at rated reverse voltage</t>
  </si>
  <si>
    <t>Forward Rectified Current</t>
  </si>
  <si>
    <t>Forward Voltage</t>
  </si>
  <si>
    <t>Output Capacitance During High Voltage</t>
  </si>
  <si>
    <t>Time-Related Output Capacitance</t>
  </si>
  <si>
    <t>Recommended Minimum Breakdown Voltage</t>
  </si>
  <si>
    <t>Typical Capacitance</t>
  </si>
  <si>
    <t>Output Capacitance</t>
  </si>
  <si>
    <t>Parasitic Inductance</t>
  </si>
  <si>
    <t>Maximum Input Capacitance</t>
  </si>
  <si>
    <t>Gate Threshold Voltage</t>
  </si>
  <si>
    <t>Minimum Cathode Current for Regulation</t>
  </si>
  <si>
    <t>Reference Voltage</t>
  </si>
  <si>
    <t>Typical Reference Bias Current</t>
  </si>
  <si>
    <t>Maximum Reference Bias Current</t>
  </si>
  <si>
    <t>Collector-Emitter Saturation Voltage</t>
  </si>
  <si>
    <t>Cut-Off Frequency</t>
  </si>
  <si>
    <t>Maximum Current-Transfer Ratio</t>
  </si>
  <si>
    <t>Minimum Current-Transfer Ratio</t>
  </si>
  <si>
    <t>CTR During High Temperature</t>
  </si>
  <si>
    <r>
      <t>CTR</t>
    </r>
    <r>
      <rPr>
        <vertAlign val="subscript"/>
        <sz val="11"/>
        <rFont val="Arial"/>
        <family val="2"/>
      </rPr>
      <t>max</t>
    </r>
    <r>
      <rPr>
        <sz val="11"/>
        <rFont val="Arial"/>
        <family val="2"/>
      </rPr>
      <t>=</t>
    </r>
  </si>
  <si>
    <r>
      <t xml:space="preserve"> CTR</t>
    </r>
    <r>
      <rPr>
        <vertAlign val="subscript"/>
        <sz val="11"/>
        <rFont val="Arial"/>
        <family val="2"/>
      </rPr>
      <t>min</t>
    </r>
    <r>
      <rPr>
        <sz val="11"/>
        <rFont val="Arial"/>
        <family val="2"/>
      </rPr>
      <t>=</t>
    </r>
  </si>
  <si>
    <r>
      <t xml:space="preserve"> C</t>
    </r>
    <r>
      <rPr>
        <vertAlign val="subscript"/>
        <sz val="11"/>
        <color theme="1"/>
        <rFont val="Arial"/>
        <family val="2"/>
      </rPr>
      <t>ISS_Qs</t>
    </r>
    <r>
      <rPr>
        <sz val="11"/>
        <color theme="1"/>
        <rFont val="Arial"/>
        <family val="2"/>
      </rPr>
      <t>=</t>
    </r>
  </si>
  <si>
    <t>Voltage Derating Coefficient for Rectifier</t>
  </si>
  <si>
    <t xml:space="preserve">Minimum Required Drain-to-Soure Voltage Rating </t>
  </si>
  <si>
    <t>MOSFET Rated Drain-to-Source Voltage</t>
  </si>
  <si>
    <t>Time-related output capacitance</t>
  </si>
  <si>
    <t>Output Capacitance at High Voltage</t>
  </si>
  <si>
    <t>Forward Voltage Drop of Output Rectifier</t>
  </si>
  <si>
    <t>Maximum Rectifier Current Rating</t>
  </si>
  <si>
    <t>Maximum Allowable Voltage Drop During Transient</t>
  </si>
  <si>
    <t>Output Capacitance Used in Calculations</t>
  </si>
  <si>
    <t>Minimum Voltage Rating of Bulk Capacitor</t>
  </si>
  <si>
    <t>Input Bulk Capacitance Used in Calculations</t>
  </si>
  <si>
    <t>Actual Input Bulk Capacitance</t>
  </si>
  <si>
    <t>Quiescent Driver Bias Current</t>
  </si>
  <si>
    <t>High-Side Driver Delay</t>
  </si>
  <si>
    <t>Low-Side Driver Delay</t>
  </si>
  <si>
    <t>Actual MOSFET Rated Drain-to-Source Voltage</t>
  </si>
  <si>
    <t>Minimum Crossover Frequency</t>
  </si>
  <si>
    <t>Minimum Switching Frequency</t>
  </si>
  <si>
    <t>Output load level to begin Burst Mode, in percent</t>
  </si>
  <si>
    <t>OPP-Threshold Output Current</t>
  </si>
  <si>
    <t>Output over-power protection (OPP) threshold, in percent</t>
  </si>
  <si>
    <t>Full-Load Rated Output Current</t>
  </si>
  <si>
    <t>Rated Full-Load Output Power</t>
  </si>
  <si>
    <t>Output over-voltage protection (OVP) threshold, in percent</t>
  </si>
  <si>
    <t>Nominal Output Voltage</t>
  </si>
  <si>
    <t>Minimum Overall Efficiency</t>
  </si>
  <si>
    <t>Minimum AC-Line Frequency</t>
  </si>
  <si>
    <t>Minimum Bulk Voltage Target</t>
  </si>
  <si>
    <t>Minimum Line Input Voltage</t>
  </si>
  <si>
    <t>Input Voltage for Burst Mode Setting</t>
  </si>
  <si>
    <t>Maximum Line Input Voltage</t>
  </si>
  <si>
    <t xml:space="preserve">Variables </t>
  </si>
  <si>
    <t>OPP level not included here</t>
  </si>
  <si>
    <t>Estimated High-Line Stand-by Burst Frequency</t>
  </si>
  <si>
    <t>20% tolerance</t>
  </si>
  <si>
    <t>Shunt Regulator for Output Voltage</t>
  </si>
  <si>
    <t>Select standard rating with sufficient margin</t>
  </si>
  <si>
    <t>Output Capacitance of MOSFET Small-C, Above Vxl</t>
  </si>
  <si>
    <t>Output Capacitance of MOSFET Big-C, Below Vxh</t>
  </si>
  <si>
    <t>Output Capacitance of MOSFET Small-C, Above Vxh</t>
  </si>
  <si>
    <t>Drain Current Pulse Rating</t>
  </si>
  <si>
    <t>Time-Related Output Capacitance at Vbulk_min</t>
  </si>
  <si>
    <t>"0" for GaN (grounded), "1" for Silicon (connect to REF)</t>
  </si>
  <si>
    <t>Setting of SET Pin (Connect to GND or to REF)</t>
  </si>
  <si>
    <t>ZVS Timing Factor, Based on SET Value</t>
  </si>
  <si>
    <t>(controller internal parameter)</t>
  </si>
  <si>
    <t xml:space="preserve">   High-side MOSFET (QH) Parameters:</t>
  </si>
  <si>
    <t xml:space="preserve">   Low-side MOSFET (QL) Parameters:</t>
  </si>
  <si>
    <t>High-Side Bootstrap Diode Forward Voltage</t>
  </si>
  <si>
    <t>High-Side Bootstrap Diode Parasitic Capacitance</t>
  </si>
  <si>
    <t>Diode Voltage @ Diode Current &lt; 1µA</t>
  </si>
  <si>
    <t xml:space="preserve">Minimum Required Drain-to-Source Voltage Rating </t>
  </si>
  <si>
    <t xml:space="preserve"> (QH can be different than QL)</t>
  </si>
  <si>
    <r>
      <t>Maximum RMS Current in R</t>
    </r>
    <r>
      <rPr>
        <vertAlign val="subscript"/>
        <sz val="11"/>
        <color theme="1"/>
        <rFont val="Arial"/>
        <family val="2"/>
      </rPr>
      <t>CS</t>
    </r>
    <r>
      <rPr>
        <sz val="11"/>
        <color theme="1"/>
        <rFont val="Arial"/>
        <family val="2"/>
      </rPr>
      <t xml:space="preserve"> Resistor</t>
    </r>
  </si>
  <si>
    <r>
      <t>Maximum Power Loss in R</t>
    </r>
    <r>
      <rPr>
        <vertAlign val="subscript"/>
        <sz val="11"/>
        <color theme="1"/>
        <rFont val="Arial"/>
        <family val="2"/>
      </rPr>
      <t>CS</t>
    </r>
    <r>
      <rPr>
        <sz val="11"/>
        <color theme="1"/>
        <rFont val="Arial"/>
        <family val="2"/>
      </rPr>
      <t/>
    </r>
  </si>
  <si>
    <r>
      <rPr>
        <b/>
        <sz val="11"/>
        <color theme="1"/>
        <rFont val="Arial"/>
        <family val="2"/>
      </rPr>
      <t>Recommended</t>
    </r>
    <r>
      <rPr>
        <sz val="11"/>
        <color theme="1"/>
        <rFont val="Arial"/>
        <family val="2"/>
      </rPr>
      <t xml:space="preserve"> Current-Sense Resistor </t>
    </r>
  </si>
  <si>
    <r>
      <t>Current-Sense Resistor, R</t>
    </r>
    <r>
      <rPr>
        <b/>
        <i/>
        <vertAlign val="subscript"/>
        <sz val="12"/>
        <color theme="0"/>
        <rFont val="Arial"/>
        <family val="2"/>
      </rPr>
      <t>CS</t>
    </r>
  </si>
  <si>
    <r>
      <rPr>
        <b/>
        <sz val="11"/>
        <color theme="1"/>
        <rFont val="Arial"/>
        <family val="2"/>
      </rPr>
      <t>Actual</t>
    </r>
    <r>
      <rPr>
        <sz val="11"/>
        <color theme="1"/>
        <rFont val="Arial"/>
        <family val="2"/>
      </rPr>
      <t xml:space="preserve"> Current-Sense Resistor</t>
    </r>
  </si>
  <si>
    <t>Current-Sense Resistor Used in Calculations</t>
  </si>
  <si>
    <r>
      <t xml:space="preserve">Enter value </t>
    </r>
    <r>
      <rPr>
        <sz val="11"/>
        <color theme="1"/>
        <rFont val="Calibri"/>
        <family val="2"/>
      </rPr>
      <t>≤</t>
    </r>
    <r>
      <rPr>
        <sz val="7.7"/>
        <color theme="1"/>
        <rFont val="Arial"/>
        <family val="2"/>
      </rPr>
      <t xml:space="preserve"> </t>
    </r>
    <r>
      <rPr>
        <sz val="11"/>
        <color theme="1"/>
        <rFont val="Arial"/>
        <family val="2"/>
      </rPr>
      <t>recommended value, 1%  (not too much less)</t>
    </r>
  </si>
  <si>
    <t>Actual Current-Sense Filter Delay</t>
  </si>
  <si>
    <r>
      <rPr>
        <b/>
        <sz val="11"/>
        <color theme="1"/>
        <rFont val="Arial"/>
        <family val="2"/>
      </rPr>
      <t>Maximum</t>
    </r>
    <r>
      <rPr>
        <sz val="11"/>
        <color theme="1"/>
        <rFont val="Arial"/>
        <family val="2"/>
      </rPr>
      <t xml:space="preserve"> Current-Sense Capacitance</t>
    </r>
  </si>
  <si>
    <t>Current-Sense Capacitance Used in Calculations</t>
  </si>
  <si>
    <r>
      <rPr>
        <b/>
        <sz val="11"/>
        <color theme="1"/>
        <rFont val="Arial"/>
        <family val="2"/>
      </rPr>
      <t>Actual</t>
    </r>
    <r>
      <rPr>
        <sz val="11"/>
        <color theme="1"/>
        <rFont val="Arial"/>
        <family val="2"/>
      </rPr>
      <t xml:space="preserve"> Current-Sense Capacitance</t>
    </r>
  </si>
  <si>
    <t>Bootstrap Diode Capacitance</t>
  </si>
  <si>
    <t xml:space="preserve">Total Equivalent Time-Based Capacitance of Switching Node </t>
  </si>
  <si>
    <t>Over-Power Threshold on CS Pin,  at Ivsl = 0µA</t>
  </si>
  <si>
    <t>±% tolerance NOT included</t>
  </si>
  <si>
    <r>
      <t>2.  Slightly decreases average efficiency of lower V</t>
    </r>
    <r>
      <rPr>
        <vertAlign val="subscript"/>
        <sz val="11"/>
        <color theme="1"/>
        <rFont val="Arial"/>
        <family val="2"/>
      </rPr>
      <t>O</t>
    </r>
    <r>
      <rPr>
        <sz val="11"/>
        <color theme="1"/>
        <rFont val="Arial"/>
        <family val="2"/>
      </rPr>
      <t xml:space="preserve"> </t>
    </r>
  </si>
  <si>
    <r>
      <t>Note:  N</t>
    </r>
    <r>
      <rPr>
        <vertAlign val="subscript"/>
        <sz val="11"/>
        <rFont val="Arial"/>
        <family val="2"/>
      </rPr>
      <t>aux1</t>
    </r>
    <r>
      <rPr>
        <sz val="11"/>
        <rFont val="Arial"/>
        <family val="2"/>
      </rPr>
      <t xml:space="preserve"> = N</t>
    </r>
    <r>
      <rPr>
        <vertAlign val="subscript"/>
        <sz val="11"/>
        <rFont val="Arial"/>
        <family val="2"/>
      </rPr>
      <t>A</t>
    </r>
  </si>
  <si>
    <r>
      <t>Trade-off of Reducing V</t>
    </r>
    <r>
      <rPr>
        <vertAlign val="subscript"/>
        <sz val="11"/>
        <color rgb="FFFF0000"/>
        <rFont val="Arial"/>
        <family val="2"/>
      </rPr>
      <t>BUR2</t>
    </r>
    <r>
      <rPr>
        <sz val="11"/>
        <color rgb="FFFF0000"/>
        <rFont val="Arial"/>
        <family val="2"/>
      </rPr>
      <t>:</t>
    </r>
  </si>
  <si>
    <t xml:space="preserve"> (may be multiple parallel caps)</t>
  </si>
  <si>
    <t xml:space="preserve"> Need to fine tune, based on scope waveform</t>
  </si>
  <si>
    <r>
      <t>Part Number(s) for C</t>
    </r>
    <r>
      <rPr>
        <vertAlign val="subscript"/>
        <sz val="11"/>
        <rFont val="Arial"/>
        <family val="2"/>
      </rPr>
      <t>O1</t>
    </r>
    <r>
      <rPr>
        <sz val="11"/>
        <rFont val="Arial"/>
        <family val="2"/>
      </rPr>
      <t xml:space="preserve">  (for ref)</t>
    </r>
  </si>
  <si>
    <r>
      <t>V</t>
    </r>
    <r>
      <rPr>
        <b/>
        <i/>
        <vertAlign val="subscript"/>
        <sz val="12"/>
        <color theme="0"/>
        <rFont val="Arial"/>
        <family val="2"/>
      </rPr>
      <t>In_IVSL</t>
    </r>
    <r>
      <rPr>
        <b/>
        <i/>
        <sz val="12"/>
        <color theme="0"/>
        <rFont val="Arial"/>
        <family val="2"/>
      </rPr>
      <t xml:space="preserve"> Adjustment for Specific Start-up Voltage</t>
    </r>
  </si>
  <si>
    <t>SET value</t>
  </si>
  <si>
    <t>V input type</t>
  </si>
  <si>
    <t>(Minimum value)</t>
  </si>
  <si>
    <t>Between 470 and 510 ohm is recommended</t>
  </si>
  <si>
    <t>C0G is recommended</t>
  </si>
  <si>
    <t>2.2nF, C0G or X7R is recommended</t>
  </si>
  <si>
    <t>0.1µF, X7R is recommended</t>
  </si>
  <si>
    <t>~20kΩ is recommended</t>
  </si>
  <si>
    <t>X7R is recommended</t>
  </si>
  <si>
    <t>C0G or X7R is recommended</t>
  </si>
  <si>
    <t xml:space="preserve">Nominal recommended value includes adjustment for dc-bias effect </t>
  </si>
  <si>
    <t>Estimate Delay from Current-Sense Filtering</t>
  </si>
  <si>
    <t>Actual BUR Pin Voltage</t>
  </si>
  <si>
    <t>mΩ</t>
  </si>
  <si>
    <t>Maximum ESR:</t>
  </si>
  <si>
    <r>
      <t>R</t>
    </r>
    <r>
      <rPr>
        <b/>
        <vertAlign val="subscript"/>
        <sz val="12"/>
        <color rgb="FFFF0000"/>
        <rFont val="Arial"/>
        <family val="2"/>
      </rPr>
      <t>BLEED</t>
    </r>
  </si>
  <si>
    <r>
      <t>R</t>
    </r>
    <r>
      <rPr>
        <b/>
        <vertAlign val="subscript"/>
        <sz val="12"/>
        <color rgb="FFFF0000"/>
        <rFont val="Arial"/>
        <family val="2"/>
      </rPr>
      <t>DIFF</t>
    </r>
  </si>
  <si>
    <r>
      <t>R</t>
    </r>
    <r>
      <rPr>
        <b/>
        <vertAlign val="subscript"/>
        <sz val="12"/>
        <color rgb="FFFF0000"/>
        <rFont val="Arial"/>
        <family val="2"/>
      </rPr>
      <t>BIAS2</t>
    </r>
  </si>
  <si>
    <r>
      <t>R</t>
    </r>
    <r>
      <rPr>
        <b/>
        <vertAlign val="subscript"/>
        <sz val="12"/>
        <color rgb="FFFF0000"/>
        <rFont val="Arial"/>
        <family val="2"/>
      </rPr>
      <t>BIAS1</t>
    </r>
  </si>
  <si>
    <r>
      <t>C</t>
    </r>
    <r>
      <rPr>
        <b/>
        <vertAlign val="subscript"/>
        <sz val="12"/>
        <color rgb="FFFF0000"/>
        <rFont val="Arial"/>
        <family val="2"/>
      </rPr>
      <t>CLAMP</t>
    </r>
  </si>
  <si>
    <r>
      <t>C</t>
    </r>
    <r>
      <rPr>
        <b/>
        <vertAlign val="subscript"/>
        <sz val="12"/>
        <color rgb="FFFF0000"/>
        <rFont val="Arial"/>
        <family val="2"/>
      </rPr>
      <t>BOOT</t>
    </r>
  </si>
  <si>
    <r>
      <t>C</t>
    </r>
    <r>
      <rPr>
        <b/>
        <vertAlign val="subscript"/>
        <sz val="12"/>
        <color rgb="FFFF0000"/>
        <rFont val="Arial"/>
        <family val="2"/>
      </rPr>
      <t>DIFF</t>
    </r>
  </si>
  <si>
    <r>
      <t>C</t>
    </r>
    <r>
      <rPr>
        <b/>
        <vertAlign val="subscript"/>
        <sz val="12"/>
        <color rgb="FFFF0000"/>
        <rFont val="Arial"/>
        <family val="2"/>
      </rPr>
      <t>INT</t>
    </r>
  </si>
  <si>
    <t>SELECTED Values (Primary-Side Resonance)</t>
  </si>
  <si>
    <r>
      <t>C</t>
    </r>
    <r>
      <rPr>
        <b/>
        <vertAlign val="subscript"/>
        <sz val="12"/>
        <color rgb="FFFF0000"/>
        <rFont val="Arial"/>
        <family val="2"/>
      </rPr>
      <t xml:space="preserve">OUT
</t>
    </r>
    <r>
      <rPr>
        <sz val="12"/>
        <color rgb="FFFF0000"/>
        <rFont val="Arial"/>
        <family val="2"/>
      </rPr>
      <t>(C</t>
    </r>
    <r>
      <rPr>
        <vertAlign val="subscript"/>
        <sz val="12"/>
        <color rgb="FFFF0000"/>
        <rFont val="Arial"/>
        <family val="2"/>
      </rPr>
      <t>OUT</t>
    </r>
    <r>
      <rPr>
        <sz val="12"/>
        <color rgb="FFFF0000"/>
        <rFont val="Arial"/>
        <family val="2"/>
      </rPr>
      <t xml:space="preserve"> = C</t>
    </r>
    <r>
      <rPr>
        <vertAlign val="subscript"/>
        <sz val="12"/>
        <color rgb="FFFF0000"/>
        <rFont val="Arial"/>
        <family val="2"/>
      </rPr>
      <t>O2</t>
    </r>
    <r>
      <rPr>
        <sz val="12"/>
        <color rgb="FFFF0000"/>
        <rFont val="Arial"/>
        <family val="2"/>
      </rPr>
      <t xml:space="preserve"> 
if Secondary Resonance is used)</t>
    </r>
  </si>
  <si>
    <t>Transformer</t>
  </si>
  <si>
    <t xml:space="preserve">   Note:  Larger MLCC case sizes exhibit less DC-Bias effect.</t>
  </si>
  <si>
    <t xml:space="preserve"> Need to tune value based on waveforms, as below</t>
  </si>
  <si>
    <t>Choose either AC or DC;     See graphs at right &gt;&gt;&gt;</t>
  </si>
  <si>
    <t>"Brown-in" Input Voltage Target</t>
  </si>
  <si>
    <t>Secondary Turns Used in Calculations</t>
  </si>
  <si>
    <t>Clamp-Cap Value Used in Calculations</t>
  </si>
  <si>
    <t>This block uses "VINPUT_Brownin"</t>
  </si>
  <si>
    <t>This block uses "VBulk_min_tgt"</t>
  </si>
  <si>
    <t>This block uses "VINPUT_max"</t>
  </si>
  <si>
    <t>This block uses "VINPUT_BUR"</t>
  </si>
  <si>
    <t>This block uses various "VINPUT_xxx"</t>
  </si>
  <si>
    <t>This block uses "VINPUT_Brownin+30"</t>
  </si>
  <si>
    <t xml:space="preserve">SR MOSFET Coss </t>
  </si>
  <si>
    <t xml:space="preserve">Auxiliary Diode Cj </t>
  </si>
  <si>
    <t>Actual Brown-in (Start-up) Voltage</t>
  </si>
  <si>
    <r>
      <t>V</t>
    </r>
    <r>
      <rPr>
        <vertAlign val="subscript"/>
        <sz val="11"/>
        <color theme="1"/>
        <rFont val="Arial"/>
        <family val="2"/>
      </rPr>
      <t>brownin</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</si>
  <si>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</si>
  <si>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t>
  </si>
  <si>
    <t>Actual OVP Level, in Percent of Output Voltage</t>
  </si>
  <si>
    <t xml:space="preserve">kΩ   </t>
  </si>
  <si>
    <t>Lowest RMS or DC start-up voltage</t>
  </si>
  <si>
    <t>See graph at right &gt;&gt;&gt;</t>
  </si>
  <si>
    <r>
      <t xml:space="preserve">    Example graph of C</t>
    </r>
    <r>
      <rPr>
        <b/>
        <vertAlign val="subscript"/>
        <sz val="12"/>
        <color rgb="FFFF0000"/>
        <rFont val="新細明體"/>
        <family val="2"/>
        <scheme val="minor"/>
      </rPr>
      <t>OSS</t>
    </r>
    <r>
      <rPr>
        <b/>
        <sz val="12"/>
        <color rgb="FFFF0000"/>
        <rFont val="新細明體"/>
        <family val="2"/>
        <scheme val="minor"/>
      </rPr>
      <t xml:space="preserve"> variation with V</t>
    </r>
    <r>
      <rPr>
        <b/>
        <vertAlign val="subscript"/>
        <sz val="12"/>
        <color rgb="FFFF0000"/>
        <rFont val="新細明體"/>
        <family val="2"/>
        <scheme val="minor"/>
      </rPr>
      <t>DS</t>
    </r>
    <r>
      <rPr>
        <b/>
        <sz val="12"/>
        <color rgb="FFFF0000"/>
        <rFont val="新細明體"/>
        <family val="2"/>
        <scheme val="minor"/>
      </rPr>
      <t>.  Use actual MOSFET data.</t>
    </r>
  </si>
  <si>
    <t>Verify with target on "Input Here" sheet (cell D20)</t>
  </si>
  <si>
    <t>Verify with target on "Input Here" sheet (cell D29)</t>
  </si>
  <si>
    <t>Check against D85.  Iterate D85, D94, D97 to converge close enough.</t>
  </si>
  <si>
    <t>(Actual value affects stand-by power)</t>
  </si>
  <si>
    <t>Minimum "Boot-Strap" Capacitance</t>
  </si>
  <si>
    <t>Maximum "Boot-Strap" Capacitance</t>
  </si>
  <si>
    <t>Start with 50% - 60% at voltage set at cell D18</t>
  </si>
  <si>
    <t>On-Resistance of High-Side MOSFET (max)</t>
  </si>
  <si>
    <t>On-Resistance of Low-Side MOSFET (max)</t>
  </si>
  <si>
    <t>Threshold Voltage of Big-to-Small Coss Transition (high-side Fet)</t>
  </si>
  <si>
    <t>Threshold Voltage of Big-to-Small Coss Transition (low-side Fet)</t>
  </si>
  <si>
    <t>Threshold Voltage of Big-to-Small Coss Transition (SR-Fet)</t>
  </si>
  <si>
    <t>Normal Forward Voltage @ Diode Current = 100µA</t>
  </si>
  <si>
    <t>from datasheet listing</t>
  </si>
  <si>
    <t>Gate-Source Voltage Maximum Rating</t>
  </si>
  <si>
    <t>Bias Supply for Driver VDD</t>
  </si>
  <si>
    <r>
      <t>used to calc R</t>
    </r>
    <r>
      <rPr>
        <vertAlign val="subscript"/>
        <sz val="10"/>
        <color theme="1"/>
        <rFont val="Arial"/>
        <family val="2"/>
      </rPr>
      <t>CS_tgt</t>
    </r>
    <r>
      <rPr>
        <sz val="10"/>
        <color theme="1"/>
        <rFont val="Arial"/>
        <family val="2"/>
      </rPr>
      <t xml:space="preserve"> </t>
    </r>
  </si>
  <si>
    <r>
      <t>used to calc R</t>
    </r>
    <r>
      <rPr>
        <vertAlign val="subscript"/>
        <sz val="10"/>
        <color theme="1"/>
        <rFont val="Arial"/>
        <family val="2"/>
      </rPr>
      <t>OPP_tgt</t>
    </r>
    <r>
      <rPr>
        <sz val="10"/>
        <color theme="1"/>
        <rFont val="Arial"/>
        <family val="2"/>
      </rPr>
      <t xml:space="preserve"> </t>
    </r>
  </si>
  <si>
    <r>
      <t>Negative Magnetizing Inductor Current at Min, I</t>
    </r>
    <r>
      <rPr>
        <vertAlign val="subscript"/>
        <sz val="11"/>
        <color theme="1"/>
        <rFont val="Arial"/>
        <family val="2"/>
      </rPr>
      <t xml:space="preserve">M_nega_min </t>
    </r>
    <r>
      <rPr>
        <sz val="11"/>
        <color theme="1"/>
        <rFont val="Arial"/>
        <family val="2"/>
      </rPr>
      <t>=</t>
    </r>
  </si>
  <si>
    <r>
      <t>I</t>
    </r>
    <r>
      <rPr>
        <vertAlign val="subscript"/>
        <sz val="11"/>
        <color theme="1"/>
        <rFont val="Arial"/>
        <family val="2"/>
      </rPr>
      <t xml:space="preserve">M_nega_min </t>
    </r>
    <r>
      <rPr>
        <sz val="11"/>
        <color theme="1"/>
        <rFont val="Arial"/>
        <family val="2"/>
      </rPr>
      <t>=</t>
    </r>
  </si>
  <si>
    <r>
      <t>Switching Frequency During Min Input,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</si>
  <si>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sw_min </t>
    </r>
    <r>
      <rPr>
        <sz val="11"/>
        <color theme="1"/>
        <rFont val="Arial"/>
        <family val="2"/>
      </rPr>
      <t>=</t>
    </r>
  </si>
  <si>
    <r>
      <t>Peak Current During Min Input, i</t>
    </r>
    <r>
      <rPr>
        <vertAlign val="subscript"/>
        <sz val="11"/>
        <color theme="1"/>
        <rFont val="Arial"/>
        <family val="2"/>
      </rPr>
      <t>pk_min</t>
    </r>
    <r>
      <rPr>
        <sz val="11"/>
        <color theme="1"/>
        <rFont val="Arial"/>
        <family val="2"/>
      </rPr>
      <t xml:space="preserve"> =</t>
    </r>
  </si>
  <si>
    <r>
      <t xml:space="preserve"> i</t>
    </r>
    <r>
      <rPr>
        <vertAlign val="subscript"/>
        <sz val="11"/>
        <color theme="1"/>
        <rFont val="Arial"/>
        <family val="2"/>
      </rPr>
      <t>pk_min</t>
    </r>
    <r>
      <rPr>
        <sz val="11"/>
        <color theme="1"/>
        <rFont val="Arial"/>
        <family val="2"/>
      </rPr>
      <t xml:space="preserve"> =</t>
    </r>
  </si>
  <si>
    <r>
      <t>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</si>
  <si>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IN_min </t>
    </r>
    <r>
      <rPr>
        <sz val="11"/>
        <color theme="1"/>
        <rFont val="Arial"/>
        <family val="2"/>
      </rPr>
      <t>=</t>
    </r>
  </si>
  <si>
    <r>
      <t>Duty Cycle During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</si>
  <si>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min </t>
    </r>
    <r>
      <rPr>
        <sz val="11"/>
        <color theme="1"/>
        <rFont val="Arial"/>
        <family val="2"/>
      </rPr>
      <t>=</t>
    </r>
  </si>
  <si>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</si>
  <si>
    <r>
      <t>K</t>
    </r>
    <r>
      <rPr>
        <vertAlign val="subscript"/>
        <sz val="11"/>
        <color theme="1"/>
        <rFont val="Arial"/>
        <family val="2"/>
      </rPr>
      <t>VC</t>
    </r>
    <r>
      <rPr>
        <sz val="11"/>
        <color theme="1"/>
        <rFont val="Arial"/>
        <family val="2"/>
      </rPr>
      <t xml:space="preserve"> =</t>
    </r>
  </si>
  <si>
    <r>
      <t>C</t>
    </r>
    <r>
      <rPr>
        <vertAlign val="subscript"/>
        <sz val="11"/>
        <color theme="1"/>
        <rFont val="Arial"/>
        <family val="2"/>
      </rPr>
      <t>OSS_QH_T_vmax</t>
    </r>
    <r>
      <rPr>
        <sz val="11"/>
        <color theme="1"/>
        <rFont val="Arial"/>
        <family val="2"/>
      </rPr>
      <t xml:space="preserve"> =</t>
    </r>
  </si>
  <si>
    <r>
      <t>C</t>
    </r>
    <r>
      <rPr>
        <vertAlign val="subscript"/>
        <sz val="11"/>
        <color theme="1"/>
        <rFont val="Arial"/>
        <family val="2"/>
      </rPr>
      <t>OSS_QL_T_vmax</t>
    </r>
    <r>
      <rPr>
        <sz val="11"/>
        <color theme="1"/>
        <rFont val="Arial"/>
        <family val="2"/>
      </rPr>
      <t xml:space="preserve"> =</t>
    </r>
  </si>
  <si>
    <r>
      <t>C</t>
    </r>
    <r>
      <rPr>
        <vertAlign val="subscript"/>
        <sz val="11"/>
        <color theme="1"/>
        <rFont val="Arial"/>
        <family val="2"/>
      </rPr>
      <t>Tr_vmax</t>
    </r>
    <r>
      <rPr>
        <sz val="11"/>
        <color theme="1"/>
        <rFont val="Arial"/>
        <family val="2"/>
      </rPr>
      <t xml:space="preserve"> =</t>
    </r>
  </si>
  <si>
    <r>
      <t>C</t>
    </r>
    <r>
      <rPr>
        <vertAlign val="subscript"/>
        <sz val="11"/>
        <color theme="1"/>
        <rFont val="Arial"/>
        <family val="2"/>
      </rPr>
      <t>BootD_T_vmax</t>
    </r>
    <r>
      <rPr>
        <sz val="11"/>
        <color theme="1"/>
        <rFont val="Arial"/>
        <family val="2"/>
      </rPr>
      <t xml:space="preserve"> =</t>
    </r>
  </si>
  <si>
    <r>
      <t>C</t>
    </r>
    <r>
      <rPr>
        <vertAlign val="subscript"/>
        <sz val="11"/>
        <color theme="1"/>
        <rFont val="Arial"/>
        <family val="2"/>
      </rPr>
      <t xml:space="preserve">OSS_Qs_vmax </t>
    </r>
    <r>
      <rPr>
        <sz val="11"/>
        <color theme="1"/>
        <rFont val="Arial"/>
        <family val="2"/>
      </rPr>
      <t>=</t>
    </r>
  </si>
  <si>
    <r>
      <t>C</t>
    </r>
    <r>
      <rPr>
        <vertAlign val="subscript"/>
        <sz val="11"/>
        <color theme="1"/>
        <rFont val="Arial"/>
        <family val="2"/>
      </rPr>
      <t xml:space="preserve">OSS_SR_T_vmax </t>
    </r>
    <r>
      <rPr>
        <sz val="11"/>
        <color theme="1"/>
        <rFont val="Arial"/>
        <family val="2"/>
      </rPr>
      <t>=</t>
    </r>
  </si>
  <si>
    <r>
      <t>C</t>
    </r>
    <r>
      <rPr>
        <vertAlign val="subscript"/>
        <sz val="11"/>
        <color theme="1"/>
        <rFont val="Arial"/>
        <family val="2"/>
      </rPr>
      <t xml:space="preserve">_Daux_vmax </t>
    </r>
    <r>
      <rPr>
        <sz val="11"/>
        <color theme="1"/>
        <rFont val="Arial"/>
        <family val="2"/>
      </rPr>
      <t>=</t>
    </r>
  </si>
  <si>
    <r>
      <t>C</t>
    </r>
    <r>
      <rPr>
        <vertAlign val="subscript"/>
        <sz val="11"/>
        <color theme="1"/>
        <rFont val="Arial"/>
        <family val="2"/>
      </rPr>
      <t xml:space="preserve">SWN_T_vmax </t>
    </r>
    <r>
      <rPr>
        <sz val="11"/>
        <color theme="1"/>
        <rFont val="Arial"/>
        <family val="2"/>
      </rPr>
      <t>=</t>
    </r>
  </si>
  <si>
    <r>
      <t>C</t>
    </r>
    <r>
      <rPr>
        <vertAlign val="subscript"/>
        <sz val="11"/>
        <color theme="1"/>
        <rFont val="Arial"/>
        <family val="2"/>
      </rPr>
      <t>OSS_QH_T_vbur</t>
    </r>
    <r>
      <rPr>
        <sz val="11"/>
        <color theme="1"/>
        <rFont val="Arial"/>
        <family val="2"/>
      </rPr>
      <t xml:space="preserve"> =</t>
    </r>
  </si>
  <si>
    <r>
      <t>C</t>
    </r>
    <r>
      <rPr>
        <vertAlign val="subscript"/>
        <sz val="11"/>
        <color theme="1"/>
        <rFont val="Arial"/>
        <family val="2"/>
      </rPr>
      <t>OSS_QL_T_vbur</t>
    </r>
    <r>
      <rPr>
        <sz val="11"/>
        <color theme="1"/>
        <rFont val="Arial"/>
        <family val="2"/>
      </rPr>
      <t xml:space="preserve"> =</t>
    </r>
  </si>
  <si>
    <r>
      <t>C</t>
    </r>
    <r>
      <rPr>
        <vertAlign val="subscript"/>
        <sz val="11"/>
        <color theme="1"/>
        <rFont val="Arial"/>
        <family val="2"/>
      </rPr>
      <t>Tr_vbur</t>
    </r>
    <r>
      <rPr>
        <sz val="11"/>
        <color theme="1"/>
        <rFont val="Arial"/>
        <family val="2"/>
      </rPr>
      <t xml:space="preserve"> =</t>
    </r>
  </si>
  <si>
    <r>
      <t>C</t>
    </r>
    <r>
      <rPr>
        <vertAlign val="subscript"/>
        <sz val="11"/>
        <color theme="1"/>
        <rFont val="Arial"/>
        <family val="2"/>
      </rPr>
      <t>BootD_T_vbur</t>
    </r>
    <r>
      <rPr>
        <sz val="11"/>
        <color theme="1"/>
        <rFont val="Arial"/>
        <family val="2"/>
      </rPr>
      <t xml:space="preserve"> =</t>
    </r>
  </si>
  <si>
    <r>
      <t>C</t>
    </r>
    <r>
      <rPr>
        <vertAlign val="subscript"/>
        <sz val="11"/>
        <color theme="1"/>
        <rFont val="Arial"/>
        <family val="2"/>
      </rPr>
      <t xml:space="preserve">OSS_Qs_vbur </t>
    </r>
    <r>
      <rPr>
        <sz val="11"/>
        <color theme="1"/>
        <rFont val="Arial"/>
        <family val="2"/>
      </rPr>
      <t>=</t>
    </r>
  </si>
  <si>
    <r>
      <t>C</t>
    </r>
    <r>
      <rPr>
        <vertAlign val="subscript"/>
        <sz val="11"/>
        <color theme="1"/>
        <rFont val="Arial"/>
        <family val="2"/>
      </rPr>
      <t xml:space="preserve">OSS_SR_vbur </t>
    </r>
    <r>
      <rPr>
        <sz val="11"/>
        <color theme="1"/>
        <rFont val="Arial"/>
        <family val="2"/>
      </rPr>
      <t>=</t>
    </r>
  </si>
  <si>
    <r>
      <t>C</t>
    </r>
    <r>
      <rPr>
        <vertAlign val="subscript"/>
        <sz val="11"/>
        <color theme="1"/>
        <rFont val="Arial"/>
        <family val="2"/>
      </rPr>
      <t xml:space="preserve">_Daux_vbur </t>
    </r>
    <r>
      <rPr>
        <sz val="11"/>
        <color theme="1"/>
        <rFont val="Arial"/>
        <family val="2"/>
      </rPr>
      <t>=</t>
    </r>
  </si>
  <si>
    <r>
      <t>C</t>
    </r>
    <r>
      <rPr>
        <vertAlign val="subscript"/>
        <sz val="11"/>
        <color theme="1"/>
        <rFont val="Arial"/>
        <family val="2"/>
      </rPr>
      <t xml:space="preserve">SWN_T_vbur </t>
    </r>
    <r>
      <rPr>
        <sz val="11"/>
        <color theme="1"/>
        <rFont val="Arial"/>
        <family val="2"/>
      </rPr>
      <t>=</t>
    </r>
  </si>
  <si>
    <r>
      <t>C</t>
    </r>
    <r>
      <rPr>
        <vertAlign val="subscript"/>
        <sz val="11"/>
        <color theme="1"/>
        <rFont val="Arial"/>
        <family val="2"/>
      </rPr>
      <t>OSS_QH_T_vbi_30</t>
    </r>
    <r>
      <rPr>
        <sz val="11"/>
        <color theme="1"/>
        <rFont val="Arial"/>
        <family val="2"/>
      </rPr>
      <t xml:space="preserve"> =</t>
    </r>
  </si>
  <si>
    <r>
      <t>C</t>
    </r>
    <r>
      <rPr>
        <vertAlign val="subscript"/>
        <sz val="11"/>
        <color theme="1"/>
        <rFont val="Arial"/>
        <family val="2"/>
      </rPr>
      <t>OSS_QL_T_vbi_30</t>
    </r>
    <r>
      <rPr>
        <sz val="11"/>
        <color theme="1"/>
        <rFont val="Arial"/>
        <family val="2"/>
      </rPr>
      <t xml:space="preserve"> =</t>
    </r>
  </si>
  <si>
    <r>
      <t>C</t>
    </r>
    <r>
      <rPr>
        <vertAlign val="subscript"/>
        <sz val="11"/>
        <color theme="1"/>
        <rFont val="Arial"/>
        <family val="2"/>
      </rPr>
      <t>Tr_vbi_30</t>
    </r>
    <r>
      <rPr>
        <sz val="11"/>
        <color theme="1"/>
        <rFont val="Arial"/>
        <family val="2"/>
      </rPr>
      <t xml:space="preserve"> =</t>
    </r>
  </si>
  <si>
    <r>
      <t>C</t>
    </r>
    <r>
      <rPr>
        <vertAlign val="subscript"/>
        <sz val="11"/>
        <color theme="1"/>
        <rFont val="Arial"/>
        <family val="2"/>
      </rPr>
      <t>BootD_T_vbi_30</t>
    </r>
    <r>
      <rPr>
        <sz val="11"/>
        <color theme="1"/>
        <rFont val="Arial"/>
        <family val="2"/>
      </rPr>
      <t xml:space="preserve"> =</t>
    </r>
  </si>
  <si>
    <r>
      <t>C</t>
    </r>
    <r>
      <rPr>
        <vertAlign val="subscript"/>
        <sz val="11"/>
        <color theme="1"/>
        <rFont val="Arial"/>
        <family val="2"/>
      </rPr>
      <t xml:space="preserve">OSS_Qs_vbi_30 </t>
    </r>
    <r>
      <rPr>
        <sz val="11"/>
        <color theme="1"/>
        <rFont val="Arial"/>
        <family val="2"/>
      </rPr>
      <t>=</t>
    </r>
  </si>
  <si>
    <r>
      <t>C</t>
    </r>
    <r>
      <rPr>
        <vertAlign val="subscript"/>
        <sz val="11"/>
        <color theme="1"/>
        <rFont val="Arial"/>
        <family val="2"/>
      </rPr>
      <t xml:space="preserve">OSS_SR_vbi_30 </t>
    </r>
    <r>
      <rPr>
        <sz val="11"/>
        <color theme="1"/>
        <rFont val="Arial"/>
        <family val="2"/>
      </rPr>
      <t>=</t>
    </r>
  </si>
  <si>
    <r>
      <t>C</t>
    </r>
    <r>
      <rPr>
        <vertAlign val="subscript"/>
        <sz val="11"/>
        <color theme="1"/>
        <rFont val="Arial"/>
        <family val="2"/>
      </rPr>
      <t xml:space="preserve">_Daux_vbi_30 </t>
    </r>
    <r>
      <rPr>
        <sz val="11"/>
        <color theme="1"/>
        <rFont val="Arial"/>
        <family val="2"/>
      </rPr>
      <t>=</t>
    </r>
  </si>
  <si>
    <r>
      <t>C</t>
    </r>
    <r>
      <rPr>
        <vertAlign val="subscript"/>
        <sz val="11"/>
        <color theme="1"/>
        <rFont val="Arial"/>
        <family val="2"/>
      </rPr>
      <t xml:space="preserve">SWN_T_vbi_30 </t>
    </r>
    <r>
      <rPr>
        <sz val="11"/>
        <color theme="1"/>
        <rFont val="Arial"/>
        <family val="2"/>
      </rPr>
      <t>=</t>
    </r>
  </si>
  <si>
    <r>
      <t>C</t>
    </r>
    <r>
      <rPr>
        <vertAlign val="subscript"/>
        <sz val="11"/>
        <color theme="1"/>
        <rFont val="Arial"/>
        <family val="2"/>
      </rPr>
      <t>OSS_QH_T_vbi</t>
    </r>
    <r>
      <rPr>
        <sz val="11"/>
        <color theme="1"/>
        <rFont val="Arial"/>
        <family val="2"/>
      </rPr>
      <t xml:space="preserve"> =</t>
    </r>
  </si>
  <si>
    <r>
      <t>C</t>
    </r>
    <r>
      <rPr>
        <vertAlign val="subscript"/>
        <sz val="11"/>
        <color theme="1"/>
        <rFont val="Arial"/>
        <family val="2"/>
      </rPr>
      <t>OSS_QL_T_vbi</t>
    </r>
    <r>
      <rPr>
        <sz val="11"/>
        <color theme="1"/>
        <rFont val="Arial"/>
        <family val="2"/>
      </rPr>
      <t xml:space="preserve"> =</t>
    </r>
  </si>
  <si>
    <r>
      <t>C</t>
    </r>
    <r>
      <rPr>
        <vertAlign val="subscript"/>
        <sz val="11"/>
        <color theme="1"/>
        <rFont val="Arial"/>
        <family val="2"/>
      </rPr>
      <t>Tr_vbi</t>
    </r>
    <r>
      <rPr>
        <sz val="11"/>
        <color theme="1"/>
        <rFont val="Arial"/>
        <family val="2"/>
      </rPr>
      <t xml:space="preserve"> =</t>
    </r>
  </si>
  <si>
    <r>
      <t>C</t>
    </r>
    <r>
      <rPr>
        <vertAlign val="subscript"/>
        <sz val="11"/>
        <color theme="1"/>
        <rFont val="Arial"/>
        <family val="2"/>
      </rPr>
      <t>BootD_T_vbi</t>
    </r>
    <r>
      <rPr>
        <sz val="11"/>
        <color theme="1"/>
        <rFont val="Arial"/>
        <family val="2"/>
      </rPr>
      <t xml:space="preserve"> =</t>
    </r>
  </si>
  <si>
    <r>
      <t>C</t>
    </r>
    <r>
      <rPr>
        <vertAlign val="subscript"/>
        <sz val="11"/>
        <color theme="1"/>
        <rFont val="Arial"/>
        <family val="2"/>
      </rPr>
      <t xml:space="preserve">OSS_Qs_vbi </t>
    </r>
    <r>
      <rPr>
        <sz val="11"/>
        <color theme="1"/>
        <rFont val="Arial"/>
        <family val="2"/>
      </rPr>
      <t>=</t>
    </r>
  </si>
  <si>
    <r>
      <t>C</t>
    </r>
    <r>
      <rPr>
        <vertAlign val="subscript"/>
        <sz val="11"/>
        <color theme="1"/>
        <rFont val="Arial"/>
        <family val="2"/>
      </rPr>
      <t xml:space="preserve">OSS_SR_vbi </t>
    </r>
    <r>
      <rPr>
        <sz val="11"/>
        <color theme="1"/>
        <rFont val="Arial"/>
        <family val="2"/>
      </rPr>
      <t>=</t>
    </r>
  </si>
  <si>
    <r>
      <t>C</t>
    </r>
    <r>
      <rPr>
        <vertAlign val="subscript"/>
        <sz val="11"/>
        <color theme="1"/>
        <rFont val="Arial"/>
        <family val="2"/>
      </rPr>
      <t xml:space="preserve">_Daux_vbi </t>
    </r>
    <r>
      <rPr>
        <sz val="11"/>
        <color theme="1"/>
        <rFont val="Arial"/>
        <family val="2"/>
      </rPr>
      <t>=</t>
    </r>
  </si>
  <si>
    <r>
      <t>C</t>
    </r>
    <r>
      <rPr>
        <vertAlign val="subscript"/>
        <sz val="11"/>
        <color theme="1"/>
        <rFont val="Arial"/>
        <family val="2"/>
      </rPr>
      <t xml:space="preserve">SWN_T_vbi </t>
    </r>
    <r>
      <rPr>
        <sz val="11"/>
        <color theme="1"/>
        <rFont val="Arial"/>
        <family val="2"/>
      </rPr>
      <t>=</t>
    </r>
  </si>
  <si>
    <r>
      <t>C</t>
    </r>
    <r>
      <rPr>
        <vertAlign val="subscript"/>
        <sz val="11"/>
        <color theme="1"/>
        <rFont val="Arial"/>
        <family val="2"/>
      </rPr>
      <t>OSS_QH_T_vmin</t>
    </r>
    <r>
      <rPr>
        <sz val="11"/>
        <color theme="1"/>
        <rFont val="Arial"/>
        <family val="2"/>
      </rPr>
      <t xml:space="preserve"> =</t>
    </r>
  </si>
  <si>
    <r>
      <t>C</t>
    </r>
    <r>
      <rPr>
        <vertAlign val="subscript"/>
        <sz val="11"/>
        <color theme="1"/>
        <rFont val="Arial"/>
        <family val="2"/>
      </rPr>
      <t>OSS_QL_T_vmin</t>
    </r>
    <r>
      <rPr>
        <sz val="11"/>
        <color theme="1"/>
        <rFont val="Arial"/>
        <family val="2"/>
      </rPr>
      <t xml:space="preserve"> =</t>
    </r>
  </si>
  <si>
    <r>
      <t>C</t>
    </r>
    <r>
      <rPr>
        <vertAlign val="subscript"/>
        <sz val="11"/>
        <color theme="1"/>
        <rFont val="Arial"/>
        <family val="2"/>
      </rPr>
      <t>Tr_vmin</t>
    </r>
    <r>
      <rPr>
        <sz val="11"/>
        <color theme="1"/>
        <rFont val="Arial"/>
        <family val="2"/>
      </rPr>
      <t xml:space="preserve"> =</t>
    </r>
  </si>
  <si>
    <r>
      <t>C</t>
    </r>
    <r>
      <rPr>
        <vertAlign val="subscript"/>
        <sz val="11"/>
        <color theme="1"/>
        <rFont val="Arial"/>
        <family val="2"/>
      </rPr>
      <t>BootD_T_vmin</t>
    </r>
    <r>
      <rPr>
        <sz val="11"/>
        <color theme="1"/>
        <rFont val="Arial"/>
        <family val="2"/>
      </rPr>
      <t xml:space="preserve"> =</t>
    </r>
  </si>
  <si>
    <r>
      <t>C</t>
    </r>
    <r>
      <rPr>
        <vertAlign val="subscript"/>
        <sz val="11"/>
        <color theme="1"/>
        <rFont val="Arial"/>
        <family val="2"/>
      </rPr>
      <t xml:space="preserve">OSS_Qs_vmin </t>
    </r>
    <r>
      <rPr>
        <sz val="11"/>
        <color theme="1"/>
        <rFont val="Arial"/>
        <family val="2"/>
      </rPr>
      <t>=</t>
    </r>
  </si>
  <si>
    <r>
      <t>C</t>
    </r>
    <r>
      <rPr>
        <vertAlign val="subscript"/>
        <sz val="11"/>
        <color theme="1"/>
        <rFont val="Arial"/>
        <family val="2"/>
      </rPr>
      <t xml:space="preserve">OSS_SR_vmin </t>
    </r>
    <r>
      <rPr>
        <sz val="11"/>
        <color theme="1"/>
        <rFont val="Arial"/>
        <family val="2"/>
      </rPr>
      <t>=</t>
    </r>
  </si>
  <si>
    <r>
      <t>C</t>
    </r>
    <r>
      <rPr>
        <vertAlign val="subscript"/>
        <sz val="11"/>
        <color theme="1"/>
        <rFont val="Arial"/>
        <family val="2"/>
      </rPr>
      <t xml:space="preserve">_Daux_vmin </t>
    </r>
    <r>
      <rPr>
        <sz val="11"/>
        <color theme="1"/>
        <rFont val="Arial"/>
        <family val="2"/>
      </rPr>
      <t>=</t>
    </r>
  </si>
  <si>
    <r>
      <t>C</t>
    </r>
    <r>
      <rPr>
        <vertAlign val="subscript"/>
        <sz val="11"/>
        <color theme="1"/>
        <rFont val="Arial"/>
        <family val="2"/>
      </rPr>
      <t xml:space="preserve">SWN_T_vmin </t>
    </r>
    <r>
      <rPr>
        <sz val="11"/>
        <color theme="1"/>
        <rFont val="Arial"/>
        <family val="2"/>
      </rPr>
      <t>=</t>
    </r>
  </si>
  <si>
    <r>
      <t>Adjustment factor of "Vin" for I</t>
    </r>
    <r>
      <rPr>
        <vertAlign val="subscript"/>
        <sz val="11"/>
        <color theme="1"/>
        <rFont val="Arial"/>
        <family val="2"/>
      </rPr>
      <t>VSL</t>
    </r>
    <r>
      <rPr>
        <sz val="11"/>
        <color theme="1"/>
        <rFont val="Arial"/>
        <family val="2"/>
      </rPr>
      <t xml:space="preserve"> at start-up other than V</t>
    </r>
    <r>
      <rPr>
        <vertAlign val="subscript"/>
        <sz val="11"/>
        <color theme="1"/>
        <rFont val="Arial"/>
        <family val="2"/>
      </rPr>
      <t>BULK</t>
    </r>
    <r>
      <rPr>
        <sz val="11"/>
        <color theme="1"/>
        <rFont val="Arial"/>
        <family val="2"/>
      </rPr>
      <t>=106V</t>
    </r>
  </si>
  <si>
    <r>
      <t>K</t>
    </r>
    <r>
      <rPr>
        <vertAlign val="subscript"/>
        <sz val="11"/>
        <color theme="1"/>
        <rFont val="Arial"/>
        <family val="2"/>
      </rPr>
      <t xml:space="preserve">VSL </t>
    </r>
    <r>
      <rPr>
        <sz val="11"/>
        <color theme="1"/>
        <rFont val="Arial"/>
        <family val="2"/>
      </rPr>
      <t>=</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</si>
  <si>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BULK_min_tgt</t>
    </r>
    <r>
      <rPr>
        <sz val="11"/>
        <color theme="1"/>
        <rFont val="Arial"/>
        <family val="2"/>
      </rPr>
      <t xml:space="preserve">  </t>
    </r>
  </si>
  <si>
    <r>
      <t>V</t>
    </r>
    <r>
      <rPr>
        <vertAlign val="subscript"/>
        <sz val="11"/>
        <color theme="1"/>
        <rFont val="Arial"/>
        <family val="2"/>
      </rPr>
      <t>CST_OPP_adj_Rcs</t>
    </r>
    <r>
      <rPr>
        <sz val="11"/>
        <color theme="1"/>
        <rFont val="Arial"/>
        <family val="2"/>
      </rPr>
      <t xml:space="preserve"> =</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</si>
  <si>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In_max</t>
    </r>
    <r>
      <rPr>
        <sz val="11"/>
        <color theme="1"/>
        <rFont val="Arial"/>
        <family val="2"/>
      </rPr>
      <t xml:space="preserve">  </t>
    </r>
  </si>
  <si>
    <r>
      <t>V</t>
    </r>
    <r>
      <rPr>
        <vertAlign val="subscript"/>
        <sz val="11"/>
        <color theme="1"/>
        <rFont val="Arial"/>
        <family val="2"/>
      </rPr>
      <t>CST_OPP_adj_Ropp</t>
    </r>
    <r>
      <rPr>
        <sz val="11"/>
        <color theme="1"/>
        <rFont val="Arial"/>
        <family val="2"/>
      </rPr>
      <t xml:space="preserve"> =</t>
    </r>
  </si>
  <si>
    <r>
      <t>Negative Magnetizing Inductor Current at Start,
 I</t>
    </r>
    <r>
      <rPr>
        <vertAlign val="subscript"/>
        <sz val="11"/>
        <color theme="1"/>
        <rFont val="Arial"/>
        <family val="2"/>
      </rPr>
      <t xml:space="preserve">M_nega_start </t>
    </r>
    <r>
      <rPr>
        <sz val="11"/>
        <color theme="1"/>
        <rFont val="Arial"/>
        <family val="2"/>
      </rPr>
      <t>=</t>
    </r>
  </si>
  <si>
    <r>
      <t>I</t>
    </r>
    <r>
      <rPr>
        <vertAlign val="subscript"/>
        <sz val="11"/>
        <color theme="1"/>
        <rFont val="Arial"/>
        <family val="2"/>
      </rPr>
      <t xml:space="preserve">M_nega_start </t>
    </r>
    <r>
      <rPr>
        <sz val="11"/>
        <color theme="1"/>
        <rFont val="Arial"/>
        <family val="2"/>
      </rPr>
      <t>=</t>
    </r>
  </si>
  <si>
    <r>
      <t>Switching Frequency During OPP at Start, f</t>
    </r>
    <r>
      <rPr>
        <vertAlign val="subscript"/>
        <sz val="11"/>
        <color theme="1"/>
        <rFont val="Arial"/>
        <family val="2"/>
      </rPr>
      <t xml:space="preserve">sw_OPP_start </t>
    </r>
    <r>
      <rPr>
        <sz val="11"/>
        <color theme="1"/>
        <rFont val="Arial"/>
        <family val="2"/>
      </rPr>
      <t>=</t>
    </r>
  </si>
  <si>
    <r>
      <t>f</t>
    </r>
    <r>
      <rPr>
        <vertAlign val="subscript"/>
        <sz val="11"/>
        <color theme="1"/>
        <rFont val="Arial"/>
        <family val="2"/>
      </rPr>
      <t xml:space="preserve">sw_OPP_start </t>
    </r>
    <r>
      <rPr>
        <sz val="11"/>
        <color theme="1"/>
        <rFont val="Arial"/>
        <family val="2"/>
      </rPr>
      <t>=</t>
    </r>
  </si>
  <si>
    <r>
      <t>Peak Current During OPP at Start, i</t>
    </r>
    <r>
      <rPr>
        <vertAlign val="subscript"/>
        <sz val="11"/>
        <color theme="1"/>
        <rFont val="Arial"/>
        <family val="2"/>
      </rPr>
      <t>pk_OPP_start</t>
    </r>
    <r>
      <rPr>
        <sz val="11"/>
        <color theme="1"/>
        <rFont val="Arial"/>
        <family val="2"/>
      </rPr>
      <t xml:space="preserve"> =</t>
    </r>
  </si>
  <si>
    <r>
      <t xml:space="preserve"> i</t>
    </r>
    <r>
      <rPr>
        <vertAlign val="subscript"/>
        <sz val="11"/>
        <color theme="1"/>
        <rFont val="Arial"/>
        <family val="2"/>
      </rPr>
      <t>pk_OPP_start</t>
    </r>
    <r>
      <rPr>
        <sz val="11"/>
        <color theme="1"/>
        <rFont val="Arial"/>
        <family val="2"/>
      </rPr>
      <t xml:space="preserve"> =</t>
    </r>
  </si>
  <si>
    <r>
      <t>OPP Input Current at Start, I</t>
    </r>
    <r>
      <rPr>
        <vertAlign val="subscript"/>
        <sz val="11"/>
        <color theme="1"/>
        <rFont val="Arial"/>
        <family val="2"/>
      </rPr>
      <t xml:space="preserve">IN_OPP_start </t>
    </r>
    <r>
      <rPr>
        <sz val="11"/>
        <color theme="1"/>
        <rFont val="Arial"/>
        <family val="2"/>
      </rPr>
      <t>=</t>
    </r>
  </si>
  <si>
    <r>
      <t>I</t>
    </r>
    <r>
      <rPr>
        <vertAlign val="subscript"/>
        <sz val="11"/>
        <color theme="1"/>
        <rFont val="Arial"/>
        <family val="2"/>
      </rPr>
      <t xml:space="preserve">IN_OPP_start </t>
    </r>
    <r>
      <rPr>
        <sz val="11"/>
        <color theme="1"/>
        <rFont val="Arial"/>
        <family val="2"/>
      </rPr>
      <t>=</t>
    </r>
  </si>
  <si>
    <r>
      <t>Duty Cycle During OPP at Start, D</t>
    </r>
    <r>
      <rPr>
        <vertAlign val="subscript"/>
        <sz val="11"/>
        <color theme="1"/>
        <rFont val="Arial"/>
        <family val="2"/>
      </rPr>
      <t>OPP_start</t>
    </r>
    <r>
      <rPr>
        <sz val="11"/>
        <color theme="1"/>
        <rFont val="Arial"/>
        <family val="2"/>
      </rPr>
      <t xml:space="preserve"> =</t>
    </r>
  </si>
  <si>
    <r>
      <t xml:space="preserve"> D</t>
    </r>
    <r>
      <rPr>
        <vertAlign val="subscript"/>
        <sz val="11"/>
        <color theme="1"/>
        <rFont val="Arial"/>
        <family val="2"/>
      </rPr>
      <t xml:space="preserve">OPP_start </t>
    </r>
    <r>
      <rPr>
        <sz val="11"/>
        <color theme="1"/>
        <rFont val="Arial"/>
        <family val="2"/>
      </rPr>
      <t>=</t>
    </r>
  </si>
  <si>
    <r>
      <t>Driver Require Current, I</t>
    </r>
    <r>
      <rPr>
        <vertAlign val="subscript"/>
        <sz val="11"/>
        <color theme="1"/>
        <rFont val="Arial"/>
        <family val="2"/>
      </rPr>
      <t>VCC_SW</t>
    </r>
    <r>
      <rPr>
        <sz val="11"/>
        <color theme="1"/>
        <rFont val="Arial"/>
        <family val="2"/>
      </rPr>
      <t xml:space="preserve"> =</t>
    </r>
  </si>
  <si>
    <r>
      <t>I</t>
    </r>
    <r>
      <rPr>
        <vertAlign val="subscript"/>
        <sz val="11"/>
        <color theme="1"/>
        <rFont val="Arial"/>
        <family val="2"/>
      </rPr>
      <t>VCC_sw</t>
    </r>
    <r>
      <rPr>
        <sz val="11"/>
        <color theme="1"/>
        <rFont val="Arial"/>
        <family val="2"/>
      </rPr>
      <t xml:space="preserve"> =</t>
    </r>
  </si>
  <si>
    <r>
      <t>Driver Charge, Q</t>
    </r>
    <r>
      <rPr>
        <vertAlign val="subscript"/>
        <sz val="11"/>
        <color theme="1"/>
        <rFont val="Arial"/>
        <family val="2"/>
      </rPr>
      <t>g_Qh</t>
    </r>
    <r>
      <rPr>
        <sz val="11"/>
        <color theme="1"/>
        <rFont val="Arial"/>
        <family val="2"/>
      </rPr>
      <t xml:space="preserve"> =</t>
    </r>
  </si>
  <si>
    <r>
      <t>Q</t>
    </r>
    <r>
      <rPr>
        <vertAlign val="subscript"/>
        <sz val="11"/>
        <color theme="1"/>
        <rFont val="Arial"/>
        <family val="2"/>
      </rPr>
      <t>g_Qh</t>
    </r>
    <r>
      <rPr>
        <sz val="11"/>
        <color theme="1"/>
        <rFont val="Arial"/>
        <family val="2"/>
      </rPr>
      <t xml:space="preserve"> =</t>
    </r>
  </si>
  <si>
    <r>
      <t>Negative Magnetizing Inductor Current at BUR and Min Input, I</t>
    </r>
    <r>
      <rPr>
        <vertAlign val="subscript"/>
        <sz val="11"/>
        <color theme="1"/>
        <rFont val="Arial"/>
        <family val="2"/>
      </rPr>
      <t xml:space="preserve">M_nega_BUR_min </t>
    </r>
    <r>
      <rPr>
        <sz val="11"/>
        <color theme="1"/>
        <rFont val="Arial"/>
        <family val="2"/>
      </rPr>
      <t>=</t>
    </r>
  </si>
  <si>
    <r>
      <t>I</t>
    </r>
    <r>
      <rPr>
        <vertAlign val="subscript"/>
        <sz val="11"/>
        <color theme="1"/>
        <rFont val="Arial"/>
        <family val="2"/>
      </rPr>
      <t xml:space="preserve">M_nega_BUR_min </t>
    </r>
    <r>
      <rPr>
        <sz val="11"/>
        <color theme="1"/>
        <rFont val="Arial"/>
        <family val="2"/>
      </rPr>
      <t>=</t>
    </r>
  </si>
  <si>
    <r>
      <t>Switching Frequency During BUR and Min Input, f</t>
    </r>
    <r>
      <rPr>
        <vertAlign val="subscript"/>
        <sz val="11"/>
        <color theme="1"/>
        <rFont val="Arial"/>
        <family val="2"/>
      </rPr>
      <t xml:space="preserve">sw_BUR_min </t>
    </r>
    <r>
      <rPr>
        <sz val="11"/>
        <color theme="1"/>
        <rFont val="Arial"/>
        <family val="2"/>
      </rPr>
      <t>=</t>
    </r>
  </si>
  <si>
    <r>
      <t>f</t>
    </r>
    <r>
      <rPr>
        <vertAlign val="subscript"/>
        <sz val="11"/>
        <color theme="1"/>
        <rFont val="Arial"/>
        <family val="2"/>
      </rPr>
      <t xml:space="preserve">sw_BUR_min </t>
    </r>
    <r>
      <rPr>
        <sz val="11"/>
        <color theme="1"/>
        <rFont val="Arial"/>
        <family val="2"/>
      </rPr>
      <t>=</t>
    </r>
  </si>
  <si>
    <r>
      <t>Peak Current During BUR and Min Input, i</t>
    </r>
    <r>
      <rPr>
        <vertAlign val="subscript"/>
        <sz val="11"/>
        <color theme="1"/>
        <rFont val="Arial"/>
        <family val="2"/>
      </rPr>
      <t>pk_BUR_min</t>
    </r>
    <r>
      <rPr>
        <sz val="11"/>
        <color theme="1"/>
        <rFont val="Arial"/>
        <family val="2"/>
      </rPr>
      <t xml:space="preserve"> =</t>
    </r>
  </si>
  <si>
    <r>
      <t xml:space="preserve"> i</t>
    </r>
    <r>
      <rPr>
        <vertAlign val="subscript"/>
        <sz val="11"/>
        <color theme="1"/>
        <rFont val="Arial"/>
        <family val="2"/>
      </rPr>
      <t>pk_BUR_min</t>
    </r>
    <r>
      <rPr>
        <sz val="11"/>
        <color theme="1"/>
        <rFont val="Arial"/>
        <family val="2"/>
      </rPr>
      <t xml:space="preserve"> =</t>
    </r>
  </si>
  <si>
    <r>
      <t>Duty Cycle During BUR and Min Input, D</t>
    </r>
    <r>
      <rPr>
        <vertAlign val="subscript"/>
        <sz val="11"/>
        <color theme="1"/>
        <rFont val="Arial"/>
        <family val="2"/>
      </rPr>
      <t>OPP_BUR_min</t>
    </r>
    <r>
      <rPr>
        <sz val="11"/>
        <color theme="1"/>
        <rFont val="Arial"/>
        <family val="2"/>
      </rPr>
      <t xml:space="preserve"> =</t>
    </r>
  </si>
  <si>
    <r>
      <t xml:space="preserve"> D</t>
    </r>
    <r>
      <rPr>
        <vertAlign val="subscript"/>
        <sz val="11"/>
        <color theme="1"/>
        <rFont val="Arial"/>
        <family val="2"/>
      </rPr>
      <t xml:space="preserve">BUR_min </t>
    </r>
    <r>
      <rPr>
        <sz val="11"/>
        <color theme="1"/>
        <rFont val="Arial"/>
        <family val="2"/>
      </rPr>
      <t>=</t>
    </r>
  </si>
  <si>
    <r>
      <t>OPP Input Current at BUR and Min Input, I</t>
    </r>
    <r>
      <rPr>
        <vertAlign val="subscript"/>
        <sz val="11"/>
        <color theme="1"/>
        <rFont val="Arial"/>
        <family val="2"/>
      </rPr>
      <t xml:space="preserve">IN_BUR_min </t>
    </r>
    <r>
      <rPr>
        <sz val="11"/>
        <color theme="1"/>
        <rFont val="Arial"/>
        <family val="2"/>
      </rPr>
      <t>=</t>
    </r>
  </si>
  <si>
    <r>
      <t>I</t>
    </r>
    <r>
      <rPr>
        <vertAlign val="subscript"/>
        <sz val="11"/>
        <color theme="1"/>
        <rFont val="Arial"/>
        <family val="2"/>
      </rPr>
      <t xml:space="preserve">IN_BUR_min </t>
    </r>
    <r>
      <rPr>
        <sz val="11"/>
        <color theme="1"/>
        <rFont val="Arial"/>
        <family val="2"/>
      </rPr>
      <t>=</t>
    </r>
  </si>
  <si>
    <r>
      <t>Rising Time, T</t>
    </r>
    <r>
      <rPr>
        <vertAlign val="subscript"/>
        <sz val="11"/>
        <color theme="1"/>
        <rFont val="Arial"/>
        <family val="2"/>
      </rPr>
      <t>rise_max</t>
    </r>
    <r>
      <rPr>
        <sz val="11"/>
        <color theme="1"/>
        <rFont val="Arial"/>
        <family val="2"/>
      </rPr>
      <t xml:space="preserve"> =</t>
    </r>
  </si>
  <si>
    <r>
      <t>T</t>
    </r>
    <r>
      <rPr>
        <vertAlign val="subscript"/>
        <sz val="11"/>
        <color theme="1"/>
        <rFont val="Arial"/>
        <family val="2"/>
      </rPr>
      <t>rise_max</t>
    </r>
    <r>
      <rPr>
        <sz val="11"/>
        <color theme="1"/>
        <rFont val="Arial"/>
        <family val="2"/>
      </rPr>
      <t xml:space="preserve"> =</t>
    </r>
  </si>
  <si>
    <r>
      <t>Negative Magnetizing Inductor Current at BUR, I</t>
    </r>
    <r>
      <rPr>
        <vertAlign val="subscript"/>
        <sz val="11"/>
        <color theme="1"/>
        <rFont val="Arial"/>
        <family val="2"/>
      </rPr>
      <t xml:space="preserve">M_nega_BUR </t>
    </r>
    <r>
      <rPr>
        <sz val="11"/>
        <color theme="1"/>
        <rFont val="Arial"/>
        <family val="2"/>
      </rPr>
      <t>=</t>
    </r>
  </si>
  <si>
    <r>
      <t>I</t>
    </r>
    <r>
      <rPr>
        <vertAlign val="subscript"/>
        <sz val="11"/>
        <color theme="1"/>
        <rFont val="Arial"/>
        <family val="2"/>
      </rPr>
      <t xml:space="preserve">M_nega_BUR </t>
    </r>
    <r>
      <rPr>
        <sz val="11"/>
        <color theme="1"/>
        <rFont val="Arial"/>
        <family val="2"/>
      </rPr>
      <t>=</t>
    </r>
  </si>
  <si>
    <r>
      <t>Switching Frequency During BUR, f</t>
    </r>
    <r>
      <rPr>
        <vertAlign val="subscript"/>
        <sz val="11"/>
        <color theme="1"/>
        <rFont val="Arial"/>
        <family val="2"/>
      </rPr>
      <t xml:space="preserve">sw_OPP_BUR </t>
    </r>
    <r>
      <rPr>
        <sz val="11"/>
        <color theme="1"/>
        <rFont val="Arial"/>
        <family val="2"/>
      </rPr>
      <t>=</t>
    </r>
  </si>
  <si>
    <r>
      <t>f</t>
    </r>
    <r>
      <rPr>
        <vertAlign val="subscript"/>
        <sz val="11"/>
        <color theme="1"/>
        <rFont val="Arial"/>
        <family val="2"/>
      </rPr>
      <t xml:space="preserve">sw_BUR </t>
    </r>
    <r>
      <rPr>
        <sz val="11"/>
        <color theme="1"/>
        <rFont val="Arial"/>
        <family val="2"/>
      </rPr>
      <t>=</t>
    </r>
  </si>
  <si>
    <r>
      <t>Peak Current During BUR, i</t>
    </r>
    <r>
      <rPr>
        <vertAlign val="subscript"/>
        <sz val="11"/>
        <color theme="1"/>
        <rFont val="Arial"/>
        <family val="2"/>
      </rPr>
      <t>pk_BUR</t>
    </r>
    <r>
      <rPr>
        <sz val="11"/>
        <color theme="1"/>
        <rFont val="Arial"/>
        <family val="2"/>
      </rPr>
      <t xml:space="preserve"> =</t>
    </r>
  </si>
  <si>
    <r>
      <t xml:space="preserve"> i</t>
    </r>
    <r>
      <rPr>
        <vertAlign val="subscript"/>
        <sz val="11"/>
        <color theme="1"/>
        <rFont val="Arial"/>
        <family val="2"/>
      </rPr>
      <t>pk_BUR</t>
    </r>
    <r>
      <rPr>
        <sz val="11"/>
        <color theme="1"/>
        <rFont val="Arial"/>
        <family val="2"/>
      </rPr>
      <t xml:space="preserve"> =</t>
    </r>
  </si>
  <si>
    <r>
      <t>Turn-off Delay Time due to Coss of low-side MOSFET at i</t>
    </r>
    <r>
      <rPr>
        <vertAlign val="subscript"/>
        <sz val="11"/>
        <color theme="1"/>
        <rFont val="Arial"/>
        <family val="2"/>
      </rPr>
      <t>pk_BUR</t>
    </r>
  </si>
  <si>
    <r>
      <t>T</t>
    </r>
    <r>
      <rPr>
        <vertAlign val="subscript"/>
        <sz val="11"/>
        <color theme="1"/>
        <rFont val="Arial"/>
        <family val="2"/>
      </rPr>
      <t>D_Ql_Coss_BUR</t>
    </r>
    <r>
      <rPr>
        <sz val="11"/>
        <color theme="1"/>
        <rFont val="Arial"/>
        <family val="2"/>
      </rPr>
      <t xml:space="preserve"> =</t>
    </r>
  </si>
  <si>
    <r>
      <t>Sum of Peak Current Loop Delay at i</t>
    </r>
    <r>
      <rPr>
        <vertAlign val="subscript"/>
        <sz val="11"/>
        <color theme="1"/>
        <rFont val="Arial"/>
        <family val="2"/>
      </rPr>
      <t>pk_BUR</t>
    </r>
  </si>
  <si>
    <r>
      <t>t</t>
    </r>
    <r>
      <rPr>
        <vertAlign val="subscript"/>
        <sz val="11"/>
        <color theme="1"/>
        <rFont val="Arial"/>
        <family val="2"/>
      </rPr>
      <t>D_CST_BUR</t>
    </r>
    <r>
      <rPr>
        <sz val="11"/>
        <color theme="1"/>
        <rFont val="Arial"/>
        <family val="2"/>
      </rPr>
      <t xml:space="preserve"> =</t>
    </r>
  </si>
  <si>
    <r>
      <t>Duty Cycle During BUR, D</t>
    </r>
    <r>
      <rPr>
        <vertAlign val="subscript"/>
        <sz val="11"/>
        <color theme="1"/>
        <rFont val="Arial"/>
        <family val="2"/>
      </rPr>
      <t>OPP_BUR</t>
    </r>
    <r>
      <rPr>
        <sz val="11"/>
        <color theme="1"/>
        <rFont val="Arial"/>
        <family val="2"/>
      </rPr>
      <t xml:space="preserve"> =</t>
    </r>
  </si>
  <si>
    <r>
      <t xml:space="preserve"> D</t>
    </r>
    <r>
      <rPr>
        <vertAlign val="subscript"/>
        <sz val="11"/>
        <color theme="1"/>
        <rFont val="Arial"/>
        <family val="2"/>
      </rPr>
      <t xml:space="preserve">BUR </t>
    </r>
    <r>
      <rPr>
        <sz val="11"/>
        <color theme="1"/>
        <rFont val="Arial"/>
        <family val="2"/>
      </rPr>
      <t>=</t>
    </r>
  </si>
  <si>
    <r>
      <t>OPP Input Current at BUR, I</t>
    </r>
    <r>
      <rPr>
        <vertAlign val="subscript"/>
        <sz val="11"/>
        <color theme="1"/>
        <rFont val="Arial"/>
        <family val="2"/>
      </rPr>
      <t xml:space="preserve">IN_OPP_BUR </t>
    </r>
    <r>
      <rPr>
        <sz val="11"/>
        <color theme="1"/>
        <rFont val="Arial"/>
        <family val="2"/>
      </rPr>
      <t>=</t>
    </r>
  </si>
  <si>
    <r>
      <t>I</t>
    </r>
    <r>
      <rPr>
        <vertAlign val="subscript"/>
        <sz val="11"/>
        <color theme="1"/>
        <rFont val="Arial"/>
        <family val="2"/>
      </rPr>
      <t xml:space="preserve">IN_BUR </t>
    </r>
    <r>
      <rPr>
        <sz val="11"/>
        <color theme="1"/>
        <rFont val="Arial"/>
        <family val="2"/>
      </rPr>
      <t>=</t>
    </r>
  </si>
  <si>
    <r>
      <t>Line Sensing Current at BUR, i</t>
    </r>
    <r>
      <rPr>
        <vertAlign val="subscript"/>
        <sz val="11"/>
        <color theme="1"/>
        <rFont val="Arial"/>
        <family val="2"/>
      </rPr>
      <t>VSL_BUR</t>
    </r>
    <r>
      <rPr>
        <sz val="11"/>
        <color theme="1"/>
        <rFont val="Arial"/>
        <family val="2"/>
      </rPr>
      <t xml:space="preserve"> =</t>
    </r>
  </si>
  <si>
    <r>
      <t>i</t>
    </r>
    <r>
      <rPr>
        <vertAlign val="subscript"/>
        <sz val="11"/>
        <color theme="1"/>
        <rFont val="Arial"/>
        <family val="2"/>
      </rPr>
      <t>VSL_BUR</t>
    </r>
    <r>
      <rPr>
        <sz val="11"/>
        <color theme="1"/>
        <rFont val="Arial"/>
        <family val="2"/>
      </rPr>
      <t xml:space="preserve"> =</t>
    </r>
  </si>
  <si>
    <r>
      <t>T</t>
    </r>
    <r>
      <rPr>
        <vertAlign val="subscript"/>
        <sz val="11"/>
        <color theme="1"/>
        <rFont val="Arial"/>
        <family val="2"/>
      </rPr>
      <t>D_Ql_Coss_vmax</t>
    </r>
    <r>
      <rPr>
        <sz val="11"/>
        <color theme="1"/>
        <rFont val="Arial"/>
        <family val="2"/>
      </rPr>
      <t xml:space="preserve"> =</t>
    </r>
  </si>
  <si>
    <r>
      <t>Sum of Peak Current Loop Delay, t</t>
    </r>
    <r>
      <rPr>
        <vertAlign val="subscript"/>
        <sz val="11"/>
        <color theme="1"/>
        <rFont val="Arial"/>
        <family val="2"/>
      </rPr>
      <t>D_CST</t>
    </r>
    <r>
      <rPr>
        <sz val="11"/>
        <color theme="1"/>
        <rFont val="Arial"/>
        <family val="2"/>
      </rPr>
      <t>_vmax =</t>
    </r>
  </si>
  <si>
    <r>
      <t xml:space="preserve"> t</t>
    </r>
    <r>
      <rPr>
        <vertAlign val="subscript"/>
        <sz val="11"/>
        <color theme="1"/>
        <rFont val="Arial"/>
        <family val="2"/>
      </rPr>
      <t>D_CST_vmax</t>
    </r>
    <r>
      <rPr>
        <sz val="11"/>
        <color theme="1"/>
        <rFont val="Arial"/>
        <family val="2"/>
      </rPr>
      <t xml:space="preserve"> =</t>
    </r>
  </si>
  <si>
    <r>
      <t>Negative Magnetizing Inductor Current at Max, I</t>
    </r>
    <r>
      <rPr>
        <vertAlign val="subscript"/>
        <sz val="11"/>
        <color theme="1"/>
        <rFont val="Arial"/>
        <family val="2"/>
      </rPr>
      <t xml:space="preserve">M_nega_max </t>
    </r>
    <r>
      <rPr>
        <sz val="11"/>
        <color theme="1"/>
        <rFont val="Arial"/>
        <family val="2"/>
      </rPr>
      <t>=</t>
    </r>
  </si>
  <si>
    <r>
      <t>I</t>
    </r>
    <r>
      <rPr>
        <vertAlign val="subscript"/>
        <sz val="11"/>
        <color theme="1"/>
        <rFont val="Arial"/>
        <family val="2"/>
      </rPr>
      <t xml:space="preserve">M_nega_max </t>
    </r>
    <r>
      <rPr>
        <sz val="11"/>
        <color theme="1"/>
        <rFont val="Arial"/>
        <family val="2"/>
      </rPr>
      <t>=</t>
    </r>
  </si>
  <si>
    <r>
      <t>Switching Frequency During OPP at Max, f</t>
    </r>
    <r>
      <rPr>
        <vertAlign val="subscript"/>
        <sz val="11"/>
        <color theme="1"/>
        <rFont val="Arial"/>
        <family val="2"/>
      </rPr>
      <t xml:space="preserve">sw_OPP_max </t>
    </r>
    <r>
      <rPr>
        <sz val="11"/>
        <color theme="1"/>
        <rFont val="Arial"/>
        <family val="2"/>
      </rPr>
      <t>=</t>
    </r>
  </si>
  <si>
    <r>
      <t>f</t>
    </r>
    <r>
      <rPr>
        <vertAlign val="subscript"/>
        <sz val="11"/>
        <color theme="1"/>
        <rFont val="Arial"/>
        <family val="2"/>
      </rPr>
      <t xml:space="preserve">sw_OPP_max </t>
    </r>
    <r>
      <rPr>
        <sz val="11"/>
        <color theme="1"/>
        <rFont val="Arial"/>
        <family val="2"/>
      </rPr>
      <t>=</t>
    </r>
  </si>
  <si>
    <r>
      <t>Peak Current During OPP at Max Input, i</t>
    </r>
    <r>
      <rPr>
        <vertAlign val="subscript"/>
        <sz val="11"/>
        <color theme="1"/>
        <rFont val="Arial"/>
        <family val="2"/>
      </rPr>
      <t>pk_OPP_max</t>
    </r>
    <r>
      <rPr>
        <sz val="11"/>
        <color theme="1"/>
        <rFont val="Arial"/>
        <family val="2"/>
      </rPr>
      <t xml:space="preserve"> =</t>
    </r>
  </si>
  <si>
    <r>
      <t xml:space="preserve"> i</t>
    </r>
    <r>
      <rPr>
        <vertAlign val="subscript"/>
        <sz val="11"/>
        <color theme="1"/>
        <rFont val="Arial"/>
        <family val="2"/>
      </rPr>
      <t>pk_OPP_max</t>
    </r>
    <r>
      <rPr>
        <sz val="11"/>
        <color theme="1"/>
        <rFont val="Arial"/>
        <family val="2"/>
      </rPr>
      <t xml:space="preserve"> =</t>
    </r>
  </si>
  <si>
    <r>
      <t>Duty Cycle During OPP at Max Input, D</t>
    </r>
    <r>
      <rPr>
        <vertAlign val="subscript"/>
        <sz val="11"/>
        <color theme="1"/>
        <rFont val="Arial"/>
        <family val="2"/>
      </rPr>
      <t>OPP_max</t>
    </r>
    <r>
      <rPr>
        <sz val="11"/>
        <color theme="1"/>
        <rFont val="Arial"/>
        <family val="2"/>
      </rPr>
      <t xml:space="preserve"> =</t>
    </r>
  </si>
  <si>
    <r>
      <t xml:space="preserve"> D</t>
    </r>
    <r>
      <rPr>
        <vertAlign val="subscript"/>
        <sz val="11"/>
        <color theme="1"/>
        <rFont val="Arial"/>
        <family val="2"/>
      </rPr>
      <t xml:space="preserve">OPP_max </t>
    </r>
    <r>
      <rPr>
        <sz val="11"/>
        <color theme="1"/>
        <rFont val="Arial"/>
        <family val="2"/>
      </rPr>
      <t>=</t>
    </r>
  </si>
  <si>
    <r>
      <t>OPP Input Current at Max Input, I</t>
    </r>
    <r>
      <rPr>
        <vertAlign val="subscript"/>
        <sz val="11"/>
        <color theme="1"/>
        <rFont val="Arial"/>
        <family val="2"/>
      </rPr>
      <t xml:space="preserve">IN_OPP_max </t>
    </r>
    <r>
      <rPr>
        <sz val="11"/>
        <color theme="1"/>
        <rFont val="Arial"/>
        <family val="2"/>
      </rPr>
      <t>=</t>
    </r>
  </si>
  <si>
    <r>
      <t>I</t>
    </r>
    <r>
      <rPr>
        <vertAlign val="subscript"/>
        <sz val="11"/>
        <color theme="1"/>
        <rFont val="Arial"/>
        <family val="2"/>
      </rPr>
      <t xml:space="preserve">IN_OPP_max </t>
    </r>
    <r>
      <rPr>
        <sz val="11"/>
        <color theme="1"/>
        <rFont val="Arial"/>
        <family val="2"/>
      </rPr>
      <t>=</t>
    </r>
  </si>
  <si>
    <r>
      <t>Offset Voltage on CS Pin During OPP at Max Input, V</t>
    </r>
    <r>
      <rPr>
        <vertAlign val="subscript"/>
        <sz val="11"/>
        <color theme="1"/>
        <rFont val="Arial"/>
        <family val="2"/>
      </rPr>
      <t>offset_CS_OPP</t>
    </r>
    <r>
      <rPr>
        <sz val="11"/>
        <color theme="1"/>
        <rFont val="Arial"/>
        <family val="2"/>
      </rPr>
      <t xml:space="preserve"> =</t>
    </r>
  </si>
  <si>
    <r>
      <t>V</t>
    </r>
    <r>
      <rPr>
        <vertAlign val="subscript"/>
        <sz val="11"/>
        <color theme="1"/>
        <rFont val="Arial"/>
        <family val="2"/>
      </rPr>
      <t xml:space="preserve">offset_CS_OPP </t>
    </r>
    <r>
      <rPr>
        <sz val="11"/>
        <color theme="1"/>
        <rFont val="Arial"/>
        <family val="2"/>
      </rPr>
      <t>=</t>
    </r>
  </si>
  <si>
    <r>
      <t>Line Sensing Current at Max Input, i</t>
    </r>
    <r>
      <rPr>
        <vertAlign val="subscript"/>
        <sz val="11"/>
        <color theme="1"/>
        <rFont val="Arial"/>
        <family val="2"/>
      </rPr>
      <t>VSL_max</t>
    </r>
    <r>
      <rPr>
        <sz val="11"/>
        <color theme="1"/>
        <rFont val="Arial"/>
        <family val="2"/>
      </rPr>
      <t xml:space="preserve"> =</t>
    </r>
  </si>
  <si>
    <r>
      <t>i</t>
    </r>
    <r>
      <rPr>
        <vertAlign val="subscript"/>
        <sz val="11"/>
        <color theme="1"/>
        <rFont val="Arial"/>
        <family val="2"/>
      </rPr>
      <t>VSL_max</t>
    </r>
    <r>
      <rPr>
        <sz val="11"/>
        <color theme="1"/>
        <rFont val="Arial"/>
        <family val="2"/>
      </rPr>
      <t xml:space="preserve"> =</t>
    </r>
  </si>
  <si>
    <r>
      <t>Voltage on Primary Resistance, V</t>
    </r>
    <r>
      <rPr>
        <vertAlign val="subscript"/>
        <sz val="11"/>
        <color theme="1"/>
        <rFont val="Arial"/>
        <family val="2"/>
      </rPr>
      <t xml:space="preserve">R_pri_max </t>
    </r>
    <r>
      <rPr>
        <sz val="11"/>
        <color theme="1"/>
        <rFont val="Arial"/>
        <family val="2"/>
      </rPr>
      <t>=</t>
    </r>
  </si>
  <si>
    <r>
      <t>V</t>
    </r>
    <r>
      <rPr>
        <vertAlign val="subscript"/>
        <sz val="11"/>
        <color theme="1"/>
        <rFont val="Arial"/>
        <family val="2"/>
      </rPr>
      <t>R_pri_max</t>
    </r>
    <r>
      <rPr>
        <sz val="11"/>
        <color theme="1"/>
        <rFont val="Arial"/>
        <family val="2"/>
      </rPr>
      <t xml:space="preserve"> =</t>
    </r>
  </si>
  <si>
    <r>
      <t xml:space="preserve">Voltage on </t>
    </r>
    <r>
      <rPr>
        <b/>
        <sz val="11"/>
        <color theme="1"/>
        <rFont val="Arial"/>
        <family val="2"/>
      </rPr>
      <t>Leakage</t>
    </r>
    <r>
      <rPr>
        <sz val="11"/>
        <color theme="1"/>
        <rFont val="Arial"/>
        <family val="2"/>
      </rPr>
      <t xml:space="preserve"> Inductance, V</t>
    </r>
    <r>
      <rPr>
        <vertAlign val="subscript"/>
        <sz val="11"/>
        <color theme="1"/>
        <rFont val="Arial"/>
        <family val="2"/>
      </rPr>
      <t xml:space="preserve">LK_pri_max </t>
    </r>
    <r>
      <rPr>
        <sz val="11"/>
        <color theme="1"/>
        <rFont val="Arial"/>
        <family val="2"/>
      </rPr>
      <t>=</t>
    </r>
  </si>
  <si>
    <r>
      <t>V</t>
    </r>
    <r>
      <rPr>
        <vertAlign val="subscript"/>
        <sz val="11"/>
        <color theme="1"/>
        <rFont val="Arial"/>
        <family val="2"/>
      </rPr>
      <t>Lk_pri_max</t>
    </r>
    <r>
      <rPr>
        <sz val="11"/>
        <color theme="1"/>
        <rFont val="Arial"/>
        <family val="2"/>
      </rPr>
      <t xml:space="preserve"> =</t>
    </r>
  </si>
  <si>
    <r>
      <t>Negative Magnetizing Inductor Current at Min, I</t>
    </r>
    <r>
      <rPr>
        <vertAlign val="subscript"/>
        <sz val="11"/>
        <color theme="1"/>
        <rFont val="Arial"/>
        <family val="2"/>
      </rPr>
      <t xml:space="preserve">M_nega_OPP_min </t>
    </r>
    <r>
      <rPr>
        <sz val="11"/>
        <color theme="1"/>
        <rFont val="Arial"/>
        <family val="2"/>
      </rPr>
      <t>=</t>
    </r>
  </si>
  <si>
    <r>
      <t>I</t>
    </r>
    <r>
      <rPr>
        <vertAlign val="subscript"/>
        <sz val="11"/>
        <color theme="1"/>
        <rFont val="Arial"/>
        <family val="2"/>
      </rPr>
      <t xml:space="preserve">M_nega_OPP_min </t>
    </r>
    <r>
      <rPr>
        <sz val="11"/>
        <color theme="1"/>
        <rFont val="Arial"/>
        <family val="2"/>
      </rPr>
      <t>=</t>
    </r>
  </si>
  <si>
    <r>
      <t>Peak Current During OPP at Min Input, i</t>
    </r>
    <r>
      <rPr>
        <vertAlign val="subscript"/>
        <sz val="11"/>
        <color theme="1"/>
        <rFont val="Arial"/>
        <family val="2"/>
      </rPr>
      <t>pk_OPP_min</t>
    </r>
    <r>
      <rPr>
        <sz val="11"/>
        <color theme="1"/>
        <rFont val="Arial"/>
        <family val="2"/>
      </rPr>
      <t xml:space="preserve"> =</t>
    </r>
  </si>
  <si>
    <r>
      <t xml:space="preserve"> i</t>
    </r>
    <r>
      <rPr>
        <vertAlign val="subscript"/>
        <sz val="11"/>
        <color theme="1"/>
        <rFont val="Arial"/>
        <family val="2"/>
      </rPr>
      <t>pk_OPP_min</t>
    </r>
    <r>
      <rPr>
        <sz val="11"/>
        <color theme="1"/>
        <rFont val="Arial"/>
        <family val="2"/>
      </rPr>
      <t xml:space="preserve"> =</t>
    </r>
  </si>
  <si>
    <r>
      <t>Switching Frequency During OPP at Min,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</si>
  <si>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sw_OPP_min </t>
    </r>
    <r>
      <rPr>
        <sz val="11"/>
        <color theme="1"/>
        <rFont val="Arial"/>
        <family val="2"/>
      </rPr>
      <t>=</t>
    </r>
  </si>
  <si>
    <r>
      <t>OPP 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</si>
  <si>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IN_OPP_min </t>
    </r>
    <r>
      <rPr>
        <sz val="11"/>
        <color theme="1"/>
        <rFont val="Arial"/>
        <family val="2"/>
      </rPr>
      <t>=</t>
    </r>
  </si>
  <si>
    <r>
      <t>Duty Cycle During OPP at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</si>
  <si>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OPP_min </t>
    </r>
    <r>
      <rPr>
        <sz val="11"/>
        <color theme="1"/>
        <rFont val="Arial"/>
        <family val="2"/>
      </rPr>
      <t>=</t>
    </r>
  </si>
  <si>
    <r>
      <t>Turn on Period During Minimum Input Voltage, T</t>
    </r>
    <r>
      <rPr>
        <vertAlign val="subscript"/>
        <sz val="11"/>
        <color theme="1"/>
        <rFont val="Arial"/>
        <family val="2"/>
      </rPr>
      <t>_on_min</t>
    </r>
    <r>
      <rPr>
        <sz val="11"/>
        <color theme="1"/>
        <rFont val="Arial"/>
        <family val="2"/>
      </rPr>
      <t xml:space="preserve"> =</t>
    </r>
  </si>
  <si>
    <r>
      <t>T</t>
    </r>
    <r>
      <rPr>
        <vertAlign val="subscript"/>
        <sz val="11"/>
        <color theme="1"/>
        <rFont val="Arial"/>
        <family val="2"/>
      </rPr>
      <t>_on_min</t>
    </r>
    <r>
      <rPr>
        <sz val="11"/>
        <color theme="1"/>
        <rFont val="Arial"/>
        <family val="2"/>
      </rPr>
      <t xml:space="preserve"> =</t>
    </r>
  </si>
  <si>
    <r>
      <t>T</t>
    </r>
    <r>
      <rPr>
        <vertAlign val="subscript"/>
        <sz val="11"/>
        <color theme="1"/>
        <rFont val="Arial"/>
        <family val="2"/>
      </rPr>
      <t>D_Ql_Coss_vmin</t>
    </r>
    <r>
      <rPr>
        <sz val="11"/>
        <color theme="1"/>
        <rFont val="Arial"/>
        <family val="2"/>
      </rPr>
      <t xml:space="preserve"> =</t>
    </r>
  </si>
  <si>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</si>
  <si>
    <r>
      <t>C</t>
    </r>
    <r>
      <rPr>
        <vertAlign val="subscript"/>
        <sz val="11"/>
        <color theme="1"/>
        <rFont val="Arial"/>
        <family val="2"/>
      </rPr>
      <t>SW_0toVxl</t>
    </r>
    <r>
      <rPr>
        <sz val="11"/>
        <color theme="1"/>
        <rFont val="Arial"/>
        <family val="2"/>
      </rPr>
      <t xml:space="preserve"> =</t>
    </r>
  </si>
  <si>
    <r>
      <t>Sum of Peak Current Loop Delay, t</t>
    </r>
    <r>
      <rPr>
        <vertAlign val="subscript"/>
        <sz val="11"/>
        <color theme="1"/>
        <rFont val="Arial"/>
        <family val="2"/>
      </rPr>
      <t>D_CST_vmin</t>
    </r>
    <r>
      <rPr>
        <sz val="11"/>
        <color theme="1"/>
        <rFont val="Arial"/>
        <family val="2"/>
      </rPr>
      <t xml:space="preserve"> =</t>
    </r>
  </si>
  <si>
    <r>
      <t>t</t>
    </r>
    <r>
      <rPr>
        <vertAlign val="subscript"/>
        <sz val="11"/>
        <color theme="1"/>
        <rFont val="Arial"/>
        <family val="2"/>
      </rPr>
      <t>D_CST_vmin</t>
    </r>
    <r>
      <rPr>
        <sz val="11"/>
        <color theme="1"/>
        <rFont val="Arial"/>
        <family val="2"/>
      </rPr>
      <t xml:space="preserve"> =</t>
    </r>
  </si>
  <si>
    <r>
      <t>Duty Cycle During OPP at Run Input, D</t>
    </r>
    <r>
      <rPr>
        <vertAlign val="subscript"/>
        <sz val="11"/>
        <color theme="1"/>
        <rFont val="Arial"/>
        <family val="2"/>
      </rPr>
      <t>OPP_run</t>
    </r>
    <r>
      <rPr>
        <sz val="11"/>
        <color theme="1"/>
        <rFont val="Arial"/>
        <family val="2"/>
      </rPr>
      <t xml:space="preserve"> =</t>
    </r>
  </si>
  <si>
    <r>
      <t xml:space="preserve"> D</t>
    </r>
    <r>
      <rPr>
        <vertAlign val="subscript"/>
        <sz val="11"/>
        <color theme="1"/>
        <rFont val="Arial"/>
        <family val="2"/>
      </rPr>
      <t xml:space="preserve">OPP_run </t>
    </r>
    <r>
      <rPr>
        <sz val="11"/>
        <color theme="1"/>
        <rFont val="Arial"/>
        <family val="2"/>
      </rPr>
      <t>=</t>
    </r>
  </si>
  <si>
    <r>
      <t>OPP Input Current at Run Input, I</t>
    </r>
    <r>
      <rPr>
        <vertAlign val="subscript"/>
        <sz val="11"/>
        <color theme="1"/>
        <rFont val="Arial"/>
        <family val="2"/>
      </rPr>
      <t xml:space="preserve">IN_OPP_run </t>
    </r>
    <r>
      <rPr>
        <sz val="11"/>
        <color theme="1"/>
        <rFont val="Arial"/>
        <family val="2"/>
      </rPr>
      <t>=</t>
    </r>
  </si>
  <si>
    <r>
      <t>I</t>
    </r>
    <r>
      <rPr>
        <vertAlign val="subscript"/>
        <sz val="11"/>
        <color theme="1"/>
        <rFont val="Arial"/>
        <family val="2"/>
      </rPr>
      <t xml:space="preserve">IN_OPP_run </t>
    </r>
    <r>
      <rPr>
        <sz val="11"/>
        <color theme="1"/>
        <rFont val="Arial"/>
        <family val="2"/>
      </rPr>
      <t>=</t>
    </r>
  </si>
  <si>
    <r>
      <t>Negative Magnetizing Inductor Current at Run, I</t>
    </r>
    <r>
      <rPr>
        <vertAlign val="subscript"/>
        <sz val="11"/>
        <color theme="1"/>
        <rFont val="Arial"/>
        <family val="2"/>
      </rPr>
      <t xml:space="preserve">M_nega_run </t>
    </r>
    <r>
      <rPr>
        <sz val="11"/>
        <color theme="1"/>
        <rFont val="Arial"/>
        <family val="2"/>
      </rPr>
      <t>=</t>
    </r>
  </si>
  <si>
    <r>
      <t>I</t>
    </r>
    <r>
      <rPr>
        <vertAlign val="subscript"/>
        <sz val="11"/>
        <color theme="1"/>
        <rFont val="Arial"/>
        <family val="2"/>
      </rPr>
      <t xml:space="preserve">M_nega_run </t>
    </r>
    <r>
      <rPr>
        <sz val="11"/>
        <color theme="1"/>
        <rFont val="Arial"/>
        <family val="2"/>
      </rPr>
      <t>=</t>
    </r>
  </si>
  <si>
    <r>
      <t>Switching Frequency During OPP at Run, f</t>
    </r>
    <r>
      <rPr>
        <vertAlign val="subscript"/>
        <sz val="11"/>
        <color theme="1"/>
        <rFont val="Arial"/>
        <family val="2"/>
      </rPr>
      <t xml:space="preserve">sw_OPP_run </t>
    </r>
    <r>
      <rPr>
        <sz val="11"/>
        <color theme="1"/>
        <rFont val="Arial"/>
        <family val="2"/>
      </rPr>
      <t>=</t>
    </r>
  </si>
  <si>
    <r>
      <t>f</t>
    </r>
    <r>
      <rPr>
        <vertAlign val="subscript"/>
        <sz val="11"/>
        <color theme="1"/>
        <rFont val="Arial"/>
        <family val="2"/>
      </rPr>
      <t xml:space="preserve">sw_OPP_run </t>
    </r>
    <r>
      <rPr>
        <sz val="11"/>
        <color theme="1"/>
        <rFont val="Arial"/>
        <family val="2"/>
      </rPr>
      <t>=</t>
    </r>
  </si>
  <si>
    <r>
      <t>Peak Current During OPP at Run Input, i</t>
    </r>
    <r>
      <rPr>
        <vertAlign val="subscript"/>
        <sz val="11"/>
        <color theme="1"/>
        <rFont val="Arial"/>
        <family val="2"/>
      </rPr>
      <t>pk_OPP_run</t>
    </r>
    <r>
      <rPr>
        <sz val="11"/>
        <color theme="1"/>
        <rFont val="Arial"/>
        <family val="2"/>
      </rPr>
      <t xml:space="preserve"> =</t>
    </r>
  </si>
  <si>
    <r>
      <t xml:space="preserve"> i</t>
    </r>
    <r>
      <rPr>
        <vertAlign val="subscript"/>
        <sz val="11"/>
        <color theme="1"/>
        <rFont val="Arial"/>
        <family val="2"/>
      </rPr>
      <t>pk_OPP_run</t>
    </r>
    <r>
      <rPr>
        <sz val="11"/>
        <color theme="1"/>
        <rFont val="Arial"/>
        <family val="2"/>
      </rPr>
      <t xml:space="preserve"> =</t>
    </r>
  </si>
  <si>
    <r>
      <t>Maximum Clamp Voltage on SR, V</t>
    </r>
    <r>
      <rPr>
        <vertAlign val="subscript"/>
        <sz val="11"/>
        <color theme="1"/>
        <rFont val="Arial"/>
        <family val="2"/>
      </rPr>
      <t>clamp_max_SR</t>
    </r>
    <r>
      <rPr>
        <sz val="11"/>
        <color theme="1"/>
        <rFont val="Arial"/>
        <family val="2"/>
      </rPr>
      <t xml:space="preserve"> =</t>
    </r>
  </si>
  <si>
    <r>
      <t>V</t>
    </r>
    <r>
      <rPr>
        <vertAlign val="subscript"/>
        <sz val="11"/>
        <color theme="1"/>
        <rFont val="Arial"/>
        <family val="2"/>
      </rPr>
      <t xml:space="preserve">clamp_max_SR </t>
    </r>
    <r>
      <rPr>
        <sz val="11"/>
        <color theme="1"/>
        <rFont val="Arial"/>
        <family val="2"/>
      </rPr>
      <t>=</t>
    </r>
  </si>
  <si>
    <r>
      <t>Maximum Clamp Voltage on QH, V</t>
    </r>
    <r>
      <rPr>
        <vertAlign val="subscript"/>
        <sz val="11"/>
        <color theme="1"/>
        <rFont val="Arial"/>
        <family val="2"/>
      </rPr>
      <t>clamp_max_QH</t>
    </r>
    <r>
      <rPr>
        <sz val="11"/>
        <color theme="1"/>
        <rFont val="Arial"/>
        <family val="2"/>
      </rPr>
      <t xml:space="preserve"> =</t>
    </r>
  </si>
  <si>
    <r>
      <t>V</t>
    </r>
    <r>
      <rPr>
        <vertAlign val="subscript"/>
        <sz val="11"/>
        <color theme="1"/>
        <rFont val="Arial"/>
        <family val="2"/>
      </rPr>
      <t xml:space="preserve">clamp_max_QH </t>
    </r>
    <r>
      <rPr>
        <sz val="11"/>
        <color theme="1"/>
        <rFont val="Arial"/>
        <family val="2"/>
      </rPr>
      <t>=</t>
    </r>
  </si>
  <si>
    <r>
      <t>Maximum Clamp Voltage, V</t>
    </r>
    <r>
      <rPr>
        <vertAlign val="subscript"/>
        <sz val="11"/>
        <color theme="1"/>
        <rFont val="Arial"/>
        <family val="2"/>
      </rPr>
      <t>clamp_max</t>
    </r>
    <r>
      <rPr>
        <sz val="11"/>
        <color theme="1"/>
        <rFont val="Arial"/>
        <family val="2"/>
      </rPr>
      <t xml:space="preserve"> =</t>
    </r>
  </si>
  <si>
    <r>
      <t>V</t>
    </r>
    <r>
      <rPr>
        <vertAlign val="subscript"/>
        <sz val="11"/>
        <color theme="1"/>
        <rFont val="Arial"/>
        <family val="2"/>
      </rPr>
      <t xml:space="preserve">clamp_max </t>
    </r>
    <r>
      <rPr>
        <sz val="11"/>
        <color theme="1"/>
        <rFont val="Arial"/>
        <family val="2"/>
      </rPr>
      <t>=</t>
    </r>
  </si>
  <si>
    <r>
      <t>Recommended Minimum L</t>
    </r>
    <r>
      <rPr>
        <vertAlign val="subscript"/>
        <sz val="11"/>
        <color theme="1"/>
        <rFont val="Arial"/>
        <family val="2"/>
      </rPr>
      <t>O</t>
    </r>
    <r>
      <rPr>
        <sz val="11"/>
        <color theme="1"/>
        <rFont val="Arial"/>
        <family val="2"/>
      </rPr>
      <t xml:space="preserve"> </t>
    </r>
  </si>
  <si>
    <r>
      <t>L</t>
    </r>
    <r>
      <rPr>
        <vertAlign val="subscript"/>
        <sz val="11"/>
        <color theme="1"/>
        <rFont val="Arial"/>
        <family val="2"/>
      </rPr>
      <t>O</t>
    </r>
    <r>
      <rPr>
        <sz val="11"/>
        <color theme="1"/>
        <rFont val="Arial"/>
        <family val="2"/>
      </rPr>
      <t xml:space="preserve"> Used in Calculations</t>
    </r>
  </si>
  <si>
    <r>
      <t xml:space="preserve"> L</t>
    </r>
    <r>
      <rPr>
        <vertAlign val="subscript"/>
        <sz val="11"/>
        <rFont val="新細明體"/>
        <family val="2"/>
        <scheme val="minor"/>
      </rPr>
      <t>DAMP</t>
    </r>
    <r>
      <rPr>
        <sz val="7"/>
        <rFont val="新細明體"/>
        <family val="2"/>
        <scheme val="minor"/>
      </rPr>
      <t xml:space="preserve"> </t>
    </r>
    <r>
      <rPr>
        <sz val="11"/>
        <rFont val="新細明體"/>
        <family val="2"/>
        <scheme val="minor"/>
      </rPr>
      <t>&gt; 0.13*L</t>
    </r>
    <r>
      <rPr>
        <vertAlign val="subscript"/>
        <sz val="11"/>
        <rFont val="新細明體"/>
        <family val="2"/>
        <scheme val="minor"/>
      </rPr>
      <t xml:space="preserve">O </t>
    </r>
  </si>
  <si>
    <r>
      <t xml:space="preserve"> R</t>
    </r>
    <r>
      <rPr>
        <vertAlign val="subscript"/>
        <sz val="11"/>
        <rFont val="新細明體"/>
        <family val="2"/>
        <scheme val="minor"/>
      </rPr>
      <t>DAMP</t>
    </r>
    <r>
      <rPr>
        <sz val="7"/>
        <rFont val="新細明體"/>
        <family val="2"/>
        <scheme val="minor"/>
      </rPr>
      <t xml:space="preserve"> </t>
    </r>
    <r>
      <rPr>
        <sz val="11"/>
        <rFont val="Calibri"/>
        <family val="2"/>
      </rPr>
      <t>≥</t>
    </r>
    <r>
      <rPr>
        <sz val="11"/>
        <rFont val="新細明體"/>
        <family val="2"/>
        <scheme val="minor"/>
      </rPr>
      <t xml:space="preserve"> </t>
    </r>
    <r>
      <rPr>
        <sz val="16"/>
        <rFont val="新細明體"/>
        <family val="2"/>
        <scheme val="minor"/>
      </rPr>
      <t>√</t>
    </r>
    <r>
      <rPr>
        <sz val="11"/>
        <rFont val="新細明體"/>
        <family val="2"/>
        <scheme val="minor"/>
      </rPr>
      <t>(L</t>
    </r>
    <r>
      <rPr>
        <vertAlign val="subscript"/>
        <sz val="11"/>
        <rFont val="新細明體"/>
        <family val="2"/>
        <scheme val="minor"/>
      </rPr>
      <t>O</t>
    </r>
    <r>
      <rPr>
        <sz val="11"/>
        <rFont val="新細明體"/>
        <family val="2"/>
        <scheme val="minor"/>
      </rPr>
      <t>/C</t>
    </r>
    <r>
      <rPr>
        <vertAlign val="subscript"/>
        <sz val="11"/>
        <rFont val="新細明體"/>
        <family val="2"/>
        <scheme val="minor"/>
      </rPr>
      <t>O1</t>
    </r>
    <r>
      <rPr>
        <sz val="11"/>
        <rFont val="新細明體"/>
        <family val="2"/>
        <scheme val="minor"/>
      </rPr>
      <t xml:space="preserve">)   </t>
    </r>
  </si>
  <si>
    <r>
      <t>DC-Bias Reduction at Design V</t>
    </r>
    <r>
      <rPr>
        <vertAlign val="subscript"/>
        <sz val="11"/>
        <rFont val="Arial"/>
        <family val="2"/>
      </rPr>
      <t>O</t>
    </r>
  </si>
  <si>
    <t xml:space="preserve">    Example graph of severe reduction.  Use actual cap data.</t>
  </si>
  <si>
    <t xml:space="preserve"> Capacitance change (negative) based on output voltage</t>
  </si>
  <si>
    <t>Trade off stability with efficiency:</t>
  </si>
  <si>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 (by 10ths of %)</t>
    </r>
  </si>
  <si>
    <r>
      <t>B.  C</t>
    </r>
    <r>
      <rPr>
        <b/>
        <vertAlign val="subscript"/>
        <sz val="11"/>
        <color rgb="FFFF0000"/>
        <rFont val="Arial"/>
        <family val="2"/>
      </rPr>
      <t>O1</t>
    </r>
    <r>
      <rPr>
        <b/>
        <sz val="11"/>
        <color rgb="FFFF0000"/>
        <rFont val="Arial"/>
        <family val="2"/>
      </rPr>
      <t xml:space="preserve">  Adjustment</t>
    </r>
  </si>
  <si>
    <r>
      <t>1.  Capture transformer primary current I</t>
    </r>
    <r>
      <rPr>
        <vertAlign val="subscript"/>
        <sz val="11"/>
        <color theme="1"/>
        <rFont val="Arial"/>
        <family val="2"/>
      </rPr>
      <t>Lr</t>
    </r>
    <r>
      <rPr>
        <sz val="11"/>
        <color theme="1"/>
        <rFont val="Arial"/>
        <family val="2"/>
      </rPr>
      <t xml:space="preserve"> to fine tune C</t>
    </r>
    <r>
      <rPr>
        <vertAlign val="subscript"/>
        <sz val="11"/>
        <color theme="1"/>
        <rFont val="Arial"/>
        <family val="2"/>
      </rPr>
      <t>O1</t>
    </r>
    <r>
      <rPr>
        <sz val="11"/>
        <color theme="1"/>
        <rFont val="Arial"/>
        <family val="2"/>
      </rPr>
      <t xml:space="preserve"> value, during low line and Io_max</t>
    </r>
  </si>
  <si>
    <r>
      <t>2.  Increase C</t>
    </r>
    <r>
      <rPr>
        <vertAlign val="subscript"/>
        <sz val="11"/>
        <color theme="1"/>
        <rFont val="Arial"/>
        <family val="2"/>
      </rPr>
      <t>O1</t>
    </r>
    <r>
      <rPr>
        <sz val="11"/>
        <color theme="1"/>
        <rFont val="Arial"/>
        <family val="2"/>
      </rPr>
      <t xml:space="preserve"> to extend resonant current, improve efficiency (spreads width, reduces peak and rms value)</t>
    </r>
  </si>
  <si>
    <r>
      <t xml:space="preserve"> K</t>
    </r>
    <r>
      <rPr>
        <vertAlign val="subscript"/>
        <sz val="11"/>
        <color theme="1"/>
        <rFont val="Arial"/>
        <family val="2"/>
      </rPr>
      <t>der_SR</t>
    </r>
    <r>
      <rPr>
        <sz val="11"/>
        <color theme="1"/>
        <rFont val="Arial"/>
        <family val="2"/>
      </rPr>
      <t xml:space="preserve"> =</t>
    </r>
  </si>
  <si>
    <r>
      <t xml:space="preserve"> V</t>
    </r>
    <r>
      <rPr>
        <vertAlign val="subscript"/>
        <sz val="11"/>
        <color theme="1"/>
        <rFont val="Arial"/>
        <family val="2"/>
      </rPr>
      <t>SR_rec</t>
    </r>
    <r>
      <rPr>
        <sz val="11"/>
        <color theme="1"/>
        <rFont val="Arial"/>
        <family val="2"/>
      </rPr>
      <t xml:space="preserve"> =</t>
    </r>
  </si>
  <si>
    <r>
      <t xml:space="preserve"> V</t>
    </r>
    <r>
      <rPr>
        <vertAlign val="subscript"/>
        <sz val="11"/>
        <color theme="1"/>
        <rFont val="Arial"/>
        <family val="2"/>
      </rPr>
      <t>SR_act</t>
    </r>
    <r>
      <rPr>
        <sz val="11"/>
        <color theme="1"/>
        <rFont val="Arial"/>
        <family val="2"/>
      </rPr>
      <t xml:space="preserve"> =</t>
    </r>
  </si>
  <si>
    <r>
      <t>Output Capacitance of Selected MOSFET Big-C Below V</t>
    </r>
    <r>
      <rPr>
        <vertAlign val="subscript"/>
        <sz val="11"/>
        <color theme="1"/>
        <rFont val="Arial"/>
        <family val="2"/>
      </rPr>
      <t>x_SR</t>
    </r>
  </si>
  <si>
    <r>
      <t>C</t>
    </r>
    <r>
      <rPr>
        <vertAlign val="subscript"/>
        <sz val="11"/>
        <color theme="1"/>
        <rFont val="Arial"/>
        <family val="2"/>
      </rPr>
      <t xml:space="preserve">oss_SR_bg </t>
    </r>
    <r>
      <rPr>
        <sz val="11"/>
        <color theme="1"/>
        <rFont val="Arial"/>
        <family val="2"/>
      </rPr>
      <t>=</t>
    </r>
  </si>
  <si>
    <r>
      <t>Output Capacitance of Selected MOSFET Small-C Above V</t>
    </r>
    <r>
      <rPr>
        <vertAlign val="subscript"/>
        <sz val="11"/>
        <color theme="1"/>
        <rFont val="Arial"/>
        <family val="2"/>
      </rPr>
      <t>x_SR</t>
    </r>
    <r>
      <rPr>
        <sz val="11"/>
        <rFont val="Arial"/>
        <family val="2"/>
      </rPr>
      <t/>
    </r>
  </si>
  <si>
    <r>
      <t xml:space="preserve"> C</t>
    </r>
    <r>
      <rPr>
        <vertAlign val="subscript"/>
        <sz val="11"/>
        <color theme="1"/>
        <rFont val="Arial"/>
        <family val="2"/>
      </rPr>
      <t xml:space="preserve">oss_SR_sm </t>
    </r>
    <r>
      <rPr>
        <sz val="11"/>
        <color theme="1"/>
        <rFont val="Arial"/>
        <family val="2"/>
      </rPr>
      <t>=</t>
    </r>
  </si>
  <si>
    <r>
      <t xml:space="preserve"> V</t>
    </r>
    <r>
      <rPr>
        <vertAlign val="subscript"/>
        <sz val="11"/>
        <color theme="1"/>
        <rFont val="Arial"/>
        <family val="2"/>
      </rPr>
      <t>x_SR</t>
    </r>
    <r>
      <rPr>
        <sz val="11"/>
        <color theme="1"/>
        <rFont val="Arial"/>
        <family val="2"/>
      </rPr>
      <t xml:space="preserve"> =</t>
    </r>
  </si>
  <si>
    <r>
      <t xml:space="preserve"> C</t>
    </r>
    <r>
      <rPr>
        <vertAlign val="subscript"/>
        <sz val="11"/>
        <color theme="1"/>
        <rFont val="Arial"/>
        <family val="2"/>
      </rPr>
      <t>OSS_SR_T</t>
    </r>
  </si>
  <si>
    <r>
      <t xml:space="preserve"> C</t>
    </r>
    <r>
      <rPr>
        <vertAlign val="subscript"/>
        <sz val="11"/>
        <color theme="1"/>
        <rFont val="Arial"/>
        <family val="2"/>
      </rPr>
      <t>OSS_SR_H</t>
    </r>
    <r>
      <rPr>
        <sz val="11"/>
        <color theme="1"/>
        <rFont val="Arial"/>
        <family val="2"/>
      </rPr>
      <t>=</t>
    </r>
  </si>
  <si>
    <r>
      <t xml:space="preserve"> V</t>
    </r>
    <r>
      <rPr>
        <vertAlign val="subscript"/>
        <sz val="11"/>
        <color theme="1"/>
        <rFont val="Arial"/>
        <family val="2"/>
      </rPr>
      <t>f_SR</t>
    </r>
    <r>
      <rPr>
        <sz val="11"/>
        <color theme="1"/>
        <rFont val="Arial"/>
        <family val="2"/>
      </rPr>
      <t>=</t>
    </r>
  </si>
  <si>
    <r>
      <t xml:space="preserve"> I</t>
    </r>
    <r>
      <rPr>
        <vertAlign val="subscript"/>
        <sz val="11"/>
        <color theme="1"/>
        <rFont val="Arial"/>
        <family val="2"/>
      </rPr>
      <t>D_SR_max</t>
    </r>
    <r>
      <rPr>
        <sz val="11"/>
        <color theme="1"/>
        <rFont val="Arial"/>
        <family val="2"/>
      </rPr>
      <t>=</t>
    </r>
  </si>
  <si>
    <r>
      <t xml:space="preserve">Recommended </t>
    </r>
    <r>
      <rPr>
        <b/>
        <sz val="11"/>
        <color theme="1"/>
        <rFont val="Arial"/>
        <family val="2"/>
      </rPr>
      <t>Minimum</t>
    </r>
    <r>
      <rPr>
        <sz val="11"/>
        <color theme="1"/>
        <rFont val="Arial"/>
        <family val="2"/>
      </rPr>
      <t xml:space="preserve"> Input Bulk Capacitance</t>
    </r>
  </si>
  <si>
    <r>
      <t>C</t>
    </r>
    <r>
      <rPr>
        <vertAlign val="subscript"/>
        <sz val="11"/>
        <color theme="1"/>
        <rFont val="Arial"/>
        <family val="2"/>
      </rPr>
      <t>BULK_rec</t>
    </r>
    <r>
      <rPr>
        <sz val="11"/>
        <color theme="1"/>
        <rFont val="Arial"/>
        <family val="2"/>
      </rPr>
      <t xml:space="preserve"> =</t>
    </r>
  </si>
  <si>
    <r>
      <rPr>
        <sz val="11"/>
        <color theme="1"/>
        <rFont val="Calibri"/>
        <family val="2"/>
      </rPr>
      <t>±</t>
    </r>
    <r>
      <rPr>
        <sz val="11"/>
        <color theme="1"/>
        <rFont val="Arial"/>
        <family val="2"/>
      </rPr>
      <t>% tolerance NOT included.  Not valid for DC input. See F24.</t>
    </r>
  </si>
  <si>
    <r>
      <t xml:space="preserve"> C</t>
    </r>
    <r>
      <rPr>
        <vertAlign val="subscript"/>
        <sz val="11"/>
        <color theme="1"/>
        <rFont val="Arial"/>
        <family val="2"/>
      </rPr>
      <t>BULK_act</t>
    </r>
    <r>
      <rPr>
        <sz val="11"/>
        <color theme="1"/>
        <rFont val="Arial"/>
        <family val="2"/>
      </rPr>
      <t xml:space="preserve"> =</t>
    </r>
  </si>
  <si>
    <r>
      <t xml:space="preserve"> C</t>
    </r>
    <r>
      <rPr>
        <vertAlign val="subscript"/>
        <sz val="11"/>
        <color theme="1"/>
        <rFont val="Arial"/>
        <family val="2"/>
      </rPr>
      <t>BULK</t>
    </r>
    <r>
      <rPr>
        <sz val="11"/>
        <color theme="1"/>
        <rFont val="Arial"/>
        <family val="2"/>
      </rPr>
      <t xml:space="preserve"> =</t>
    </r>
  </si>
  <si>
    <r>
      <t xml:space="preserve"> V</t>
    </r>
    <r>
      <rPr>
        <vertAlign val="subscript"/>
        <sz val="11"/>
        <color theme="1"/>
        <rFont val="Arial"/>
        <family val="2"/>
      </rPr>
      <t xml:space="preserve">cin_rated </t>
    </r>
    <r>
      <rPr>
        <sz val="11"/>
        <color theme="1"/>
        <rFont val="Arial"/>
        <family val="2"/>
      </rPr>
      <t>=</t>
    </r>
  </si>
  <si>
    <r>
      <t>ESR of Output Capacitor C</t>
    </r>
    <r>
      <rPr>
        <vertAlign val="subscript"/>
        <sz val="11"/>
        <color theme="1"/>
        <rFont val="Arial"/>
        <family val="2"/>
      </rPr>
      <t>OUT</t>
    </r>
    <r>
      <rPr>
        <sz val="11"/>
        <color rgb="FF0000FF"/>
        <rFont val="Arial"/>
        <family val="2"/>
      </rPr>
      <t/>
    </r>
  </si>
  <si>
    <r>
      <t xml:space="preserve"> R</t>
    </r>
    <r>
      <rPr>
        <vertAlign val="subscript"/>
        <sz val="11"/>
        <color theme="1"/>
        <rFont val="Arial"/>
        <family val="2"/>
      </rPr>
      <t>CO</t>
    </r>
    <r>
      <rPr>
        <sz val="11"/>
        <color theme="1"/>
        <rFont val="Arial"/>
        <family val="2"/>
      </rPr>
      <t xml:space="preserve"> =</t>
    </r>
  </si>
  <si>
    <r>
      <t>m</t>
    </r>
    <r>
      <rPr>
        <sz val="11"/>
        <color theme="1"/>
        <rFont val="Calibri"/>
        <family val="2"/>
      </rPr>
      <t>Ω</t>
    </r>
  </si>
  <si>
    <r>
      <t xml:space="preserve"> V</t>
    </r>
    <r>
      <rPr>
        <vertAlign val="subscript"/>
        <sz val="11"/>
        <color theme="1"/>
        <rFont val="Arial"/>
        <family val="2"/>
      </rPr>
      <t>o_drop</t>
    </r>
    <r>
      <rPr>
        <sz val="11"/>
        <color theme="1"/>
        <rFont val="Arial"/>
        <family val="2"/>
      </rPr>
      <t xml:space="preserve"> =</t>
    </r>
  </si>
  <si>
    <r>
      <t xml:space="preserve">Select max </t>
    </r>
    <r>
      <rPr>
        <sz val="11"/>
        <color theme="1"/>
        <rFont val="Calibri"/>
        <family val="2"/>
      </rPr>
      <t>∆</t>
    </r>
    <r>
      <rPr>
        <sz val="11"/>
        <color theme="1"/>
        <rFont val="Arial"/>
        <family val="2"/>
      </rPr>
      <t>V</t>
    </r>
    <r>
      <rPr>
        <vertAlign val="subscript"/>
        <sz val="11"/>
        <color theme="1"/>
        <rFont val="Arial"/>
        <family val="2"/>
      </rPr>
      <t>o</t>
    </r>
    <r>
      <rPr>
        <sz val="11"/>
        <color theme="1"/>
        <rFont val="Arial"/>
        <family val="2"/>
      </rPr>
      <t xml:space="preserve"> based on 0% to 100% load step </t>
    </r>
  </si>
  <si>
    <r>
      <t xml:space="preserve">Recommended </t>
    </r>
    <r>
      <rPr>
        <b/>
        <sz val="11"/>
        <color theme="1"/>
        <rFont val="Arial"/>
        <family val="2"/>
      </rPr>
      <t>Minimum</t>
    </r>
    <r>
      <rPr>
        <sz val="11"/>
        <color theme="1"/>
        <rFont val="Arial"/>
        <family val="2"/>
      </rPr>
      <t xml:space="preserve"> Output Capacitance</t>
    </r>
  </si>
  <si>
    <r>
      <t xml:space="preserve"> C</t>
    </r>
    <r>
      <rPr>
        <vertAlign val="subscript"/>
        <sz val="11"/>
        <color theme="1"/>
        <rFont val="Arial"/>
        <family val="2"/>
      </rPr>
      <t xml:space="preserve">OUT_rec </t>
    </r>
    <r>
      <rPr>
        <sz val="11"/>
        <color theme="1"/>
        <rFont val="Arial"/>
        <family val="2"/>
      </rPr>
      <t>=</t>
    </r>
  </si>
  <si>
    <r>
      <t>Actual</t>
    </r>
    <r>
      <rPr>
        <b/>
        <sz val="11"/>
        <color theme="1"/>
        <rFont val="Arial"/>
        <family val="2"/>
      </rPr>
      <t xml:space="preserve"> </t>
    </r>
    <r>
      <rPr>
        <sz val="11"/>
        <color theme="1"/>
        <rFont val="Arial"/>
        <family val="2"/>
      </rPr>
      <t>Output Capacitance</t>
    </r>
  </si>
  <si>
    <r>
      <t xml:space="preserve"> C</t>
    </r>
    <r>
      <rPr>
        <vertAlign val="subscript"/>
        <sz val="11"/>
        <color theme="1"/>
        <rFont val="Arial"/>
        <family val="2"/>
      </rPr>
      <t>OUT_act</t>
    </r>
    <r>
      <rPr>
        <sz val="11"/>
        <color theme="1"/>
        <rFont val="Arial"/>
        <family val="2"/>
      </rPr>
      <t xml:space="preserve"> =</t>
    </r>
  </si>
  <si>
    <r>
      <t xml:space="preserve"> C</t>
    </r>
    <r>
      <rPr>
        <vertAlign val="subscript"/>
        <sz val="11"/>
        <color theme="1"/>
        <rFont val="Arial"/>
        <family val="2"/>
      </rPr>
      <t>OUT</t>
    </r>
    <r>
      <rPr>
        <sz val="11"/>
        <color theme="1"/>
        <rFont val="Arial"/>
        <family val="2"/>
      </rPr>
      <t xml:space="preserve"> =</t>
    </r>
  </si>
  <si>
    <r>
      <t>T</t>
    </r>
    <r>
      <rPr>
        <vertAlign val="subscript"/>
        <sz val="11"/>
        <color theme="1"/>
        <rFont val="Arial"/>
        <family val="2"/>
      </rPr>
      <t xml:space="preserve">D_LDr </t>
    </r>
    <r>
      <rPr>
        <sz val="11"/>
        <color theme="1"/>
        <rFont val="Arial"/>
        <family val="2"/>
      </rPr>
      <t>=</t>
    </r>
  </si>
  <si>
    <r>
      <t xml:space="preserve"> T</t>
    </r>
    <r>
      <rPr>
        <vertAlign val="subscript"/>
        <sz val="11"/>
        <color theme="1"/>
        <rFont val="Arial"/>
        <family val="2"/>
      </rPr>
      <t>D_HDr</t>
    </r>
    <r>
      <rPr>
        <sz val="11"/>
        <color theme="1"/>
        <rFont val="Arial"/>
        <family val="2"/>
      </rPr>
      <t xml:space="preserve"> =</t>
    </r>
  </si>
  <si>
    <r>
      <t>V</t>
    </r>
    <r>
      <rPr>
        <vertAlign val="subscript"/>
        <sz val="11"/>
        <color theme="1"/>
        <rFont val="Arial"/>
        <family val="2"/>
      </rPr>
      <t>f_BootD</t>
    </r>
    <r>
      <rPr>
        <sz val="11"/>
        <color theme="1"/>
        <rFont val="Arial"/>
        <family val="2"/>
      </rPr>
      <t xml:space="preserve"> =</t>
    </r>
  </si>
  <si>
    <r>
      <t xml:space="preserve"> C</t>
    </r>
    <r>
      <rPr>
        <vertAlign val="subscript"/>
        <sz val="11"/>
        <color theme="1"/>
        <rFont val="Arial"/>
        <family val="2"/>
      </rPr>
      <t xml:space="preserve">BootD_T </t>
    </r>
    <r>
      <rPr>
        <sz val="11"/>
        <color theme="1"/>
        <rFont val="Arial"/>
        <family val="2"/>
      </rPr>
      <t>=</t>
    </r>
  </si>
  <si>
    <r>
      <t xml:space="preserve"> I</t>
    </r>
    <r>
      <rPr>
        <vertAlign val="subscript"/>
        <sz val="11"/>
        <color theme="1"/>
        <rFont val="Arial"/>
        <family val="2"/>
      </rPr>
      <t xml:space="preserve">VCC_qcc </t>
    </r>
    <r>
      <rPr>
        <sz val="11"/>
        <color theme="1"/>
        <rFont val="Arial"/>
        <family val="2"/>
      </rPr>
      <t>=</t>
    </r>
  </si>
  <si>
    <r>
      <t>Derating Coefficient for QL and QH V</t>
    </r>
    <r>
      <rPr>
        <vertAlign val="subscript"/>
        <sz val="11"/>
        <color theme="1"/>
        <rFont val="Arial"/>
        <family val="2"/>
      </rPr>
      <t>DS</t>
    </r>
    <r>
      <rPr>
        <sz val="11"/>
        <color theme="1"/>
        <rFont val="Arial"/>
        <family val="2"/>
      </rPr>
      <t xml:space="preserve"> ratings, in percent</t>
    </r>
  </si>
  <si>
    <r>
      <t xml:space="preserve"> K</t>
    </r>
    <r>
      <rPr>
        <vertAlign val="subscript"/>
        <sz val="11"/>
        <color theme="1"/>
        <rFont val="Arial"/>
        <family val="2"/>
      </rPr>
      <t>der</t>
    </r>
    <r>
      <rPr>
        <sz val="11"/>
        <color theme="1"/>
        <rFont val="Arial"/>
        <family val="2"/>
      </rPr>
      <t xml:space="preserve"> =</t>
    </r>
  </si>
  <si>
    <r>
      <t xml:space="preserve"> V</t>
    </r>
    <r>
      <rPr>
        <vertAlign val="subscript"/>
        <sz val="11"/>
        <color theme="1"/>
        <rFont val="Arial"/>
        <family val="2"/>
      </rPr>
      <t>DS_rec</t>
    </r>
    <r>
      <rPr>
        <sz val="11"/>
        <color theme="1"/>
        <rFont val="Arial"/>
        <family val="2"/>
      </rPr>
      <t xml:space="preserve"> =</t>
    </r>
  </si>
  <si>
    <r>
      <t xml:space="preserve"> V</t>
    </r>
    <r>
      <rPr>
        <vertAlign val="subscript"/>
        <sz val="11"/>
        <color theme="1"/>
        <rFont val="Arial"/>
        <family val="2"/>
      </rPr>
      <t>DS_act</t>
    </r>
    <r>
      <rPr>
        <sz val="11"/>
        <color theme="1"/>
        <rFont val="Arial"/>
        <family val="2"/>
      </rPr>
      <t xml:space="preserve"> =</t>
    </r>
  </si>
  <si>
    <r>
      <t xml:space="preserve"> K</t>
    </r>
    <r>
      <rPr>
        <vertAlign val="subscript"/>
        <sz val="11"/>
        <color theme="1"/>
        <rFont val="Arial"/>
        <family val="2"/>
      </rPr>
      <t>TZ</t>
    </r>
    <r>
      <rPr>
        <sz val="11"/>
        <color theme="1"/>
        <rFont val="Arial"/>
        <family val="2"/>
      </rPr>
      <t xml:space="preserve"> =</t>
    </r>
  </si>
  <si>
    <r>
      <t>F</t>
    </r>
    <r>
      <rPr>
        <vertAlign val="superscript"/>
        <sz val="11"/>
        <color theme="1"/>
        <rFont val="Arial"/>
        <family val="2"/>
      </rPr>
      <t>-1</t>
    </r>
  </si>
  <si>
    <r>
      <t>R</t>
    </r>
    <r>
      <rPr>
        <vertAlign val="subscript"/>
        <sz val="11"/>
        <color theme="1"/>
        <rFont val="Arial"/>
        <family val="2"/>
      </rPr>
      <t xml:space="preserve">DSon_QH </t>
    </r>
    <r>
      <rPr>
        <sz val="11"/>
        <color theme="1"/>
        <rFont val="Arial"/>
        <family val="2"/>
      </rPr>
      <t>=</t>
    </r>
  </si>
  <si>
    <r>
      <t xml:space="preserve"> C</t>
    </r>
    <r>
      <rPr>
        <vertAlign val="subscript"/>
        <sz val="11"/>
        <color theme="1"/>
        <rFont val="Arial"/>
        <family val="2"/>
      </rPr>
      <t>OSS_QH_bg</t>
    </r>
    <r>
      <rPr>
        <sz val="11"/>
        <color theme="1"/>
        <rFont val="Arial"/>
        <family val="2"/>
      </rPr>
      <t xml:space="preserve"> =</t>
    </r>
  </si>
  <si>
    <r>
      <t xml:space="preserve"> C</t>
    </r>
    <r>
      <rPr>
        <vertAlign val="subscript"/>
        <sz val="11"/>
        <color theme="1"/>
        <rFont val="Arial"/>
        <family val="2"/>
      </rPr>
      <t xml:space="preserve">OSS_QH_sm </t>
    </r>
    <r>
      <rPr>
        <sz val="11"/>
        <color theme="1"/>
        <rFont val="Arial"/>
        <family val="2"/>
      </rPr>
      <t>=</t>
    </r>
  </si>
  <si>
    <r>
      <t xml:space="preserve"> V</t>
    </r>
    <r>
      <rPr>
        <vertAlign val="subscript"/>
        <sz val="11"/>
        <color theme="1"/>
        <rFont val="Arial"/>
        <family val="2"/>
      </rPr>
      <t>xh</t>
    </r>
    <r>
      <rPr>
        <sz val="11"/>
        <color theme="1"/>
        <rFont val="Arial"/>
        <family val="2"/>
      </rPr>
      <t xml:space="preserve"> =</t>
    </r>
  </si>
  <si>
    <r>
      <t xml:space="preserve"> I</t>
    </r>
    <r>
      <rPr>
        <vertAlign val="subscript"/>
        <sz val="11"/>
        <color theme="1"/>
        <rFont val="Arial"/>
        <family val="2"/>
      </rPr>
      <t>QH_max</t>
    </r>
    <r>
      <rPr>
        <sz val="11"/>
        <color theme="1"/>
        <rFont val="Arial"/>
        <family val="2"/>
      </rPr>
      <t xml:space="preserve"> =</t>
    </r>
  </si>
  <si>
    <r>
      <t>C</t>
    </r>
    <r>
      <rPr>
        <vertAlign val="subscript"/>
        <sz val="11"/>
        <color theme="1"/>
        <rFont val="Arial"/>
        <family val="2"/>
      </rPr>
      <t>oss_QH_T</t>
    </r>
    <r>
      <rPr>
        <sz val="11"/>
        <color theme="1"/>
        <rFont val="Arial"/>
        <family val="2"/>
      </rPr>
      <t>=</t>
    </r>
  </si>
  <si>
    <r>
      <t>R</t>
    </r>
    <r>
      <rPr>
        <vertAlign val="subscript"/>
        <sz val="11"/>
        <color theme="1"/>
        <rFont val="Arial"/>
        <family val="2"/>
      </rPr>
      <t xml:space="preserve">DSon_QL </t>
    </r>
    <r>
      <rPr>
        <sz val="11"/>
        <color theme="1"/>
        <rFont val="Arial"/>
        <family val="2"/>
      </rPr>
      <t>=</t>
    </r>
  </si>
  <si>
    <r>
      <t>Output Capacitance of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Vxl</t>
    </r>
  </si>
  <si>
    <r>
      <t>C</t>
    </r>
    <r>
      <rPr>
        <vertAlign val="subscript"/>
        <sz val="11"/>
        <color theme="1"/>
        <rFont val="Arial"/>
        <family val="2"/>
      </rPr>
      <t>OSS_QL_bg</t>
    </r>
    <r>
      <rPr>
        <sz val="11"/>
        <color theme="1"/>
        <rFont val="Arial"/>
        <family val="2"/>
      </rPr>
      <t xml:space="preserve"> =</t>
    </r>
  </si>
  <si>
    <r>
      <t xml:space="preserve"> C</t>
    </r>
    <r>
      <rPr>
        <vertAlign val="subscript"/>
        <sz val="11"/>
        <color theme="1"/>
        <rFont val="Arial"/>
        <family val="2"/>
      </rPr>
      <t xml:space="preserve">OSS_QL_sm </t>
    </r>
    <r>
      <rPr>
        <sz val="11"/>
        <color theme="1"/>
        <rFont val="Arial"/>
        <family val="2"/>
      </rPr>
      <t>=</t>
    </r>
  </si>
  <si>
    <r>
      <t xml:space="preserve"> V</t>
    </r>
    <r>
      <rPr>
        <vertAlign val="subscript"/>
        <sz val="11"/>
        <color theme="1"/>
        <rFont val="Arial"/>
        <family val="2"/>
      </rPr>
      <t>xl</t>
    </r>
    <r>
      <rPr>
        <sz val="11"/>
        <color theme="1"/>
        <rFont val="Arial"/>
        <family val="2"/>
      </rPr>
      <t xml:space="preserve"> =</t>
    </r>
  </si>
  <si>
    <r>
      <t>I</t>
    </r>
    <r>
      <rPr>
        <vertAlign val="subscript"/>
        <sz val="11"/>
        <color theme="1"/>
        <rFont val="Arial"/>
        <family val="2"/>
      </rPr>
      <t>QL_max</t>
    </r>
    <r>
      <rPr>
        <sz val="11"/>
        <color theme="1"/>
        <rFont val="Arial"/>
        <family val="2"/>
      </rPr>
      <t xml:space="preserve"> =</t>
    </r>
  </si>
  <si>
    <r>
      <t xml:space="preserve"> C</t>
    </r>
    <r>
      <rPr>
        <vertAlign val="subscript"/>
        <sz val="11"/>
        <color theme="1"/>
        <rFont val="Arial"/>
        <family val="2"/>
      </rPr>
      <t>oss_QL_T</t>
    </r>
    <r>
      <rPr>
        <sz val="11"/>
        <color theme="1"/>
        <rFont val="Arial"/>
        <family val="2"/>
      </rPr>
      <t>=</t>
    </r>
  </si>
  <si>
    <r>
      <t>V</t>
    </r>
    <r>
      <rPr>
        <vertAlign val="subscript"/>
        <sz val="11"/>
        <color theme="1"/>
        <rFont val="Arial"/>
        <family val="2"/>
      </rPr>
      <t>OUT</t>
    </r>
    <r>
      <rPr>
        <sz val="11"/>
        <color theme="1"/>
        <rFont val="Arial"/>
        <family val="2"/>
      </rPr>
      <t xml:space="preserve"> =</t>
    </r>
  </si>
  <si>
    <r>
      <t>P</t>
    </r>
    <r>
      <rPr>
        <vertAlign val="subscript"/>
        <sz val="11"/>
        <color theme="1"/>
        <rFont val="Arial"/>
        <family val="2"/>
      </rPr>
      <t>O_FL</t>
    </r>
    <r>
      <rPr>
        <sz val="11"/>
        <color theme="1"/>
        <rFont val="Arial"/>
        <family val="2"/>
      </rPr>
      <t xml:space="preserve"> =</t>
    </r>
  </si>
  <si>
    <r>
      <t>I</t>
    </r>
    <r>
      <rPr>
        <vertAlign val="subscript"/>
        <sz val="11"/>
        <color theme="1"/>
        <rFont val="Arial"/>
        <family val="2"/>
      </rPr>
      <t>OUT</t>
    </r>
    <r>
      <rPr>
        <sz val="11"/>
        <color theme="1"/>
        <rFont val="Arial"/>
        <family val="2"/>
      </rPr>
      <t xml:space="preserve"> =</t>
    </r>
  </si>
  <si>
    <r>
      <t xml:space="preserve"> I</t>
    </r>
    <r>
      <rPr>
        <vertAlign val="subscript"/>
        <sz val="11"/>
        <color theme="1"/>
        <rFont val="Arial"/>
        <family val="2"/>
      </rPr>
      <t>OUT_OPP</t>
    </r>
    <r>
      <rPr>
        <sz val="11"/>
        <color theme="1"/>
        <rFont val="Arial"/>
        <family val="2"/>
      </rPr>
      <t xml:space="preserve"> =</t>
    </r>
  </si>
  <si>
    <r>
      <t>f</t>
    </r>
    <r>
      <rPr>
        <vertAlign val="subscript"/>
        <sz val="11"/>
        <color theme="1"/>
        <rFont val="Arial"/>
        <family val="2"/>
      </rPr>
      <t>SW_min</t>
    </r>
    <r>
      <rPr>
        <sz val="11"/>
        <color theme="1"/>
        <rFont val="Arial"/>
        <family val="2"/>
      </rPr>
      <t>=</t>
    </r>
  </si>
  <si>
    <r>
      <t xml:space="preserve"> f</t>
    </r>
    <r>
      <rPr>
        <vertAlign val="subscript"/>
        <sz val="11"/>
        <color theme="1"/>
        <rFont val="Arial"/>
        <family val="2"/>
      </rPr>
      <t>cr_min</t>
    </r>
    <r>
      <rPr>
        <sz val="11"/>
        <color theme="1"/>
        <rFont val="Arial"/>
        <family val="2"/>
      </rPr>
      <t xml:space="preserve"> =</t>
    </r>
  </si>
  <si>
    <r>
      <t xml:space="preserve"> f</t>
    </r>
    <r>
      <rPr>
        <vertAlign val="subscript"/>
        <sz val="11"/>
        <color theme="1"/>
        <rFont val="Arial"/>
        <family val="2"/>
      </rPr>
      <t>BUR_standby</t>
    </r>
    <r>
      <rPr>
        <sz val="11"/>
        <color theme="1"/>
        <rFont val="Arial"/>
        <family val="2"/>
      </rPr>
      <t xml:space="preserve"> =</t>
    </r>
  </si>
  <si>
    <r>
      <t xml:space="preserve"> V</t>
    </r>
    <r>
      <rPr>
        <vertAlign val="subscript"/>
        <sz val="11"/>
        <color theme="1"/>
        <rFont val="Arial"/>
        <family val="2"/>
      </rPr>
      <t>In_type</t>
    </r>
    <r>
      <rPr>
        <sz val="11"/>
        <color theme="1"/>
        <rFont val="Arial"/>
        <family val="2"/>
      </rPr>
      <t xml:space="preserve"> =</t>
    </r>
  </si>
  <si>
    <r>
      <t xml:space="preserve"> V</t>
    </r>
    <r>
      <rPr>
        <vertAlign val="subscript"/>
        <sz val="11"/>
        <color theme="1"/>
        <rFont val="Arial"/>
        <family val="2"/>
      </rPr>
      <t>In_max</t>
    </r>
    <r>
      <rPr>
        <sz val="11"/>
        <color theme="1"/>
        <rFont val="Arial"/>
        <family val="2"/>
      </rPr>
      <t xml:space="preserve"> =</t>
    </r>
  </si>
  <si>
    <r>
      <t xml:space="preserve"> V</t>
    </r>
    <r>
      <rPr>
        <vertAlign val="subscript"/>
        <sz val="11"/>
        <color theme="1"/>
        <rFont val="Arial"/>
        <family val="2"/>
      </rPr>
      <t>In_BUR</t>
    </r>
    <r>
      <rPr>
        <sz val="11"/>
        <color theme="1"/>
        <rFont val="Arial"/>
        <family val="2"/>
      </rPr>
      <t xml:space="preserve"> =</t>
    </r>
  </si>
  <si>
    <r>
      <t>V</t>
    </r>
    <r>
      <rPr>
        <vertAlign val="subscript"/>
        <sz val="11"/>
        <color theme="1"/>
        <rFont val="Arial"/>
        <family val="2"/>
      </rPr>
      <t>In_min</t>
    </r>
    <r>
      <rPr>
        <sz val="11"/>
        <color theme="1"/>
        <rFont val="Arial"/>
        <family val="2"/>
      </rPr>
      <t xml:space="preserve"> =</t>
    </r>
  </si>
  <si>
    <r>
      <t>V</t>
    </r>
    <r>
      <rPr>
        <vertAlign val="subscript"/>
        <sz val="11"/>
        <color theme="1"/>
        <rFont val="Arial"/>
        <family val="2"/>
      </rPr>
      <t>In_Brownin</t>
    </r>
    <r>
      <rPr>
        <sz val="11"/>
        <color theme="1"/>
        <rFont val="Arial"/>
        <family val="2"/>
      </rPr>
      <t xml:space="preserve"> =    </t>
    </r>
  </si>
  <si>
    <t xml:space="preserve">"Brown-out" Input Voltage Result </t>
  </si>
  <si>
    <r>
      <t>V</t>
    </r>
    <r>
      <rPr>
        <vertAlign val="subscript"/>
        <sz val="11"/>
        <color theme="1"/>
        <rFont val="Arial"/>
        <family val="2"/>
      </rPr>
      <t>In_Brownout</t>
    </r>
    <r>
      <rPr>
        <sz val="11"/>
        <color theme="1"/>
        <rFont val="Arial"/>
        <family val="2"/>
      </rPr>
      <t xml:space="preserve"> = </t>
    </r>
  </si>
  <si>
    <r>
      <t>V</t>
    </r>
    <r>
      <rPr>
        <vertAlign val="subscript"/>
        <sz val="11"/>
        <color theme="1"/>
        <rFont val="Arial"/>
        <family val="2"/>
      </rPr>
      <t>Bulk_min_tgt</t>
    </r>
    <r>
      <rPr>
        <sz val="11"/>
        <color theme="1"/>
        <rFont val="Arial"/>
        <family val="2"/>
      </rPr>
      <t xml:space="preserve"> =</t>
    </r>
  </si>
  <si>
    <r>
      <t>Lowest instantaneous bulk voltage (to calculate C</t>
    </r>
    <r>
      <rPr>
        <vertAlign val="subscript"/>
        <sz val="11"/>
        <color theme="1"/>
        <rFont val="Arial"/>
        <family val="2"/>
      </rPr>
      <t>BULK</t>
    </r>
    <r>
      <rPr>
        <sz val="11"/>
        <color theme="1"/>
        <rFont val="Arial"/>
        <family val="2"/>
      </rPr>
      <t>)</t>
    </r>
  </si>
  <si>
    <r>
      <t>f</t>
    </r>
    <r>
      <rPr>
        <vertAlign val="subscript"/>
        <sz val="11"/>
        <color theme="1"/>
        <rFont val="Arial"/>
        <family val="2"/>
      </rPr>
      <t>LINE_min</t>
    </r>
    <r>
      <rPr>
        <sz val="11"/>
        <color theme="1"/>
        <rFont val="Arial"/>
        <family val="2"/>
      </rPr>
      <t xml:space="preserve"> =</t>
    </r>
  </si>
  <si>
    <r>
      <t xml:space="preserve"> </t>
    </r>
    <r>
      <rPr>
        <sz val="12"/>
        <color theme="1"/>
        <rFont val="Arial"/>
        <family val="2"/>
      </rPr>
      <t>η</t>
    </r>
    <r>
      <rPr>
        <sz val="7"/>
        <color theme="1"/>
        <rFont val="Arial"/>
        <family val="2"/>
      </rPr>
      <t>_min</t>
    </r>
    <r>
      <rPr>
        <sz val="11"/>
        <color theme="1"/>
        <rFont val="Arial"/>
        <family val="2"/>
      </rPr>
      <t>=</t>
    </r>
  </si>
  <si>
    <t>VDD Supply Current, Run-state, Switching</t>
  </si>
  <si>
    <r>
      <t>V</t>
    </r>
    <r>
      <rPr>
        <vertAlign val="subscript"/>
        <sz val="11"/>
        <color theme="1"/>
        <rFont val="Arial"/>
        <family val="2"/>
      </rPr>
      <t>DD_off</t>
    </r>
    <r>
      <rPr>
        <sz val="11"/>
        <color theme="1"/>
        <rFont val="Arial"/>
        <family val="2"/>
      </rPr>
      <t xml:space="preserve"> =</t>
    </r>
  </si>
  <si>
    <r>
      <t>V</t>
    </r>
    <r>
      <rPr>
        <vertAlign val="subscript"/>
        <sz val="11"/>
        <color theme="1"/>
        <rFont val="Arial"/>
        <family val="2"/>
      </rPr>
      <t>DD_on</t>
    </r>
    <r>
      <rPr>
        <sz val="11"/>
        <color theme="1"/>
        <rFont val="Arial"/>
        <family val="2"/>
      </rPr>
      <t xml:space="preserve"> =</t>
    </r>
  </si>
  <si>
    <r>
      <t>V</t>
    </r>
    <r>
      <rPr>
        <vertAlign val="subscript"/>
        <sz val="11"/>
        <color theme="1"/>
        <rFont val="Arial"/>
        <family val="2"/>
      </rPr>
      <t>DD_max</t>
    </r>
    <r>
      <rPr>
        <sz val="11"/>
        <color theme="1"/>
        <rFont val="Arial"/>
        <family val="2"/>
      </rPr>
      <t xml:space="preserve"> =</t>
    </r>
  </si>
  <si>
    <r>
      <t>V</t>
    </r>
    <r>
      <rPr>
        <vertAlign val="subscript"/>
        <sz val="11"/>
        <color theme="1"/>
        <rFont val="Arial"/>
        <family val="2"/>
      </rPr>
      <t>DD_PCT</t>
    </r>
    <r>
      <rPr>
        <sz val="11"/>
        <color theme="1"/>
        <rFont val="Arial"/>
        <family val="2"/>
      </rPr>
      <t xml:space="preserve"> =</t>
    </r>
  </si>
  <si>
    <r>
      <t>I</t>
    </r>
    <r>
      <rPr>
        <vertAlign val="subscript"/>
        <sz val="11"/>
        <color theme="1"/>
        <rFont val="Arial"/>
        <family val="2"/>
      </rPr>
      <t>VSL_run</t>
    </r>
    <r>
      <rPr>
        <sz val="11"/>
        <color theme="1"/>
        <rFont val="Arial"/>
        <family val="2"/>
      </rPr>
      <t xml:space="preserve"> =</t>
    </r>
  </si>
  <si>
    <r>
      <t>V</t>
    </r>
    <r>
      <rPr>
        <vertAlign val="subscript"/>
        <sz val="11"/>
        <color theme="1"/>
        <rFont val="Arial"/>
        <family val="2"/>
      </rPr>
      <t xml:space="preserve">VS_OVP </t>
    </r>
    <r>
      <rPr>
        <sz val="11"/>
        <color theme="1"/>
        <rFont val="Arial"/>
        <family val="2"/>
      </rPr>
      <t>=</t>
    </r>
  </si>
  <si>
    <r>
      <t>t</t>
    </r>
    <r>
      <rPr>
        <vertAlign val="subscript"/>
        <sz val="11"/>
        <color theme="1"/>
        <rFont val="Arial"/>
        <family val="2"/>
      </rPr>
      <t>D_CS</t>
    </r>
    <r>
      <rPr>
        <sz val="11"/>
        <color theme="1"/>
        <rFont val="Arial"/>
        <family val="2"/>
      </rPr>
      <t xml:space="preserve"> =</t>
    </r>
  </si>
  <si>
    <r>
      <t xml:space="preserve"> V</t>
    </r>
    <r>
      <rPr>
        <vertAlign val="subscript"/>
        <sz val="11"/>
        <color theme="1"/>
        <rFont val="Arial"/>
        <family val="2"/>
      </rPr>
      <t>CST_max</t>
    </r>
    <r>
      <rPr>
        <sz val="11"/>
        <color theme="1"/>
        <rFont val="Arial"/>
        <family val="2"/>
      </rPr>
      <t xml:space="preserve"> =</t>
    </r>
  </si>
  <si>
    <r>
      <t xml:space="preserve"> V</t>
    </r>
    <r>
      <rPr>
        <vertAlign val="subscript"/>
        <sz val="11"/>
        <color theme="1"/>
        <rFont val="Arial"/>
        <family val="2"/>
      </rPr>
      <t>CST_OPP1</t>
    </r>
    <r>
      <rPr>
        <sz val="11"/>
        <color theme="1"/>
        <rFont val="Arial"/>
        <family val="2"/>
      </rPr>
      <t xml:space="preserve"> =</t>
    </r>
  </si>
  <si>
    <r>
      <t xml:space="preserve"> V</t>
    </r>
    <r>
      <rPr>
        <vertAlign val="subscript"/>
        <sz val="11"/>
        <color theme="1"/>
        <rFont val="Arial"/>
        <family val="2"/>
      </rPr>
      <t>CST_OPP4</t>
    </r>
    <r>
      <rPr>
        <sz val="11"/>
        <color theme="1"/>
        <rFont val="Arial"/>
        <family val="2"/>
      </rPr>
      <t xml:space="preserve"> =</t>
    </r>
  </si>
  <si>
    <r>
      <t>V</t>
    </r>
    <r>
      <rPr>
        <vertAlign val="subscript"/>
        <sz val="11"/>
        <color theme="1"/>
        <rFont val="Arial"/>
        <family val="2"/>
      </rPr>
      <t>s_clamp</t>
    </r>
    <r>
      <rPr>
        <sz val="11"/>
        <color theme="1"/>
        <rFont val="Arial"/>
        <family val="2"/>
      </rPr>
      <t xml:space="preserve"> =</t>
    </r>
  </si>
  <si>
    <r>
      <t>K</t>
    </r>
    <r>
      <rPr>
        <vertAlign val="subscript"/>
        <sz val="11"/>
        <color theme="1"/>
        <rFont val="Arial"/>
        <family val="2"/>
      </rPr>
      <t>LC</t>
    </r>
    <r>
      <rPr>
        <sz val="11"/>
        <color theme="1"/>
        <rFont val="Arial"/>
        <family val="2"/>
      </rPr>
      <t xml:space="preserve"> =</t>
    </r>
  </si>
  <si>
    <r>
      <t>K</t>
    </r>
    <r>
      <rPr>
        <vertAlign val="subscript"/>
        <sz val="11"/>
        <color theme="1"/>
        <rFont val="Arial"/>
        <family val="2"/>
      </rPr>
      <t>DM</t>
    </r>
    <r>
      <rPr>
        <sz val="11"/>
        <color theme="1"/>
        <rFont val="Arial"/>
        <family val="2"/>
      </rPr>
      <t xml:space="preserve"> =</t>
    </r>
  </si>
  <si>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</si>
  <si>
    <r>
      <t>K</t>
    </r>
    <r>
      <rPr>
        <vertAlign val="subscript"/>
        <sz val="11"/>
        <color theme="1"/>
        <rFont val="Arial"/>
        <family val="2"/>
      </rPr>
      <t>BUR_CST</t>
    </r>
    <r>
      <rPr>
        <sz val="11"/>
        <color theme="1"/>
        <rFont val="Arial"/>
        <family val="2"/>
      </rPr>
      <t xml:space="preserve"> =</t>
    </r>
  </si>
  <si>
    <r>
      <t>V</t>
    </r>
    <r>
      <rPr>
        <vertAlign val="subscript"/>
        <sz val="11"/>
        <color theme="1"/>
        <rFont val="Arial"/>
        <family val="2"/>
      </rPr>
      <t>HVG</t>
    </r>
    <r>
      <rPr>
        <sz val="11"/>
        <color theme="1"/>
        <rFont val="Arial"/>
        <family val="2"/>
      </rPr>
      <t xml:space="preserve"> =</t>
    </r>
  </si>
  <si>
    <r>
      <t>I</t>
    </r>
    <r>
      <rPr>
        <vertAlign val="subscript"/>
        <sz val="11"/>
        <color theme="1"/>
        <rFont val="Arial"/>
        <family val="2"/>
      </rPr>
      <t>RUN_VDD</t>
    </r>
    <r>
      <rPr>
        <sz val="11"/>
        <color theme="1"/>
        <rFont val="Arial"/>
        <family val="2"/>
      </rPr>
      <t xml:space="preserve"> =</t>
    </r>
  </si>
  <si>
    <r>
      <t>I</t>
    </r>
    <r>
      <rPr>
        <vertAlign val="subscript"/>
        <sz val="11"/>
        <color theme="1"/>
        <rFont val="Arial"/>
        <family val="2"/>
      </rPr>
      <t>wait_VDD</t>
    </r>
    <r>
      <rPr>
        <sz val="11"/>
        <color theme="1"/>
        <rFont val="Arial"/>
        <family val="2"/>
      </rPr>
      <t xml:space="preserve"> =</t>
    </r>
  </si>
  <si>
    <r>
      <t xml:space="preserve"> t</t>
    </r>
    <r>
      <rPr>
        <vertAlign val="subscript"/>
        <sz val="11"/>
        <color theme="1"/>
        <rFont val="Arial"/>
        <family val="2"/>
      </rPr>
      <t>D_RUN_PWML</t>
    </r>
    <r>
      <rPr>
        <sz val="11"/>
        <color theme="1"/>
        <rFont val="Arial"/>
        <family val="2"/>
      </rPr>
      <t xml:space="preserve"> =</t>
    </r>
  </si>
  <si>
    <r>
      <t xml:space="preserve"> I</t>
    </r>
    <r>
      <rPr>
        <vertAlign val="subscript"/>
        <sz val="11"/>
        <color theme="1"/>
        <rFont val="Arial"/>
        <family val="2"/>
      </rPr>
      <t>start_HVG</t>
    </r>
    <r>
      <rPr>
        <sz val="11"/>
        <color theme="1"/>
        <rFont val="Arial"/>
        <family val="2"/>
      </rPr>
      <t xml:space="preserve"> =</t>
    </r>
  </si>
  <si>
    <r>
      <t>Sink-Current on V</t>
    </r>
    <r>
      <rPr>
        <vertAlign val="subscript"/>
        <sz val="11"/>
        <color theme="1"/>
        <rFont val="Arial"/>
        <family val="2"/>
      </rPr>
      <t>DD</t>
    </r>
    <r>
      <rPr>
        <sz val="11"/>
        <color theme="1"/>
        <rFont val="Arial"/>
        <family val="2"/>
      </rPr>
      <t xml:space="preserve"> pin</t>
    </r>
  </si>
  <si>
    <r>
      <t>I</t>
    </r>
    <r>
      <rPr>
        <vertAlign val="subscript"/>
        <sz val="11"/>
        <color theme="1"/>
        <rFont val="Arial"/>
        <family val="2"/>
      </rPr>
      <t>EN_VDD</t>
    </r>
    <r>
      <rPr>
        <sz val="11"/>
        <color theme="1"/>
        <rFont val="Arial"/>
        <family val="2"/>
      </rPr>
      <t xml:space="preserve"> =</t>
    </r>
  </si>
  <si>
    <r>
      <t>V</t>
    </r>
    <r>
      <rPr>
        <vertAlign val="subscript"/>
        <sz val="11"/>
        <color theme="1"/>
        <rFont val="Arial"/>
        <family val="2"/>
      </rPr>
      <t>FB_max</t>
    </r>
    <r>
      <rPr>
        <sz val="11"/>
        <color theme="1"/>
        <rFont val="Arial"/>
        <family val="2"/>
      </rPr>
      <t xml:space="preserve"> =</t>
    </r>
  </si>
  <si>
    <r>
      <t>R</t>
    </r>
    <r>
      <rPr>
        <vertAlign val="subscript"/>
        <sz val="11"/>
        <color theme="1"/>
        <rFont val="Arial"/>
        <family val="2"/>
      </rPr>
      <t>FB_int</t>
    </r>
    <r>
      <rPr>
        <sz val="11"/>
        <color theme="1"/>
        <rFont val="Arial"/>
        <family val="2"/>
      </rPr>
      <t xml:space="preserve"> =</t>
    </r>
  </si>
  <si>
    <r>
      <t>I</t>
    </r>
    <r>
      <rPr>
        <vertAlign val="subscript"/>
        <sz val="11"/>
        <color theme="1"/>
        <rFont val="Arial"/>
        <family val="2"/>
      </rPr>
      <t>FB_max</t>
    </r>
    <r>
      <rPr>
        <sz val="11"/>
        <color theme="1"/>
        <rFont val="Arial"/>
        <family val="2"/>
      </rPr>
      <t xml:space="preserve"> =</t>
    </r>
  </si>
  <si>
    <r>
      <t>Burst voltage ripple of V</t>
    </r>
    <r>
      <rPr>
        <vertAlign val="subscript"/>
        <sz val="11"/>
        <color theme="1"/>
        <rFont val="Arial"/>
        <family val="2"/>
      </rPr>
      <t>O</t>
    </r>
    <r>
      <rPr>
        <sz val="11"/>
        <color theme="1"/>
        <rFont val="Arial"/>
        <family val="2"/>
      </rPr>
      <t xml:space="preserve"> when in ABM</t>
    </r>
  </si>
  <si>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</si>
  <si>
    <r>
      <t>f</t>
    </r>
    <r>
      <rPr>
        <vertAlign val="subscript"/>
        <sz val="11"/>
        <color theme="1"/>
        <rFont val="Arial"/>
        <family val="2"/>
      </rPr>
      <t>BUR_UP</t>
    </r>
    <r>
      <rPr>
        <sz val="11"/>
        <color theme="1"/>
        <rFont val="Arial"/>
        <family val="2"/>
      </rPr>
      <t xml:space="preserve"> =</t>
    </r>
  </si>
  <si>
    <r>
      <t>f</t>
    </r>
    <r>
      <rPr>
        <vertAlign val="subscript"/>
        <sz val="11"/>
        <color theme="1"/>
        <rFont val="Arial"/>
        <family val="2"/>
      </rPr>
      <t>BUR_LR</t>
    </r>
    <r>
      <rPr>
        <sz val="11"/>
        <color theme="1"/>
        <rFont val="Arial"/>
        <family val="2"/>
      </rPr>
      <t xml:space="preserve"> =</t>
    </r>
  </si>
  <si>
    <r>
      <t>t</t>
    </r>
    <r>
      <rPr>
        <vertAlign val="subscript"/>
        <sz val="11"/>
        <color theme="1"/>
        <rFont val="Arial"/>
        <family val="2"/>
      </rPr>
      <t>FDR</t>
    </r>
    <r>
      <rPr>
        <sz val="11"/>
        <color theme="1"/>
        <rFont val="Arial"/>
        <family val="2"/>
      </rPr>
      <t xml:space="preserve"> =</t>
    </r>
  </si>
  <si>
    <r>
      <t>K</t>
    </r>
    <r>
      <rPr>
        <vertAlign val="subscript"/>
        <sz val="11"/>
        <color theme="1"/>
        <rFont val="Arial"/>
        <family val="2"/>
      </rPr>
      <t>RES</t>
    </r>
    <r>
      <rPr>
        <sz val="11"/>
        <color theme="1"/>
        <rFont val="Arial"/>
        <family val="2"/>
      </rPr>
      <t xml:space="preserve"> =</t>
    </r>
  </si>
  <si>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</si>
  <si>
    <r>
      <t>∆V</t>
    </r>
    <r>
      <rPr>
        <sz val="7"/>
        <color theme="1"/>
        <rFont val="Arial"/>
        <family val="2"/>
      </rPr>
      <t>_MIN</t>
    </r>
    <r>
      <rPr>
        <sz val="11"/>
        <color theme="1"/>
        <rFont val="Arial"/>
        <family val="2"/>
      </rPr>
      <t xml:space="preserve"> =</t>
    </r>
  </si>
  <si>
    <r>
      <t>ΔV</t>
    </r>
    <r>
      <rPr>
        <sz val="7"/>
        <color theme="1"/>
        <rFont val="Arial"/>
        <family val="2"/>
      </rPr>
      <t xml:space="preserve">SPIKE_SR </t>
    </r>
    <r>
      <rPr>
        <sz val="11"/>
        <color theme="1"/>
        <rFont val="Arial"/>
        <family val="2"/>
      </rPr>
      <t>=</t>
    </r>
  </si>
  <si>
    <r>
      <t>ΔV</t>
    </r>
    <r>
      <rPr>
        <sz val="7"/>
        <color theme="1"/>
        <rFont val="Arial"/>
        <family val="2"/>
      </rPr>
      <t>CLAMP</t>
    </r>
    <r>
      <rPr>
        <sz val="11"/>
        <color theme="1"/>
        <rFont val="Arial"/>
        <family val="2"/>
      </rPr>
      <t>=</t>
    </r>
  </si>
  <si>
    <t xml:space="preserve">Typically use 100mV or higher.          Refer to the figure at the right &gt;&gt;&gt;  </t>
  </si>
  <si>
    <t xml:space="preserve">ds specs </t>
  </si>
  <si>
    <t>(Recommended value rounded to nearest integer)</t>
  </si>
  <si>
    <r>
      <t>Choose integer turns: N</t>
    </r>
    <r>
      <rPr>
        <sz val="7"/>
        <rFont val="Arial"/>
        <family val="2"/>
      </rPr>
      <t xml:space="preserve">A_min </t>
    </r>
    <r>
      <rPr>
        <sz val="11"/>
        <rFont val="Arial"/>
        <family val="2"/>
      </rPr>
      <t>&lt; N</t>
    </r>
    <r>
      <rPr>
        <vertAlign val="subscript"/>
        <sz val="11"/>
        <rFont val="Arial"/>
        <family val="2"/>
      </rPr>
      <t>A</t>
    </r>
    <r>
      <rPr>
        <sz val="11"/>
        <rFont val="Arial"/>
        <family val="2"/>
      </rPr>
      <t xml:space="preserve"> &lt; N</t>
    </r>
    <r>
      <rPr>
        <sz val="7"/>
        <rFont val="Arial"/>
        <family val="2"/>
      </rPr>
      <t xml:space="preserve">A_max  </t>
    </r>
  </si>
  <si>
    <t>(at lowest bulk voltage)</t>
  </si>
  <si>
    <r>
      <t>C</t>
    </r>
    <r>
      <rPr>
        <vertAlign val="subscript"/>
        <sz val="11"/>
        <color theme="1"/>
        <rFont val="Arial"/>
        <family val="2"/>
      </rPr>
      <t>OSS_QH_T</t>
    </r>
    <r>
      <rPr>
        <sz val="11"/>
        <color theme="1"/>
        <rFont val="Arial"/>
        <family val="2"/>
      </rPr>
      <t xml:space="preserve"> =</t>
    </r>
  </si>
  <si>
    <r>
      <t>C</t>
    </r>
    <r>
      <rPr>
        <vertAlign val="subscript"/>
        <sz val="11"/>
        <color theme="1"/>
        <rFont val="Arial"/>
        <family val="2"/>
      </rPr>
      <t>OSS_QL_T</t>
    </r>
    <r>
      <rPr>
        <sz val="11"/>
        <color theme="1"/>
        <rFont val="Arial"/>
        <family val="2"/>
      </rPr>
      <t xml:space="preserve"> =</t>
    </r>
  </si>
  <si>
    <r>
      <t>C</t>
    </r>
    <r>
      <rPr>
        <vertAlign val="subscript"/>
        <sz val="11"/>
        <color theme="1"/>
        <rFont val="Arial"/>
        <family val="2"/>
      </rPr>
      <t>Tr</t>
    </r>
    <r>
      <rPr>
        <sz val="11"/>
        <color theme="1"/>
        <rFont val="Arial"/>
        <family val="2"/>
      </rPr>
      <t xml:space="preserve"> =</t>
    </r>
  </si>
  <si>
    <r>
      <t>C</t>
    </r>
    <r>
      <rPr>
        <vertAlign val="subscript"/>
        <sz val="11"/>
        <color theme="1"/>
        <rFont val="Arial"/>
        <family val="2"/>
      </rPr>
      <t>BootD_T</t>
    </r>
    <r>
      <rPr>
        <sz val="11"/>
        <color theme="1"/>
        <rFont val="Arial"/>
        <family val="2"/>
      </rPr>
      <t xml:space="preserve"> =</t>
    </r>
  </si>
  <si>
    <r>
      <t>C</t>
    </r>
    <r>
      <rPr>
        <vertAlign val="subscript"/>
        <sz val="11"/>
        <color theme="1"/>
        <rFont val="Arial"/>
        <family val="2"/>
      </rPr>
      <t xml:space="preserve">OSS_Qs </t>
    </r>
    <r>
      <rPr>
        <sz val="11"/>
        <color theme="1"/>
        <rFont val="Arial"/>
        <family val="2"/>
      </rPr>
      <t>=</t>
    </r>
  </si>
  <si>
    <r>
      <t>C</t>
    </r>
    <r>
      <rPr>
        <vertAlign val="subscript"/>
        <sz val="11"/>
        <color theme="1"/>
        <rFont val="Arial"/>
        <family val="2"/>
      </rPr>
      <t xml:space="preserve">reflect </t>
    </r>
    <r>
      <rPr>
        <sz val="11"/>
        <color theme="1"/>
        <rFont val="Arial"/>
        <family val="2"/>
      </rPr>
      <t>=</t>
    </r>
  </si>
  <si>
    <r>
      <t>C</t>
    </r>
    <r>
      <rPr>
        <vertAlign val="subscript"/>
        <sz val="11"/>
        <color theme="1"/>
        <rFont val="Arial"/>
        <family val="2"/>
      </rPr>
      <t xml:space="preserve">SWN_T </t>
    </r>
    <r>
      <rPr>
        <sz val="11"/>
        <color theme="1"/>
        <rFont val="Arial"/>
        <family val="2"/>
      </rPr>
      <t>=</t>
    </r>
  </si>
  <si>
    <r>
      <t>V</t>
    </r>
    <r>
      <rPr>
        <vertAlign val="subscript"/>
        <sz val="11"/>
        <color theme="1"/>
        <rFont val="Arial"/>
        <family val="2"/>
      </rPr>
      <t>O</t>
    </r>
    <r>
      <rPr>
        <sz val="11"/>
        <color theme="1"/>
        <rFont val="Arial"/>
        <family val="2"/>
      </rPr>
      <t xml:space="preserve"> Reflected to Primary Winding</t>
    </r>
  </si>
  <si>
    <r>
      <t>V</t>
    </r>
    <r>
      <rPr>
        <vertAlign val="subscript"/>
        <sz val="11"/>
        <color theme="1"/>
        <rFont val="Arial"/>
        <family val="2"/>
      </rPr>
      <t>Rfl</t>
    </r>
    <r>
      <rPr>
        <sz val="11"/>
        <color theme="1"/>
        <rFont val="Arial"/>
        <family val="2"/>
      </rPr>
      <t xml:space="preserve"> =</t>
    </r>
  </si>
  <si>
    <r>
      <t>D</t>
    </r>
    <r>
      <rPr>
        <vertAlign val="subscript"/>
        <sz val="11"/>
        <color theme="1"/>
        <rFont val="Arial"/>
        <family val="2"/>
      </rPr>
      <t>_max</t>
    </r>
    <r>
      <rPr>
        <sz val="11"/>
        <color theme="1"/>
        <rFont val="Arial"/>
        <family val="2"/>
      </rPr>
      <t xml:space="preserve"> =</t>
    </r>
  </si>
  <si>
    <r>
      <rPr>
        <b/>
        <sz val="11"/>
        <color theme="1"/>
        <rFont val="Arial"/>
        <family val="2"/>
      </rPr>
      <t>Recommended</t>
    </r>
    <r>
      <rPr>
        <sz val="11"/>
        <color theme="1"/>
        <rFont val="Arial"/>
        <family val="2"/>
      </rPr>
      <t xml:space="preserve"> Primary Magnetizing Inductance </t>
    </r>
  </si>
  <si>
    <r>
      <t>L</t>
    </r>
    <r>
      <rPr>
        <vertAlign val="subscript"/>
        <sz val="11"/>
        <color theme="1"/>
        <rFont val="Arial"/>
        <family val="2"/>
      </rPr>
      <t>M_rec</t>
    </r>
    <r>
      <rPr>
        <sz val="11"/>
        <color theme="1"/>
        <rFont val="Arial"/>
        <family val="2"/>
      </rPr>
      <t xml:space="preserve"> =</t>
    </r>
  </si>
  <si>
    <t>Expected Clamp Cap DC-Bias Reduction, in negative percent</t>
  </si>
  <si>
    <r>
      <t>D</t>
    </r>
    <r>
      <rPr>
        <vertAlign val="subscript"/>
        <sz val="11"/>
        <color theme="1"/>
        <rFont val="Arial"/>
        <family val="2"/>
      </rPr>
      <t>rea_clamp</t>
    </r>
    <r>
      <rPr>
        <sz val="11"/>
        <color theme="1"/>
        <rFont val="Arial"/>
        <family val="2"/>
      </rPr>
      <t>=</t>
    </r>
  </si>
  <si>
    <r>
      <rPr>
        <b/>
        <sz val="11"/>
        <color theme="1"/>
        <rFont val="Arial"/>
        <family val="2"/>
      </rPr>
      <t>Recommended</t>
    </r>
    <r>
      <rPr>
        <sz val="11"/>
        <color theme="1"/>
        <rFont val="Arial"/>
        <family val="2"/>
      </rPr>
      <t xml:space="preserve"> Clamp Cap </t>
    </r>
    <r>
      <rPr>
        <b/>
        <sz val="11"/>
        <color theme="1"/>
        <rFont val="Arial"/>
        <family val="2"/>
      </rPr>
      <t xml:space="preserve">Initial </t>
    </r>
    <r>
      <rPr>
        <sz val="11"/>
        <color theme="1"/>
        <rFont val="Arial"/>
        <family val="2"/>
      </rPr>
      <t>Capacitance</t>
    </r>
  </si>
  <si>
    <r>
      <t>C</t>
    </r>
    <r>
      <rPr>
        <vertAlign val="subscript"/>
        <sz val="11"/>
        <color theme="1"/>
        <rFont val="Arial"/>
        <family val="2"/>
      </rPr>
      <t xml:space="preserve">clamp_rec </t>
    </r>
    <r>
      <rPr>
        <sz val="11"/>
        <color theme="1"/>
        <rFont val="Arial"/>
        <family val="2"/>
      </rPr>
      <t>=</t>
    </r>
  </si>
  <si>
    <r>
      <rPr>
        <b/>
        <sz val="11"/>
        <color theme="1"/>
        <rFont val="Arial"/>
        <family val="2"/>
      </rPr>
      <t xml:space="preserve">Actual </t>
    </r>
    <r>
      <rPr>
        <sz val="11"/>
        <color theme="1"/>
        <rFont val="Arial"/>
        <family val="2"/>
      </rPr>
      <t>Clamp Cap Nominal Capacitance Selected</t>
    </r>
  </si>
  <si>
    <r>
      <t>C</t>
    </r>
    <r>
      <rPr>
        <vertAlign val="subscript"/>
        <sz val="11"/>
        <color theme="1"/>
        <rFont val="Arial"/>
        <family val="2"/>
      </rPr>
      <t>clamp_act</t>
    </r>
    <r>
      <rPr>
        <sz val="11"/>
        <color theme="1"/>
        <rFont val="Arial"/>
        <family val="2"/>
      </rPr>
      <t xml:space="preserve"> =</t>
    </r>
  </si>
  <si>
    <r>
      <t xml:space="preserve">Select closest standard value </t>
    </r>
    <r>
      <rPr>
        <sz val="11"/>
        <color theme="1"/>
        <rFont val="Calibri"/>
        <family val="2"/>
      </rPr>
      <t>≥</t>
    </r>
    <r>
      <rPr>
        <sz val="11"/>
        <color theme="1"/>
        <rFont val="Arial"/>
        <family val="2"/>
      </rPr>
      <t xml:space="preserve"> recommended value</t>
    </r>
  </si>
  <si>
    <r>
      <rPr>
        <b/>
        <sz val="11"/>
        <color theme="1"/>
        <rFont val="Arial"/>
        <family val="2"/>
      </rPr>
      <t>Effective</t>
    </r>
    <r>
      <rPr>
        <sz val="11"/>
        <color theme="1"/>
        <rFont val="Arial"/>
        <family val="2"/>
      </rPr>
      <t xml:space="preserve"> Clamp</t>
    </r>
    <r>
      <rPr>
        <b/>
        <sz val="11"/>
        <color theme="1"/>
        <rFont val="Arial"/>
        <family val="2"/>
      </rPr>
      <t xml:space="preserve"> </t>
    </r>
    <r>
      <rPr>
        <sz val="11"/>
        <color theme="1"/>
        <rFont val="Arial"/>
        <family val="2"/>
      </rPr>
      <t>Capacitance under DC Bias</t>
    </r>
  </si>
  <si>
    <r>
      <t>C</t>
    </r>
    <r>
      <rPr>
        <vertAlign val="subscript"/>
        <sz val="11"/>
        <color theme="1"/>
        <rFont val="Arial"/>
        <family val="2"/>
      </rPr>
      <t xml:space="preserve">clamp_eff </t>
    </r>
    <r>
      <rPr>
        <sz val="11"/>
        <color theme="1"/>
        <rFont val="Arial"/>
        <family val="2"/>
      </rPr>
      <t>=</t>
    </r>
  </si>
  <si>
    <r>
      <t>C</t>
    </r>
    <r>
      <rPr>
        <vertAlign val="subscript"/>
        <sz val="11"/>
        <color theme="1"/>
        <rFont val="Arial"/>
        <family val="2"/>
      </rPr>
      <t>clamp</t>
    </r>
    <r>
      <rPr>
        <sz val="11"/>
        <color theme="1"/>
        <rFont val="Arial"/>
        <family val="2"/>
      </rPr>
      <t xml:space="preserve"> =</t>
    </r>
  </si>
  <si>
    <r>
      <rPr>
        <b/>
        <sz val="11"/>
        <color theme="1"/>
        <rFont val="Arial"/>
        <family val="2"/>
      </rPr>
      <t>Recommended</t>
    </r>
    <r>
      <rPr>
        <sz val="11"/>
        <color theme="1"/>
        <rFont val="Arial"/>
        <family val="2"/>
      </rPr>
      <t xml:space="preserve"> Bleed Resistance</t>
    </r>
  </si>
  <si>
    <r>
      <t>R</t>
    </r>
    <r>
      <rPr>
        <vertAlign val="subscript"/>
        <sz val="11"/>
        <color theme="1"/>
        <rFont val="Arial"/>
        <family val="2"/>
      </rPr>
      <t>BLEED_rec</t>
    </r>
    <r>
      <rPr>
        <sz val="11"/>
        <color theme="1"/>
        <rFont val="Arial"/>
        <family val="2"/>
      </rPr>
      <t xml:space="preserve"> =</t>
    </r>
  </si>
  <si>
    <r>
      <rPr>
        <b/>
        <sz val="11"/>
        <color theme="1"/>
        <rFont val="Arial"/>
        <family val="2"/>
      </rPr>
      <t xml:space="preserve">Actual </t>
    </r>
    <r>
      <rPr>
        <sz val="11"/>
        <color theme="1"/>
        <rFont val="Arial"/>
        <family val="2"/>
      </rPr>
      <t>Bleed Resistance Selected</t>
    </r>
  </si>
  <si>
    <r>
      <t>R</t>
    </r>
    <r>
      <rPr>
        <vertAlign val="subscript"/>
        <sz val="11"/>
        <color theme="1"/>
        <rFont val="Arial"/>
        <family val="2"/>
      </rPr>
      <t>BLEED_act</t>
    </r>
    <r>
      <rPr>
        <sz val="11"/>
        <color theme="1"/>
        <rFont val="Arial"/>
        <family val="2"/>
      </rPr>
      <t xml:space="preserve"> =</t>
    </r>
  </si>
  <si>
    <r>
      <t>R</t>
    </r>
    <r>
      <rPr>
        <vertAlign val="subscript"/>
        <sz val="11"/>
        <color theme="1"/>
        <rFont val="Arial"/>
        <family val="2"/>
      </rPr>
      <t>BLEED</t>
    </r>
    <r>
      <rPr>
        <sz val="11"/>
        <color theme="1"/>
        <rFont val="Arial"/>
        <family val="2"/>
      </rPr>
      <t xml:space="preserve"> =</t>
    </r>
  </si>
  <si>
    <r>
      <t>T</t>
    </r>
    <r>
      <rPr>
        <vertAlign val="subscript"/>
        <sz val="11"/>
        <color theme="1"/>
        <rFont val="Arial"/>
        <family val="2"/>
      </rPr>
      <t>D_CS_filter</t>
    </r>
    <r>
      <rPr>
        <sz val="11"/>
        <color theme="1"/>
        <rFont val="Arial"/>
        <family val="2"/>
      </rPr>
      <t xml:space="preserve"> =</t>
    </r>
  </si>
  <si>
    <r>
      <t>R</t>
    </r>
    <r>
      <rPr>
        <vertAlign val="subscript"/>
        <sz val="11"/>
        <color theme="1"/>
        <rFont val="Arial"/>
        <family val="2"/>
      </rPr>
      <t xml:space="preserve">CS_rec </t>
    </r>
    <r>
      <rPr>
        <sz val="11"/>
        <color theme="1"/>
        <rFont val="Arial"/>
        <family val="2"/>
      </rPr>
      <t>=</t>
    </r>
  </si>
  <si>
    <r>
      <t>R</t>
    </r>
    <r>
      <rPr>
        <vertAlign val="subscript"/>
        <sz val="11"/>
        <color theme="1"/>
        <rFont val="Arial"/>
        <family val="2"/>
      </rPr>
      <t xml:space="preserve">CS_act </t>
    </r>
    <r>
      <rPr>
        <sz val="11"/>
        <color theme="1"/>
        <rFont val="Arial"/>
        <family val="2"/>
      </rPr>
      <t>=</t>
    </r>
  </si>
  <si>
    <r>
      <t>R</t>
    </r>
    <r>
      <rPr>
        <vertAlign val="subscript"/>
        <sz val="11"/>
        <color theme="1"/>
        <rFont val="Arial"/>
        <family val="2"/>
      </rPr>
      <t xml:space="preserve">CS </t>
    </r>
    <r>
      <rPr>
        <sz val="11"/>
        <color theme="1"/>
        <rFont val="Arial"/>
        <family val="2"/>
      </rPr>
      <t>=</t>
    </r>
  </si>
  <si>
    <r>
      <t>i</t>
    </r>
    <r>
      <rPr>
        <vertAlign val="subscript"/>
        <sz val="11"/>
        <color theme="1"/>
        <rFont val="Arial"/>
        <family val="2"/>
      </rPr>
      <t>QL_RMS</t>
    </r>
    <r>
      <rPr>
        <sz val="11"/>
        <color theme="1"/>
        <rFont val="Arial"/>
        <family val="2"/>
      </rPr>
      <t xml:space="preserve"> =</t>
    </r>
  </si>
  <si>
    <r>
      <t>P</t>
    </r>
    <r>
      <rPr>
        <vertAlign val="subscript"/>
        <sz val="11"/>
        <color theme="1"/>
        <rFont val="Arial"/>
        <family val="2"/>
      </rPr>
      <t>Rcs</t>
    </r>
    <r>
      <rPr>
        <sz val="11"/>
        <color theme="1"/>
        <rFont val="Arial"/>
        <family val="2"/>
      </rPr>
      <t xml:space="preserve"> =</t>
    </r>
  </si>
  <si>
    <t xml:space="preserve">Ω </t>
  </si>
  <si>
    <t xml:space="preserve">Ω                                                       </t>
  </si>
  <si>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</si>
  <si>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</si>
  <si>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</si>
  <si>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DM_act</t>
    </r>
    <r>
      <rPr>
        <sz val="11"/>
        <color theme="1"/>
        <rFont val="Arial"/>
        <family val="2"/>
      </rPr>
      <t xml:space="preserve"> =</t>
    </r>
  </si>
  <si>
    <r>
      <t>R</t>
    </r>
    <r>
      <rPr>
        <vertAlign val="subscript"/>
        <sz val="11"/>
        <color theme="1"/>
        <rFont val="Arial"/>
        <family val="2"/>
      </rPr>
      <t>DM</t>
    </r>
    <r>
      <rPr>
        <sz val="11"/>
        <color theme="1"/>
        <rFont val="Arial"/>
        <family val="2"/>
      </rPr>
      <t xml:space="preserve"> Resistor Used in Calculations</t>
    </r>
  </si>
  <si>
    <r>
      <t>R</t>
    </r>
    <r>
      <rPr>
        <vertAlign val="subscript"/>
        <sz val="11"/>
        <color theme="1"/>
        <rFont val="Arial"/>
        <family val="2"/>
      </rPr>
      <t>DM</t>
    </r>
    <r>
      <rPr>
        <sz val="11"/>
        <color theme="1"/>
        <rFont val="Arial"/>
        <family val="2"/>
      </rPr>
      <t xml:space="preserve"> =</t>
    </r>
  </si>
  <si>
    <r>
      <t>T</t>
    </r>
    <r>
      <rPr>
        <vertAlign val="subscript"/>
        <sz val="11"/>
        <color theme="1"/>
        <rFont val="Arial"/>
        <family val="2"/>
      </rPr>
      <t>Z_min</t>
    </r>
    <r>
      <rPr>
        <sz val="11"/>
        <color theme="1"/>
        <rFont val="Arial"/>
        <family val="2"/>
      </rPr>
      <t xml:space="preserve"> =</t>
    </r>
  </si>
  <si>
    <r>
      <rPr>
        <b/>
        <sz val="11"/>
        <color theme="1"/>
        <rFont val="Arial"/>
        <family val="2"/>
      </rPr>
      <t xml:space="preserve">Recommended </t>
    </r>
    <r>
      <rPr>
        <sz val="11"/>
        <color theme="1"/>
        <rFont val="Arial"/>
        <family val="2"/>
      </rPr>
      <t>RTZ Resistor</t>
    </r>
  </si>
  <si>
    <r>
      <t>R</t>
    </r>
    <r>
      <rPr>
        <vertAlign val="subscript"/>
        <sz val="11"/>
        <color theme="1"/>
        <rFont val="Arial"/>
        <family val="2"/>
      </rPr>
      <t>TZ_rec</t>
    </r>
    <r>
      <rPr>
        <sz val="11"/>
        <color theme="1"/>
        <rFont val="Arial"/>
        <family val="2"/>
      </rPr>
      <t xml:space="preserve"> =</t>
    </r>
  </si>
  <si>
    <r>
      <rPr>
        <b/>
        <sz val="11"/>
        <color theme="1"/>
        <rFont val="Arial"/>
        <family val="2"/>
      </rPr>
      <t xml:space="preserve">Actual </t>
    </r>
    <r>
      <rPr>
        <sz val="11"/>
        <color theme="1"/>
        <rFont val="Arial"/>
        <family val="2"/>
      </rPr>
      <t>RTZ Resistor</t>
    </r>
  </si>
  <si>
    <r>
      <t>R</t>
    </r>
    <r>
      <rPr>
        <vertAlign val="subscript"/>
        <sz val="11"/>
        <color theme="1"/>
        <rFont val="Arial"/>
        <family val="2"/>
      </rPr>
      <t>TZ_act</t>
    </r>
    <r>
      <rPr>
        <sz val="11"/>
        <color theme="1"/>
        <rFont val="Arial"/>
        <family val="2"/>
      </rPr>
      <t xml:space="preserve"> =</t>
    </r>
  </si>
  <si>
    <r>
      <t>R</t>
    </r>
    <r>
      <rPr>
        <vertAlign val="subscript"/>
        <sz val="11"/>
        <color theme="1"/>
        <rFont val="Arial"/>
        <family val="2"/>
      </rPr>
      <t>TZ</t>
    </r>
    <r>
      <rPr>
        <sz val="11"/>
        <color theme="1"/>
        <rFont val="Arial"/>
        <family val="2"/>
      </rPr>
      <t xml:space="preserve"> =</t>
    </r>
  </si>
  <si>
    <r>
      <t>V</t>
    </r>
    <r>
      <rPr>
        <vertAlign val="subscript"/>
        <sz val="11"/>
        <color theme="1"/>
        <rFont val="Arial"/>
        <family val="2"/>
      </rPr>
      <t>CST_BUR</t>
    </r>
    <r>
      <rPr>
        <sz val="11"/>
        <color theme="1"/>
        <rFont val="Arial"/>
        <family val="2"/>
      </rPr>
      <t xml:space="preserve"> =</t>
    </r>
  </si>
  <si>
    <r>
      <t>Equivalent BUR Voltage Target Based on V</t>
    </r>
    <r>
      <rPr>
        <vertAlign val="subscript"/>
        <sz val="11"/>
        <color theme="1"/>
        <rFont val="Arial"/>
        <family val="2"/>
      </rPr>
      <t>CST_BUR</t>
    </r>
  </si>
  <si>
    <r>
      <t>V</t>
    </r>
    <r>
      <rPr>
        <vertAlign val="subscript"/>
        <sz val="11"/>
        <color theme="1"/>
        <rFont val="Arial"/>
        <family val="2"/>
      </rPr>
      <t>BUR_tgt</t>
    </r>
    <r>
      <rPr>
        <sz val="11"/>
        <color theme="1"/>
        <rFont val="Arial"/>
        <family val="2"/>
      </rPr>
      <t xml:space="preserve"> =</t>
    </r>
  </si>
  <si>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</si>
  <si>
    <r>
      <t>R</t>
    </r>
    <r>
      <rPr>
        <vertAlign val="subscript"/>
        <sz val="11"/>
        <color theme="1"/>
        <rFont val="Arial"/>
        <family val="2"/>
      </rPr>
      <t>BUR2_rec</t>
    </r>
    <r>
      <rPr>
        <sz val="11"/>
        <color theme="1"/>
        <rFont val="Arial"/>
        <family val="2"/>
      </rPr>
      <t xml:space="preserve"> =</t>
    </r>
  </si>
  <si>
    <r>
      <t>Assumes 110mV hysteresis at ABM to LPM due to 2.7</t>
    </r>
    <r>
      <rPr>
        <sz val="11"/>
        <color theme="1"/>
        <rFont val="Calibri"/>
        <family val="2"/>
      </rPr>
      <t>µ</t>
    </r>
    <r>
      <rPr>
        <sz val="11"/>
        <color theme="1"/>
        <rFont val="Arial"/>
        <family val="2"/>
      </rPr>
      <t xml:space="preserve">A hysteresis current </t>
    </r>
  </si>
  <si>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</si>
  <si>
    <r>
      <t>R</t>
    </r>
    <r>
      <rPr>
        <vertAlign val="subscript"/>
        <sz val="11"/>
        <color theme="1"/>
        <rFont val="Arial"/>
        <family val="2"/>
      </rPr>
      <t>BUR2_act</t>
    </r>
    <r>
      <rPr>
        <sz val="11"/>
        <color theme="1"/>
        <rFont val="Arial"/>
        <family val="2"/>
      </rPr>
      <t xml:space="preserve"> =</t>
    </r>
  </si>
  <si>
    <r>
      <t>R</t>
    </r>
    <r>
      <rPr>
        <vertAlign val="subscript"/>
        <sz val="11"/>
        <color theme="1"/>
        <rFont val="Arial"/>
        <family val="2"/>
      </rPr>
      <t>BUR2</t>
    </r>
    <r>
      <rPr>
        <sz val="11"/>
        <color theme="1"/>
        <rFont val="Arial"/>
        <family val="2"/>
      </rPr>
      <t xml:space="preserve"> Resistor Used in Calculations</t>
    </r>
  </si>
  <si>
    <r>
      <t>R</t>
    </r>
    <r>
      <rPr>
        <vertAlign val="subscript"/>
        <sz val="11"/>
        <color theme="1"/>
        <rFont val="Arial"/>
        <family val="2"/>
      </rPr>
      <t xml:space="preserve">BUR2 </t>
    </r>
    <r>
      <rPr>
        <sz val="11"/>
        <color theme="1"/>
        <rFont val="Arial"/>
        <family val="2"/>
      </rPr>
      <t>=</t>
    </r>
  </si>
  <si>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</si>
  <si>
    <r>
      <t>R</t>
    </r>
    <r>
      <rPr>
        <vertAlign val="subscript"/>
        <sz val="11"/>
        <color theme="1"/>
        <rFont val="Arial"/>
        <family val="2"/>
      </rPr>
      <t>BUR1_rec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</si>
  <si>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</si>
  <si>
    <r>
      <t>R</t>
    </r>
    <r>
      <rPr>
        <vertAlign val="subscript"/>
        <sz val="11"/>
        <color theme="1"/>
        <rFont val="Arial"/>
        <family val="2"/>
      </rPr>
      <t>BUR1_act</t>
    </r>
    <r>
      <rPr>
        <sz val="11"/>
        <color theme="1"/>
        <rFont val="Arial"/>
        <family val="2"/>
      </rPr>
      <t xml:space="preserve"> =</t>
    </r>
  </si>
  <si>
    <r>
      <t>R</t>
    </r>
    <r>
      <rPr>
        <vertAlign val="subscript"/>
        <sz val="11"/>
        <color theme="1"/>
        <rFont val="Arial"/>
        <family val="2"/>
      </rPr>
      <t>BUR1</t>
    </r>
    <r>
      <rPr>
        <sz val="11"/>
        <color theme="1"/>
        <rFont val="Arial"/>
        <family val="2"/>
      </rPr>
      <t xml:space="preserve"> Resistor Used in Calculations</t>
    </r>
  </si>
  <si>
    <r>
      <t>R</t>
    </r>
    <r>
      <rPr>
        <vertAlign val="subscript"/>
        <sz val="11"/>
        <color theme="1"/>
        <rFont val="Arial"/>
        <family val="2"/>
      </rPr>
      <t xml:space="preserve">BUR1 </t>
    </r>
    <r>
      <rPr>
        <sz val="11"/>
        <color theme="1"/>
        <rFont val="Arial"/>
        <family val="2"/>
      </rPr>
      <t>=</t>
    </r>
  </si>
  <si>
    <r>
      <t>V</t>
    </r>
    <r>
      <rPr>
        <vertAlign val="subscript"/>
        <sz val="11"/>
        <color theme="1"/>
        <rFont val="Arial"/>
        <family val="2"/>
      </rPr>
      <t xml:space="preserve">BUR </t>
    </r>
    <r>
      <rPr>
        <sz val="11"/>
        <color theme="1"/>
        <rFont val="Arial"/>
        <family val="2"/>
      </rPr>
      <t>=</t>
    </r>
  </si>
  <si>
    <r>
      <t>Should be close to V</t>
    </r>
    <r>
      <rPr>
        <vertAlign val="subscript"/>
        <sz val="11"/>
        <color theme="1"/>
        <rFont val="Arial"/>
        <family val="2"/>
      </rPr>
      <t>BUR</t>
    </r>
    <r>
      <rPr>
        <sz val="11"/>
        <color theme="1"/>
        <rFont val="Arial"/>
        <family val="2"/>
      </rPr>
      <t xml:space="preserve"> target at D112</t>
    </r>
  </si>
  <si>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</si>
  <si>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BUR_max</t>
    </r>
    <r>
      <rPr>
        <sz val="11"/>
        <color theme="1"/>
        <rFont val="Arial"/>
        <family val="2"/>
      </rPr>
      <t xml:space="preserve"> =</t>
    </r>
  </si>
  <si>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</si>
  <si>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BUR_act</t>
    </r>
    <r>
      <rPr>
        <sz val="11"/>
        <color theme="1"/>
        <rFont val="Arial"/>
        <family val="2"/>
      </rPr>
      <t xml:space="preserve"> =</t>
    </r>
  </si>
  <si>
    <r>
      <t>C</t>
    </r>
    <r>
      <rPr>
        <vertAlign val="subscript"/>
        <sz val="11"/>
        <color theme="1"/>
        <rFont val="Arial"/>
        <family val="2"/>
      </rPr>
      <t>BUR</t>
    </r>
    <r>
      <rPr>
        <sz val="11"/>
        <color theme="1"/>
        <rFont val="Arial"/>
        <family val="2"/>
      </rPr>
      <t xml:space="preserve"> Capacitance Used in Calculations</t>
    </r>
  </si>
  <si>
    <r>
      <t>C</t>
    </r>
    <r>
      <rPr>
        <vertAlign val="subscript"/>
        <sz val="11"/>
        <color theme="1"/>
        <rFont val="Arial"/>
        <family val="2"/>
      </rPr>
      <t xml:space="preserve">BUR </t>
    </r>
    <r>
      <rPr>
        <sz val="11"/>
        <color theme="1"/>
        <rFont val="Arial"/>
        <family val="2"/>
      </rPr>
      <t>=</t>
    </r>
  </si>
  <si>
    <r>
      <rPr>
        <b/>
        <sz val="11"/>
        <color theme="1"/>
        <rFont val="Arial"/>
        <family val="2"/>
      </rPr>
      <t>Recommended</t>
    </r>
    <r>
      <rPr>
        <sz val="11"/>
        <color theme="1"/>
        <rFont val="Arial"/>
        <family val="2"/>
      </rPr>
      <t xml:space="preserve"> Capacitance on SWS</t>
    </r>
  </si>
  <si>
    <r>
      <t>C</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</si>
  <si>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Capacitance</t>
    </r>
  </si>
  <si>
    <r>
      <t>C</t>
    </r>
    <r>
      <rPr>
        <vertAlign val="subscript"/>
        <sz val="11"/>
        <color theme="1"/>
        <rFont val="Arial"/>
        <family val="2"/>
      </rPr>
      <t xml:space="preserve">SWS_act </t>
    </r>
    <r>
      <rPr>
        <sz val="11"/>
        <color theme="1"/>
        <rFont val="Arial"/>
        <family val="2"/>
      </rPr>
      <t>=</t>
    </r>
  </si>
  <si>
    <r>
      <t>C</t>
    </r>
    <r>
      <rPr>
        <vertAlign val="subscript"/>
        <sz val="11"/>
        <color theme="1"/>
        <rFont val="Arial"/>
        <family val="2"/>
      </rPr>
      <t>SWS</t>
    </r>
    <r>
      <rPr>
        <sz val="11"/>
        <color theme="1"/>
        <rFont val="Arial"/>
        <family val="2"/>
      </rPr>
      <t xml:space="preserve"> =</t>
    </r>
  </si>
  <si>
    <r>
      <t>R</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</si>
  <si>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Resistor</t>
    </r>
  </si>
  <si>
    <r>
      <t>R</t>
    </r>
    <r>
      <rPr>
        <vertAlign val="subscript"/>
        <sz val="11"/>
        <color theme="1"/>
        <rFont val="Arial"/>
        <family val="2"/>
      </rPr>
      <t>SWS_act</t>
    </r>
    <r>
      <rPr>
        <sz val="11"/>
        <color theme="1"/>
        <rFont val="Arial"/>
        <family val="2"/>
      </rPr>
      <t xml:space="preserve"> =</t>
    </r>
  </si>
  <si>
    <r>
      <t>R</t>
    </r>
    <r>
      <rPr>
        <vertAlign val="subscript"/>
        <sz val="11"/>
        <color theme="1"/>
        <rFont val="Arial"/>
        <family val="2"/>
      </rPr>
      <t>SWS</t>
    </r>
    <r>
      <rPr>
        <sz val="11"/>
        <color theme="1"/>
        <rFont val="Arial"/>
        <family val="2"/>
      </rPr>
      <t xml:space="preserve"> =</t>
    </r>
  </si>
  <si>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</si>
  <si>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</si>
  <si>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</si>
  <si>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HVG_act</t>
    </r>
    <r>
      <rPr>
        <sz val="11"/>
        <color theme="1"/>
        <rFont val="Arial"/>
        <family val="2"/>
      </rPr>
      <t xml:space="preserve"> =</t>
    </r>
  </si>
  <si>
    <r>
      <t>1M</t>
    </r>
    <r>
      <rPr>
        <sz val="11"/>
        <color theme="1"/>
        <rFont val="Calibri"/>
        <family val="2"/>
      </rPr>
      <t>Ω</t>
    </r>
    <r>
      <rPr>
        <sz val="11"/>
        <color theme="1"/>
        <rFont val="Arial"/>
        <family val="2"/>
      </rPr>
      <t xml:space="preserve"> is recommended</t>
    </r>
  </si>
  <si>
    <r>
      <t>R</t>
    </r>
    <r>
      <rPr>
        <vertAlign val="subscript"/>
        <sz val="11"/>
        <color theme="1"/>
        <rFont val="Arial"/>
        <family val="2"/>
      </rPr>
      <t>HVG</t>
    </r>
    <r>
      <rPr>
        <sz val="11"/>
        <color theme="1"/>
        <rFont val="Arial"/>
        <family val="2"/>
      </rPr>
      <t xml:space="preserve"> Resistor Used in Calculations</t>
    </r>
  </si>
  <si>
    <r>
      <t>R</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</si>
  <si>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</si>
  <si>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</si>
  <si>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</si>
  <si>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HVG_act</t>
    </r>
    <r>
      <rPr>
        <sz val="11"/>
        <color theme="1"/>
        <rFont val="Arial"/>
        <family val="2"/>
      </rPr>
      <t xml:space="preserve"> =</t>
    </r>
  </si>
  <si>
    <r>
      <t>C</t>
    </r>
    <r>
      <rPr>
        <vertAlign val="subscript"/>
        <sz val="11"/>
        <color theme="1"/>
        <rFont val="Arial"/>
        <family val="2"/>
      </rPr>
      <t>HVG</t>
    </r>
    <r>
      <rPr>
        <sz val="11"/>
        <color theme="1"/>
        <rFont val="Arial"/>
        <family val="2"/>
      </rPr>
      <t xml:space="preserve"> Capacitance Used in Calculations</t>
    </r>
  </si>
  <si>
    <r>
      <t>C</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</si>
  <si>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</si>
  <si>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</si>
  <si>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</si>
  <si>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REF_act</t>
    </r>
    <r>
      <rPr>
        <sz val="11"/>
        <color theme="1"/>
        <rFont val="Arial"/>
        <family val="2"/>
      </rPr>
      <t xml:space="preserve"> =</t>
    </r>
  </si>
  <si>
    <r>
      <t>C</t>
    </r>
    <r>
      <rPr>
        <vertAlign val="subscript"/>
        <sz val="11"/>
        <color theme="1"/>
        <rFont val="Arial"/>
        <family val="2"/>
      </rPr>
      <t>REF</t>
    </r>
    <r>
      <rPr>
        <sz val="11"/>
        <color theme="1"/>
        <rFont val="Arial"/>
        <family val="2"/>
      </rPr>
      <t xml:space="preserve"> Capacitance Used in Calculations</t>
    </r>
  </si>
  <si>
    <r>
      <t>C</t>
    </r>
    <r>
      <rPr>
        <vertAlign val="subscript"/>
        <sz val="11"/>
        <color theme="1"/>
        <rFont val="Arial"/>
        <family val="2"/>
      </rPr>
      <t>REF</t>
    </r>
    <r>
      <rPr>
        <sz val="11"/>
        <color theme="1"/>
        <rFont val="Arial"/>
        <family val="2"/>
      </rPr>
      <t xml:space="preserve"> =</t>
    </r>
  </si>
  <si>
    <r>
      <t>Suggested 10*C</t>
    </r>
    <r>
      <rPr>
        <vertAlign val="subscript"/>
        <sz val="11"/>
        <color theme="1"/>
        <rFont val="Arial"/>
        <family val="2"/>
      </rPr>
      <t>boot</t>
    </r>
  </si>
  <si>
    <r>
      <t>C</t>
    </r>
    <r>
      <rPr>
        <vertAlign val="subscript"/>
        <sz val="11"/>
        <color theme="1"/>
        <rFont val="Arial"/>
        <family val="2"/>
      </rPr>
      <t>DD2</t>
    </r>
    <r>
      <rPr>
        <sz val="11"/>
        <color theme="1"/>
        <rFont val="Arial"/>
        <family val="2"/>
      </rPr>
      <t xml:space="preserve"> can use smaller value if use extra circuit to reduce standby power loss (UCC28780EVM-002 uses 0.044uF)</t>
    </r>
  </si>
  <si>
    <r>
      <t xml:space="preserve">Recommend </t>
    </r>
    <r>
      <rPr>
        <sz val="11"/>
        <color theme="1"/>
        <rFont val="Calibri"/>
        <family val="2"/>
      </rPr>
      <t>≥</t>
    </r>
    <r>
      <rPr>
        <sz val="11"/>
        <color theme="1"/>
        <rFont val="Arial"/>
        <family val="2"/>
      </rPr>
      <t xml:space="preserve"> 10*R</t>
    </r>
    <r>
      <rPr>
        <vertAlign val="subscript"/>
        <sz val="11"/>
        <color theme="1"/>
        <rFont val="Arial"/>
        <family val="2"/>
      </rPr>
      <t>CS</t>
    </r>
  </si>
  <si>
    <t xml:space="preserve">For high side driver </t>
  </si>
  <si>
    <r>
      <t>C</t>
    </r>
    <r>
      <rPr>
        <vertAlign val="subscript"/>
        <sz val="11"/>
        <color theme="1"/>
        <rFont val="Arial"/>
        <family val="2"/>
      </rPr>
      <t>boot_min</t>
    </r>
    <r>
      <rPr>
        <sz val="11"/>
        <color theme="1"/>
        <rFont val="Arial"/>
        <family val="2"/>
      </rPr>
      <t xml:space="preserve"> =</t>
    </r>
  </si>
  <si>
    <r>
      <t>C</t>
    </r>
    <r>
      <rPr>
        <vertAlign val="subscript"/>
        <sz val="11"/>
        <color theme="1"/>
        <rFont val="Arial"/>
        <family val="2"/>
      </rPr>
      <t>boot_max</t>
    </r>
    <r>
      <rPr>
        <sz val="11"/>
        <color theme="1"/>
        <rFont val="Arial"/>
        <family val="2"/>
      </rPr>
      <t xml:space="preserve"> =</t>
    </r>
  </si>
  <si>
    <r>
      <t>C</t>
    </r>
    <r>
      <rPr>
        <vertAlign val="subscript"/>
        <sz val="11"/>
        <color theme="1"/>
        <rFont val="Arial"/>
        <family val="2"/>
      </rPr>
      <t>boot</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</si>
  <si>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</si>
  <si>
    <r>
      <t>C</t>
    </r>
    <r>
      <rPr>
        <vertAlign val="subscript"/>
        <sz val="11"/>
        <color theme="1"/>
        <rFont val="Arial"/>
        <family val="2"/>
      </rPr>
      <t xml:space="preserve">DD2_min </t>
    </r>
    <r>
      <rPr>
        <sz val="11"/>
        <color theme="1"/>
        <rFont val="Arial"/>
        <family val="2"/>
      </rPr>
      <t>=</t>
    </r>
  </si>
  <si>
    <r>
      <t>C</t>
    </r>
    <r>
      <rPr>
        <vertAlign val="subscript"/>
        <sz val="11"/>
        <color theme="1"/>
        <rFont val="Arial"/>
        <family val="2"/>
      </rPr>
      <t>DD2</t>
    </r>
    <r>
      <rPr>
        <sz val="11"/>
        <color theme="1"/>
        <rFont val="Arial"/>
        <family val="2"/>
      </rPr>
      <t xml:space="preserve"> Used in Calculations</t>
    </r>
  </si>
  <si>
    <r>
      <t>C</t>
    </r>
    <r>
      <rPr>
        <vertAlign val="subscript"/>
        <sz val="11"/>
        <color theme="1"/>
        <rFont val="Arial"/>
        <family val="2"/>
      </rPr>
      <t xml:space="preserve">DD2 </t>
    </r>
    <r>
      <rPr>
        <sz val="11"/>
        <color theme="1"/>
        <rFont val="Arial"/>
        <family val="2"/>
      </rPr>
      <t>=</t>
    </r>
  </si>
  <si>
    <r>
      <rPr>
        <b/>
        <sz val="11"/>
        <color theme="1"/>
        <rFont val="Arial"/>
        <family val="2"/>
      </rPr>
      <t>Minimum</t>
    </r>
    <r>
      <rPr>
        <sz val="11"/>
        <color theme="1"/>
        <rFont val="Arial"/>
        <family val="2"/>
      </rPr>
      <t xml:space="preserve"> R</t>
    </r>
    <r>
      <rPr>
        <vertAlign val="subscript"/>
        <sz val="11"/>
        <color theme="1"/>
        <rFont val="Arial"/>
        <family val="2"/>
      </rPr>
      <t>DD2</t>
    </r>
  </si>
  <si>
    <r>
      <t>R</t>
    </r>
    <r>
      <rPr>
        <vertAlign val="subscript"/>
        <sz val="11"/>
        <color theme="1"/>
        <rFont val="Arial"/>
        <family val="2"/>
      </rPr>
      <t xml:space="preserve">DD2_min </t>
    </r>
    <r>
      <rPr>
        <sz val="11"/>
        <color theme="1"/>
        <rFont val="Arial"/>
        <family val="2"/>
      </rPr>
      <t>=</t>
    </r>
  </si>
  <si>
    <r>
      <t>R</t>
    </r>
    <r>
      <rPr>
        <vertAlign val="subscript"/>
        <sz val="11"/>
        <color theme="1"/>
        <rFont val="Arial"/>
        <family val="2"/>
      </rPr>
      <t>DD2</t>
    </r>
    <r>
      <rPr>
        <sz val="11"/>
        <color theme="1"/>
        <rFont val="Arial"/>
        <family val="2"/>
      </rPr>
      <t xml:space="preserve"> Used in Calculations</t>
    </r>
  </si>
  <si>
    <r>
      <t>R</t>
    </r>
    <r>
      <rPr>
        <vertAlign val="subscript"/>
        <sz val="11"/>
        <color theme="1"/>
        <rFont val="Arial"/>
        <family val="2"/>
      </rPr>
      <t xml:space="preserve">DD2 </t>
    </r>
    <r>
      <rPr>
        <sz val="11"/>
        <color theme="1"/>
        <rFont val="Arial"/>
        <family val="2"/>
      </rPr>
      <t>=</t>
    </r>
  </si>
  <si>
    <r>
      <t>V</t>
    </r>
    <r>
      <rPr>
        <vertAlign val="subscript"/>
        <sz val="11"/>
        <color theme="1"/>
        <rFont val="Arial"/>
        <family val="2"/>
      </rPr>
      <t>DD</t>
    </r>
    <r>
      <rPr>
        <sz val="11"/>
        <color theme="1"/>
        <rFont val="Arial"/>
        <family val="2"/>
      </rPr>
      <t xml:space="preserve"> =</t>
    </r>
  </si>
  <si>
    <r>
      <rPr>
        <b/>
        <sz val="11"/>
        <color theme="1"/>
        <rFont val="Arial"/>
        <family val="2"/>
      </rPr>
      <t>Minimum</t>
    </r>
    <r>
      <rPr>
        <sz val="11"/>
        <color theme="1"/>
        <rFont val="Arial"/>
        <family val="2"/>
      </rPr>
      <t xml:space="preserve"> Recommended R</t>
    </r>
    <r>
      <rPr>
        <vertAlign val="subscript"/>
        <sz val="11"/>
        <color theme="1"/>
        <rFont val="Arial"/>
        <family val="2"/>
      </rPr>
      <t>DD1</t>
    </r>
    <r>
      <rPr>
        <sz val="11"/>
        <color theme="1"/>
        <rFont val="Arial"/>
        <family val="2"/>
      </rPr>
      <t/>
    </r>
  </si>
  <si>
    <r>
      <t>R</t>
    </r>
    <r>
      <rPr>
        <vertAlign val="subscript"/>
        <sz val="11"/>
        <color theme="1"/>
        <rFont val="Arial"/>
        <family val="2"/>
      </rPr>
      <t>DD1_min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</si>
  <si>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DD1</t>
    </r>
    <r>
      <rPr>
        <sz val="11"/>
        <rFont val="Arial"/>
        <family val="2"/>
      </rPr>
      <t/>
    </r>
  </si>
  <si>
    <r>
      <t>R</t>
    </r>
    <r>
      <rPr>
        <vertAlign val="subscript"/>
        <sz val="11"/>
        <color theme="1"/>
        <rFont val="Arial"/>
        <family val="2"/>
      </rPr>
      <t>DD1_act</t>
    </r>
    <r>
      <rPr>
        <sz val="11"/>
        <color theme="1"/>
        <rFont val="Arial"/>
        <family val="2"/>
      </rPr>
      <t xml:space="preserve"> =</t>
    </r>
  </si>
  <si>
    <r>
      <t>R</t>
    </r>
    <r>
      <rPr>
        <vertAlign val="subscript"/>
        <sz val="11"/>
        <color theme="1"/>
        <rFont val="Arial"/>
        <family val="2"/>
      </rPr>
      <t>DD1</t>
    </r>
    <r>
      <rPr>
        <sz val="11"/>
        <color theme="1"/>
        <rFont val="Arial"/>
        <family val="2"/>
      </rPr>
      <t xml:space="preserve"> Used in Calculations</t>
    </r>
  </si>
  <si>
    <r>
      <t>R</t>
    </r>
    <r>
      <rPr>
        <vertAlign val="subscript"/>
        <sz val="11"/>
        <color theme="1"/>
        <rFont val="Arial"/>
        <family val="2"/>
      </rPr>
      <t>DD1</t>
    </r>
    <r>
      <rPr>
        <sz val="11"/>
        <color theme="1"/>
        <rFont val="Arial"/>
        <family val="2"/>
      </rPr>
      <t xml:space="preserve"> =</t>
    </r>
  </si>
  <si>
    <r>
      <t>Approximate Time for V</t>
    </r>
    <r>
      <rPr>
        <vertAlign val="subscript"/>
        <sz val="11"/>
        <color theme="1"/>
        <rFont val="Arial"/>
        <family val="2"/>
      </rPr>
      <t>HVG</t>
    </r>
    <r>
      <rPr>
        <sz val="11"/>
        <color theme="1"/>
        <rFont val="Arial"/>
        <family val="2"/>
      </rPr>
      <t xml:space="preserve"> to Settle to Regulation After Start-Up</t>
    </r>
  </si>
  <si>
    <r>
      <t>T</t>
    </r>
    <r>
      <rPr>
        <vertAlign val="subscript"/>
        <sz val="11"/>
        <color theme="1"/>
        <rFont val="Arial"/>
        <family val="2"/>
      </rPr>
      <t>HVG</t>
    </r>
    <r>
      <rPr>
        <sz val="11"/>
        <color theme="1"/>
        <rFont val="Arial"/>
        <family val="2"/>
      </rPr>
      <t xml:space="preserve"> =</t>
    </r>
  </si>
  <si>
    <r>
      <t>V</t>
    </r>
    <r>
      <rPr>
        <vertAlign val="subscript"/>
        <sz val="11"/>
        <color theme="1"/>
        <rFont val="Arial"/>
        <family val="2"/>
      </rPr>
      <t>O</t>
    </r>
    <r>
      <rPr>
        <sz val="11"/>
        <color theme="1"/>
        <rFont val="Arial"/>
        <family val="2"/>
      </rPr>
      <t xml:space="preserve"> Rise Time to Regulation</t>
    </r>
  </si>
  <si>
    <r>
      <t>T</t>
    </r>
    <r>
      <rPr>
        <vertAlign val="subscript"/>
        <sz val="11"/>
        <color theme="1"/>
        <rFont val="Arial"/>
        <family val="2"/>
      </rPr>
      <t>SS_max</t>
    </r>
    <r>
      <rPr>
        <sz val="11"/>
        <color theme="1"/>
        <rFont val="Arial"/>
        <family val="2"/>
      </rPr>
      <t xml:space="preserve"> =</t>
    </r>
  </si>
  <si>
    <r>
      <t>Reduction Factor, in Negative Percent, for C</t>
    </r>
    <r>
      <rPr>
        <vertAlign val="subscript"/>
        <sz val="11"/>
        <color theme="1"/>
        <rFont val="Arial"/>
        <family val="2"/>
      </rPr>
      <t>DD1</t>
    </r>
    <r>
      <rPr>
        <sz val="11"/>
        <color theme="1"/>
        <rFont val="Arial"/>
        <family val="2"/>
      </rPr>
      <t xml:space="preserve"> due to DC-Bias Effect</t>
    </r>
  </si>
  <si>
    <r>
      <t>D</t>
    </r>
    <r>
      <rPr>
        <vertAlign val="subscript"/>
        <sz val="11"/>
        <color theme="1"/>
        <rFont val="Arial"/>
        <family val="2"/>
      </rPr>
      <t xml:space="preserve">rea_CDD1 </t>
    </r>
    <r>
      <rPr>
        <sz val="11"/>
        <color theme="1"/>
        <rFont val="Arial"/>
        <family val="2"/>
      </rPr>
      <t>=</t>
    </r>
  </si>
  <si>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Nominal Capacitance</t>
    </r>
  </si>
  <si>
    <r>
      <t>C</t>
    </r>
    <r>
      <rPr>
        <vertAlign val="subscript"/>
        <sz val="11"/>
        <color theme="1"/>
        <rFont val="Arial"/>
        <family val="2"/>
      </rPr>
      <t>DD1_rec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</si>
  <si>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</si>
  <si>
    <r>
      <t>C</t>
    </r>
    <r>
      <rPr>
        <vertAlign val="subscript"/>
        <sz val="11"/>
        <color theme="1"/>
        <rFont val="Arial"/>
        <family val="2"/>
      </rPr>
      <t>DD1_act</t>
    </r>
    <r>
      <rPr>
        <sz val="11"/>
        <color theme="1"/>
        <rFont val="Arial"/>
        <family val="2"/>
      </rPr>
      <t xml:space="preserve"> =</t>
    </r>
  </si>
  <si>
    <r>
      <t xml:space="preserve">Select standard value </t>
    </r>
    <r>
      <rPr>
        <sz val="11"/>
        <color theme="1"/>
        <rFont val="Calibri"/>
        <family val="2"/>
      </rPr>
      <t>≥</t>
    </r>
    <r>
      <rPr>
        <sz val="11"/>
        <color theme="1"/>
        <rFont val="Arial"/>
        <family val="2"/>
      </rPr>
      <t xml:space="preserve"> recommended</t>
    </r>
  </si>
  <si>
    <r>
      <t>C</t>
    </r>
    <r>
      <rPr>
        <vertAlign val="subscript"/>
        <sz val="11"/>
        <color theme="1"/>
        <rFont val="Arial"/>
        <family val="2"/>
      </rPr>
      <t>DD1</t>
    </r>
    <r>
      <rPr>
        <sz val="11"/>
        <color theme="1"/>
        <rFont val="Arial"/>
        <family val="2"/>
      </rPr>
      <t xml:space="preserve"> Capacitance Used in Calculations</t>
    </r>
  </si>
  <si>
    <r>
      <t>C</t>
    </r>
    <r>
      <rPr>
        <vertAlign val="subscript"/>
        <sz val="11"/>
        <color theme="1"/>
        <rFont val="Arial"/>
        <family val="2"/>
      </rPr>
      <t>DD1</t>
    </r>
    <r>
      <rPr>
        <sz val="11"/>
        <color theme="1"/>
        <rFont val="Arial"/>
        <family val="2"/>
      </rPr>
      <t xml:space="preserve"> =</t>
    </r>
  </si>
  <si>
    <t>Suggested start from 1MΩ; can reduce to improve ABM stability, but no smaller than 510kΩ or will affect start up and OPP</t>
  </si>
  <si>
    <r>
      <rPr>
        <b/>
        <sz val="11"/>
        <color theme="1"/>
        <rFont val="Arial"/>
        <family val="2"/>
      </rPr>
      <t>Maximum</t>
    </r>
    <r>
      <rPr>
        <sz val="11"/>
        <color theme="1"/>
        <rFont val="Arial"/>
        <family val="2"/>
      </rPr>
      <t xml:space="preserve"> FB Pin Resistor</t>
    </r>
  </si>
  <si>
    <r>
      <t>R</t>
    </r>
    <r>
      <rPr>
        <vertAlign val="subscript"/>
        <sz val="11"/>
        <color theme="1"/>
        <rFont val="Arial"/>
        <family val="2"/>
      </rPr>
      <t>FB_max</t>
    </r>
    <r>
      <rPr>
        <sz val="11"/>
        <color theme="1"/>
        <rFont val="Arial"/>
        <family val="2"/>
      </rPr>
      <t xml:space="preserve"> =</t>
    </r>
  </si>
  <si>
    <r>
      <rPr>
        <b/>
        <sz val="11"/>
        <color theme="1"/>
        <rFont val="Arial"/>
        <family val="2"/>
      </rPr>
      <t>Actual</t>
    </r>
    <r>
      <rPr>
        <sz val="11"/>
        <color theme="1"/>
        <rFont val="Arial"/>
        <family val="2"/>
      </rPr>
      <t xml:space="preserve"> FB Pin Resistor</t>
    </r>
  </si>
  <si>
    <r>
      <t>R</t>
    </r>
    <r>
      <rPr>
        <vertAlign val="subscript"/>
        <sz val="11"/>
        <color theme="1"/>
        <rFont val="Arial"/>
        <family val="2"/>
      </rPr>
      <t>FB_act</t>
    </r>
    <r>
      <rPr>
        <sz val="11"/>
        <color theme="1"/>
        <rFont val="Arial"/>
        <family val="2"/>
      </rPr>
      <t xml:space="preserve"> =</t>
    </r>
  </si>
  <si>
    <r>
      <t>R</t>
    </r>
    <r>
      <rPr>
        <vertAlign val="subscript"/>
        <sz val="11"/>
        <color theme="1"/>
        <rFont val="Arial"/>
        <family val="2"/>
      </rPr>
      <t>FB</t>
    </r>
    <r>
      <rPr>
        <sz val="11"/>
        <color theme="1"/>
        <rFont val="Arial"/>
        <family val="2"/>
      </rPr>
      <t xml:space="preserve"> =</t>
    </r>
  </si>
  <si>
    <r>
      <t>Recommended C</t>
    </r>
    <r>
      <rPr>
        <vertAlign val="subscript"/>
        <sz val="11"/>
        <color theme="1"/>
        <rFont val="Arial"/>
        <family val="2"/>
      </rPr>
      <t>FB</t>
    </r>
    <r>
      <rPr>
        <sz val="11"/>
        <color theme="1"/>
        <rFont val="Arial"/>
        <family val="2"/>
      </rPr>
      <t/>
    </r>
  </si>
  <si>
    <r>
      <t>C</t>
    </r>
    <r>
      <rPr>
        <vertAlign val="subscript"/>
        <sz val="11"/>
        <color theme="1"/>
        <rFont val="Arial"/>
        <family val="2"/>
      </rPr>
      <t>FB</t>
    </r>
    <r>
      <rPr>
        <sz val="11"/>
        <color theme="1"/>
        <rFont val="Arial"/>
        <family val="2"/>
      </rPr>
      <t xml:space="preserve"> =</t>
    </r>
  </si>
  <si>
    <r>
      <t>Recommended R</t>
    </r>
    <r>
      <rPr>
        <vertAlign val="subscript"/>
        <sz val="11"/>
        <color theme="1"/>
        <rFont val="Arial"/>
        <family val="2"/>
      </rPr>
      <t>COMP</t>
    </r>
  </si>
  <si>
    <r>
      <t>R</t>
    </r>
    <r>
      <rPr>
        <vertAlign val="subscript"/>
        <sz val="11"/>
        <color theme="1"/>
        <rFont val="Arial"/>
        <family val="2"/>
      </rPr>
      <t>COMP</t>
    </r>
    <r>
      <rPr>
        <sz val="11"/>
        <color theme="1"/>
        <rFont val="Arial"/>
        <family val="2"/>
      </rPr>
      <t>=</t>
    </r>
  </si>
  <si>
    <r>
      <rPr>
        <b/>
        <sz val="11"/>
        <color theme="1"/>
        <rFont val="Arial"/>
        <family val="2"/>
      </rPr>
      <t>Recommended</t>
    </r>
    <r>
      <rPr>
        <sz val="11"/>
        <color theme="1"/>
        <rFont val="Arial"/>
        <family val="2"/>
      </rPr>
      <t xml:space="preserve"> Bias Resistor2</t>
    </r>
  </si>
  <si>
    <r>
      <t>R</t>
    </r>
    <r>
      <rPr>
        <vertAlign val="subscript"/>
        <sz val="11"/>
        <color theme="1"/>
        <rFont val="Arial"/>
        <family val="2"/>
      </rPr>
      <t xml:space="preserve">bias2_rec </t>
    </r>
    <r>
      <rPr>
        <sz val="11"/>
        <color theme="1"/>
        <rFont val="Arial"/>
        <family val="2"/>
      </rPr>
      <t>=</t>
    </r>
  </si>
  <si>
    <r>
      <rPr>
        <b/>
        <sz val="11"/>
        <color theme="1"/>
        <rFont val="Arial"/>
        <family val="2"/>
      </rPr>
      <t>Actual</t>
    </r>
    <r>
      <rPr>
        <sz val="11"/>
        <color theme="1"/>
        <rFont val="Arial"/>
        <family val="2"/>
      </rPr>
      <t xml:space="preserve"> Bias Resistor2</t>
    </r>
  </si>
  <si>
    <r>
      <t>R</t>
    </r>
    <r>
      <rPr>
        <vertAlign val="subscript"/>
        <sz val="11"/>
        <color theme="1"/>
        <rFont val="Arial"/>
        <family val="2"/>
      </rPr>
      <t xml:space="preserve">bias2_act </t>
    </r>
    <r>
      <rPr>
        <sz val="11"/>
        <color theme="1"/>
        <rFont val="Arial"/>
        <family val="2"/>
      </rPr>
      <t>=</t>
    </r>
  </si>
  <si>
    <r>
      <t>R</t>
    </r>
    <r>
      <rPr>
        <vertAlign val="subscript"/>
        <sz val="11"/>
        <color theme="1"/>
        <rFont val="Arial"/>
        <family val="2"/>
      </rPr>
      <t xml:space="preserve">bias2 </t>
    </r>
    <r>
      <rPr>
        <sz val="11"/>
        <color theme="1"/>
        <rFont val="Arial"/>
        <family val="2"/>
      </rPr>
      <t>=</t>
    </r>
  </si>
  <si>
    <r>
      <t>R</t>
    </r>
    <r>
      <rPr>
        <vertAlign val="subscript"/>
        <sz val="11"/>
        <color theme="1"/>
        <rFont val="Arial"/>
        <family val="2"/>
      </rPr>
      <t>bias1_max_SBP</t>
    </r>
    <r>
      <rPr>
        <sz val="11"/>
        <color theme="1"/>
        <rFont val="Arial"/>
        <family val="2"/>
      </rPr>
      <t xml:space="preserve"> =</t>
    </r>
  </si>
  <si>
    <r>
      <t>R</t>
    </r>
    <r>
      <rPr>
        <vertAlign val="subscript"/>
        <sz val="11"/>
        <color theme="1"/>
        <rFont val="Arial"/>
        <family val="2"/>
      </rPr>
      <t>bias1_max_ABM</t>
    </r>
    <r>
      <rPr>
        <sz val="11"/>
        <color theme="1"/>
        <rFont val="Arial"/>
        <family val="2"/>
      </rPr>
      <t xml:space="preserve"> =</t>
    </r>
  </si>
  <si>
    <r>
      <t>Maximum for R</t>
    </r>
    <r>
      <rPr>
        <vertAlign val="subscript"/>
        <sz val="11"/>
        <color theme="1"/>
        <rFont val="Arial"/>
        <family val="2"/>
      </rPr>
      <t>bias1</t>
    </r>
    <r>
      <rPr>
        <sz val="11"/>
        <color theme="1"/>
        <rFont val="Arial"/>
        <family val="2"/>
      </rPr>
      <t/>
    </r>
  </si>
  <si>
    <r>
      <t>R</t>
    </r>
    <r>
      <rPr>
        <vertAlign val="subscript"/>
        <sz val="11"/>
        <color theme="1"/>
        <rFont val="Arial"/>
        <family val="2"/>
      </rPr>
      <t>bias1_max</t>
    </r>
    <r>
      <rPr>
        <sz val="11"/>
        <color theme="1"/>
        <rFont val="Arial"/>
        <family val="2"/>
      </rPr>
      <t xml:space="preserve"> =</t>
    </r>
  </si>
  <si>
    <r>
      <t>Minimum for R</t>
    </r>
    <r>
      <rPr>
        <vertAlign val="subscript"/>
        <sz val="11"/>
        <color theme="1"/>
        <rFont val="Arial"/>
        <family val="2"/>
      </rPr>
      <t>bias1</t>
    </r>
    <r>
      <rPr>
        <sz val="11"/>
        <color theme="1"/>
        <rFont val="Arial"/>
        <family val="2"/>
      </rPr>
      <t/>
    </r>
  </si>
  <si>
    <r>
      <t>R</t>
    </r>
    <r>
      <rPr>
        <vertAlign val="subscript"/>
        <sz val="11"/>
        <color theme="1"/>
        <rFont val="Arial"/>
        <family val="2"/>
      </rPr>
      <t>bias1_min</t>
    </r>
    <r>
      <rPr>
        <sz val="11"/>
        <color theme="1"/>
        <rFont val="Arial"/>
        <family val="2"/>
      </rPr>
      <t xml:space="preserve"> =</t>
    </r>
  </si>
  <si>
    <r>
      <t>R</t>
    </r>
    <r>
      <rPr>
        <vertAlign val="subscript"/>
        <sz val="11"/>
        <color theme="1"/>
        <rFont val="Arial"/>
        <family val="2"/>
      </rPr>
      <t>bias1</t>
    </r>
    <r>
      <rPr>
        <sz val="11"/>
        <color theme="1"/>
        <rFont val="Arial"/>
        <family val="2"/>
      </rPr>
      <t xml:space="preserve"> Used in Calculations</t>
    </r>
  </si>
  <si>
    <r>
      <t>R</t>
    </r>
    <r>
      <rPr>
        <vertAlign val="subscript"/>
        <sz val="11"/>
        <color theme="1"/>
        <rFont val="Arial"/>
        <family val="2"/>
      </rPr>
      <t>bias1</t>
    </r>
    <r>
      <rPr>
        <sz val="11"/>
        <color theme="1"/>
        <rFont val="Arial"/>
        <family val="2"/>
      </rPr>
      <t xml:space="preserve"> =</t>
    </r>
  </si>
  <si>
    <r>
      <t>Result should match original target V</t>
    </r>
    <r>
      <rPr>
        <vertAlign val="subscript"/>
        <sz val="11"/>
        <color theme="1"/>
        <rFont val="Arial"/>
        <family val="2"/>
      </rPr>
      <t>O</t>
    </r>
    <r>
      <rPr>
        <sz val="11"/>
        <color theme="1"/>
        <rFont val="Arial"/>
        <family val="2"/>
      </rPr>
      <t xml:space="preserve"> closely (see "Input Here" sheet, cell D28)</t>
    </r>
  </si>
  <si>
    <r>
      <rPr>
        <b/>
        <sz val="11"/>
        <color theme="1"/>
        <rFont val="Arial"/>
        <family val="2"/>
      </rPr>
      <t>Recommended</t>
    </r>
    <r>
      <rPr>
        <sz val="11"/>
        <color theme="1"/>
        <rFont val="Arial"/>
        <family val="2"/>
      </rPr>
      <t xml:space="preserve"> Maximum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</si>
  <si>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vo2_rec_max</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</si>
  <si>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</si>
  <si>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 xml:space="preserve">vo2_act </t>
    </r>
    <r>
      <rPr>
        <sz val="11"/>
        <color theme="1"/>
        <rFont val="Arial"/>
        <family val="2"/>
      </rPr>
      <t>=</t>
    </r>
  </si>
  <si>
    <r>
      <t>R</t>
    </r>
    <r>
      <rPr>
        <vertAlign val="subscript"/>
        <sz val="11"/>
        <color theme="1"/>
        <rFont val="Arial"/>
        <family val="2"/>
      </rPr>
      <t>Vo2</t>
    </r>
    <r>
      <rPr>
        <sz val="11"/>
        <color theme="1"/>
        <rFont val="Arial"/>
        <family val="2"/>
      </rPr>
      <t xml:space="preserve"> Resistor Used in Calculations</t>
    </r>
  </si>
  <si>
    <r>
      <t>R</t>
    </r>
    <r>
      <rPr>
        <vertAlign val="subscript"/>
        <sz val="11"/>
        <color theme="1"/>
        <rFont val="Arial"/>
        <family val="2"/>
      </rPr>
      <t>vo2</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</si>
  <si>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</si>
  <si>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</si>
  <si>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</si>
  <si>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vo1_act</t>
    </r>
    <r>
      <rPr>
        <sz val="11"/>
        <color theme="1"/>
        <rFont val="Arial"/>
        <family val="2"/>
      </rPr>
      <t xml:space="preserve"> =</t>
    </r>
  </si>
  <si>
    <r>
      <t>R</t>
    </r>
    <r>
      <rPr>
        <vertAlign val="subscript"/>
        <sz val="11"/>
        <color theme="1"/>
        <rFont val="Arial"/>
        <family val="2"/>
      </rPr>
      <t>Vo1</t>
    </r>
    <r>
      <rPr>
        <sz val="11"/>
        <color theme="1"/>
        <rFont val="Arial"/>
        <family val="2"/>
      </rPr>
      <t xml:space="preserve"> Resistor Used in Calculations</t>
    </r>
  </si>
  <si>
    <r>
      <t>R</t>
    </r>
    <r>
      <rPr>
        <vertAlign val="subscript"/>
        <sz val="11"/>
        <color theme="1"/>
        <rFont val="Arial"/>
        <family val="2"/>
      </rPr>
      <t xml:space="preserve">vo1 </t>
    </r>
    <r>
      <rPr>
        <sz val="11"/>
        <color theme="1"/>
        <rFont val="Arial"/>
        <family val="2"/>
      </rPr>
      <t>=</t>
    </r>
  </si>
  <si>
    <r>
      <t>V</t>
    </r>
    <r>
      <rPr>
        <vertAlign val="subscript"/>
        <sz val="11"/>
        <color theme="1"/>
        <rFont val="Arial"/>
        <family val="2"/>
      </rPr>
      <t>o_typ</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</si>
  <si>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</si>
  <si>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</si>
  <si>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</si>
  <si>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diff_act</t>
    </r>
    <r>
      <rPr>
        <sz val="11"/>
        <color theme="1"/>
        <rFont val="Arial"/>
        <family val="2"/>
      </rPr>
      <t xml:space="preserve"> =</t>
    </r>
  </si>
  <si>
    <r>
      <t>C</t>
    </r>
    <r>
      <rPr>
        <vertAlign val="subscript"/>
        <sz val="11"/>
        <color theme="1"/>
        <rFont val="Arial"/>
        <family val="2"/>
      </rPr>
      <t xml:space="preserve">diff </t>
    </r>
    <r>
      <rPr>
        <sz val="11"/>
        <color theme="1"/>
        <rFont val="Arial"/>
        <family val="2"/>
      </rPr>
      <t>Used in Calculations</t>
    </r>
  </si>
  <si>
    <r>
      <t>C</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</si>
  <si>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</si>
  <si>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</si>
  <si>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</si>
  <si>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diff_act</t>
    </r>
    <r>
      <rPr>
        <sz val="11"/>
        <color theme="1"/>
        <rFont val="Arial"/>
        <family val="2"/>
      </rPr>
      <t xml:space="preserve"> =</t>
    </r>
  </si>
  <si>
    <r>
      <t>R</t>
    </r>
    <r>
      <rPr>
        <vertAlign val="subscript"/>
        <sz val="11"/>
        <color theme="1"/>
        <rFont val="Arial"/>
        <family val="2"/>
      </rPr>
      <t xml:space="preserve">diff </t>
    </r>
    <r>
      <rPr>
        <sz val="11"/>
        <color theme="1"/>
        <rFont val="Arial"/>
        <family val="2"/>
      </rPr>
      <t>Used in Calculations</t>
    </r>
  </si>
  <si>
    <r>
      <t>R</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</si>
  <si>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int</t>
    </r>
  </si>
  <si>
    <r>
      <t>C</t>
    </r>
    <r>
      <rPr>
        <vertAlign val="subscript"/>
        <sz val="11"/>
        <color theme="1"/>
        <rFont val="Arial"/>
        <family val="2"/>
      </rPr>
      <t>int_rec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</si>
  <si>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int</t>
    </r>
  </si>
  <si>
    <r>
      <t>C</t>
    </r>
    <r>
      <rPr>
        <vertAlign val="subscript"/>
        <sz val="11"/>
        <color theme="1"/>
        <rFont val="Arial"/>
        <family val="2"/>
      </rPr>
      <t>int_act</t>
    </r>
    <r>
      <rPr>
        <sz val="11"/>
        <color theme="1"/>
        <rFont val="Arial"/>
        <family val="2"/>
      </rPr>
      <t xml:space="preserve"> =</t>
    </r>
  </si>
  <si>
    <r>
      <t>C</t>
    </r>
    <r>
      <rPr>
        <vertAlign val="subscript"/>
        <sz val="11"/>
        <color theme="1"/>
        <rFont val="Arial"/>
        <family val="2"/>
      </rPr>
      <t xml:space="preserve">int </t>
    </r>
    <r>
      <rPr>
        <sz val="11"/>
        <color theme="1"/>
        <rFont val="Arial"/>
        <family val="2"/>
      </rPr>
      <t>Used in Calculations</t>
    </r>
  </si>
  <si>
    <r>
      <t>C</t>
    </r>
    <r>
      <rPr>
        <vertAlign val="subscript"/>
        <sz val="11"/>
        <color theme="1"/>
        <rFont val="Arial"/>
        <family val="2"/>
      </rPr>
      <t>int</t>
    </r>
    <r>
      <rPr>
        <sz val="11"/>
        <color theme="1"/>
        <rFont val="Arial"/>
        <family val="2"/>
      </rPr>
      <t xml:space="preserve"> =</t>
    </r>
  </si>
  <si>
    <r>
      <t>R</t>
    </r>
    <r>
      <rPr>
        <vertAlign val="subscript"/>
        <sz val="11"/>
        <color theme="1"/>
        <rFont val="Arial"/>
        <family val="2"/>
      </rPr>
      <t xml:space="preserve">int </t>
    </r>
    <r>
      <rPr>
        <sz val="11"/>
        <color theme="1"/>
        <rFont val="Arial"/>
        <family val="2"/>
      </rPr>
      <t>Used in Calculations</t>
    </r>
  </si>
  <si>
    <r>
      <t>R</t>
    </r>
    <r>
      <rPr>
        <vertAlign val="subscript"/>
        <sz val="11"/>
        <color theme="1"/>
        <rFont val="Arial"/>
        <family val="2"/>
      </rPr>
      <t>int</t>
    </r>
    <r>
      <rPr>
        <sz val="11"/>
        <color theme="1"/>
        <rFont val="Arial"/>
        <family val="2"/>
      </rPr>
      <t xml:space="preserve"> =</t>
    </r>
  </si>
  <si>
    <t>SLUC664C</t>
  </si>
  <si>
    <t xml:space="preserve">AUX Power on Primary Side  </t>
  </si>
  <si>
    <r>
      <t xml:space="preserve">Resistor Divider of VS Pin  </t>
    </r>
    <r>
      <rPr>
        <b/>
        <i/>
        <sz val="12"/>
        <color rgb="FFFFFF00"/>
        <rFont val="Arial"/>
        <family val="2"/>
      </rPr>
      <t>(This calculation block not used.)</t>
    </r>
  </si>
  <si>
    <t>AC</t>
  </si>
  <si>
    <t>For universal AC-line, enter 47;  N/A for DC input</t>
  </si>
  <si>
    <t>IPD60R280P7S</t>
    <phoneticPr fontId="27" type="noConversion"/>
  </si>
  <si>
    <t>IPD60R280P7S</t>
    <phoneticPr fontId="27" type="noConversion"/>
  </si>
  <si>
    <t>SIR638ADP</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</si>
</sst>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105">
    <font>
      <sz val="11"/>
      <color theme="1"/>
      <name val="新細明體"/>
      <family val="2"/>
      <charset val="136"/>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9"/>
      <name val="Arial"/>
      <family val="2"/>
    </font>
    <font>
      <sz val="12"/>
      <name val="Arial"/>
      <family val="2"/>
    </font>
    <font>
      <vertAlign val="subscript"/>
      <sz val="12"/>
      <name val="Arial"/>
      <family val="2"/>
    </font>
    <font>
      <sz val="9"/>
      <name val="新細明體"/>
      <family val="2"/>
      <charset val="136"/>
      <scheme val="minor"/>
    </font>
    <font>
      <sz val="11"/>
      <name val="新細明體"/>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新細明體"/>
      <family val="2"/>
      <scheme val="minor"/>
    </font>
    <font>
      <sz val="11"/>
      <color rgb="FFFF00FF"/>
      <name val="Arial"/>
      <family val="2"/>
    </font>
    <font>
      <b/>
      <sz val="11"/>
      <color rgb="FFFF0000"/>
      <name val="新細明體"/>
      <family val="2"/>
      <scheme val="minor"/>
    </font>
    <font>
      <b/>
      <sz val="11"/>
      <color rgb="FFFF00FF"/>
      <name val="Arial"/>
      <family val="2"/>
    </font>
    <font>
      <b/>
      <sz val="14"/>
      <color rgb="FFFF0000"/>
      <name val="新細明體"/>
      <family val="2"/>
      <scheme val="minor"/>
    </font>
    <font>
      <b/>
      <i/>
      <sz val="11"/>
      <color rgb="FF0000FF"/>
      <name val="Arial"/>
      <family val="2"/>
    </font>
    <font>
      <b/>
      <sz val="11"/>
      <color rgb="FFFF66FF"/>
      <name val="新細明體"/>
      <family val="2"/>
      <scheme val="minor"/>
    </font>
    <font>
      <b/>
      <sz val="11"/>
      <color rgb="FF0000FF"/>
      <name val="Wingdings 2"/>
      <family val="1"/>
      <charset val="2"/>
    </font>
    <font>
      <sz val="11"/>
      <color rgb="FF0000FF"/>
      <name val="新細明體"/>
      <family val="2"/>
      <scheme val="minor"/>
    </font>
    <font>
      <b/>
      <sz val="22"/>
      <color rgb="FFFF0000"/>
      <name val="新細明體"/>
      <family val="2"/>
      <scheme val="minor"/>
    </font>
    <font>
      <sz val="7"/>
      <name val="Arial"/>
      <family val="2"/>
    </font>
    <font>
      <sz val="11"/>
      <name val="Calibri"/>
      <family val="2"/>
    </font>
    <font>
      <b/>
      <i/>
      <sz val="11"/>
      <name val="Arial"/>
      <family val="2"/>
    </font>
    <font>
      <b/>
      <sz val="11"/>
      <name val="新細明體"/>
      <family val="2"/>
      <scheme val="minor"/>
    </font>
    <font>
      <sz val="11"/>
      <name val="新細明體"/>
      <family val="2"/>
      <scheme val="minor"/>
    </font>
    <font>
      <sz val="7"/>
      <name val="新細明體"/>
      <family val="2"/>
      <scheme val="minor"/>
    </font>
    <font>
      <sz val="11"/>
      <color rgb="FFFF0000"/>
      <name val="新細明體"/>
      <family val="2"/>
      <charset val="136"/>
      <scheme val="minor"/>
    </font>
    <font>
      <sz val="11"/>
      <color rgb="FFFF0000"/>
      <name val="Wingdings 2"/>
      <family val="1"/>
      <charset val="2"/>
    </font>
    <font>
      <b/>
      <sz val="12"/>
      <color rgb="FFFF0000"/>
      <name val="新細明體"/>
      <family val="2"/>
      <scheme val="minor"/>
    </font>
    <font>
      <b/>
      <sz val="7"/>
      <color rgb="FFFF0000"/>
      <name val="新細明體"/>
      <family val="2"/>
      <scheme val="minor"/>
    </font>
    <font>
      <b/>
      <sz val="22"/>
      <name val="新細明體"/>
      <family val="2"/>
      <scheme val="minor"/>
    </font>
    <font>
      <b/>
      <sz val="12"/>
      <color rgb="FFFF66FF"/>
      <name val="Arial"/>
      <family val="2"/>
    </font>
    <font>
      <sz val="11"/>
      <color rgb="FFFF66FF"/>
      <name val="新細明體"/>
      <family val="2"/>
      <charset val="136"/>
      <scheme val="minor"/>
    </font>
    <font>
      <b/>
      <sz val="12"/>
      <color rgb="FFFF66FF"/>
      <name val="新細明體"/>
      <family val="2"/>
      <scheme val="minor"/>
    </font>
    <font>
      <sz val="12"/>
      <color theme="1"/>
      <name val="新細明體"/>
      <family val="2"/>
      <charset val="136"/>
      <scheme val="minor"/>
    </font>
    <font>
      <b/>
      <sz val="14"/>
      <color theme="6" tint="-0.249977111117893"/>
      <name val="Arial"/>
      <family val="2"/>
    </font>
    <font>
      <b/>
      <vertAlign val="subscript"/>
      <sz val="11"/>
      <color theme="0"/>
      <name val="Arial"/>
      <family val="2"/>
    </font>
    <font>
      <sz val="11"/>
      <color rgb="FFFF66FF"/>
      <name val="新細明體"/>
      <family val="2"/>
      <scheme val="minor"/>
    </font>
    <font>
      <b/>
      <i/>
      <sz val="12"/>
      <color rgb="FFFF66FF"/>
      <name val="Arial"/>
      <family val="2"/>
    </font>
    <font>
      <i/>
      <sz val="11"/>
      <color rgb="FFFF0000"/>
      <name val="Arial"/>
      <family val="2"/>
    </font>
    <font>
      <sz val="11"/>
      <color rgb="FF0000FF"/>
      <name val="Arial"/>
      <family val="2"/>
    </font>
    <font>
      <sz val="11"/>
      <color rgb="FF0000FF"/>
      <name val="新細明體"/>
      <family val="2"/>
      <charset val="136"/>
      <scheme val="minor"/>
    </font>
    <font>
      <vertAlign val="subscript"/>
      <sz val="11"/>
      <name val="新細明體"/>
      <family val="2"/>
      <scheme val="minor"/>
    </font>
    <font>
      <sz val="16"/>
      <name val="新細明體"/>
      <family val="2"/>
      <scheme val="minor"/>
    </font>
    <font>
      <b/>
      <vertAlign val="subscript"/>
      <sz val="11"/>
      <color rgb="FFFF0000"/>
      <name val="Arial"/>
      <family val="2"/>
    </font>
    <font>
      <b/>
      <sz val="14"/>
      <color rgb="FF0000FF"/>
      <name val="新細明體"/>
      <family val="2"/>
      <scheme val="minor"/>
    </font>
    <font>
      <sz val="7.7"/>
      <color theme="1"/>
      <name val="Arial"/>
      <family val="2"/>
    </font>
    <font>
      <b/>
      <sz val="12"/>
      <color theme="1"/>
      <name val="新細明體"/>
      <family val="2"/>
      <scheme val="minor"/>
    </font>
    <font>
      <b/>
      <sz val="11"/>
      <color theme="0"/>
      <name val="新細明體"/>
      <family val="2"/>
      <charset val="136"/>
      <scheme val="minor"/>
    </font>
    <font>
      <sz val="12"/>
      <color rgb="FFFF0000"/>
      <name val="Arial"/>
      <family val="2"/>
    </font>
    <font>
      <vertAlign val="subscript"/>
      <sz val="12"/>
      <color rgb="FFFF0000"/>
      <name val="Arial"/>
      <family val="2"/>
    </font>
    <font>
      <b/>
      <i/>
      <sz val="12"/>
      <color rgb="FFFFFF00"/>
      <name val="Arial"/>
      <family val="2"/>
    </font>
    <font>
      <b/>
      <vertAlign val="subscript"/>
      <sz val="12"/>
      <color rgb="FFFF0000"/>
      <name val="新細明體"/>
      <family val="2"/>
      <scheme val="minor"/>
    </font>
    <font>
      <sz val="11"/>
      <color theme="1"/>
      <name val="新細明體"/>
      <family val="2"/>
      <charset val="136"/>
      <scheme val="minor"/>
    </font>
    <font>
      <sz val="11"/>
      <color rgb="FFFF0000"/>
      <name val="新細明體"/>
      <family val="2"/>
      <scheme val="minor"/>
    </font>
    <font>
      <sz val="10"/>
      <color theme="1"/>
      <name val="Arial"/>
      <family val="2"/>
    </font>
    <font>
      <vertAlign val="subscript"/>
      <sz val="10"/>
      <color theme="1"/>
      <name val="Arial"/>
      <family val="2"/>
    </font>
    <font>
      <b/>
      <sz val="12"/>
      <color theme="1"/>
      <name val="Arial"/>
      <family val="2"/>
    </font>
    <font>
      <sz val="11"/>
      <color rgb="FFFF00FF"/>
      <name val="新細明體"/>
      <family val="2"/>
      <scheme val="minor"/>
    </font>
    <font>
      <sz val="16"/>
      <color rgb="FFFF00FF"/>
      <name val="新細明體"/>
      <family val="2"/>
      <scheme val="minor"/>
    </font>
    <font>
      <sz val="14"/>
      <color rgb="FFFF00FF"/>
      <name val="新細明體"/>
      <family val="2"/>
      <scheme val="minor"/>
    </font>
    <font>
      <sz val="14"/>
      <color theme="1"/>
      <name val="新細明體"/>
      <family val="2"/>
      <charset val="136"/>
      <scheme val="minor"/>
    </font>
    <font>
      <sz val="14"/>
      <color theme="1"/>
      <name val="新細明體"/>
      <family val="2"/>
      <scheme val="minor"/>
    </font>
    <font>
      <vertAlign val="superscript"/>
      <sz val="11"/>
      <color theme="1"/>
      <name val="Arial"/>
      <family val="2"/>
    </font>
    <font>
      <b/>
      <i/>
      <sz val="11"/>
      <color theme="1"/>
      <name val="Arial"/>
      <family val="2"/>
    </font>
    <font>
      <sz val="7"/>
      <color theme="1"/>
      <name val="Arial"/>
      <family val="2"/>
    </font>
    <font>
      <sz val="16"/>
      <color theme="1"/>
      <name val="新細明體"/>
      <family val="2"/>
      <charset val="136"/>
      <scheme val="minor"/>
    </font>
    <font>
      <sz val="12"/>
      <color theme="1"/>
      <name val="新細明體"/>
      <family val="2"/>
      <scheme val="minor"/>
    </font>
    <font>
      <sz val="11"/>
      <color theme="1"/>
      <name val="Wingdings 2"/>
      <family val="1"/>
      <charset val="2"/>
    </font>
    <font>
      <sz val="14"/>
      <name val="Arial"/>
      <family val="2"/>
    </font>
    <font>
      <sz val="18"/>
      <name val="新細明體"/>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medium">
        <color indexed="64"/>
      </bottom>
      <diagonal/>
    </border>
  </borders>
  <cellStyleXfs count="9">
    <xf numFmtId="0" fontId="0" fillId="0" borderId="0">
      <alignment vertical="center"/>
    </xf>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cellStyleXfs>
  <cellXfs count="625">
    <xf numFmtId="0" fontId="0" fillId="0" borderId="0" xfId="0">
      <alignment vertical="center"/>
    </xf>
    <xf numFmtId="0" fontId="10" fillId="4" borderId="11" xfId="1" applyFont="1" applyFill="1" applyBorder="1" applyAlignment="1" applyProtection="1">
      <alignment horizontal="center" vertical="center"/>
      <protection locked="0"/>
    </xf>
    <xf numFmtId="0" fontId="10" fillId="2" borderId="8" xfId="1" applyFont="1" applyFill="1" applyBorder="1" applyAlignment="1" applyProtection="1">
      <alignment vertical="center"/>
    </xf>
    <xf numFmtId="0" fontId="10" fillId="2" borderId="10" xfId="1" applyFont="1" applyFill="1" applyBorder="1" applyAlignment="1" applyProtection="1">
      <alignment vertical="center"/>
    </xf>
    <xf numFmtId="176" fontId="10" fillId="4" borderId="5" xfId="1" applyNumberFormat="1" applyFont="1" applyFill="1" applyBorder="1" applyAlignment="1" applyProtection="1">
      <alignment horizontal="center" vertical="center"/>
      <protection locked="0"/>
    </xf>
    <xf numFmtId="0" fontId="10" fillId="2" borderId="19" xfId="1" applyFont="1" applyFill="1" applyBorder="1" applyAlignment="1" applyProtection="1">
      <alignment vertical="center"/>
    </xf>
    <xf numFmtId="0" fontId="10" fillId="2" borderId="22" xfId="1" applyFont="1" applyFill="1" applyBorder="1" applyAlignment="1" applyProtection="1">
      <alignment vertical="center"/>
    </xf>
    <xf numFmtId="0" fontId="10" fillId="2" borderId="23" xfId="1" applyFont="1" applyFill="1" applyBorder="1" applyAlignment="1" applyProtection="1">
      <alignment vertical="center"/>
    </xf>
    <xf numFmtId="0" fontId="10" fillId="0" borderId="19" xfId="1" applyFont="1" applyFill="1" applyBorder="1" applyAlignment="1" applyProtection="1">
      <alignment horizontal="center" vertical="center"/>
    </xf>
    <xf numFmtId="0" fontId="10" fillId="2" borderId="26" xfId="1" applyFont="1" applyFill="1" applyBorder="1" applyAlignment="1" applyProtection="1">
      <alignment vertical="center"/>
    </xf>
    <xf numFmtId="0" fontId="10" fillId="2" borderId="36" xfId="1" applyFont="1" applyFill="1" applyBorder="1" applyAlignment="1" applyProtection="1">
      <alignment vertical="center"/>
    </xf>
    <xf numFmtId="0" fontId="0" fillId="0" borderId="0" xfId="0" applyProtection="1">
      <alignment vertical="center"/>
    </xf>
    <xf numFmtId="0" fontId="0" fillId="2" borderId="0" xfId="0" applyFill="1" applyProtection="1">
      <alignment vertical="center"/>
    </xf>
    <xf numFmtId="0" fontId="0" fillId="0" borderId="0" xfId="0" applyFill="1" applyProtection="1">
      <alignment vertical="center"/>
    </xf>
    <xf numFmtId="0" fontId="28" fillId="2" borderId="0" xfId="0" applyFont="1" applyFill="1" applyProtection="1">
      <alignment vertical="center"/>
    </xf>
    <xf numFmtId="0" fontId="10" fillId="2" borderId="5" xfId="1" applyFont="1" applyFill="1" applyBorder="1" applyAlignment="1" applyProtection="1">
      <alignment horizontal="right" vertical="center"/>
    </xf>
    <xf numFmtId="0" fontId="10" fillId="2" borderId="28" xfId="1" applyFont="1" applyFill="1" applyBorder="1" applyAlignment="1" applyProtection="1">
      <alignment horizontal="right" vertical="center"/>
    </xf>
    <xf numFmtId="0" fontId="10" fillId="2" borderId="11" xfId="1" applyFont="1" applyFill="1" applyBorder="1" applyAlignment="1" applyProtection="1">
      <alignment horizontal="right" vertical="center"/>
    </xf>
    <xf numFmtId="0" fontId="15" fillId="3" borderId="38" xfId="1" applyFont="1" applyFill="1" applyBorder="1" applyAlignment="1" applyProtection="1">
      <alignment horizontal="right" vertical="center"/>
    </xf>
    <xf numFmtId="0" fontId="10" fillId="2" borderId="22" xfId="2" applyFont="1" applyFill="1" applyBorder="1" applyAlignment="1" applyProtection="1">
      <alignment horizontal="left" vertical="center"/>
    </xf>
    <xf numFmtId="0" fontId="0" fillId="0" borderId="0" xfId="0" applyAlignment="1" applyProtection="1">
      <alignment horizontal="right" vertical="center"/>
    </xf>
    <xf numFmtId="0" fontId="0" fillId="0" borderId="0" xfId="0" applyAlignment="1" applyProtection="1">
      <alignment horizontal="center" vertical="center"/>
    </xf>
    <xf numFmtId="176" fontId="19" fillId="4" borderId="5" xfId="1" applyNumberFormat="1" applyFont="1" applyFill="1" applyBorder="1" applyAlignment="1" applyProtection="1">
      <alignment horizontal="center" vertical="center"/>
      <protection locked="0"/>
    </xf>
    <xf numFmtId="0" fontId="44" fillId="0" borderId="0" xfId="0" applyFont="1" applyProtection="1">
      <alignment vertical="center"/>
    </xf>
    <xf numFmtId="0" fontId="51" fillId="0" borderId="0" xfId="0" applyFont="1">
      <alignment vertical="center"/>
    </xf>
    <xf numFmtId="0" fontId="0" fillId="0" borderId="0" xfId="0" applyAlignment="1">
      <alignment horizontal="right" vertical="center"/>
    </xf>
    <xf numFmtId="0" fontId="19" fillId="4" borderId="5" xfId="1" applyFont="1" applyFill="1" applyBorder="1" applyAlignment="1" applyProtection="1">
      <alignment horizontal="center" vertical="center"/>
      <protection locked="0"/>
    </xf>
    <xf numFmtId="0" fontId="19" fillId="4" borderId="28" xfId="1" applyFont="1" applyFill="1" applyBorder="1" applyAlignment="1" applyProtection="1">
      <alignment horizontal="center" vertical="center"/>
      <protection locked="0"/>
    </xf>
    <xf numFmtId="0" fontId="19" fillId="4" borderId="11" xfId="1" applyFont="1" applyFill="1" applyBorder="1" applyAlignment="1" applyProtection="1">
      <alignment horizontal="center" vertical="center"/>
      <protection locked="0"/>
    </xf>
    <xf numFmtId="176" fontId="19" fillId="4" borderId="11" xfId="1" applyNumberFormat="1" applyFont="1" applyFill="1" applyBorder="1" applyAlignment="1" applyProtection="1">
      <alignment horizontal="center" vertical="center"/>
      <protection locked="0"/>
    </xf>
    <xf numFmtId="0" fontId="19" fillId="4" borderId="5" xfId="0" applyFont="1" applyFill="1" applyBorder="1" applyAlignment="1" applyProtection="1">
      <alignment horizontal="center" vertical="center"/>
      <protection locked="0"/>
    </xf>
    <xf numFmtId="0" fontId="19" fillId="4" borderId="5" xfId="0" applyFont="1" applyFill="1" applyBorder="1" applyProtection="1">
      <alignment vertical="center"/>
      <protection locked="0"/>
    </xf>
    <xf numFmtId="176" fontId="10" fillId="4" borderId="21" xfId="1" applyNumberFormat="1" applyFont="1" applyFill="1" applyBorder="1" applyAlignment="1" applyProtection="1">
      <alignment horizontal="center" vertical="center"/>
      <protection locked="0"/>
    </xf>
    <xf numFmtId="0" fontId="50" fillId="0" borderId="0" xfId="0" applyFont="1" applyProtection="1">
      <alignment vertical="center"/>
    </xf>
    <xf numFmtId="0" fontId="68" fillId="0" borderId="0" xfId="0" applyFont="1" applyProtection="1">
      <alignment vertical="center"/>
    </xf>
    <xf numFmtId="1" fontId="10" fillId="4" borderId="5" xfId="1" applyNumberFormat="1" applyFont="1" applyFill="1" applyBorder="1" applyAlignment="1" applyProtection="1">
      <alignment horizontal="center" vertical="center"/>
      <protection locked="0"/>
    </xf>
    <xf numFmtId="2" fontId="19" fillId="4" borderId="5" xfId="1" applyNumberFormat="1" applyFont="1" applyFill="1" applyBorder="1" applyAlignment="1" applyProtection="1">
      <alignment horizontal="center" vertical="center"/>
      <protection locked="0"/>
    </xf>
    <xf numFmtId="177" fontId="19" fillId="4" borderId="5" xfId="1" applyNumberFormat="1" applyFont="1" applyFill="1" applyBorder="1" applyAlignment="1" applyProtection="1">
      <alignment horizontal="center" vertical="center"/>
      <protection locked="0"/>
    </xf>
    <xf numFmtId="1" fontId="19" fillId="4" borderId="5" xfId="1" applyNumberFormat="1" applyFont="1" applyFill="1" applyBorder="1" applyAlignment="1" applyProtection="1">
      <alignment horizontal="center" vertical="center"/>
      <protection locked="0"/>
    </xf>
    <xf numFmtId="0" fontId="66" fillId="0" borderId="0" xfId="0" applyFont="1">
      <alignment vertical="center"/>
    </xf>
    <xf numFmtId="0" fontId="19" fillId="0" borderId="5" xfId="0" applyFont="1" applyFill="1" applyBorder="1" applyAlignment="1" applyProtection="1">
      <alignment horizontal="center" vertical="center"/>
    </xf>
    <xf numFmtId="0" fontId="0" fillId="0" borderId="0" xfId="0" applyProtection="1">
      <alignment vertical="center"/>
    </xf>
    <xf numFmtId="0" fontId="0" fillId="2" borderId="0" xfId="0" applyFill="1" applyProtection="1">
      <alignment vertical="center"/>
    </xf>
    <xf numFmtId="176" fontId="19" fillId="4" borderId="19" xfId="1" applyNumberFormat="1" applyFont="1" applyFill="1" applyBorder="1" applyAlignment="1" applyProtection="1">
      <alignment horizontal="center" vertical="center"/>
      <protection locked="0"/>
    </xf>
    <xf numFmtId="0" fontId="19" fillId="4" borderId="5" xfId="1" applyNumberFormat="1" applyFont="1" applyFill="1" applyBorder="1" applyAlignment="1" applyProtection="1">
      <alignment horizontal="center" vertical="center"/>
      <protection locked="0"/>
    </xf>
    <xf numFmtId="0" fontId="15" fillId="3" borderId="37" xfId="1" applyFont="1" applyFill="1" applyBorder="1" applyAlignment="1" applyProtection="1">
      <alignment vertical="center"/>
    </xf>
    <xf numFmtId="0" fontId="15" fillId="3" borderId="38" xfId="1" applyFont="1" applyFill="1" applyBorder="1" applyAlignment="1" applyProtection="1">
      <alignment vertical="center"/>
    </xf>
    <xf numFmtId="0" fontId="15" fillId="3" borderId="39" xfId="1" applyFont="1" applyFill="1" applyBorder="1" applyAlignment="1" applyProtection="1">
      <alignment vertical="center"/>
    </xf>
    <xf numFmtId="0" fontId="10" fillId="4" borderId="28" xfId="1" applyNumberFormat="1" applyFont="1" applyFill="1" applyBorder="1" applyAlignment="1" applyProtection="1">
      <alignment horizontal="center" vertical="center"/>
      <protection locked="0"/>
    </xf>
    <xf numFmtId="0" fontId="10" fillId="4" borderId="19" xfId="1" applyFont="1" applyFill="1" applyBorder="1" applyAlignment="1" applyProtection="1">
      <alignment horizontal="center" vertical="center"/>
      <protection locked="0"/>
    </xf>
    <xf numFmtId="0" fontId="10" fillId="2" borderId="19" xfId="1" applyFont="1" applyFill="1" applyBorder="1" applyAlignment="1" applyProtection="1">
      <alignment horizontal="left" vertical="center"/>
    </xf>
    <xf numFmtId="0" fontId="10" fillId="2" borderId="23" xfId="1" applyFont="1" applyFill="1" applyBorder="1" applyAlignment="1" applyProtection="1">
      <alignment horizontal="left" vertical="center"/>
    </xf>
    <xf numFmtId="0" fontId="19" fillId="2" borderId="5"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10" fillId="2" borderId="11" xfId="1" applyFont="1" applyFill="1" applyBorder="1" applyAlignment="1" applyProtection="1">
      <alignment horizontal="left" vertical="center"/>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xf numFmtId="176" fontId="45" fillId="0" borderId="0" xfId="1" applyNumberFormat="1" applyFont="1" applyFill="1" applyBorder="1" applyAlignment="1">
      <alignment vertical="center"/>
    </xf>
    <xf numFmtId="0" fontId="75" fillId="0" borderId="0" xfId="0" applyFont="1" applyFill="1" applyBorder="1">
      <alignment vertical="center"/>
    </xf>
    <xf numFmtId="0" fontId="66" fillId="0" borderId="0" xfId="0" applyFont="1" applyFill="1" applyBorder="1">
      <alignment vertical="center"/>
    </xf>
    <xf numFmtId="1" fontId="10" fillId="0" borderId="5" xfId="1" applyNumberFormat="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1" fontId="10" fillId="0" borderId="21" xfId="1" applyNumberFormat="1" applyFont="1" applyFill="1" applyBorder="1" applyAlignment="1" applyProtection="1">
      <alignment horizontal="center" vertical="center"/>
    </xf>
    <xf numFmtId="1" fontId="10" fillId="0" borderId="11" xfId="1" applyNumberFormat="1" applyFont="1" applyFill="1" applyBorder="1" applyAlignment="1" applyProtection="1">
      <alignment horizontal="center" vertical="center"/>
    </xf>
    <xf numFmtId="0" fontId="0" fillId="0" borderId="0" xfId="0" applyFont="1">
      <alignment vertical="center"/>
    </xf>
    <xf numFmtId="0" fontId="0" fillId="0" borderId="0" xfId="0" applyFont="1" applyFill="1" applyBorder="1">
      <alignment vertical="center"/>
    </xf>
    <xf numFmtId="0" fontId="0" fillId="0" borderId="0" xfId="0" applyFont="1" applyFill="1" applyBorder="1" applyAlignment="1">
      <alignment horizontal="right" vertical="center"/>
    </xf>
    <xf numFmtId="0" fontId="2" fillId="0" borderId="0" xfId="0" applyFont="1" applyFill="1" applyBorder="1">
      <alignment vertical="center"/>
    </xf>
    <xf numFmtId="0" fontId="88" fillId="0" borderId="0" xfId="0" applyFont="1">
      <alignment vertical="center"/>
    </xf>
    <xf numFmtId="0" fontId="52" fillId="0" borderId="0" xfId="0" applyFont="1" applyFill="1" applyBorder="1">
      <alignment vertical="center"/>
    </xf>
    <xf numFmtId="0" fontId="92" fillId="0" borderId="0" xfId="0" applyFont="1">
      <alignment vertical="center"/>
    </xf>
    <xf numFmtId="0" fontId="88" fillId="0" borderId="0" xfId="0" applyFont="1" applyFill="1" applyBorder="1">
      <alignment vertical="center"/>
    </xf>
    <xf numFmtId="0" fontId="93" fillId="0" borderId="0" xfId="0" applyFont="1">
      <alignment vertical="center"/>
    </xf>
    <xf numFmtId="0" fontId="94" fillId="0" borderId="0" xfId="0" applyFont="1">
      <alignment vertical="center"/>
    </xf>
    <xf numFmtId="0" fontId="94" fillId="0" borderId="0" xfId="0" applyFont="1" applyFill="1" applyBorder="1">
      <alignment vertical="center"/>
    </xf>
    <xf numFmtId="0" fontId="52" fillId="0" borderId="0" xfId="0" applyFont="1">
      <alignment vertical="center"/>
    </xf>
    <xf numFmtId="0" fontId="92" fillId="0" borderId="0" xfId="0" applyFont="1" applyFill="1" applyBorder="1">
      <alignment vertical="center"/>
    </xf>
    <xf numFmtId="0" fontId="71" fillId="0" borderId="0" xfId="0" applyFont="1">
      <alignment vertical="center"/>
    </xf>
    <xf numFmtId="0" fontId="71" fillId="0" borderId="0" xfId="0" applyFont="1" applyFill="1" applyBorder="1">
      <alignment vertical="center"/>
    </xf>
    <xf numFmtId="2" fontId="10" fillId="4" borderId="5" xfId="1" applyNumberFormat="1" applyFont="1" applyFill="1" applyBorder="1" applyAlignment="1" applyProtection="1">
      <alignment horizontal="center" vertical="center"/>
      <protection locked="0"/>
    </xf>
    <xf numFmtId="2" fontId="10" fillId="4" borderId="19" xfId="1" applyNumberFormat="1" applyFont="1" applyFill="1" applyBorder="1" applyAlignment="1" applyProtection="1">
      <alignment horizontal="center" vertical="center"/>
      <protection locked="0"/>
    </xf>
    <xf numFmtId="0" fontId="10" fillId="4" borderId="5" xfId="1" applyFont="1" applyFill="1" applyBorder="1" applyAlignment="1" applyProtection="1">
      <alignment horizontal="center" vertical="center"/>
      <protection locked="0"/>
    </xf>
    <xf numFmtId="176" fontId="10" fillId="4" borderId="19" xfId="1" applyNumberFormat="1" applyFont="1" applyFill="1" applyBorder="1" applyAlignment="1" applyProtection="1">
      <alignment horizontal="center" vertical="center"/>
      <protection locked="0"/>
    </xf>
    <xf numFmtId="177" fontId="10" fillId="4" borderId="5" xfId="1" applyNumberFormat="1" applyFont="1" applyFill="1" applyBorder="1" applyAlignment="1" applyProtection="1">
      <alignment horizontal="center" vertical="center"/>
      <protection locked="0"/>
    </xf>
    <xf numFmtId="0" fontId="10" fillId="4" borderId="5" xfId="1" applyNumberFormat="1" applyFont="1" applyFill="1" applyBorder="1" applyAlignment="1" applyProtection="1">
      <alignment horizontal="center" vertical="center"/>
      <protection locked="0"/>
    </xf>
    <xf numFmtId="0" fontId="10" fillId="4" borderId="28" xfId="1" applyFont="1" applyFill="1" applyBorder="1" applyAlignment="1" applyProtection="1">
      <alignment horizontal="center" vertical="center"/>
      <protection locked="0"/>
    </xf>
    <xf numFmtId="0" fontId="10" fillId="4" borderId="30" xfId="1" applyFont="1" applyFill="1" applyBorder="1" applyAlignment="1" applyProtection="1">
      <alignment horizontal="center" vertical="center"/>
      <protection locked="0"/>
    </xf>
    <xf numFmtId="0" fontId="10" fillId="4" borderId="43" xfId="1" applyFont="1" applyFill="1" applyBorder="1" applyAlignment="1" applyProtection="1">
      <alignment horizontal="center" vertical="center"/>
      <protection locked="0"/>
    </xf>
    <xf numFmtId="0" fontId="10" fillId="4" borderId="22" xfId="1" applyFon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Fill="1" applyBorder="1" applyProtection="1">
      <alignment vertical="center"/>
    </xf>
    <xf numFmtId="0" fontId="66" fillId="0" borderId="0" xfId="0" applyFont="1" applyFill="1" applyBorder="1" applyProtection="1">
      <alignment vertical="center"/>
    </xf>
    <xf numFmtId="0" fontId="0" fillId="0" borderId="0" xfId="0" applyFill="1" applyBorder="1" applyProtection="1">
      <alignment vertical="center"/>
    </xf>
    <xf numFmtId="11" fontId="0" fillId="0" borderId="0" xfId="0" applyNumberFormat="1" applyFont="1" applyFill="1" applyBorder="1" applyProtection="1">
      <alignment vertical="center"/>
    </xf>
    <xf numFmtId="0" fontId="2" fillId="0" borderId="0" xfId="0" applyFont="1" applyProtection="1">
      <alignment vertical="center"/>
    </xf>
    <xf numFmtId="0" fontId="95" fillId="0" borderId="0" xfId="0" applyFont="1" applyProtection="1">
      <alignment vertical="center"/>
    </xf>
    <xf numFmtId="0" fontId="100" fillId="0" borderId="0" xfId="0" applyFont="1" applyFill="1" applyBorder="1" applyProtection="1">
      <alignment vertical="center"/>
    </xf>
    <xf numFmtId="0" fontId="68" fillId="0" borderId="0" xfId="0" applyFont="1" applyFill="1" applyBorder="1" applyProtection="1">
      <alignment vertical="center"/>
    </xf>
    <xf numFmtId="0" fontId="101" fillId="0" borderId="0" xfId="0" applyFont="1" applyProtection="1">
      <alignment vertical="center"/>
    </xf>
    <xf numFmtId="0" fontId="10" fillId="2" borderId="8" xfId="1" applyFont="1" applyFill="1" applyBorder="1" applyAlignment="1" applyProtection="1">
      <alignment vertical="center" wrapText="1"/>
    </xf>
    <xf numFmtId="0" fontId="10" fillId="2" borderId="21" xfId="1" applyFont="1" applyFill="1" applyBorder="1" applyAlignment="1" applyProtection="1">
      <alignment horizontal="left" vertical="center"/>
    </xf>
    <xf numFmtId="0" fontId="10" fillId="2" borderId="24" xfId="1" applyFont="1" applyFill="1" applyBorder="1" applyAlignment="1" applyProtection="1">
      <alignment horizontal="left" vertical="center"/>
    </xf>
    <xf numFmtId="0" fontId="10" fillId="4" borderId="21" xfId="1" applyFont="1" applyFill="1" applyBorder="1" applyAlignment="1" applyProtection="1">
      <alignment horizontal="center" vertical="center"/>
      <protection locked="0"/>
    </xf>
    <xf numFmtId="0" fontId="10" fillId="2" borderId="36" xfId="1" applyFont="1" applyFill="1" applyBorder="1" applyAlignment="1" applyProtection="1">
      <alignment vertical="center" wrapText="1"/>
    </xf>
    <xf numFmtId="0" fontId="10" fillId="0" borderId="0" xfId="0" applyFont="1" applyProtection="1">
      <alignment vertical="center"/>
    </xf>
    <xf numFmtId="1" fontId="19" fillId="2" borderId="5" xfId="1" applyNumberFormat="1" applyFont="1" applyFill="1" applyBorder="1" applyAlignment="1" applyProtection="1">
      <alignment horizontal="center" vertical="center"/>
      <protection hidden="1"/>
    </xf>
    <xf numFmtId="0" fontId="10" fillId="0" borderId="5" xfId="1" applyFont="1" applyFill="1" applyBorder="1" applyAlignment="1" applyProtection="1">
      <alignment horizontal="right" vertical="center"/>
    </xf>
    <xf numFmtId="0" fontId="10" fillId="2" borderId="26" xfId="1" applyFont="1" applyFill="1" applyBorder="1" applyAlignment="1" applyProtection="1">
      <alignment horizontal="left" vertical="center"/>
    </xf>
    <xf numFmtId="0" fontId="10" fillId="2" borderId="22" xfId="1" applyFont="1" applyFill="1" applyBorder="1" applyAlignment="1" applyProtection="1">
      <alignment horizontal="left" vertical="center"/>
    </xf>
    <xf numFmtId="0" fontId="10" fillId="2" borderId="19" xfId="2" applyFont="1" applyFill="1" applyBorder="1" applyAlignment="1" applyProtection="1">
      <alignment horizontal="left" vertical="center"/>
    </xf>
    <xf numFmtId="0" fontId="10" fillId="2" borderId="23" xfId="2" applyFont="1" applyFill="1" applyBorder="1" applyAlignment="1" applyProtection="1">
      <alignment horizontal="left" vertical="center"/>
    </xf>
    <xf numFmtId="0" fontId="16" fillId="2" borderId="23" xfId="2" applyFont="1" applyFill="1" applyBorder="1" applyAlignment="1" applyProtection="1">
      <alignment horizontal="left" vertical="center"/>
    </xf>
    <xf numFmtId="0" fontId="16" fillId="2" borderId="26" xfId="2" applyFont="1" applyFill="1" applyBorder="1" applyAlignment="1" applyProtection="1">
      <alignment horizontal="left" vertical="center"/>
    </xf>
    <xf numFmtId="0" fontId="10" fillId="4" borderId="11" xfId="1" applyNumberFormat="1" applyFont="1" applyFill="1" applyBorder="1" applyAlignment="1" applyProtection="1">
      <alignment horizontal="center" vertical="center"/>
      <protection locked="0"/>
    </xf>
    <xf numFmtId="177" fontId="10" fillId="4" borderId="30" xfId="1" applyNumberFormat="1" applyFont="1" applyFill="1" applyBorder="1" applyAlignment="1" applyProtection="1">
      <alignment horizontal="center" vertical="center"/>
      <protection locked="0"/>
    </xf>
    <xf numFmtId="177" fontId="10" fillId="4" borderId="11" xfId="1" applyNumberFormat="1" applyFont="1" applyFill="1" applyBorder="1" applyAlignment="1" applyProtection="1">
      <alignment horizontal="center" vertical="center"/>
      <protection locked="0"/>
    </xf>
    <xf numFmtId="0" fontId="10" fillId="2" borderId="10" xfId="1" applyFont="1" applyFill="1" applyBorder="1" applyAlignment="1" applyProtection="1">
      <alignment vertical="center" wrapText="1"/>
    </xf>
    <xf numFmtId="0" fontId="1" fillId="0" borderId="0" xfId="0" applyFont="1" applyProtection="1">
      <alignment vertical="center"/>
    </xf>
    <xf numFmtId="0" fontId="16" fillId="0" borderId="0" xfId="0" applyFont="1" applyProtection="1">
      <alignment vertical="center"/>
    </xf>
    <xf numFmtId="0" fontId="95" fillId="0" borderId="0" xfId="0" applyFont="1" applyAlignment="1" applyProtection="1">
      <alignment horizontal="right" vertical="center"/>
    </xf>
    <xf numFmtId="176" fontId="10" fillId="2" borderId="28" xfId="1" applyNumberFormat="1" applyFont="1" applyFill="1" applyBorder="1" applyAlignment="1" applyProtection="1">
      <alignment vertical="center"/>
    </xf>
    <xf numFmtId="176" fontId="10" fillId="2" borderId="11" xfId="1" applyNumberFormat="1" applyFont="1" applyFill="1" applyBorder="1" applyAlignment="1" applyProtection="1">
      <alignment vertical="center"/>
    </xf>
    <xf numFmtId="0" fontId="0" fillId="2" borderId="0" xfId="0" applyFill="1" applyAlignment="1" applyProtection="1">
      <alignment horizontal="right" vertical="center"/>
    </xf>
    <xf numFmtId="0" fontId="72" fillId="3" borderId="38" xfId="1" applyFont="1" applyFill="1" applyBorder="1" applyAlignment="1" applyProtection="1">
      <alignment horizontal="right" vertical="center"/>
    </xf>
    <xf numFmtId="176" fontId="10" fillId="2" borderId="5" xfId="1" applyNumberFormat="1" applyFont="1" applyFill="1" applyBorder="1" applyAlignment="1" applyProtection="1">
      <alignment vertical="center"/>
    </xf>
    <xf numFmtId="0" fontId="89" fillId="2" borderId="23" xfId="1" applyFont="1" applyFill="1" applyBorder="1" applyAlignment="1" applyProtection="1">
      <alignment horizontal="left" vertical="center"/>
    </xf>
    <xf numFmtId="0" fontId="10" fillId="2" borderId="45" xfId="1" applyFont="1" applyFill="1" applyBorder="1" applyAlignment="1" applyProtection="1">
      <alignment vertical="center"/>
    </xf>
    <xf numFmtId="0" fontId="10" fillId="2" borderId="30" xfId="1" applyFont="1" applyFill="1" applyBorder="1" applyAlignment="1" applyProtection="1">
      <alignment horizontal="right" vertical="center"/>
    </xf>
    <xf numFmtId="176" fontId="10" fillId="2" borderId="30" xfId="1" applyNumberFormat="1" applyFont="1" applyFill="1" applyBorder="1" applyAlignment="1" applyProtection="1">
      <alignment vertical="center"/>
    </xf>
    <xf numFmtId="0" fontId="10" fillId="2" borderId="30" xfId="1" applyFont="1" applyFill="1" applyBorder="1" applyAlignment="1" applyProtection="1">
      <alignment horizontal="left" vertical="center"/>
    </xf>
    <xf numFmtId="176" fontId="10" fillId="0" borderId="5" xfId="1" applyNumberFormat="1" applyFont="1" applyFill="1" applyBorder="1" applyAlignment="1" applyProtection="1">
      <alignment vertical="center"/>
    </xf>
    <xf numFmtId="0" fontId="10" fillId="0" borderId="5" xfId="1" applyFont="1" applyFill="1" applyBorder="1" applyAlignment="1" applyProtection="1">
      <alignment horizontal="left" vertical="center"/>
    </xf>
    <xf numFmtId="0" fontId="89" fillId="0" borderId="23" xfId="1" applyFont="1" applyFill="1" applyBorder="1" applyAlignment="1" applyProtection="1">
      <alignment horizontal="left" vertical="center"/>
    </xf>
    <xf numFmtId="0" fontId="89" fillId="0" borderId="24" xfId="1" applyFont="1" applyFill="1" applyBorder="1" applyAlignment="1" applyProtection="1">
      <alignment horizontal="left" vertical="center"/>
    </xf>
    <xf numFmtId="0" fontId="89" fillId="2" borderId="26" xfId="1" applyFont="1" applyFill="1" applyBorder="1" applyAlignment="1" applyProtection="1">
      <alignment horizontal="left" vertical="center"/>
    </xf>
    <xf numFmtId="0" fontId="10" fillId="0" borderId="19" xfId="1" applyFont="1" applyFill="1" applyBorder="1" applyAlignment="1" applyProtection="1">
      <alignment horizontal="left" vertical="center"/>
    </xf>
    <xf numFmtId="0" fontId="89" fillId="2" borderId="23" xfId="2" applyFont="1" applyFill="1" applyBorder="1" applyAlignment="1" applyProtection="1">
      <alignment horizontal="left" vertical="center"/>
    </xf>
    <xf numFmtId="0" fontId="32" fillId="0" borderId="9" xfId="1" applyFont="1" applyFill="1" applyBorder="1" applyAlignment="1" applyProtection="1">
      <alignment horizontal="left" vertical="center"/>
    </xf>
    <xf numFmtId="176" fontId="10" fillId="0" borderId="30" xfId="1" applyNumberFormat="1" applyFont="1" applyFill="1" applyBorder="1" applyAlignment="1" applyProtection="1">
      <alignment vertical="center"/>
    </xf>
    <xf numFmtId="0" fontId="10" fillId="0" borderId="41" xfId="1" applyFont="1" applyFill="1" applyBorder="1" applyAlignment="1" applyProtection="1">
      <alignment horizontal="left" vertical="center"/>
    </xf>
    <xf numFmtId="0" fontId="32" fillId="2" borderId="23" xfId="2" applyFont="1" applyFill="1" applyBorder="1" applyAlignment="1" applyProtection="1">
      <alignment horizontal="left" vertical="center"/>
    </xf>
    <xf numFmtId="0" fontId="89" fillId="2" borderId="26" xfId="2" applyFont="1" applyFill="1" applyBorder="1" applyAlignment="1" applyProtection="1">
      <alignment horizontal="left" vertical="center"/>
    </xf>
    <xf numFmtId="0" fontId="15" fillId="3" borderId="7" xfId="1" applyFont="1" applyFill="1" applyBorder="1" applyAlignment="1" applyProtection="1">
      <alignment horizontal="left" vertical="center"/>
    </xf>
    <xf numFmtId="0" fontId="15" fillId="3" borderId="2" xfId="1" applyFont="1" applyFill="1" applyBorder="1" applyAlignment="1" applyProtection="1">
      <alignment horizontal="left" vertical="center"/>
    </xf>
    <xf numFmtId="0" fontId="89" fillId="2" borderId="42" xfId="1" applyFont="1" applyFill="1" applyBorder="1" applyAlignment="1" applyProtection="1">
      <alignment horizontal="left" vertical="center"/>
    </xf>
    <xf numFmtId="0" fontId="10" fillId="2" borderId="41" xfId="1" applyFont="1" applyFill="1" applyBorder="1" applyAlignment="1" applyProtection="1">
      <alignment horizontal="left" vertical="center"/>
    </xf>
    <xf numFmtId="0" fontId="85" fillId="3" borderId="38" xfId="1" applyFont="1" applyFill="1" applyBorder="1" applyAlignment="1" applyProtection="1">
      <alignment horizontal="right" vertical="center"/>
    </xf>
    <xf numFmtId="0" fontId="82" fillId="8" borderId="56" xfId="0" applyFont="1" applyFill="1" applyBorder="1" applyAlignment="1" applyProtection="1">
      <alignment horizontal="center" vertical="center"/>
    </xf>
    <xf numFmtId="0" fontId="0" fillId="9" borderId="56" xfId="0" applyFont="1" applyFill="1" applyBorder="1" applyAlignment="1" applyProtection="1">
      <alignment horizontal="center" vertical="center"/>
    </xf>
    <xf numFmtId="0" fontId="0" fillId="0" borderId="56" xfId="0" applyFont="1" applyBorder="1" applyAlignment="1" applyProtection="1">
      <alignment horizontal="center" vertical="center"/>
    </xf>
    <xf numFmtId="0" fontId="53" fillId="0" borderId="0" xfId="0" applyFont="1" applyProtection="1">
      <alignment vertical="center"/>
    </xf>
    <xf numFmtId="0" fontId="51" fillId="0" borderId="0" xfId="0" applyFont="1" applyProtection="1">
      <alignment vertical="center"/>
    </xf>
    <xf numFmtId="0" fontId="28" fillId="0" borderId="0" xfId="0" applyFont="1" applyProtection="1">
      <alignment vertical="center"/>
    </xf>
    <xf numFmtId="0" fontId="64" fillId="0" borderId="0" xfId="0" applyFont="1" applyProtection="1">
      <alignment vertical="center"/>
    </xf>
    <xf numFmtId="0" fontId="19" fillId="0" borderId="5" xfId="0" applyFont="1" applyBorder="1" applyAlignment="1" applyProtection="1">
      <alignment horizontal="right" vertical="center"/>
    </xf>
    <xf numFmtId="0" fontId="19" fillId="0" borderId="21" xfId="0" applyFont="1" applyBorder="1" applyProtection="1">
      <alignment vertical="center"/>
    </xf>
    <xf numFmtId="0" fontId="28" fillId="0" borderId="51" xfId="0" applyFont="1" applyBorder="1" applyProtection="1">
      <alignment vertical="center"/>
    </xf>
    <xf numFmtId="0" fontId="19" fillId="0" borderId="43" xfId="0" applyFont="1" applyBorder="1" applyProtection="1">
      <alignment vertical="center"/>
    </xf>
    <xf numFmtId="0" fontId="19" fillId="0" borderId="52" xfId="0" applyFont="1" applyBorder="1" applyProtection="1">
      <alignment vertical="center"/>
    </xf>
    <xf numFmtId="0" fontId="19" fillId="0" borderId="0" xfId="0" applyFont="1" applyProtection="1">
      <alignment vertical="center"/>
    </xf>
    <xf numFmtId="0" fontId="0" fillId="0" borderId="0" xfId="0" applyFont="1" applyAlignment="1" applyProtection="1">
      <alignment horizontal="center" vertical="center"/>
    </xf>
    <xf numFmtId="0" fontId="19" fillId="2" borderId="5" xfId="0" applyFont="1" applyFill="1" applyBorder="1" applyAlignment="1" applyProtection="1">
      <alignment horizontal="center" vertical="center"/>
    </xf>
    <xf numFmtId="0" fontId="19" fillId="0" borderId="41" xfId="0" applyFont="1" applyBorder="1" applyProtection="1">
      <alignment vertical="center"/>
    </xf>
    <xf numFmtId="0" fontId="19" fillId="0" borderId="29" xfId="0" applyFont="1" applyBorder="1" applyProtection="1">
      <alignment vertical="center"/>
    </xf>
    <xf numFmtId="177" fontId="19" fillId="0" borderId="5" xfId="0" applyNumberFormat="1" applyFont="1" applyBorder="1" applyAlignment="1" applyProtection="1">
      <alignment horizontal="center" vertical="center"/>
    </xf>
    <xf numFmtId="0" fontId="19" fillId="0" borderId="30" xfId="0" applyFont="1" applyBorder="1" applyProtection="1">
      <alignment vertical="center"/>
    </xf>
    <xf numFmtId="0" fontId="19" fillId="0" borderId="0" xfId="0" applyFont="1" applyAlignment="1" applyProtection="1">
      <alignment horizontal="center" vertical="center"/>
    </xf>
    <xf numFmtId="0" fontId="19" fillId="0" borderId="5" xfId="0" applyFont="1" applyBorder="1" applyProtection="1">
      <alignment vertical="center"/>
    </xf>
    <xf numFmtId="0" fontId="19" fillId="0" borderId="0" xfId="0" applyFont="1" applyAlignment="1" applyProtection="1">
      <alignment horizontal="right" vertical="center"/>
    </xf>
    <xf numFmtId="0" fontId="0" fillId="0" borderId="0" xfId="0" applyAlignment="1" applyProtection="1">
      <alignment vertical="center" wrapText="1"/>
    </xf>
    <xf numFmtId="0" fontId="42" fillId="0" borderId="0" xfId="0" applyFont="1" applyProtection="1">
      <alignment vertical="center"/>
    </xf>
    <xf numFmtId="177" fontId="19" fillId="0" borderId="0" xfId="0" applyNumberFormat="1" applyFont="1" applyAlignment="1" applyProtection="1">
      <alignment horizontal="center" vertical="center"/>
      <protection hidden="1"/>
    </xf>
    <xf numFmtId="0" fontId="41" fillId="0" borderId="0" xfId="0" applyFont="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46" fillId="0" borderId="0" xfId="0" applyFont="1" applyProtection="1">
      <alignment vertical="center"/>
    </xf>
    <xf numFmtId="0" fontId="16" fillId="0" borderId="49" xfId="0" applyFont="1" applyBorder="1" applyAlignment="1" applyProtection="1">
      <alignment vertical="center"/>
    </xf>
    <xf numFmtId="0" fontId="44" fillId="0" borderId="0" xfId="0" applyFont="1" applyBorder="1" applyAlignment="1" applyProtection="1">
      <alignment horizontal="left" vertical="center"/>
    </xf>
    <xf numFmtId="0" fontId="28" fillId="2" borderId="0" xfId="0" applyFont="1" applyFill="1" applyBorder="1" applyAlignment="1" applyProtection="1">
      <alignment horizontal="left" vertical="center"/>
    </xf>
    <xf numFmtId="0" fontId="0" fillId="2" borderId="0" xfId="0" applyFill="1" applyBorder="1" applyAlignment="1" applyProtection="1">
      <alignment horizontal="center" vertical="center"/>
    </xf>
    <xf numFmtId="0" fontId="57" fillId="2" borderId="0" xfId="0" applyFont="1" applyFill="1" applyBorder="1" applyAlignment="1" applyProtection="1">
      <alignment horizontal="left" vertical="center"/>
    </xf>
    <xf numFmtId="0" fontId="28" fillId="2" borderId="0" xfId="0" applyFont="1" applyFill="1" applyBorder="1" applyAlignment="1" applyProtection="1">
      <alignment horizontal="center" vertical="center"/>
    </xf>
    <xf numFmtId="0" fontId="10" fillId="0" borderId="0" xfId="0" applyFont="1" applyBorder="1" applyAlignment="1" applyProtection="1">
      <alignment horizontal="left" vertical="center"/>
    </xf>
    <xf numFmtId="0" fontId="39" fillId="0" borderId="0" xfId="0" applyFont="1" applyProtection="1">
      <alignment vertical="center"/>
    </xf>
    <xf numFmtId="0" fontId="60" fillId="0" borderId="0" xfId="0" applyFont="1" applyProtection="1">
      <alignment vertical="center"/>
    </xf>
    <xf numFmtId="0" fontId="47" fillId="0" borderId="0" xfId="0" applyFont="1" applyProtection="1">
      <alignment vertical="center"/>
    </xf>
    <xf numFmtId="0" fontId="10" fillId="0" borderId="0" xfId="0" applyFont="1" applyAlignment="1" applyProtection="1">
      <alignment vertical="center"/>
    </xf>
    <xf numFmtId="0" fontId="61" fillId="0" borderId="0" xfId="0" applyFont="1" applyProtection="1">
      <alignment vertical="center"/>
    </xf>
    <xf numFmtId="0" fontId="31"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96" fillId="0" borderId="0" xfId="0" quotePrefix="1" applyFont="1" applyProtection="1">
      <alignment vertical="center"/>
    </xf>
    <xf numFmtId="0" fontId="48" fillId="0" borderId="0" xfId="0" applyFont="1" applyAlignment="1" applyProtection="1">
      <alignment vertical="center"/>
    </xf>
    <xf numFmtId="0" fontId="79" fillId="0" borderId="0" xfId="0" applyFont="1" applyAlignment="1" applyProtection="1">
      <alignment vertical="center"/>
    </xf>
    <xf numFmtId="0" fontId="0" fillId="0" borderId="0" xfId="0" applyProtection="1">
      <alignment vertical="center"/>
      <protection hidden="1"/>
    </xf>
    <xf numFmtId="0" fontId="10" fillId="2" borderId="0" xfId="1" applyFont="1" applyFill="1" applyBorder="1" applyAlignment="1" applyProtection="1">
      <alignment vertical="center"/>
      <protection hidden="1"/>
    </xf>
    <xf numFmtId="0" fontId="65" fillId="2" borderId="0" xfId="1" applyFont="1" applyFill="1" applyBorder="1" applyAlignment="1" applyProtection="1">
      <alignment horizontal="center" vertical="center"/>
      <protection hidden="1"/>
    </xf>
    <xf numFmtId="0" fontId="10" fillId="2" borderId="0" xfId="1" applyFont="1" applyFill="1" applyBorder="1" applyAlignment="1" applyProtection="1">
      <alignment horizontal="center" vertical="center"/>
      <protection hidden="1"/>
    </xf>
    <xf numFmtId="0" fontId="29" fillId="2" borderId="0" xfId="1" applyFont="1" applyFill="1" applyBorder="1" applyAlignment="1" applyProtection="1">
      <alignment horizontal="left" vertical="center" wrapText="1"/>
      <protection hidden="1"/>
    </xf>
    <xf numFmtId="0" fontId="12" fillId="2" borderId="0" xfId="1" applyFont="1" applyFill="1" applyBorder="1" applyAlignment="1" applyProtection="1">
      <alignment horizontal="left" vertical="center" wrapText="1"/>
      <protection hidden="1"/>
    </xf>
    <xf numFmtId="0" fontId="0" fillId="0" borderId="0" xfId="0" applyFont="1" applyProtection="1">
      <alignment vertical="center"/>
      <protection hidden="1"/>
    </xf>
    <xf numFmtId="0" fontId="0" fillId="2" borderId="0" xfId="0" applyFill="1" applyProtection="1">
      <alignment vertical="center"/>
      <protection hidden="1"/>
    </xf>
    <xf numFmtId="0" fontId="28" fillId="2" borderId="0" xfId="0" applyFont="1" applyFill="1" applyProtection="1">
      <alignment vertical="center"/>
      <protection hidden="1"/>
    </xf>
    <xf numFmtId="0" fontId="10" fillId="2" borderId="8" xfId="1" applyFont="1" applyFill="1" applyBorder="1" applyAlignment="1" applyProtection="1">
      <alignment vertical="center"/>
      <protection hidden="1"/>
    </xf>
    <xf numFmtId="0" fontId="10" fillId="2" borderId="5" xfId="1" applyFont="1" applyFill="1" applyBorder="1" applyAlignment="1" applyProtection="1">
      <alignment horizontal="right" vertical="center"/>
      <protection hidden="1"/>
    </xf>
    <xf numFmtId="177" fontId="10" fillId="7"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vertical="center"/>
      <protection hidden="1"/>
    </xf>
    <xf numFmtId="0" fontId="10" fillId="2" borderId="23" xfId="1" applyFont="1" applyFill="1" applyBorder="1" applyAlignment="1" applyProtection="1">
      <alignment vertical="center"/>
      <protection hidden="1"/>
    </xf>
    <xf numFmtId="1" fontId="10" fillId="7" borderId="5" xfId="1" applyNumberFormat="1" applyFont="1" applyFill="1" applyBorder="1" applyAlignment="1" applyProtection="1">
      <alignment horizontal="center" vertical="center"/>
      <protection hidden="1"/>
    </xf>
    <xf numFmtId="0" fontId="10" fillId="2" borderId="8" xfId="1" applyFont="1" applyFill="1" applyBorder="1" applyAlignment="1" applyProtection="1">
      <alignment vertical="center" wrapText="1"/>
      <protection hidden="1"/>
    </xf>
    <xf numFmtId="0" fontId="10" fillId="2" borderId="23" xfId="1" applyFont="1" applyFill="1" applyBorder="1" applyAlignment="1" applyProtection="1">
      <alignment horizontal="left" vertical="center"/>
      <protection hidden="1"/>
    </xf>
    <xf numFmtId="0" fontId="10" fillId="7" borderId="19" xfId="1" applyFont="1" applyFill="1" applyBorder="1" applyAlignment="1" applyProtection="1">
      <alignment horizontal="center" vertical="center"/>
      <protection hidden="1"/>
    </xf>
    <xf numFmtId="0" fontId="10" fillId="7" borderId="5" xfId="1" applyFont="1" applyFill="1" applyBorder="1" applyAlignment="1" applyProtection="1">
      <alignment horizontal="center" vertical="center"/>
      <protection hidden="1"/>
    </xf>
    <xf numFmtId="0" fontId="10" fillId="2" borderId="36" xfId="1" applyFont="1" applyFill="1" applyBorder="1" applyAlignment="1" applyProtection="1">
      <alignment vertical="center"/>
      <protection hidden="1"/>
    </xf>
    <xf numFmtId="0" fontId="10" fillId="2" borderId="28" xfId="1" applyFont="1" applyFill="1" applyBorder="1" applyAlignment="1" applyProtection="1">
      <alignment horizontal="right" vertical="center"/>
      <protection hidden="1"/>
    </xf>
    <xf numFmtId="0" fontId="10" fillId="7" borderId="21" xfId="1" applyFont="1" applyFill="1" applyBorder="1" applyAlignment="1" applyProtection="1">
      <alignment horizontal="center" vertical="center"/>
      <protection hidden="1"/>
    </xf>
    <xf numFmtId="0" fontId="10" fillId="2" borderId="21" xfId="1" applyFont="1" applyFill="1" applyBorder="1" applyAlignment="1" applyProtection="1">
      <alignment horizontal="left" vertical="center"/>
      <protection hidden="1"/>
    </xf>
    <xf numFmtId="176" fontId="10" fillId="7" borderId="21" xfId="1" applyNumberFormat="1" applyFont="1" applyFill="1" applyBorder="1" applyAlignment="1" applyProtection="1">
      <alignment horizontal="center" vertical="center"/>
      <protection hidden="1"/>
    </xf>
    <xf numFmtId="0" fontId="10" fillId="2" borderId="24" xfId="1" applyFont="1" applyFill="1" applyBorder="1" applyAlignment="1" applyProtection="1">
      <alignment horizontal="left" vertical="center"/>
      <protection hidden="1"/>
    </xf>
    <xf numFmtId="11" fontId="10" fillId="7" borderId="21" xfId="1" applyNumberFormat="1" applyFont="1" applyFill="1" applyBorder="1" applyAlignment="1" applyProtection="1">
      <alignment horizontal="center" vertical="center"/>
      <protection hidden="1"/>
    </xf>
    <xf numFmtId="0" fontId="0" fillId="0" borderId="0" xfId="0" applyFont="1" applyFill="1" applyBorder="1" applyProtection="1">
      <alignment vertical="center"/>
      <protection hidden="1"/>
    </xf>
    <xf numFmtId="0" fontId="10" fillId="2" borderId="19" xfId="1" applyFont="1" applyFill="1" applyBorder="1" applyAlignment="1" applyProtection="1">
      <alignment vertical="center" wrapText="1"/>
      <protection hidden="1"/>
    </xf>
    <xf numFmtId="0" fontId="10" fillId="0" borderId="0" xfId="1" applyFont="1" applyFill="1" applyBorder="1" applyAlignment="1" applyProtection="1">
      <alignment horizontal="left" vertical="center"/>
      <protection hidden="1"/>
    </xf>
    <xf numFmtId="0" fontId="91" fillId="2" borderId="24" xfId="1" applyFont="1" applyFill="1" applyBorder="1" applyAlignment="1" applyProtection="1">
      <alignment horizontal="left" vertical="center"/>
      <protection hidden="1"/>
    </xf>
    <xf numFmtId="0" fontId="10" fillId="0" borderId="0" xfId="0" applyFont="1" applyProtection="1">
      <alignment vertical="center"/>
      <protection hidden="1"/>
    </xf>
    <xf numFmtId="0" fontId="10" fillId="2" borderId="19" xfId="2" applyFont="1" applyFill="1" applyBorder="1" applyAlignment="1" applyProtection="1">
      <alignment vertical="center"/>
      <protection hidden="1"/>
    </xf>
    <xf numFmtId="0" fontId="10" fillId="4" borderId="36" xfId="1" applyFont="1" applyFill="1" applyBorder="1" applyAlignment="1" applyProtection="1">
      <alignment vertical="center"/>
      <protection hidden="1"/>
    </xf>
    <xf numFmtId="0" fontId="10" fillId="4" borderId="28" xfId="1" applyFont="1" applyFill="1" applyBorder="1" applyAlignment="1" applyProtection="1">
      <alignment horizontal="right" vertical="center"/>
      <protection hidden="1"/>
    </xf>
    <xf numFmtId="0" fontId="10" fillId="4" borderId="21" xfId="1" applyFont="1" applyFill="1" applyBorder="1" applyAlignment="1" applyProtection="1">
      <alignment vertical="center" wrapText="1"/>
      <protection hidden="1"/>
    </xf>
    <xf numFmtId="0" fontId="10" fillId="4" borderId="24" xfId="1" applyFont="1" applyFill="1" applyBorder="1" applyAlignment="1" applyProtection="1">
      <alignment horizontal="left" vertical="center"/>
      <protection hidden="1"/>
    </xf>
    <xf numFmtId="0" fontId="10" fillId="2" borderId="36" xfId="1" applyFont="1" applyFill="1" applyBorder="1" applyAlignment="1" applyProtection="1">
      <alignment vertical="center" wrapText="1"/>
      <protection hidden="1"/>
    </xf>
    <xf numFmtId="0" fontId="10" fillId="2" borderId="21" xfId="1" applyFont="1" applyFill="1" applyBorder="1" applyAlignment="1" applyProtection="1">
      <alignment vertical="center" wrapText="1"/>
      <protection hidden="1"/>
    </xf>
    <xf numFmtId="0" fontId="10" fillId="4" borderId="36" xfId="1" applyFont="1" applyFill="1" applyBorder="1" applyAlignment="1" applyProtection="1">
      <alignment vertical="center" wrapText="1"/>
      <protection hidden="1"/>
    </xf>
    <xf numFmtId="0" fontId="10" fillId="4" borderId="21" xfId="1" applyFont="1" applyFill="1" applyBorder="1" applyAlignment="1" applyProtection="1">
      <alignment horizontal="left" vertical="center"/>
      <protection hidden="1"/>
    </xf>
    <xf numFmtId="0" fontId="10" fillId="4" borderId="8" xfId="1" applyFont="1" applyFill="1" applyBorder="1" applyAlignment="1" applyProtection="1">
      <alignment vertical="center" wrapText="1"/>
      <protection hidden="1"/>
    </xf>
    <xf numFmtId="0" fontId="10" fillId="4" borderId="5" xfId="1" applyFont="1" applyFill="1" applyBorder="1" applyAlignment="1" applyProtection="1">
      <alignment horizontal="right" vertical="center"/>
      <protection hidden="1"/>
    </xf>
    <xf numFmtId="0" fontId="10" fillId="4" borderId="6"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protection hidden="1"/>
    </xf>
    <xf numFmtId="0" fontId="10" fillId="4" borderId="10" xfId="1" applyFont="1" applyFill="1" applyBorder="1" applyAlignment="1" applyProtection="1">
      <alignment vertical="center"/>
      <protection hidden="1"/>
    </xf>
    <xf numFmtId="0" fontId="10" fillId="4" borderId="11" xfId="1" applyFont="1" applyFill="1" applyBorder="1" applyAlignment="1" applyProtection="1">
      <alignment horizontal="right" vertical="center"/>
      <protection hidden="1"/>
    </xf>
    <xf numFmtId="0" fontId="10" fillId="4" borderId="25" xfId="1" applyFont="1" applyFill="1" applyBorder="1" applyAlignment="1" applyProtection="1">
      <alignment horizontal="left" vertical="center"/>
      <protection hidden="1"/>
    </xf>
    <xf numFmtId="0" fontId="10" fillId="4" borderId="26" xfId="1" applyFont="1" applyFill="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73" fillId="2" borderId="0" xfId="1" applyFont="1" applyFill="1" applyBorder="1" applyAlignment="1" applyProtection="1">
      <alignment horizontal="left" vertical="center" wrapText="1"/>
      <protection hidden="1"/>
    </xf>
    <xf numFmtId="0" fontId="19" fillId="2" borderId="8" xfId="1" applyFont="1" applyFill="1" applyBorder="1" applyAlignment="1" applyProtection="1">
      <alignment vertical="center"/>
      <protection hidden="1"/>
    </xf>
    <xf numFmtId="0" fontId="25" fillId="2" borderId="30" xfId="1" applyFont="1" applyFill="1" applyBorder="1" applyAlignment="1" applyProtection="1">
      <alignment horizontal="right" vertical="center"/>
      <protection hidden="1"/>
    </xf>
    <xf numFmtId="176" fontId="19" fillId="2" borderId="5" xfId="1" applyNumberFormat="1" applyFont="1" applyFill="1" applyBorder="1" applyAlignment="1" applyProtection="1">
      <alignment horizontal="center" vertical="center"/>
      <protection hidden="1"/>
    </xf>
    <xf numFmtId="0" fontId="1" fillId="0" borderId="0" xfId="0" applyFont="1" applyProtection="1">
      <alignment vertical="center"/>
      <protection hidden="1"/>
    </xf>
    <xf numFmtId="0" fontId="0" fillId="0" borderId="0" xfId="0" quotePrefix="1" applyFont="1" applyProtection="1">
      <alignment vertical="center"/>
      <protection hidden="1"/>
    </xf>
    <xf numFmtId="0" fontId="19" fillId="2" borderId="5" xfId="1" applyFont="1" applyFill="1" applyBorder="1" applyAlignment="1" applyProtection="1">
      <alignment horizontal="right" vertical="center"/>
      <protection hidden="1"/>
    </xf>
    <xf numFmtId="0" fontId="19" fillId="4" borderId="8" xfId="1" applyFont="1" applyFill="1" applyBorder="1" applyAlignment="1" applyProtection="1">
      <alignment vertical="center"/>
      <protection hidden="1"/>
    </xf>
    <xf numFmtId="0" fontId="19" fillId="4" borderId="5" xfId="1" applyFont="1" applyFill="1" applyBorder="1" applyAlignment="1" applyProtection="1">
      <alignment horizontal="right" vertical="center"/>
      <protection hidden="1"/>
    </xf>
    <xf numFmtId="0" fontId="0" fillId="4" borderId="19" xfId="0" applyFill="1" applyBorder="1" applyProtection="1">
      <alignment vertical="center"/>
      <protection hidden="1"/>
    </xf>
    <xf numFmtId="0" fontId="19" fillId="4" borderId="23" xfId="1" applyFont="1" applyFill="1" applyBorder="1" applyAlignment="1" applyProtection="1">
      <alignment horizontal="left" vertical="center"/>
      <protection hidden="1"/>
    </xf>
    <xf numFmtId="0" fontId="19" fillId="4" borderId="41" xfId="1" applyFont="1" applyFill="1" applyBorder="1" applyAlignment="1" applyProtection="1">
      <alignment horizontal="center" vertical="center"/>
      <protection hidden="1"/>
    </xf>
    <xf numFmtId="0" fontId="19" fillId="4" borderId="42" xfId="1" applyFont="1" applyFill="1" applyBorder="1" applyAlignment="1" applyProtection="1">
      <alignment horizontal="left" vertical="center"/>
      <protection hidden="1"/>
    </xf>
    <xf numFmtId="177" fontId="19" fillId="2" borderId="5" xfId="1" applyNumberFormat="1" applyFont="1" applyFill="1" applyBorder="1" applyAlignment="1" applyProtection="1">
      <alignment horizontal="center" vertical="center"/>
      <protection hidden="1"/>
    </xf>
    <xf numFmtId="0" fontId="19" fillId="2" borderId="19" xfId="1" applyFont="1" applyFill="1" applyBorder="1" applyAlignment="1" applyProtection="1">
      <alignment horizontal="center" vertical="center"/>
      <protection hidden="1"/>
    </xf>
    <xf numFmtId="0" fontId="19" fillId="2" borderId="23" xfId="1" applyFont="1" applyFill="1" applyBorder="1" applyAlignment="1" applyProtection="1">
      <alignment horizontal="left" vertical="center"/>
      <protection hidden="1"/>
    </xf>
    <xf numFmtId="0" fontId="32" fillId="4" borderId="19" xfId="1" applyFont="1" applyFill="1" applyBorder="1" applyAlignment="1" applyProtection="1">
      <alignment horizontal="left" vertical="center"/>
      <protection hidden="1"/>
    </xf>
    <xf numFmtId="1" fontId="10" fillId="2"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horizontal="left" vertical="center"/>
      <protection hidden="1"/>
    </xf>
    <xf numFmtId="0" fontId="10" fillId="0" borderId="5" xfId="1" applyFont="1" applyFill="1" applyBorder="1" applyAlignment="1" applyProtection="1">
      <alignment horizontal="right" vertical="center"/>
      <protection hidden="1"/>
    </xf>
    <xf numFmtId="176" fontId="10" fillId="0" borderId="5" xfId="1" applyNumberFormat="1" applyFont="1" applyFill="1" applyBorder="1" applyAlignment="1" applyProtection="1">
      <alignment horizontal="center" vertical="center"/>
      <protection hidden="1"/>
    </xf>
    <xf numFmtId="0" fontId="1" fillId="0" borderId="0" xfId="0" applyFont="1" applyAlignment="1" applyProtection="1">
      <alignment horizontal="right" vertical="center"/>
      <protection hidden="1"/>
    </xf>
    <xf numFmtId="0" fontId="1" fillId="0" borderId="0" xfId="0" quotePrefix="1" applyFont="1" applyProtection="1">
      <alignment vertical="center"/>
      <protection hidden="1"/>
    </xf>
    <xf numFmtId="0" fontId="19" fillId="4" borderId="36" xfId="1" applyFont="1" applyFill="1" applyBorder="1" applyAlignment="1" applyProtection="1">
      <alignment vertical="center"/>
      <protection hidden="1"/>
    </xf>
    <xf numFmtId="176" fontId="19" fillId="4" borderId="5" xfId="1" applyNumberFormat="1" applyFont="1" applyFill="1" applyBorder="1" applyAlignment="1" applyProtection="1">
      <alignment horizontal="right" vertical="center"/>
      <protection hidden="1"/>
    </xf>
    <xf numFmtId="0" fontId="19" fillId="4" borderId="19" xfId="1" applyFont="1" applyFill="1" applyBorder="1" applyAlignment="1" applyProtection="1">
      <alignment vertical="center" wrapText="1"/>
      <protection hidden="1"/>
    </xf>
    <xf numFmtId="0" fontId="19" fillId="4" borderId="23" xfId="1" applyFont="1" applyFill="1" applyBorder="1" applyAlignment="1" applyProtection="1">
      <alignment vertical="center"/>
      <protection hidden="1"/>
    </xf>
    <xf numFmtId="0" fontId="19" fillId="2" borderId="19" xfId="1" applyFont="1" applyFill="1" applyBorder="1" applyAlignment="1" applyProtection="1">
      <alignment vertical="center" wrapText="1"/>
      <protection hidden="1"/>
    </xf>
    <xf numFmtId="0" fontId="19" fillId="2" borderId="23" xfId="1" applyFont="1" applyFill="1" applyBorder="1" applyAlignment="1" applyProtection="1">
      <alignment vertical="center"/>
      <protection hidden="1"/>
    </xf>
    <xf numFmtId="0" fontId="19" fillId="4" borderId="19" xfId="1" applyFont="1" applyFill="1" applyBorder="1" applyAlignment="1" applyProtection="1">
      <alignment vertical="center"/>
      <protection hidden="1"/>
    </xf>
    <xf numFmtId="0" fontId="19" fillId="4" borderId="10" xfId="1" applyFont="1" applyFill="1" applyBorder="1" applyAlignment="1" applyProtection="1">
      <alignment vertical="center"/>
      <protection hidden="1"/>
    </xf>
    <xf numFmtId="0" fontId="19" fillId="4" borderId="11" xfId="1" applyFont="1" applyFill="1" applyBorder="1" applyAlignment="1" applyProtection="1">
      <alignment horizontal="right" vertical="center"/>
      <protection hidden="1"/>
    </xf>
    <xf numFmtId="0" fontId="19" fillId="4" borderId="22" xfId="2" applyFont="1" applyFill="1" applyBorder="1" applyAlignment="1" applyProtection="1">
      <alignment vertical="center"/>
      <protection hidden="1"/>
    </xf>
    <xf numFmtId="0" fontId="19" fillId="4" borderId="26" xfId="1" applyFont="1" applyFill="1" applyBorder="1" applyAlignment="1" applyProtection="1">
      <alignment vertical="center"/>
      <protection hidden="1"/>
    </xf>
    <xf numFmtId="0" fontId="10" fillId="2" borderId="0" xfId="1" applyFont="1" applyFill="1" applyBorder="1" applyAlignment="1" applyProtection="1">
      <alignment horizontal="right" vertical="center"/>
      <protection hidden="1"/>
    </xf>
    <xf numFmtId="0" fontId="10" fillId="2" borderId="19" xfId="1" applyFont="1" applyFill="1" applyBorder="1" applyAlignment="1" applyProtection="1">
      <alignment horizontal="center" vertical="center"/>
      <protection hidden="1"/>
    </xf>
    <xf numFmtId="0" fontId="10" fillId="2" borderId="5" xfId="1" applyFont="1" applyFill="1" applyBorder="1" applyAlignment="1" applyProtection="1">
      <alignment horizontal="center" vertical="center"/>
      <protection hidden="1"/>
    </xf>
    <xf numFmtId="1" fontId="10" fillId="2" borderId="21"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protection hidden="1"/>
    </xf>
    <xf numFmtId="0" fontId="10" fillId="2" borderId="11" xfId="1" applyFont="1" applyFill="1" applyBorder="1" applyAlignment="1" applyProtection="1">
      <alignment horizontal="right" vertical="center"/>
      <protection hidden="1"/>
    </xf>
    <xf numFmtId="1"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vertical="center"/>
      <protection hidden="1"/>
    </xf>
    <xf numFmtId="0" fontId="10" fillId="2" borderId="26" xfId="1" applyFont="1" applyFill="1" applyBorder="1" applyAlignment="1" applyProtection="1">
      <alignment vertical="center"/>
      <protection hidden="1"/>
    </xf>
    <xf numFmtId="0" fontId="10" fillId="4" borderId="19"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wrapText="1"/>
      <protection hidden="1"/>
    </xf>
    <xf numFmtId="176" fontId="10" fillId="2" borderId="28" xfId="1" applyNumberFormat="1" applyFont="1" applyFill="1" applyBorder="1" applyAlignment="1" applyProtection="1">
      <alignment horizontal="center" vertical="center"/>
      <protection hidden="1"/>
    </xf>
    <xf numFmtId="176" fontId="10" fillId="4" borderId="5" xfId="1" applyNumberFormat="1" applyFont="1" applyFill="1" applyBorder="1" applyAlignment="1" applyProtection="1">
      <alignment horizontal="right" vertical="center"/>
      <protection hidden="1"/>
    </xf>
    <xf numFmtId="0" fontId="10" fillId="0" borderId="23" xfId="1" applyFont="1" applyFill="1" applyBorder="1" applyAlignment="1" applyProtection="1">
      <alignment horizontal="left" vertical="center"/>
      <protection hidden="1"/>
    </xf>
    <xf numFmtId="0" fontId="0" fillId="0" borderId="0" xfId="0" applyFill="1" applyProtection="1">
      <alignment vertical="center"/>
      <protection hidden="1"/>
    </xf>
    <xf numFmtId="0"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horizontal="left" vertical="center"/>
      <protection hidden="1"/>
    </xf>
    <xf numFmtId="0" fontId="10" fillId="2" borderId="26" xfId="1" applyFont="1" applyFill="1" applyBorder="1" applyAlignment="1" applyProtection="1">
      <alignment horizontal="left" vertical="center"/>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right" vertical="center"/>
      <protection hidden="1"/>
    </xf>
    <xf numFmtId="0" fontId="15" fillId="3" borderId="38" xfId="1" applyFont="1" applyFill="1" applyBorder="1" applyAlignment="1" applyProtection="1">
      <alignment horizontal="center"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0" fillId="2" borderId="23" xfId="2" applyFont="1" applyFill="1" applyBorder="1" applyAlignment="1" applyProtection="1">
      <alignment vertical="center"/>
      <protection hidden="1"/>
    </xf>
    <xf numFmtId="0" fontId="10" fillId="4" borderId="19" xfId="2" applyFont="1" applyFill="1" applyBorder="1" applyAlignment="1" applyProtection="1">
      <alignment vertical="center"/>
      <protection hidden="1"/>
    </xf>
    <xf numFmtId="0" fontId="10" fillId="4" borderId="23" xfId="2" applyFont="1" applyFill="1" applyBorder="1" applyAlignment="1" applyProtection="1">
      <alignment vertical="center"/>
      <protection hidden="1"/>
    </xf>
    <xf numFmtId="0" fontId="10" fillId="2" borderId="28" xfId="1" applyNumberFormat="1" applyFont="1" applyFill="1" applyBorder="1" applyAlignment="1" applyProtection="1">
      <alignment horizontal="center" vertical="center"/>
      <protection hidden="1"/>
    </xf>
    <xf numFmtId="177" fontId="10" fillId="2" borderId="28" xfId="1" applyNumberFormat="1" applyFont="1" applyFill="1" applyBorder="1" applyAlignment="1" applyProtection="1">
      <alignment horizontal="center" vertical="center"/>
      <protection hidden="1"/>
    </xf>
    <xf numFmtId="0" fontId="10" fillId="0" borderId="36" xfId="1" applyFont="1" applyFill="1" applyBorder="1" applyAlignment="1" applyProtection="1">
      <alignment vertical="center"/>
      <protection hidden="1"/>
    </xf>
    <xf numFmtId="0" fontId="10" fillId="0" borderId="28" xfId="1" applyNumberFormat="1" applyFont="1" applyFill="1" applyBorder="1" applyAlignment="1" applyProtection="1">
      <alignment horizontal="center" vertical="center"/>
      <protection hidden="1"/>
    </xf>
    <xf numFmtId="0" fontId="10" fillId="2" borderId="21" xfId="2" applyFont="1" applyFill="1" applyBorder="1" applyAlignment="1" applyProtection="1">
      <alignment vertical="center"/>
      <protection hidden="1"/>
    </xf>
    <xf numFmtId="0" fontId="10" fillId="2" borderId="24" xfId="2" applyFont="1" applyFill="1" applyBorder="1" applyAlignment="1" applyProtection="1">
      <alignment vertical="center"/>
      <protection hidden="1"/>
    </xf>
    <xf numFmtId="0" fontId="10" fillId="2" borderId="57" xfId="1" applyFont="1" applyFill="1" applyBorder="1" applyAlignment="1" applyProtection="1">
      <alignment horizontal="right" vertical="center"/>
      <protection hidden="1"/>
    </xf>
    <xf numFmtId="177"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vertical="center"/>
      <protection hidden="1"/>
    </xf>
    <xf numFmtId="0" fontId="10" fillId="2" borderId="26" xfId="2" applyFont="1" applyFill="1" applyBorder="1" applyAlignment="1" applyProtection="1">
      <alignment vertical="center"/>
      <protection hidden="1"/>
    </xf>
    <xf numFmtId="0" fontId="10" fillId="4" borderId="8" xfId="1" applyFont="1" applyFill="1" applyBorder="1" applyAlignment="1" applyProtection="1">
      <alignment vertical="center"/>
      <protection hidden="1"/>
    </xf>
    <xf numFmtId="0" fontId="10" fillId="4" borderId="23" xfId="2" applyFont="1" applyFill="1" applyBorder="1" applyAlignment="1" applyProtection="1">
      <alignment horizontal="left" vertical="center" wrapText="1"/>
      <protection hidden="1"/>
    </xf>
    <xf numFmtId="176" fontId="10" fillId="2" borderId="5" xfId="1" applyNumberFormat="1" applyFont="1" applyFill="1" applyBorder="1" applyAlignment="1" applyProtection="1">
      <alignment horizontal="center" vertical="center"/>
      <protection hidden="1"/>
    </xf>
    <xf numFmtId="0" fontId="10" fillId="2" borderId="41" xfId="2" applyFont="1" applyFill="1" applyBorder="1" applyAlignment="1" applyProtection="1">
      <alignment horizontal="left" vertical="center"/>
      <protection hidden="1"/>
    </xf>
    <xf numFmtId="0" fontId="10" fillId="2" borderId="42" xfId="2" applyFont="1" applyFill="1" applyBorder="1" applyAlignment="1" applyProtection="1">
      <alignment horizontal="left" vertical="center"/>
      <protection hidden="1"/>
    </xf>
    <xf numFmtId="176"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1" fontId="10" fillId="2" borderId="28" xfId="1" applyNumberFormat="1" applyFont="1" applyFill="1" applyBorder="1" applyAlignment="1" applyProtection="1">
      <alignment horizontal="center" vertical="center"/>
      <protection hidden="1"/>
    </xf>
    <xf numFmtId="0" fontId="10" fillId="2" borderId="5" xfId="1" applyNumberFormat="1" applyFont="1" applyFill="1" applyBorder="1" applyAlignment="1" applyProtection="1">
      <alignment horizontal="center" vertical="center"/>
      <protection hidden="1"/>
    </xf>
    <xf numFmtId="176" fontId="10" fillId="2" borderId="0" xfId="1" applyNumberFormat="1" applyFont="1" applyFill="1" applyBorder="1" applyAlignment="1" applyProtection="1">
      <alignment horizontal="center" vertical="center"/>
      <protection hidden="1"/>
    </xf>
    <xf numFmtId="0" fontId="10" fillId="2" borderId="0" xfId="2" applyFont="1" applyFill="1" applyBorder="1" applyAlignment="1" applyProtection="1">
      <alignment horizontal="left" vertical="center"/>
      <protection hidden="1"/>
    </xf>
    <xf numFmtId="177" fontId="10" fillId="2" borderId="5" xfId="1" applyNumberFormat="1" applyFont="1" applyFill="1" applyBorder="1" applyAlignment="1" applyProtection="1">
      <alignment horizontal="center" vertical="center"/>
      <protection hidden="1"/>
    </xf>
    <xf numFmtId="0" fontId="10" fillId="2" borderId="4" xfId="2" applyFont="1" applyFill="1" applyBorder="1" applyAlignment="1" applyProtection="1">
      <alignment horizontal="left" vertical="center"/>
      <protection hidden="1"/>
    </xf>
    <xf numFmtId="0" fontId="101" fillId="0" borderId="0" xfId="0" applyFont="1" applyProtection="1">
      <alignment vertical="center"/>
      <protection hidden="1"/>
    </xf>
    <xf numFmtId="2" fontId="10" fillId="2" borderId="5" xfId="1" applyNumberFormat="1" applyFont="1" applyFill="1" applyBorder="1" applyAlignment="1" applyProtection="1">
      <alignment horizontal="center" vertical="center"/>
      <protection hidden="1"/>
    </xf>
    <xf numFmtId="176" fontId="10" fillId="2" borderId="30" xfId="1" applyNumberFormat="1" applyFont="1" applyFill="1" applyBorder="1" applyAlignment="1" applyProtection="1">
      <alignment horizontal="center"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1" fontId="10" fillId="2" borderId="30" xfId="1" applyNumberFormat="1" applyFont="1" applyFill="1" applyBorder="1" applyAlignment="1" applyProtection="1">
      <alignment horizontal="center" vertical="center"/>
      <protection hidden="1"/>
    </xf>
    <xf numFmtId="0" fontId="10" fillId="2" borderId="23" xfId="1" applyFont="1" applyFill="1" applyBorder="1" applyAlignment="1" applyProtection="1">
      <alignment horizontal="right" vertical="center"/>
      <protection hidden="1"/>
    </xf>
    <xf numFmtId="0" fontId="10" fillId="2" borderId="43" xfId="2" applyFont="1" applyFill="1" applyBorder="1" applyAlignment="1" applyProtection="1">
      <alignment horizontal="left" vertical="center"/>
      <protection hidden="1"/>
    </xf>
    <xf numFmtId="0" fontId="10" fillId="2" borderId="14" xfId="2" applyFont="1" applyFill="1" applyBorder="1" applyAlignment="1" applyProtection="1">
      <alignment horizontal="left" vertical="center"/>
      <protection hidden="1"/>
    </xf>
    <xf numFmtId="0" fontId="10" fillId="2" borderId="21" xfId="2" applyFont="1" applyFill="1" applyBorder="1" applyAlignment="1" applyProtection="1">
      <alignment horizontal="left" vertical="center"/>
      <protection hidden="1"/>
    </xf>
    <xf numFmtId="0" fontId="10" fillId="2" borderId="24" xfId="2" applyFont="1" applyFill="1" applyBorder="1" applyAlignment="1" applyProtection="1">
      <alignment horizontal="left" vertical="center"/>
      <protection hidden="1"/>
    </xf>
    <xf numFmtId="0" fontId="10" fillId="4" borderId="21" xfId="2"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wrapText="1"/>
      <protection hidden="1"/>
    </xf>
    <xf numFmtId="0" fontId="10" fillId="4" borderId="22" xfId="1" applyFont="1" applyFill="1" applyBorder="1" applyAlignment="1" applyProtection="1">
      <alignment horizontal="left" vertical="center"/>
      <protection hidden="1"/>
    </xf>
    <xf numFmtId="0" fontId="10" fillId="4" borderId="19" xfId="2" applyFont="1" applyFill="1" applyBorder="1" applyAlignment="1" applyProtection="1">
      <alignment horizontal="left" vertical="center"/>
      <protection hidden="1"/>
    </xf>
    <xf numFmtId="0" fontId="10" fillId="4" borderId="24" xfId="2" applyFont="1" applyFill="1" applyBorder="1" applyAlignment="1" applyProtection="1">
      <alignment horizontal="left" vertical="center"/>
      <protection hidden="1"/>
    </xf>
    <xf numFmtId="177" fontId="10" fillId="2" borderId="30" xfId="1" applyNumberFormat="1" applyFont="1" applyFill="1" applyBorder="1" applyAlignment="1" applyProtection="1">
      <alignment horizontal="center" vertical="center"/>
      <protection hidden="1"/>
    </xf>
    <xf numFmtId="0" fontId="10" fillId="2" borderId="9" xfId="2" applyFont="1" applyFill="1" applyBorder="1" applyAlignment="1" applyProtection="1">
      <alignment horizontal="left" vertical="center" wrapText="1"/>
      <protection hidden="1"/>
    </xf>
    <xf numFmtId="0" fontId="10" fillId="2" borderId="42" xfId="1" applyFont="1" applyFill="1" applyBorder="1" applyAlignment="1" applyProtection="1">
      <alignment horizontal="left" vertical="center"/>
      <protection hidden="1"/>
    </xf>
    <xf numFmtId="0" fontId="10" fillId="4" borderId="10" xfId="1" applyFont="1" applyFill="1" applyBorder="1" applyAlignment="1" applyProtection="1">
      <alignment vertical="center" wrapText="1"/>
      <protection hidden="1"/>
    </xf>
    <xf numFmtId="0" fontId="10" fillId="4" borderId="22" xfId="2" applyFont="1" applyFill="1" applyBorder="1" applyAlignment="1" applyProtection="1">
      <alignment horizontal="left" vertical="center"/>
      <protection hidden="1"/>
    </xf>
    <xf numFmtId="0" fontId="15" fillId="3" borderId="50" xfId="1" applyFont="1" applyFill="1" applyBorder="1" applyAlignment="1" applyProtection="1">
      <alignment horizontal="left" vertical="center"/>
      <protection hidden="1"/>
    </xf>
    <xf numFmtId="0" fontId="15" fillId="2" borderId="19" xfId="1" applyFont="1" applyFill="1" applyBorder="1" applyAlignment="1" applyProtection="1">
      <alignment horizontal="right" vertical="center"/>
      <protection hidden="1"/>
    </xf>
    <xf numFmtId="0" fontId="15" fillId="2" borderId="49" xfId="1" applyFont="1" applyFill="1" applyBorder="1" applyAlignment="1" applyProtection="1">
      <alignment horizontal="center" vertical="center"/>
      <protection hidden="1"/>
    </xf>
    <xf numFmtId="0" fontId="15" fillId="2" borderId="49" xfId="1" applyFont="1" applyFill="1" applyBorder="1" applyAlignment="1" applyProtection="1">
      <alignment horizontal="left" vertical="center"/>
      <protection hidden="1"/>
    </xf>
    <xf numFmtId="0" fontId="15" fillId="2" borderId="42" xfId="1" applyFont="1" applyFill="1" applyBorder="1" applyAlignment="1" applyProtection="1">
      <alignment horizontal="left" vertical="center"/>
      <protection hidden="1"/>
    </xf>
    <xf numFmtId="0" fontId="15" fillId="3" borderId="8" xfId="1" applyFont="1" applyFill="1" applyBorder="1" applyAlignment="1" applyProtection="1">
      <alignment vertical="center" wrapText="1"/>
      <protection hidden="1"/>
    </xf>
    <xf numFmtId="0" fontId="74" fillId="2" borderId="5" xfId="1" applyFont="1" applyFill="1" applyBorder="1" applyAlignment="1" applyProtection="1">
      <alignment horizontal="right" vertical="center"/>
      <protection hidden="1"/>
    </xf>
    <xf numFmtId="176" fontId="74" fillId="2" borderId="5"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wrapText="1"/>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1" fontId="10" fillId="4" borderId="28" xfId="1" applyNumberFormat="1" applyFont="1" applyFill="1" applyBorder="1" applyAlignment="1" applyProtection="1">
      <alignment horizontal="center" vertical="center"/>
      <protection locked="0"/>
    </xf>
    <xf numFmtId="0" fontId="39" fillId="0" borderId="0" xfId="0" applyFont="1" applyAlignment="1" applyProtection="1">
      <alignment vertical="center" wrapText="1"/>
    </xf>
    <xf numFmtId="0" fontId="48" fillId="0" borderId="0" xfId="0" applyFont="1" applyProtection="1">
      <alignment vertical="center"/>
    </xf>
    <xf numFmtId="0" fontId="92" fillId="0" borderId="0" xfId="0" applyFont="1" applyFill="1" applyAlignment="1" applyProtection="1">
      <alignment horizontal="center" vertical="center" wrapText="1"/>
    </xf>
    <xf numFmtId="0" fontId="23" fillId="2" borderId="10" xfId="3" applyFont="1" applyFill="1" applyBorder="1" applyAlignment="1" applyProtection="1">
      <alignment vertical="center"/>
    </xf>
    <xf numFmtId="0" fontId="32" fillId="2" borderId="47" xfId="3" applyFont="1" applyFill="1" applyBorder="1" applyAlignment="1" applyProtection="1">
      <alignment vertical="center"/>
    </xf>
    <xf numFmtId="176" fontId="32" fillId="2" borderId="38" xfId="3" applyNumberFormat="1" applyFont="1" applyFill="1" applyBorder="1" applyAlignment="1" applyProtection="1">
      <alignment vertical="center"/>
    </xf>
    <xf numFmtId="0" fontId="32" fillId="2" borderId="38" xfId="3" applyFont="1" applyFill="1" applyBorder="1" applyAlignment="1" applyProtection="1">
      <alignment vertical="center"/>
    </xf>
    <xf numFmtId="0" fontId="32" fillId="2" borderId="39" xfId="3" applyFont="1" applyFill="1" applyBorder="1" applyAlignment="1" applyProtection="1">
      <alignment vertical="center"/>
    </xf>
    <xf numFmtId="0" fontId="32" fillId="2" borderId="19" xfId="3" applyFont="1" applyFill="1" applyBorder="1" applyAlignment="1" applyProtection="1">
      <alignment vertical="center"/>
    </xf>
    <xf numFmtId="176" fontId="32" fillId="2" borderId="20" xfId="3" applyNumberFormat="1" applyFont="1" applyFill="1" applyBorder="1" applyAlignment="1" applyProtection="1">
      <alignment vertical="center"/>
    </xf>
    <xf numFmtId="0" fontId="33" fillId="2" borderId="4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2" fillId="2" borderId="7" xfId="3" applyNumberFormat="1" applyFont="1" applyFill="1" applyBorder="1" applyAlignment="1" applyProtection="1">
      <alignment vertical="center"/>
    </xf>
    <xf numFmtId="0" fontId="32" fillId="2" borderId="7" xfId="3" applyFont="1" applyFill="1" applyBorder="1" applyAlignment="1" applyProtection="1">
      <alignment horizontal="left" vertical="center"/>
    </xf>
    <xf numFmtId="0" fontId="32" fillId="2" borderId="47" xfId="3" applyFont="1" applyFill="1" applyBorder="1" applyAlignment="1" applyProtection="1">
      <alignment horizontal="left" vertical="center"/>
    </xf>
    <xf numFmtId="0" fontId="32" fillId="2" borderId="20" xfId="3" applyFont="1" applyFill="1" applyBorder="1" applyAlignment="1" applyProtection="1">
      <alignment vertical="center"/>
    </xf>
    <xf numFmtId="0" fontId="32" fillId="2" borderId="23" xfId="3" applyFont="1" applyFill="1" applyBorder="1" applyAlignment="1" applyProtection="1">
      <alignment vertical="center"/>
    </xf>
    <xf numFmtId="0" fontId="33" fillId="0" borderId="0" xfId="0" quotePrefix="1" applyFont="1" applyProtection="1">
      <alignment vertical="center"/>
    </xf>
    <xf numFmtId="0" fontId="25" fillId="2" borderId="19" xfId="3" applyFont="1" applyFill="1" applyBorder="1" applyAlignment="1" applyProtection="1">
      <alignment vertical="center"/>
    </xf>
    <xf numFmtId="177" fontId="25" fillId="2" borderId="20" xfId="3" applyNumberFormat="1" applyFont="1" applyFill="1" applyBorder="1" applyAlignment="1" applyProtection="1">
      <alignment vertical="center"/>
    </xf>
    <xf numFmtId="0" fontId="25" fillId="2" borderId="20" xfId="3" applyFont="1" applyFill="1" applyBorder="1" applyAlignment="1" applyProtection="1">
      <alignment vertical="center"/>
    </xf>
    <xf numFmtId="0" fontId="25" fillId="2" borderId="23" xfId="3" applyFont="1" applyFill="1" applyBorder="1" applyAlignment="1" applyProtection="1">
      <alignment vertical="center"/>
    </xf>
    <xf numFmtId="2" fontId="25" fillId="2" borderId="20" xfId="3" applyNumberFormat="1" applyFont="1" applyFill="1" applyBorder="1" applyAlignment="1" applyProtection="1">
      <alignment vertical="center"/>
    </xf>
    <xf numFmtId="176" fontId="25" fillId="2" borderId="20" xfId="3" applyNumberFormat="1" applyFont="1" applyFill="1" applyBorder="1" applyAlignment="1" applyProtection="1">
      <alignment vertical="center"/>
    </xf>
    <xf numFmtId="1" fontId="25" fillId="2" borderId="20" xfId="3" applyNumberFormat="1" applyFont="1" applyFill="1" applyBorder="1" applyAlignment="1" applyProtection="1">
      <alignment vertical="center"/>
    </xf>
    <xf numFmtId="176" fontId="25" fillId="2" borderId="19" xfId="3" applyNumberFormat="1" applyFont="1" applyFill="1" applyBorder="1" applyAlignment="1" applyProtection="1">
      <alignment vertical="center"/>
    </xf>
    <xf numFmtId="0" fontId="95" fillId="0" borderId="0" xfId="0" applyFont="1" applyProtection="1">
      <alignment vertical="center"/>
      <protection hidden="1"/>
    </xf>
    <xf numFmtId="0" fontId="31" fillId="2" borderId="0" xfId="1" applyFont="1" applyFill="1" applyAlignment="1" applyProtection="1">
      <alignment horizontal="right" vertical="center" wrapText="1"/>
      <protection hidden="1"/>
    </xf>
    <xf numFmtId="0" fontId="31" fillId="2" borderId="0" xfId="1" applyFont="1" applyFill="1" applyAlignment="1" applyProtection="1">
      <alignment horizontal="center" vertical="center" wrapText="1"/>
      <protection hidden="1"/>
    </xf>
    <xf numFmtId="0" fontId="103" fillId="2" borderId="0" xfId="1" applyFont="1" applyFill="1" applyAlignment="1" applyProtection="1">
      <alignment horizontal="left" vertical="center"/>
      <protection hidden="1"/>
    </xf>
    <xf numFmtId="0" fontId="24" fillId="2" borderId="0" xfId="1" applyFont="1" applyFill="1" applyAlignment="1" applyProtection="1">
      <alignment horizontal="left" vertical="center" wrapText="1"/>
      <protection hidden="1"/>
    </xf>
    <xf numFmtId="0" fontId="8" fillId="2" borderId="0" xfId="1" applyFont="1" applyFill="1" applyAlignment="1" applyProtection="1">
      <alignment horizontal="center" vertical="center" wrapText="1"/>
      <protection hidden="1"/>
    </xf>
    <xf numFmtId="0" fontId="68" fillId="0" borderId="0" xfId="0" applyFont="1" applyProtection="1">
      <alignment vertical="center"/>
      <protection hidden="1"/>
    </xf>
    <xf numFmtId="0" fontId="104" fillId="0" borderId="0" xfId="0" applyFont="1" applyProtection="1">
      <alignment vertical="center"/>
      <protection hidden="1"/>
    </xf>
    <xf numFmtId="0" fontId="2" fillId="0" borderId="0" xfId="0" applyFont="1" applyProtection="1">
      <alignment vertical="center"/>
      <protection hidden="1"/>
    </xf>
    <xf numFmtId="0" fontId="2" fillId="0" borderId="0" xfId="0" quotePrefix="1" applyFont="1" applyProtection="1">
      <alignment vertical="center"/>
      <protection hidden="1"/>
    </xf>
    <xf numFmtId="0" fontId="67" fillId="2" borderId="0" xfId="0" applyFont="1" applyFill="1" applyAlignment="1" applyProtection="1">
      <alignment horizontal="right" vertical="center"/>
      <protection hidden="1"/>
    </xf>
    <xf numFmtId="0" fontId="81" fillId="2" borderId="0" xfId="0" applyFont="1" applyFill="1" applyAlignment="1" applyProtection="1">
      <alignment horizontal="right" vertical="center"/>
      <protection hidden="1"/>
    </xf>
    <xf numFmtId="0" fontId="81" fillId="2" borderId="0" xfId="0" applyFont="1" applyFill="1" applyAlignment="1" applyProtection="1">
      <alignment horizontal="center" vertical="center"/>
      <protection hidden="1"/>
    </xf>
    <xf numFmtId="0" fontId="81" fillId="2" borderId="0" xfId="0" applyFont="1" applyFill="1" applyProtection="1">
      <alignment vertical="center"/>
      <protection hidden="1"/>
    </xf>
    <xf numFmtId="0" fontId="44" fillId="2" borderId="0" xfId="0" applyFont="1" applyFill="1" applyProtection="1">
      <alignment vertical="center"/>
      <protection hidden="1"/>
    </xf>
    <xf numFmtId="0" fontId="10" fillId="2" borderId="45" xfId="4" applyFont="1" applyFill="1" applyBorder="1" applyAlignment="1" applyProtection="1">
      <alignment vertical="center"/>
      <protection hidden="1"/>
    </xf>
    <xf numFmtId="0" fontId="10" fillId="2" borderId="41" xfId="4" applyFont="1" applyFill="1" applyBorder="1" applyAlignment="1" applyProtection="1">
      <alignment horizontal="center" vertical="center"/>
      <protection hidden="1"/>
    </xf>
    <xf numFmtId="0" fontId="10" fillId="2" borderId="53" xfId="1" applyFont="1" applyFill="1" applyBorder="1" applyAlignment="1" applyProtection="1">
      <alignment vertical="center"/>
      <protection hidden="1"/>
    </xf>
    <xf numFmtId="0" fontId="10" fillId="2" borderId="20" xfId="1" applyFont="1" applyFill="1" applyBorder="1" applyAlignment="1" applyProtection="1">
      <alignment horizontal="left" vertical="center"/>
      <protection hidden="1"/>
    </xf>
    <xf numFmtId="0" fontId="87" fillId="0" borderId="23" xfId="0" applyFont="1" applyBorder="1" applyAlignment="1" applyProtection="1">
      <alignment horizontal="left" vertical="center"/>
      <protection hidden="1"/>
    </xf>
    <xf numFmtId="0" fontId="87" fillId="0" borderId="14" xfId="0" applyFont="1" applyBorder="1" applyProtection="1">
      <alignment vertical="center"/>
      <protection hidden="1"/>
    </xf>
    <xf numFmtId="0" fontId="10" fillId="2" borderId="53" xfId="1" applyFont="1" applyFill="1" applyBorder="1" applyAlignment="1" applyProtection="1">
      <alignment vertical="center" wrapText="1"/>
      <protection hidden="1"/>
    </xf>
    <xf numFmtId="0" fontId="10" fillId="2" borderId="5" xfId="1" applyFont="1" applyFill="1" applyBorder="1" applyAlignment="1" applyProtection="1">
      <alignment horizontal="right" vertical="center" wrapText="1"/>
      <protection hidden="1"/>
    </xf>
    <xf numFmtId="0" fontId="87" fillId="2" borderId="13" xfId="0" applyFont="1" applyFill="1" applyBorder="1" applyProtection="1">
      <alignment vertical="center"/>
      <protection hidden="1"/>
    </xf>
    <xf numFmtId="0" fontId="87" fillId="2" borderId="0" xfId="0" applyFont="1" applyFill="1" applyBorder="1" applyAlignment="1" applyProtection="1">
      <alignment horizontal="right" vertical="center"/>
      <protection hidden="1"/>
    </xf>
    <xf numFmtId="0" fontId="87" fillId="2" borderId="0" xfId="0" applyFont="1" applyFill="1" applyBorder="1" applyProtection="1">
      <alignment vertical="center"/>
      <protection hidden="1"/>
    </xf>
    <xf numFmtId="0" fontId="87" fillId="2" borderId="14" xfId="0" applyFont="1" applyFill="1" applyBorder="1" applyProtection="1">
      <alignment vertical="center"/>
      <protection hidden="1"/>
    </xf>
    <xf numFmtId="0" fontId="10" fillId="2" borderId="54" xfId="1" applyFont="1" applyFill="1" applyBorder="1" applyAlignment="1" applyProtection="1">
      <alignment vertical="center"/>
      <protection hidden="1"/>
    </xf>
    <xf numFmtId="0" fontId="10" fillId="0" borderId="53" xfId="1" applyFont="1" applyBorder="1" applyAlignment="1" applyProtection="1">
      <alignment vertical="center"/>
      <protection hidden="1"/>
    </xf>
    <xf numFmtId="0" fontId="10" fillId="0" borderId="5" xfId="1" applyFont="1" applyBorder="1" applyAlignment="1" applyProtection="1">
      <alignment horizontal="right" vertical="center"/>
      <protection hidden="1"/>
    </xf>
    <xf numFmtId="0" fontId="10" fillId="2" borderId="20" xfId="1" applyFont="1" applyFill="1" applyBorder="1" applyAlignment="1" applyProtection="1">
      <alignment vertical="center"/>
      <protection hidden="1"/>
    </xf>
    <xf numFmtId="0" fontId="10" fillId="2" borderId="41" xfId="1" applyFont="1" applyFill="1" applyBorder="1" applyAlignment="1" applyProtection="1">
      <alignment vertical="center"/>
      <protection hidden="1"/>
    </xf>
    <xf numFmtId="0" fontId="10" fillId="2" borderId="55" xfId="1" applyFont="1" applyFill="1" applyBorder="1" applyAlignment="1" applyProtection="1">
      <alignment vertical="center"/>
      <protection hidden="1"/>
    </xf>
    <xf numFmtId="0" fontId="10" fillId="2" borderId="21" xfId="1" applyFont="1" applyFill="1" applyBorder="1" applyAlignment="1" applyProtection="1">
      <alignment vertical="center"/>
      <protection hidden="1"/>
    </xf>
    <xf numFmtId="0" fontId="10" fillId="2" borderId="53" xfId="1" applyFont="1" applyFill="1" applyBorder="1" applyAlignment="1" applyProtection="1">
      <alignment horizontal="left" vertical="center"/>
      <protection hidden="1"/>
    </xf>
    <xf numFmtId="0" fontId="87" fillId="0" borderId="19" xfId="0" applyFont="1" applyBorder="1" applyProtection="1">
      <alignment vertical="center"/>
      <protection hidden="1"/>
    </xf>
    <xf numFmtId="0" fontId="10" fillId="2" borderId="19" xfId="1" quotePrefix="1" applyFont="1" applyFill="1" applyBorder="1" applyAlignment="1" applyProtection="1">
      <alignment vertical="center"/>
      <protection hidden="1"/>
    </xf>
    <xf numFmtId="0" fontId="16" fillId="2" borderId="8" xfId="1" applyFont="1" applyFill="1" applyBorder="1" applyAlignment="1" applyProtection="1">
      <alignment vertical="center"/>
      <protection hidden="1"/>
    </xf>
    <xf numFmtId="0" fontId="16" fillId="2" borderId="20" xfId="1" applyFont="1" applyFill="1" applyBorder="1" applyAlignment="1" applyProtection="1">
      <alignment horizontal="right" vertical="center"/>
      <protection hidden="1"/>
    </xf>
    <xf numFmtId="0" fontId="10" fillId="0" borderId="19" xfId="1" applyFont="1" applyFill="1" applyBorder="1" applyAlignment="1" applyProtection="1">
      <alignment horizontal="center" vertical="center"/>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62" fillId="0" borderId="0" xfId="0" applyFont="1" applyProtection="1">
      <alignment vertical="center"/>
      <protection hidden="1"/>
    </xf>
    <xf numFmtId="0" fontId="10" fillId="2" borderId="27" xfId="1" applyFont="1" applyFill="1" applyBorder="1" applyAlignment="1" applyProtection="1">
      <alignment horizontal="right" vertical="center"/>
      <protection hidden="1"/>
    </xf>
    <xf numFmtId="0" fontId="10" fillId="2" borderId="6" xfId="1" applyFont="1" applyFill="1" applyBorder="1" applyAlignment="1" applyProtection="1">
      <alignment vertical="center"/>
      <protection hidden="1"/>
    </xf>
    <xf numFmtId="0" fontId="10" fillId="2" borderId="24" xfId="1" applyFont="1" applyFill="1" applyBorder="1" applyAlignment="1" applyProtection="1">
      <alignment vertical="center"/>
      <protection hidden="1"/>
    </xf>
    <xf numFmtId="1" fontId="10" fillId="2" borderId="19" xfId="1" applyNumberFormat="1" applyFont="1" applyFill="1" applyBorder="1" applyAlignment="1" applyProtection="1">
      <alignment horizontal="center" vertical="center"/>
      <protection hidden="1"/>
    </xf>
    <xf numFmtId="0" fontId="16" fillId="2" borderId="8" xfId="1" applyFont="1" applyFill="1" applyBorder="1" applyAlignment="1" applyProtection="1">
      <alignment vertical="center" wrapText="1"/>
      <protection hidden="1"/>
    </xf>
    <xf numFmtId="0" fontId="16" fillId="2" borderId="20" xfId="1" applyFont="1" applyFill="1" applyBorder="1" applyAlignment="1" applyProtection="1">
      <alignment horizontal="right" vertical="center" wrapText="1"/>
      <protection hidden="1"/>
    </xf>
    <xf numFmtId="0" fontId="10" fillId="2" borderId="14" xfId="1" applyFont="1" applyFill="1" applyBorder="1" applyAlignment="1" applyProtection="1">
      <alignment vertical="center"/>
      <protection hidden="1"/>
    </xf>
    <xf numFmtId="1" fontId="10" fillId="2" borderId="22" xfId="1" applyNumberFormat="1" applyFont="1" applyFill="1" applyBorder="1" applyAlignment="1" applyProtection="1">
      <alignment horizontal="center" vertical="center"/>
      <protection hidden="1"/>
    </xf>
    <xf numFmtId="0" fontId="16" fillId="2" borderId="25" xfId="1" applyFont="1" applyFill="1" applyBorder="1" applyAlignment="1" applyProtection="1">
      <alignment horizontal="left" vertical="center"/>
      <protection hidden="1"/>
    </xf>
    <xf numFmtId="0" fontId="16" fillId="2" borderId="26" xfId="1" applyFont="1" applyFill="1" applyBorder="1" applyAlignment="1" applyProtection="1">
      <alignment horizontal="left" vertical="center"/>
      <protection hidden="1"/>
    </xf>
    <xf numFmtId="0" fontId="10" fillId="2" borderId="0" xfId="1" applyFont="1" applyFill="1" applyBorder="1" applyAlignment="1" applyProtection="1">
      <alignment vertical="center" wrapText="1"/>
      <protection hidden="1"/>
    </xf>
    <xf numFmtId="0" fontId="10" fillId="2" borderId="0" xfId="1" applyFont="1" applyFill="1" applyBorder="1" applyAlignment="1" applyProtection="1">
      <alignment horizontal="left" vertical="center"/>
      <protection hidden="1"/>
    </xf>
    <xf numFmtId="0" fontId="10" fillId="2" borderId="50" xfId="1" applyFont="1" applyFill="1" applyBorder="1" applyAlignment="1" applyProtection="1">
      <alignment horizontal="left" vertical="center"/>
      <protection hidden="1"/>
    </xf>
    <xf numFmtId="0" fontId="10" fillId="2" borderId="8" xfId="1" applyFont="1" applyFill="1" applyBorder="1" applyAlignment="1" applyProtection="1">
      <alignment horizontal="left" vertical="center"/>
      <protection hidden="1"/>
    </xf>
    <xf numFmtId="0" fontId="10" fillId="2" borderId="54" xfId="1" applyFont="1" applyFill="1" applyBorder="1" applyAlignment="1" applyProtection="1">
      <alignment vertical="center" wrapText="1"/>
      <protection hidden="1"/>
    </xf>
    <xf numFmtId="0" fontId="10" fillId="0" borderId="22" xfId="1" applyFont="1" applyFill="1" applyBorder="1" applyAlignment="1" applyProtection="1">
      <alignment horizontal="center" vertical="center"/>
      <protection hidden="1"/>
    </xf>
    <xf numFmtId="0" fontId="10" fillId="2" borderId="25" xfId="1" applyFont="1" applyFill="1" applyBorder="1" applyAlignment="1" applyProtection="1">
      <alignment vertical="center"/>
      <protection hidden="1"/>
    </xf>
    <xf numFmtId="0" fontId="16" fillId="2" borderId="23" xfId="1" applyFont="1" applyFill="1" applyBorder="1" applyAlignment="1" applyProtection="1">
      <alignment horizontal="left" vertical="center"/>
      <protection hidden="1"/>
    </xf>
    <xf numFmtId="0" fontId="102" fillId="0" borderId="0" xfId="0" applyFont="1" applyProtection="1">
      <alignment vertical="center"/>
      <protection hidden="1"/>
    </xf>
    <xf numFmtId="0" fontId="19" fillId="2" borderId="8" xfId="1" applyFont="1" applyFill="1" applyBorder="1" applyAlignment="1" applyProtection="1">
      <alignment horizontal="left" vertical="center"/>
      <protection hidden="1"/>
    </xf>
    <xf numFmtId="0" fontId="19" fillId="2" borderId="53" xfId="1" applyFont="1" applyFill="1" applyBorder="1" applyAlignment="1" applyProtection="1">
      <alignment vertical="center"/>
      <protection hidden="1"/>
    </xf>
    <xf numFmtId="0" fontId="19" fillId="2" borderId="19" xfId="1" applyFont="1" applyFill="1" applyBorder="1" applyAlignment="1" applyProtection="1">
      <alignment vertical="center"/>
      <protection hidden="1"/>
    </xf>
    <xf numFmtId="0" fontId="19" fillId="2" borderId="55" xfId="1" applyFont="1" applyFill="1" applyBorder="1" applyAlignment="1" applyProtection="1">
      <alignment vertical="center"/>
      <protection hidden="1"/>
    </xf>
    <xf numFmtId="0" fontId="19" fillId="2" borderId="28" xfId="1" applyFont="1" applyFill="1" applyBorder="1" applyAlignment="1" applyProtection="1">
      <alignment horizontal="right" vertical="center"/>
      <protection hidden="1"/>
    </xf>
    <xf numFmtId="0" fontId="19" fillId="2" borderId="54" xfId="1" applyFont="1" applyFill="1" applyBorder="1" applyAlignment="1" applyProtection="1">
      <alignment vertical="center"/>
      <protection hidden="1"/>
    </xf>
    <xf numFmtId="0" fontId="19" fillId="2" borderId="11" xfId="1" applyFont="1" applyFill="1" applyBorder="1" applyAlignment="1" applyProtection="1">
      <alignment horizontal="right" vertical="center"/>
      <protection hidden="1"/>
    </xf>
    <xf numFmtId="0" fontId="19" fillId="2" borderId="22" xfId="1" applyFont="1" applyFill="1" applyBorder="1" applyAlignment="1" applyProtection="1">
      <alignment vertical="center"/>
      <protection hidden="1"/>
    </xf>
    <xf numFmtId="0" fontId="10" fillId="2" borderId="6" xfId="1" applyFont="1" applyFill="1" applyBorder="1" applyAlignment="1" applyProtection="1">
      <alignment horizontal="left" vertical="center" wrapText="1"/>
      <protection hidden="1"/>
    </xf>
    <xf numFmtId="0" fontId="10" fillId="2" borderId="24" xfId="1" applyFont="1" applyFill="1" applyBorder="1" applyAlignment="1" applyProtection="1">
      <alignment horizontal="left" vertical="center" wrapText="1"/>
      <protection hidden="1"/>
    </xf>
    <xf numFmtId="0" fontId="10" fillId="2" borderId="49" xfId="1" applyFont="1" applyFill="1" applyBorder="1" applyAlignment="1" applyProtection="1">
      <alignment vertical="center"/>
      <protection hidden="1"/>
    </xf>
    <xf numFmtId="0" fontId="10" fillId="2" borderId="42" xfId="1" applyFont="1" applyFill="1" applyBorder="1" applyAlignment="1" applyProtection="1">
      <alignment vertical="center"/>
      <protection hidden="1"/>
    </xf>
    <xf numFmtId="0" fontId="10" fillId="0" borderId="19" xfId="0" applyFont="1" applyBorder="1" applyAlignment="1" applyProtection="1">
      <alignment horizontal="left" vertical="center"/>
      <protection hidden="1"/>
    </xf>
    <xf numFmtId="0" fontId="10" fillId="4" borderId="19" xfId="1" applyFont="1" applyFill="1" applyBorder="1" applyAlignment="1" applyProtection="1">
      <alignment horizontal="center" vertical="center"/>
      <protection locked="0"/>
    </xf>
    <xf numFmtId="0" fontId="10" fillId="4" borderId="27" xfId="1" applyFont="1" applyFill="1" applyBorder="1" applyAlignment="1" applyProtection="1">
      <alignment horizontal="center" vertical="center"/>
      <protection locked="0"/>
    </xf>
    <xf numFmtId="0" fontId="19" fillId="4" borderId="19" xfId="1" applyFont="1" applyFill="1" applyBorder="1" applyAlignment="1" applyProtection="1">
      <alignment horizontal="center" vertical="center"/>
      <protection locked="0"/>
    </xf>
    <xf numFmtId="0" fontId="19" fillId="4" borderId="27" xfId="1" applyFont="1" applyFill="1" applyBorder="1" applyAlignment="1" applyProtection="1">
      <alignment horizontal="center" vertical="center"/>
      <protection locked="0"/>
    </xf>
    <xf numFmtId="0" fontId="10" fillId="2" borderId="20" xfId="1" applyFont="1" applyFill="1" applyBorder="1" applyAlignment="1" applyProtection="1">
      <alignment horizontal="left" vertical="center"/>
      <protection hidden="1"/>
    </xf>
    <xf numFmtId="0" fontId="10" fillId="2" borderId="23" xfId="1" applyFont="1" applyFill="1" applyBorder="1" applyAlignment="1" applyProtection="1">
      <alignment horizontal="left" vertical="center"/>
      <protection hidden="1"/>
    </xf>
    <xf numFmtId="0" fontId="19" fillId="2" borderId="40" xfId="1" applyFont="1" applyFill="1" applyBorder="1" applyAlignment="1" applyProtection="1">
      <alignment horizontal="left" vertical="center" wrapText="1"/>
      <protection hidden="1"/>
    </xf>
    <xf numFmtId="0" fontId="31" fillId="2" borderId="12" xfId="1" applyFont="1" applyFill="1" applyBorder="1" applyAlignment="1" applyProtection="1">
      <alignment horizontal="left" vertical="center" wrapText="1"/>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19" fillId="2" borderId="20" xfId="1" applyFont="1" applyFill="1" applyBorder="1" applyAlignment="1" applyProtection="1">
      <alignment horizontal="center" vertical="center"/>
      <protection hidden="1"/>
    </xf>
    <xf numFmtId="0" fontId="19" fillId="2" borderId="23" xfId="1" applyFont="1" applyFill="1" applyBorder="1" applyAlignment="1" applyProtection="1">
      <alignment horizontal="center" vertical="center"/>
      <protection hidden="1"/>
    </xf>
    <xf numFmtId="0" fontId="10" fillId="2" borderId="20" xfId="1" applyFont="1" applyFill="1" applyBorder="1" applyAlignment="1" applyProtection="1">
      <alignment horizontal="center" vertical="center"/>
      <protection hidden="1"/>
    </xf>
    <xf numFmtId="0" fontId="10" fillId="2" borderId="23" xfId="1" applyFont="1" applyFill="1" applyBorder="1" applyAlignment="1" applyProtection="1">
      <alignment horizontal="center" vertical="center"/>
      <protection hidden="1"/>
    </xf>
    <xf numFmtId="0" fontId="10" fillId="2" borderId="5" xfId="1" applyFont="1" applyFill="1" applyBorder="1" applyAlignment="1" applyProtection="1">
      <alignment horizontal="left" vertical="center"/>
      <protection hidden="1"/>
    </xf>
    <xf numFmtId="0" fontId="10" fillId="2" borderId="9" xfId="1" applyFont="1" applyFill="1" applyBorder="1" applyAlignment="1" applyProtection="1">
      <alignment horizontal="left" vertical="center"/>
      <protection hidden="1"/>
    </xf>
    <xf numFmtId="0" fontId="10" fillId="2" borderId="29"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20" fillId="3" borderId="37" xfId="1" applyFont="1" applyFill="1" applyBorder="1" applyAlignment="1" applyProtection="1">
      <alignment horizontal="left" vertical="center"/>
      <protection hidden="1"/>
    </xf>
    <xf numFmtId="0" fontId="20" fillId="3" borderId="38" xfId="1" applyFont="1" applyFill="1" applyBorder="1" applyAlignment="1" applyProtection="1">
      <alignment horizontal="left" vertical="center"/>
      <protection hidden="1"/>
    </xf>
    <xf numFmtId="0" fontId="20" fillId="3" borderId="39" xfId="1" applyFont="1" applyFill="1" applyBorder="1" applyAlignment="1" applyProtection="1">
      <alignment horizontal="left" vertical="center"/>
      <protection hidden="1"/>
    </xf>
    <xf numFmtId="0" fontId="29" fillId="2" borderId="27" xfId="1" applyFont="1" applyFill="1" applyBorder="1" applyAlignment="1" applyProtection="1">
      <alignment horizontal="left" vertical="center" wrapText="1"/>
      <protection hidden="1"/>
    </xf>
    <xf numFmtId="0" fontId="56" fillId="2" borderId="9" xfId="1" applyFont="1" applyFill="1" applyBorder="1" applyAlignment="1" applyProtection="1">
      <alignment horizontal="left" vertical="center" wrapText="1"/>
      <protection hidden="1"/>
    </xf>
    <xf numFmtId="0" fontId="56" fillId="2" borderId="27" xfId="1" applyFont="1" applyFill="1" applyBorder="1" applyAlignment="1" applyProtection="1">
      <alignment horizontal="left" vertical="center" wrapText="1"/>
      <protection hidden="1"/>
    </xf>
    <xf numFmtId="0" fontId="19" fillId="2" borderId="5" xfId="1" applyFont="1" applyFill="1" applyBorder="1" applyAlignment="1" applyProtection="1">
      <alignment horizontal="left" vertical="center"/>
      <protection hidden="1"/>
    </xf>
    <xf numFmtId="0" fontId="19" fillId="2" borderId="9" xfId="1" applyFont="1" applyFill="1" applyBorder="1" applyAlignment="1" applyProtection="1">
      <alignment horizontal="left" vertical="center"/>
      <protection hidden="1"/>
    </xf>
    <xf numFmtId="0" fontId="19" fillId="2" borderId="27" xfId="1" applyFont="1" applyFill="1" applyBorder="1" applyAlignment="1" applyProtection="1">
      <alignment horizontal="left" vertical="center" wrapText="1"/>
      <protection hidden="1"/>
    </xf>
    <xf numFmtId="0" fontId="31" fillId="2" borderId="9" xfId="1" applyFont="1" applyFill="1" applyBorder="1" applyAlignment="1" applyProtection="1">
      <alignment horizontal="left" vertical="center" wrapText="1"/>
      <protection hidden="1"/>
    </xf>
    <xf numFmtId="0" fontId="10" fillId="2" borderId="20" xfId="1" quotePrefix="1" applyFont="1" applyFill="1" applyBorder="1" applyAlignment="1" applyProtection="1">
      <alignment horizontal="left" vertical="center"/>
      <protection hidden="1"/>
    </xf>
    <xf numFmtId="0" fontId="10" fillId="2" borderId="27" xfId="1" applyFont="1" applyFill="1" applyBorder="1" applyAlignment="1" applyProtection="1">
      <alignment horizontal="left" vertical="center" wrapText="1"/>
      <protection hidden="1"/>
    </xf>
    <xf numFmtId="0" fontId="10" fillId="2" borderId="9" xfId="1" applyFont="1" applyFill="1" applyBorder="1" applyAlignment="1" applyProtection="1">
      <alignment horizontal="left" vertical="center" wrapText="1"/>
      <protection hidden="1"/>
    </xf>
    <xf numFmtId="0" fontId="10" fillId="2" borderId="25" xfId="1" applyFont="1" applyFill="1" applyBorder="1" applyAlignment="1" applyProtection="1">
      <alignment horizontal="left" vertical="center" wrapText="1"/>
      <protection hidden="1"/>
    </xf>
    <xf numFmtId="0" fontId="98" fillId="2" borderId="26" xfId="1" applyFont="1" applyFill="1" applyBorder="1" applyAlignment="1" applyProtection="1">
      <alignment horizontal="left" vertical="center" wrapText="1"/>
      <protection hidden="1"/>
    </xf>
    <xf numFmtId="0" fontId="10" fillId="2" borderId="51" xfId="1" applyFont="1" applyFill="1" applyBorder="1" applyAlignment="1" applyProtection="1">
      <alignment horizontal="left" vertical="center" wrapText="1"/>
      <protection hidden="1"/>
    </xf>
    <xf numFmtId="0" fontId="10" fillId="2" borderId="35" xfId="1" applyFont="1" applyFill="1" applyBorder="1" applyAlignment="1" applyProtection="1">
      <alignment horizontal="left" vertical="center" wrapText="1"/>
      <protection hidden="1"/>
    </xf>
    <xf numFmtId="0" fontId="10" fillId="2" borderId="6" xfId="1" applyFont="1" applyFill="1" applyBorder="1" applyAlignment="1" applyProtection="1">
      <alignment horizontal="left" vertical="center"/>
      <protection hidden="1"/>
    </xf>
    <xf numFmtId="0" fontId="10" fillId="2" borderId="24" xfId="1" applyFont="1" applyFill="1" applyBorder="1" applyAlignment="1" applyProtection="1">
      <alignment horizontal="left" vertical="center"/>
      <protection hidden="1"/>
    </xf>
    <xf numFmtId="0" fontId="20" fillId="3" borderId="32" xfId="1" applyFont="1" applyFill="1" applyBorder="1" applyAlignment="1" applyProtection="1">
      <alignment horizontal="left" vertical="center"/>
      <protection hidden="1"/>
    </xf>
    <xf numFmtId="0" fontId="20" fillId="3" borderId="46" xfId="1" applyFont="1" applyFill="1" applyBorder="1" applyAlignment="1" applyProtection="1">
      <alignment horizontal="left" vertical="center"/>
      <protection hidden="1"/>
    </xf>
    <xf numFmtId="0" fontId="20" fillId="3" borderId="33" xfId="1" applyFont="1" applyFill="1" applyBorder="1" applyAlignment="1" applyProtection="1">
      <alignment horizontal="left" vertical="center"/>
      <protection hidden="1"/>
    </xf>
    <xf numFmtId="0" fontId="20" fillId="3" borderId="34" xfId="1" applyFont="1" applyFill="1" applyBorder="1" applyAlignment="1" applyProtection="1">
      <alignment horizontal="left" vertical="center"/>
      <protection hidden="1"/>
    </xf>
    <xf numFmtId="0" fontId="23" fillId="2" borderId="3" xfId="1" applyFont="1" applyFill="1" applyBorder="1" applyAlignment="1" applyProtection="1">
      <alignment horizontal="center" vertical="center"/>
      <protection hidden="1"/>
    </xf>
    <xf numFmtId="0" fontId="23" fillId="2" borderId="15" xfId="1" applyFont="1" applyFill="1" applyBorder="1" applyAlignment="1" applyProtection="1">
      <alignment horizontal="center" vertical="center"/>
      <protection hidden="1"/>
    </xf>
    <xf numFmtId="0" fontId="23" fillId="2" borderId="4" xfId="1" applyFont="1" applyFill="1" applyBorder="1" applyAlignment="1" applyProtection="1">
      <alignment horizontal="center" vertical="center"/>
      <protection hidden="1"/>
    </xf>
    <xf numFmtId="0" fontId="19" fillId="2" borderId="16" xfId="1" applyFont="1" applyFill="1" applyBorder="1" applyAlignment="1" applyProtection="1">
      <alignment horizontal="center" vertical="center" wrapText="1"/>
      <protection hidden="1"/>
    </xf>
    <xf numFmtId="0" fontId="19" fillId="2" borderId="17" xfId="1" applyFont="1" applyFill="1" applyBorder="1" applyAlignment="1" applyProtection="1">
      <alignment horizontal="center" vertical="center" wrapText="1"/>
      <protection hidden="1"/>
    </xf>
    <xf numFmtId="0" fontId="19" fillId="2" borderId="18" xfId="1" applyFont="1" applyFill="1" applyBorder="1" applyAlignment="1" applyProtection="1">
      <alignment horizontal="center" vertical="center" wrapText="1"/>
      <protection hidden="1"/>
    </xf>
    <xf numFmtId="0" fontId="18" fillId="3" borderId="1" xfId="1" applyFont="1" applyFill="1" applyBorder="1" applyAlignment="1" applyProtection="1">
      <alignment horizontal="center" vertical="center"/>
      <protection hidden="1"/>
    </xf>
    <xf numFmtId="0" fontId="18" fillId="3" borderId="7" xfId="1" applyFont="1" applyFill="1" applyBorder="1" applyAlignment="1" applyProtection="1">
      <alignment horizontal="center" vertical="center"/>
      <protection hidden="1"/>
    </xf>
    <xf numFmtId="0" fontId="18" fillId="3" borderId="2" xfId="1" applyFont="1" applyFill="1" applyBorder="1" applyAlignment="1" applyProtection="1">
      <alignment horizontal="center" vertical="center"/>
      <protection hidden="1"/>
    </xf>
    <xf numFmtId="0" fontId="18" fillId="3" borderId="3" xfId="1" applyFont="1" applyFill="1" applyBorder="1" applyAlignment="1" applyProtection="1">
      <alignment horizontal="center" vertical="center"/>
      <protection hidden="1"/>
    </xf>
    <xf numFmtId="0" fontId="18" fillId="3" borderId="15" xfId="1" applyFont="1" applyFill="1" applyBorder="1" applyAlignment="1" applyProtection="1">
      <alignment horizontal="center" vertical="center"/>
      <protection hidden="1"/>
    </xf>
    <xf numFmtId="0" fontId="18" fillId="3" borderId="4" xfId="1" applyFont="1" applyFill="1" applyBorder="1" applyAlignment="1" applyProtection="1">
      <alignment horizontal="center" vertical="center"/>
      <protection hidden="1"/>
    </xf>
    <xf numFmtId="0" fontId="11" fillId="3" borderId="32" xfId="1" applyFont="1" applyFill="1" applyBorder="1" applyAlignment="1" applyProtection="1">
      <alignment horizontal="left" vertical="center"/>
      <protection hidden="1"/>
    </xf>
    <xf numFmtId="0" fontId="11" fillId="3" borderId="46" xfId="1" applyFont="1" applyFill="1" applyBorder="1" applyAlignment="1" applyProtection="1">
      <alignment horizontal="left" vertical="center"/>
      <protection hidden="1"/>
    </xf>
    <xf numFmtId="0" fontId="11" fillId="3" borderId="33" xfId="1" applyFont="1" applyFill="1" applyBorder="1" applyAlignment="1" applyProtection="1">
      <alignment horizontal="left" vertical="center"/>
      <protection hidden="1"/>
    </xf>
    <xf numFmtId="0" fontId="11" fillId="3" borderId="34" xfId="1" applyFont="1" applyFill="1" applyBorder="1" applyAlignment="1" applyProtection="1">
      <alignment horizontal="left" vertical="center"/>
      <protection hidden="1"/>
    </xf>
    <xf numFmtId="0" fontId="10" fillId="2" borderId="49" xfId="4" applyFont="1" applyFill="1" applyBorder="1" applyAlignment="1" applyProtection="1">
      <alignment horizontal="left" vertical="center"/>
      <protection hidden="1"/>
    </xf>
    <xf numFmtId="0" fontId="87" fillId="0" borderId="42" xfId="0" applyFont="1" applyBorder="1" applyAlignment="1" applyProtection="1">
      <alignment horizontal="left" vertical="center"/>
      <protection hidden="1"/>
    </xf>
    <xf numFmtId="0" fontId="87" fillId="0" borderId="23" xfId="0" applyFont="1" applyBorder="1" applyAlignment="1" applyProtection="1">
      <alignment horizontal="left" vertical="center"/>
      <protection hidden="1"/>
    </xf>
    <xf numFmtId="0" fontId="11" fillId="3" borderId="37" xfId="1" applyFont="1" applyFill="1" applyBorder="1" applyAlignment="1" applyProtection="1">
      <alignment horizontal="left" vertical="center"/>
      <protection hidden="1"/>
    </xf>
    <xf numFmtId="0" fontId="11" fillId="3" borderId="38" xfId="1" applyFont="1" applyFill="1" applyBorder="1" applyAlignment="1" applyProtection="1">
      <alignment horizontal="left" vertical="center"/>
      <protection hidden="1"/>
    </xf>
    <xf numFmtId="0" fontId="11" fillId="3" borderId="39" xfId="1" applyFont="1" applyFill="1" applyBorder="1" applyAlignment="1" applyProtection="1">
      <alignment horizontal="left" vertical="center"/>
      <protection hidden="1"/>
    </xf>
    <xf numFmtId="0" fontId="10" fillId="2" borderId="25" xfId="1" applyFont="1" applyFill="1" applyBorder="1" applyAlignment="1" applyProtection="1">
      <alignment horizontal="left" vertical="center"/>
      <protection hidden="1"/>
    </xf>
    <xf numFmtId="0" fontId="87" fillId="0" borderId="26" xfId="0" applyFont="1" applyBorder="1" applyAlignment="1" applyProtection="1">
      <alignment horizontal="left" vertical="center"/>
      <protection hidden="1"/>
    </xf>
    <xf numFmtId="0" fontId="8" fillId="3" borderId="0" xfId="1" applyFont="1" applyFill="1" applyAlignment="1" applyProtection="1">
      <alignment horizontal="center" vertical="center" wrapText="1"/>
      <protection hidden="1"/>
    </xf>
    <xf numFmtId="0" fontId="9" fillId="2" borderId="1" xfId="1" applyFont="1" applyFill="1" applyBorder="1" applyAlignment="1" applyProtection="1">
      <alignment horizontal="left" vertical="center"/>
      <protection hidden="1"/>
    </xf>
    <xf numFmtId="0" fontId="9" fillId="2" borderId="7" xfId="1" applyFont="1" applyFill="1" applyBorder="1" applyAlignment="1" applyProtection="1">
      <alignment horizontal="left" vertical="center"/>
      <protection hidden="1"/>
    </xf>
    <xf numFmtId="0" fontId="9" fillId="2" borderId="2" xfId="1" applyFont="1" applyFill="1" applyBorder="1" applyAlignment="1" applyProtection="1">
      <alignment horizontal="left" vertical="center"/>
      <protection hidden="1"/>
    </xf>
    <xf numFmtId="0" fontId="10" fillId="2" borderId="13"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10" fillId="2" borderId="3" xfId="1" applyFont="1" applyFill="1" applyBorder="1" applyAlignment="1" applyProtection="1">
      <alignment horizontal="center" vertical="center" wrapText="1"/>
      <protection hidden="1"/>
    </xf>
    <xf numFmtId="0" fontId="10" fillId="2" borderId="15"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7" fillId="2" borderId="1" xfId="1" applyFont="1" applyFill="1" applyBorder="1" applyAlignment="1" applyProtection="1">
      <alignment horizontal="center" vertical="center" wrapText="1"/>
      <protection hidden="1"/>
    </xf>
    <xf numFmtId="0" fontId="17" fillId="2" borderId="7" xfId="1" applyFont="1" applyFill="1" applyBorder="1" applyAlignment="1" applyProtection="1">
      <alignment horizontal="center" vertical="center" wrapText="1"/>
      <protection hidden="1"/>
    </xf>
    <xf numFmtId="0" fontId="17" fillId="2" borderId="2" xfId="1" applyFont="1" applyFill="1" applyBorder="1" applyAlignment="1" applyProtection="1">
      <alignment horizontal="center" vertical="center" wrapText="1"/>
      <protection hidden="1"/>
    </xf>
    <xf numFmtId="0" fontId="14" fillId="2" borderId="13" xfId="1" applyFont="1" applyFill="1" applyBorder="1" applyAlignment="1" applyProtection="1">
      <alignment horizontal="center" vertical="center"/>
      <protection hidden="1"/>
    </xf>
    <xf numFmtId="0" fontId="14" fillId="2" borderId="0"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protection hidden="1"/>
    </xf>
    <xf numFmtId="0" fontId="10" fillId="2" borderId="40" xfId="1" applyFont="1" applyFill="1" applyBorder="1" applyAlignment="1" applyProtection="1">
      <alignment horizontal="left" vertical="center" wrapText="1"/>
      <protection hidden="1"/>
    </xf>
    <xf numFmtId="0" fontId="16" fillId="2" borderId="12" xfId="1" applyFont="1" applyFill="1" applyBorder="1" applyAlignment="1" applyProtection="1">
      <alignment horizontal="left" vertical="center" wrapText="1"/>
      <protection hidden="1"/>
    </xf>
    <xf numFmtId="0" fontId="16" fillId="2" borderId="9" xfId="1" applyFont="1" applyFill="1" applyBorder="1" applyAlignment="1" applyProtection="1">
      <alignment horizontal="left" vertical="center" wrapText="1"/>
      <protection hidden="1"/>
    </xf>
    <xf numFmtId="0" fontId="10" fillId="4" borderId="5" xfId="1" applyFont="1" applyFill="1" applyBorder="1" applyAlignment="1" applyProtection="1">
      <alignment horizontal="center" vertical="center"/>
      <protection locked="0"/>
    </xf>
    <xf numFmtId="0" fontId="10" fillId="2" borderId="26" xfId="1" applyFont="1" applyFill="1" applyBorder="1" applyAlignment="1" applyProtection="1">
      <alignment horizontal="left" vertical="center" wrapText="1"/>
      <protection hidden="1"/>
    </xf>
    <xf numFmtId="0" fontId="29" fillId="2" borderId="40" xfId="1" applyFont="1" applyFill="1" applyBorder="1" applyAlignment="1" applyProtection="1">
      <alignment horizontal="left" vertical="center" wrapText="1"/>
      <protection hidden="1"/>
    </xf>
    <xf numFmtId="0" fontId="12" fillId="2" borderId="12" xfId="1" applyFont="1" applyFill="1" applyBorder="1" applyAlignment="1" applyProtection="1">
      <alignment horizontal="left" vertical="center" wrapText="1"/>
      <protection hidden="1"/>
    </xf>
    <xf numFmtId="0" fontId="39" fillId="2" borderId="9" xfId="1" applyFont="1" applyFill="1" applyBorder="1" applyAlignment="1" applyProtection="1">
      <alignment horizontal="left" vertical="center" wrapText="1"/>
      <protection hidden="1"/>
    </xf>
    <xf numFmtId="0" fontId="12" fillId="2" borderId="27" xfId="1" applyFont="1" applyFill="1" applyBorder="1" applyAlignment="1" applyProtection="1">
      <alignment horizontal="left" vertical="center" wrapText="1"/>
      <protection hidden="1"/>
    </xf>
    <xf numFmtId="0" fontId="12" fillId="2" borderId="9" xfId="1" applyFont="1" applyFill="1" applyBorder="1" applyAlignment="1" applyProtection="1">
      <alignment horizontal="left" vertical="center" wrapText="1"/>
      <protection hidden="1"/>
    </xf>
    <xf numFmtId="0" fontId="19" fillId="2" borderId="9" xfId="1" applyFont="1" applyFill="1" applyBorder="1" applyAlignment="1" applyProtection="1">
      <alignment horizontal="left" vertical="center" wrapText="1"/>
      <protection hidden="1"/>
    </xf>
    <xf numFmtId="0" fontId="31" fillId="3" borderId="38" xfId="1" applyFont="1" applyFill="1" applyBorder="1" applyAlignment="1" applyProtection="1">
      <alignment horizontal="left" vertical="center"/>
      <protection hidden="1"/>
    </xf>
    <xf numFmtId="0" fontId="31" fillId="3" borderId="39" xfId="1" applyFont="1" applyFill="1" applyBorder="1" applyAlignment="1" applyProtection="1">
      <alignment horizontal="left" vertical="center"/>
      <protection hidden="1"/>
    </xf>
    <xf numFmtId="0" fontId="49" fillId="2" borderId="27"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protection hidden="1"/>
    </xf>
    <xf numFmtId="0" fontId="10" fillId="2" borderId="12" xfId="1" applyFont="1" applyFill="1" applyBorder="1" applyAlignment="1" applyProtection="1">
      <alignment horizontal="left" vertical="center"/>
      <protection hidden="1"/>
    </xf>
    <xf numFmtId="0" fontId="10" fillId="2" borderId="19" xfId="1" applyFont="1" applyFill="1" applyBorder="1" applyAlignment="1" applyProtection="1">
      <alignment horizontal="center" vertical="center"/>
      <protection hidden="1"/>
    </xf>
    <xf numFmtId="0" fontId="10" fillId="2" borderId="27" xfId="1" applyFont="1" applyFill="1" applyBorder="1" applyAlignment="1" applyProtection="1">
      <alignment horizontal="center" vertical="center"/>
      <protection hidden="1"/>
    </xf>
    <xf numFmtId="0" fontId="10" fillId="2" borderId="35" xfId="2" applyFont="1" applyFill="1" applyBorder="1" applyAlignment="1" applyProtection="1">
      <alignment horizontal="center" vertical="center" wrapText="1"/>
      <protection hidden="1"/>
    </xf>
    <xf numFmtId="0" fontId="10" fillId="2" borderId="44" xfId="2" applyFont="1" applyFill="1" applyBorder="1" applyAlignment="1" applyProtection="1">
      <alignment horizontal="center" vertical="center"/>
      <protection hidden="1"/>
    </xf>
    <xf numFmtId="0" fontId="10" fillId="2" borderId="31" xfId="2" applyFont="1" applyFill="1" applyBorder="1" applyAlignment="1" applyProtection="1">
      <alignment horizontal="center"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0" fontId="25" fillId="2" borderId="19" xfId="1" applyFont="1" applyFill="1" applyBorder="1" applyAlignment="1" applyProtection="1">
      <alignment horizontal="left" vertical="center"/>
      <protection hidden="1"/>
    </xf>
    <xf numFmtId="0" fontId="25" fillId="2" borderId="23" xfId="1" applyFont="1" applyFill="1" applyBorder="1" applyAlignment="1" applyProtection="1">
      <alignment horizontal="left" vertical="center"/>
      <protection hidden="1"/>
    </xf>
    <xf numFmtId="0" fontId="25" fillId="2" borderId="21" xfId="1" applyFont="1" applyFill="1" applyBorder="1" applyAlignment="1" applyProtection="1">
      <alignment horizontal="left" vertical="center"/>
      <protection hidden="1"/>
    </xf>
    <xf numFmtId="0" fontId="25" fillId="2" borderId="24" xfId="1" applyFont="1" applyFill="1" applyBorder="1" applyAlignment="1" applyProtection="1">
      <alignment horizontal="left" vertical="center"/>
      <protection hidden="1"/>
    </xf>
    <xf numFmtId="0" fontId="15" fillId="3" borderId="32" xfId="1" applyFont="1" applyFill="1" applyBorder="1" applyAlignment="1" applyProtection="1">
      <alignment horizontal="left" vertical="center"/>
      <protection hidden="1"/>
    </xf>
    <xf numFmtId="0" fontId="15" fillId="3" borderId="33" xfId="1" applyFont="1" applyFill="1" applyBorder="1" applyAlignment="1" applyProtection="1">
      <alignment horizontal="left" vertical="center"/>
      <protection hidden="1"/>
    </xf>
    <xf numFmtId="0" fontId="15" fillId="3" borderId="34" xfId="1" applyFont="1" applyFill="1" applyBorder="1" applyAlignment="1" applyProtection="1">
      <alignment horizontal="left" vertical="center"/>
      <protection hidden="1"/>
    </xf>
    <xf numFmtId="0" fontId="32" fillId="6" borderId="16" xfId="3" applyFont="1" applyFill="1" applyBorder="1" applyAlignment="1" applyProtection="1">
      <alignment horizontal="center" vertical="center"/>
    </xf>
    <xf numFmtId="0" fontId="32" fillId="6" borderId="17" xfId="3" applyFont="1" applyFill="1" applyBorder="1" applyAlignment="1" applyProtection="1">
      <alignment horizontal="center" vertical="center"/>
    </xf>
    <xf numFmtId="0" fontId="32" fillId="6" borderId="1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3" fillId="2" borderId="8" xfId="3" applyFont="1" applyFill="1" applyBorder="1" applyAlignment="1" applyProtection="1">
      <alignment horizontal="center" vertical="center"/>
    </xf>
    <xf numFmtId="0" fontId="32" fillId="2" borderId="46" xfId="3" applyFont="1" applyFill="1" applyBorder="1" applyAlignment="1" applyProtection="1">
      <alignment horizontal="left" vertical="center"/>
    </xf>
    <xf numFmtId="0" fontId="32" fillId="2" borderId="33" xfId="3" applyFont="1" applyFill="1" applyBorder="1" applyAlignment="1" applyProtection="1">
      <alignment horizontal="left" vertical="center"/>
    </xf>
    <xf numFmtId="0" fontId="32" fillId="2" borderId="34" xfId="3" applyFont="1" applyFill="1" applyBorder="1" applyAlignment="1" applyProtection="1">
      <alignment horizontal="left" vertical="center"/>
    </xf>
    <xf numFmtId="0" fontId="32" fillId="2" borderId="27" xfId="3" applyFont="1" applyFill="1" applyBorder="1" applyAlignment="1" applyProtection="1">
      <alignment horizontal="left" vertical="center"/>
    </xf>
    <xf numFmtId="0" fontId="32" fillId="2" borderId="9" xfId="3" applyFont="1" applyFill="1" applyBorder="1" applyAlignment="1" applyProtection="1">
      <alignment horizontal="left" vertical="center"/>
    </xf>
    <xf numFmtId="0" fontId="33" fillId="2" borderId="45" xfId="3" applyFont="1" applyFill="1" applyBorder="1" applyAlignment="1" applyProtection="1">
      <alignment horizontal="center" vertical="center"/>
    </xf>
    <xf numFmtId="0" fontId="33" fillId="2" borderId="32" xfId="3" applyFont="1" applyFill="1" applyBorder="1" applyAlignment="1" applyProtection="1">
      <alignment horizontal="center" vertical="center" wrapText="1"/>
    </xf>
    <xf numFmtId="0" fontId="40" fillId="5" borderId="32" xfId="3" applyFont="1" applyFill="1" applyBorder="1" applyAlignment="1" applyProtection="1">
      <alignment horizontal="center" vertical="center"/>
    </xf>
    <xf numFmtId="0" fontId="17" fillId="5" borderId="33" xfId="3" applyFont="1" applyFill="1" applyBorder="1" applyAlignment="1" applyProtection="1">
      <alignment horizontal="center" vertical="center"/>
    </xf>
    <xf numFmtId="0" fontId="17" fillId="5" borderId="34" xfId="3" applyFont="1" applyFill="1" applyBorder="1" applyAlignment="1" applyProtection="1">
      <alignment horizontal="center" vertical="center"/>
    </xf>
    <xf numFmtId="0" fontId="23" fillId="2" borderId="11" xfId="3" applyFont="1" applyFill="1" applyBorder="1" applyAlignment="1" applyProtection="1">
      <alignment horizontal="left" vertical="center"/>
    </xf>
    <xf numFmtId="0" fontId="23" fillId="2" borderId="12" xfId="3"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10" fillId="4" borderId="5" xfId="0" applyFont="1" applyFill="1" applyBorder="1" applyAlignment="1" applyProtection="1">
      <alignment horizontal="center" vertical="center"/>
      <protection locked="0"/>
    </xf>
    <xf numFmtId="0" fontId="19" fillId="0" borderId="5" xfId="0" applyFont="1" applyBorder="1" applyAlignment="1" applyProtection="1">
      <alignment horizontal="left" vertical="center"/>
    </xf>
    <xf numFmtId="1" fontId="10" fillId="0" borderId="5" xfId="0" applyNumberFormat="1"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5" xfId="0" applyFont="1" applyBorder="1" applyAlignment="1" applyProtection="1">
      <alignment horizontal="left" vertical="center"/>
    </xf>
    <xf numFmtId="2" fontId="10" fillId="0" borderId="5" xfId="0" applyNumberFormat="1" applyFont="1" applyBorder="1" applyAlignment="1" applyProtection="1">
      <alignment horizontal="center" vertical="center"/>
      <protection hidden="1"/>
    </xf>
    <xf numFmtId="0" fontId="39" fillId="0" borderId="0" xfId="0" applyFont="1" applyAlignment="1" applyProtection="1">
      <alignment horizontal="left" vertical="center"/>
    </xf>
    <xf numFmtId="0" fontId="10" fillId="0" borderId="0" xfId="0" applyFont="1" applyAlignment="1" applyProtection="1">
      <alignment horizontal="right" vertical="center"/>
    </xf>
    <xf numFmtId="0" fontId="31"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58" fillId="0" borderId="5" xfId="0" applyFont="1" applyBorder="1" applyAlignment="1" applyProtection="1">
      <alignment horizontal="left" vertical="center"/>
    </xf>
    <xf numFmtId="0" fontId="2" fillId="0" borderId="5" xfId="0" applyFont="1" applyBorder="1" applyAlignment="1" applyProtection="1">
      <alignment horizontal="left" vertical="center"/>
    </xf>
    <xf numFmtId="0" fontId="10" fillId="0" borderId="0" xfId="0" applyFont="1" applyAlignment="1" applyProtection="1">
      <alignment horizontal="center" vertical="center"/>
    </xf>
    <xf numFmtId="0" fontId="10" fillId="4" borderId="19"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7" xfId="0" applyFont="1" applyFill="1" applyBorder="1" applyAlignment="1" applyProtection="1">
      <alignment horizontal="center" vertical="center"/>
      <protection locked="0"/>
    </xf>
    <xf numFmtId="0" fontId="19" fillId="0" borderId="5" xfId="0" applyFont="1" applyBorder="1" applyAlignment="1" applyProtection="1">
      <alignment horizontal="center" vertical="center"/>
    </xf>
    <xf numFmtId="0" fontId="19" fillId="0" borderId="21" xfId="0" applyFont="1" applyBorder="1" applyAlignment="1" applyProtection="1">
      <alignment horizontal="center" vertical="center" wrapText="1"/>
    </xf>
    <xf numFmtId="0" fontId="19" fillId="0" borderId="51" xfId="0" applyFont="1" applyBorder="1" applyAlignment="1" applyProtection="1">
      <alignment horizontal="center" vertical="center" wrapText="1"/>
    </xf>
    <xf numFmtId="0" fontId="19" fillId="0" borderId="41"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19" fillId="0" borderId="27" xfId="0" applyFont="1" applyBorder="1" applyAlignment="1" applyProtection="1">
      <alignment horizontal="center" vertical="center"/>
    </xf>
    <xf numFmtId="0" fontId="28" fillId="0" borderId="5" xfId="0" applyFont="1" applyBorder="1" applyAlignment="1" applyProtection="1">
      <alignment horizontal="center" vertical="center"/>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cellXfs>
  <cellStyles count="9">
    <cellStyle name="Normal 2" xfId="1"/>
    <cellStyle name="Normal 2 2" xfId="5"/>
    <cellStyle name="Normal 3" xfId="2"/>
    <cellStyle name="Normal 3 2" xfId="6"/>
    <cellStyle name="Normal 4" xfId="3"/>
    <cellStyle name="Normal 4 2" xfId="7"/>
    <cellStyle name="Normal 5" xfId="4"/>
    <cellStyle name="Normal 5 2" xfId="8"/>
    <cellStyle name="一般" xfId="0" builtinId="0"/>
  </cellStyles>
  <dxfs count="3">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s>
  <tableStyles count="0" defaultTableStyle="TableStyleMedium2" defaultPivotStyle="PivotStyleLight16"/>
  <colors>
    <mruColors>
      <color rgb="FFFF00FF"/>
      <color rgb="FF0000FF"/>
      <color rgb="FF15C926"/>
      <color rgb="FFFF66FF"/>
      <color rgb="FF65DA24"/>
      <color rgb="FFCC00CC"/>
      <color rgb="FF00CCFF"/>
      <color rgb="FF336699"/>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159543</xdr:colOff>
      <xdr:row>10</xdr:row>
      <xdr:rowOff>492936</xdr:rowOff>
    </xdr:from>
    <xdr:to>
      <xdr:col>13</xdr:col>
      <xdr:colOff>88106</xdr:colOff>
      <xdr:row>20</xdr:row>
      <xdr:rowOff>48538</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893" y="2893236"/>
          <a:ext cx="3643313" cy="2289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169069</xdr:colOff>
      <xdr:row>20</xdr:row>
      <xdr:rowOff>114457</xdr:rowOff>
    </xdr:from>
    <xdr:to>
      <xdr:col>13</xdr:col>
      <xdr:colOff>97631</xdr:colOff>
      <xdr:row>30</xdr:row>
      <xdr:rowOff>124594</xdr:rowOff>
    </xdr:to>
    <xdr:pic>
      <xdr:nvPicPr>
        <xdr:cNvPr id="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1419" y="5248432"/>
          <a:ext cx="3643312" cy="2210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89646</xdr:colOff>
      <xdr:row>45</xdr:row>
      <xdr:rowOff>72076</xdr:rowOff>
    </xdr:from>
    <xdr:to>
      <xdr:col>14</xdr:col>
      <xdr:colOff>123180</xdr:colOff>
      <xdr:row>60</xdr:row>
      <xdr:rowOff>88105</xdr:rowOff>
    </xdr:to>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71996" y="10635301"/>
          <a:ext cx="4367409" cy="33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83344</xdr:colOff>
      <xdr:row>157</xdr:row>
      <xdr:rowOff>1</xdr:rowOff>
    </xdr:from>
    <xdr:to>
      <xdr:col>12</xdr:col>
      <xdr:colOff>515779</xdr:colOff>
      <xdr:row>168</xdr:row>
      <xdr:rowOff>47625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525715" y="33255858"/>
          <a:ext cx="4154261" cy="2344510"/>
        </a:xfrm>
        <a:prstGeom prst="rect">
          <a:avLst/>
        </a:prstGeom>
      </xdr:spPr>
    </xdr:pic>
    <xdr:clientData/>
  </xdr:twoCellAnchor>
  <xdr:twoCellAnchor editAs="oneCell">
    <xdr:from>
      <xdr:col>6</xdr:col>
      <xdr:colOff>67235</xdr:colOff>
      <xdr:row>143</xdr:row>
      <xdr:rowOff>81243</xdr:rowOff>
    </xdr:from>
    <xdr:to>
      <xdr:col>12</xdr:col>
      <xdr:colOff>418012</xdr:colOff>
      <xdr:row>152</xdr:row>
      <xdr:rowOff>107156</xdr:rowOff>
    </xdr:to>
    <xdr:pic>
      <xdr:nvPicPr>
        <xdr:cNvPr id="16" name="Picture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09606" y="30202014"/>
          <a:ext cx="4069337" cy="2115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65796</xdr:colOff>
      <xdr:row>82</xdr:row>
      <xdr:rowOff>30630</xdr:rowOff>
    </xdr:from>
    <xdr:to>
      <xdr:col>11</xdr:col>
      <xdr:colOff>555172</xdr:colOff>
      <xdr:row>91</xdr:row>
      <xdr:rowOff>130618</xdr:rowOff>
    </xdr:to>
    <xdr:grpSp>
      <xdr:nvGrpSpPr>
        <xdr:cNvPr id="3" name="Group 2"/>
        <xdr:cNvGrpSpPr/>
      </xdr:nvGrpSpPr>
      <xdr:grpSpPr>
        <a:xfrm>
          <a:off x="12179355" y="19226306"/>
          <a:ext cx="3514964" cy="2173077"/>
          <a:chOff x="12172572" y="19977137"/>
          <a:chExt cx="3493546" cy="1882737"/>
        </a:xfrm>
      </xdr:grpSpPr>
      <xdr:pic>
        <xdr:nvPicPr>
          <xdr:cNvPr id="9" name="Picture 8"/>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96" b="11040"/>
          <a:stretch/>
        </xdr:blipFill>
        <xdr:spPr>
          <a:xfrm>
            <a:off x="12172572" y="19977137"/>
            <a:ext cx="3493546" cy="1882737"/>
          </a:xfrm>
          <a:prstGeom prst="rect">
            <a:avLst/>
          </a:prstGeom>
        </xdr:spPr>
      </xdr:pic>
      <xdr:sp macro="" textlink="">
        <xdr:nvSpPr>
          <xdr:cNvPr id="17" name="TextBox 56"/>
          <xdr:cNvSpPr txBox="1"/>
        </xdr:nvSpPr>
        <xdr:spPr>
          <a:xfrm>
            <a:off x="13109998" y="20446575"/>
            <a:ext cx="1723818" cy="2968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sp macro="" textlink="">
        <xdr:nvSpPr>
          <xdr:cNvPr id="18" name="TextBox 56"/>
          <xdr:cNvSpPr txBox="1"/>
        </xdr:nvSpPr>
        <xdr:spPr>
          <a:xfrm>
            <a:off x="13081395" y="21021056"/>
            <a:ext cx="2028853" cy="41477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grpSp>
    <xdr:clientData/>
  </xdr:twoCellAnchor>
  <xdr:twoCellAnchor>
    <xdr:from>
      <xdr:col>6</xdr:col>
      <xdr:colOff>100692</xdr:colOff>
      <xdr:row>70</xdr:row>
      <xdr:rowOff>84365</xdr:rowOff>
    </xdr:from>
    <xdr:to>
      <xdr:col>11</xdr:col>
      <xdr:colOff>568673</xdr:colOff>
      <xdr:row>78</xdr:row>
      <xdr:rowOff>151040</xdr:rowOff>
    </xdr:to>
    <xdr:grpSp>
      <xdr:nvGrpSpPr>
        <xdr:cNvPr id="5" name="Group 4"/>
        <xdr:cNvGrpSpPr/>
      </xdr:nvGrpSpPr>
      <xdr:grpSpPr>
        <a:xfrm>
          <a:off x="12214251" y="16489777"/>
          <a:ext cx="3493569" cy="1926851"/>
          <a:chOff x="12163429" y="14992390"/>
          <a:chExt cx="3935081" cy="1962154"/>
        </a:xfrm>
      </xdr:grpSpPr>
      <mc:AlternateContent xmlns:mc="http://schemas.openxmlformats.org/markup-compatibility/2006">
        <mc:Choice xmlns:a14="http://schemas.microsoft.com/office/drawing/2010/main" Requires="a14">
          <xdr:sp macro="" textlink="">
            <xdr:nvSpPr>
              <xdr:cNvPr id="4173" name="Object 77" hidden="1">
                <a:extLst>
                  <a:ext uri="{63B3BB69-23CF-44E3-9099-C40C66FF867C}">
                    <a14:compatExt spid="_x0000_s4173"/>
                  </a:ext>
                </a:extLst>
              </xdr:cNvPr>
              <xdr:cNvSpPr/>
            </xdr:nvSpPr>
            <xdr:spPr bwMode="auto">
              <a:xfrm>
                <a:off x="12163429" y="14992390"/>
                <a:ext cx="3935081" cy="1962154"/>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19" name="TextBox 56"/>
          <xdr:cNvSpPr txBox="1"/>
        </xdr:nvSpPr>
        <xdr:spPr>
          <a:xfrm>
            <a:off x="13489082" y="15629406"/>
            <a:ext cx="2409824" cy="42022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grpSp>
    <xdr:clientData/>
  </xdr:twoCellAnchor>
  <xdr:twoCellAnchor editAs="oneCell">
    <xdr:from>
      <xdr:col>6</xdr:col>
      <xdr:colOff>92526</xdr:colOff>
      <xdr:row>58</xdr:row>
      <xdr:rowOff>152400</xdr:rowOff>
    </xdr:from>
    <xdr:to>
      <xdr:col>12</xdr:col>
      <xdr:colOff>470653</xdr:colOff>
      <xdr:row>69</xdr:row>
      <xdr:rowOff>174171</xdr:rowOff>
    </xdr:to>
    <xdr:pic>
      <xdr:nvPicPr>
        <xdr:cNvPr id="15" name="Picture 14"/>
        <xdr:cNvPicPr>
          <a:picLocks noChangeAspect="1"/>
        </xdr:cNvPicPr>
      </xdr:nvPicPr>
      <xdr:blipFill>
        <a:blip xmlns:r="http://schemas.openxmlformats.org/officeDocument/2006/relationships" r:embed="rId1"/>
        <a:stretch>
          <a:fillRect/>
        </a:stretch>
      </xdr:blipFill>
      <xdr:spPr>
        <a:xfrm>
          <a:off x="12534897" y="12344400"/>
          <a:ext cx="4096687" cy="2318657"/>
        </a:xfrm>
        <a:prstGeom prst="rect">
          <a:avLst/>
        </a:prstGeom>
      </xdr:spPr>
    </xdr:pic>
    <xdr:clientData/>
  </xdr:twoCellAnchor>
  <xdr:twoCellAnchor>
    <xdr:from>
      <xdr:col>6</xdr:col>
      <xdr:colOff>90347</xdr:colOff>
      <xdr:row>21</xdr:row>
      <xdr:rowOff>185398</xdr:rowOff>
    </xdr:from>
    <xdr:to>
      <xdr:col>12</xdr:col>
      <xdr:colOff>237827</xdr:colOff>
      <xdr:row>29</xdr:row>
      <xdr:rowOff>13537</xdr:rowOff>
    </xdr:to>
    <xdr:grpSp>
      <xdr:nvGrpSpPr>
        <xdr:cNvPr id="26" name="Group 25"/>
        <xdr:cNvGrpSpPr/>
      </xdr:nvGrpSpPr>
      <xdr:grpSpPr>
        <a:xfrm>
          <a:off x="12203906" y="5093574"/>
          <a:ext cx="3778186" cy="1710728"/>
          <a:chOff x="12534896" y="4605000"/>
          <a:chExt cx="4336302" cy="1467528"/>
        </a:xfrm>
      </xdr:grpSpPr>
      <xdr:grpSp>
        <xdr:nvGrpSpPr>
          <xdr:cNvPr id="2" name="Group 1"/>
          <xdr:cNvGrpSpPr/>
        </xdr:nvGrpSpPr>
        <xdr:grpSpPr>
          <a:xfrm>
            <a:off x="12534896" y="4605000"/>
            <a:ext cx="4336302" cy="1467528"/>
            <a:chOff x="12324867" y="5674179"/>
            <a:chExt cx="2946381" cy="1454389"/>
          </a:xfrm>
          <a:solidFill>
            <a:schemeClr val="bg1"/>
          </a:solidFill>
        </xdr:grpSpPr>
        <xdr:pic>
          <xdr:nvPicPr>
            <xdr:cNvPr id="12" name="Picture 11"/>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5268" r="48290" b="56663"/>
            <a:stretch/>
          </xdr:blipFill>
          <xdr:spPr>
            <a:xfrm>
              <a:off x="12324867" y="5674179"/>
              <a:ext cx="2140597" cy="1450627"/>
            </a:xfrm>
            <a:prstGeom prst="rect">
              <a:avLst/>
            </a:prstGeom>
            <a:grpFill/>
          </xdr:spPr>
        </xdr:pic>
        <xdr:sp macro="" textlink="">
          <xdr:nvSpPr>
            <xdr:cNvPr id="13" name="TextBox 56"/>
            <xdr:cNvSpPr txBox="1"/>
          </xdr:nvSpPr>
          <xdr:spPr>
            <a:xfrm>
              <a:off x="14475258" y="5980811"/>
              <a:ext cx="795990" cy="529086"/>
            </a:xfrm>
            <a:prstGeom prst="rect">
              <a:avLst/>
            </a:prstGeom>
            <a:grp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00B050"/>
                  </a:solidFill>
                </a:rPr>
                <a:t>Δ</a:t>
              </a:r>
              <a:r>
                <a:rPr lang="en-US" sz="1600" b="1">
                  <a:solidFill>
                    <a:srgbClr val="00B050"/>
                  </a:solidFill>
                </a:rPr>
                <a:t>V</a:t>
              </a:r>
              <a:r>
                <a:rPr lang="en-US" sz="1600" b="1" baseline="-25000">
                  <a:solidFill>
                    <a:srgbClr val="00B050"/>
                  </a:solidFill>
                </a:rPr>
                <a:t>o(ABM)</a:t>
              </a:r>
            </a:p>
          </xdr:txBody>
        </xdr:sp>
        <xdr:sp macro="" textlink="">
          <xdr:nvSpPr>
            <xdr:cNvPr id="14" name="TextBox 57"/>
            <xdr:cNvSpPr txBox="1"/>
          </xdr:nvSpPr>
          <xdr:spPr>
            <a:xfrm>
              <a:off x="12709909" y="6749933"/>
              <a:ext cx="771137" cy="37863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7030A0"/>
                  </a:solidFill>
                </a:rPr>
                <a:t>Δ</a:t>
              </a:r>
              <a:r>
                <a:rPr lang="en-US" sz="1600" b="1">
                  <a:solidFill>
                    <a:srgbClr val="7030A0"/>
                  </a:solidFill>
                </a:rPr>
                <a:t>i</a:t>
              </a:r>
              <a:r>
                <a:rPr lang="en-US" sz="1600" b="1" baseline="-25000">
                  <a:solidFill>
                    <a:srgbClr val="7030A0"/>
                  </a:solidFill>
                </a:rPr>
                <a:t>FB(ABM)</a:t>
              </a:r>
            </a:p>
          </xdr:txBody>
        </xdr:sp>
      </xdr:grpSp>
      <xdr:grpSp>
        <xdr:nvGrpSpPr>
          <xdr:cNvPr id="24" name="Group 23"/>
          <xdr:cNvGrpSpPr/>
        </xdr:nvGrpSpPr>
        <xdr:grpSpPr>
          <a:xfrm>
            <a:off x="15144206" y="4618103"/>
            <a:ext cx="424790" cy="1112906"/>
            <a:chOff x="15144206" y="4618103"/>
            <a:chExt cx="424790" cy="1112906"/>
          </a:xfrm>
        </xdr:grpSpPr>
        <xdr:cxnSp macro="">
          <xdr:nvCxnSpPr>
            <xdr:cNvPr id="7" name="Straight Arrow Connector 6"/>
            <xdr:cNvCxnSpPr/>
          </xdr:nvCxnSpPr>
          <xdr:spPr>
            <a:xfrm flipH="1" flipV="1">
              <a:off x="15452080" y="4618103"/>
              <a:ext cx="8965" cy="1112906"/>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flipV="1">
              <a:off x="15144206" y="4622241"/>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15151822" y="5728406"/>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19485</xdr:colOff>
      <xdr:row>1</xdr:row>
      <xdr:rowOff>60961</xdr:rowOff>
    </xdr:from>
    <xdr:to>
      <xdr:col>7</xdr:col>
      <xdr:colOff>1067648</xdr:colOff>
      <xdr:row>22</xdr:row>
      <xdr:rowOff>84667</xdr:rowOff>
    </xdr:to>
    <xdr:grpSp>
      <xdr:nvGrpSpPr>
        <xdr:cNvPr id="6" name="Group 5"/>
        <xdr:cNvGrpSpPr/>
      </xdr:nvGrpSpPr>
      <xdr:grpSpPr>
        <a:xfrm>
          <a:off x="305235" y="265068"/>
          <a:ext cx="9362127" cy="4731778"/>
          <a:chOff x="305235" y="251461"/>
          <a:chExt cx="9363488" cy="4471881"/>
        </a:xfrm>
      </xdr:grpSpPr>
      <xdr:pic>
        <xdr:nvPicPr>
          <xdr:cNvPr id="2" name="Picture 1"/>
          <xdr:cNvPicPr>
            <a:picLocks noChangeAspect="1"/>
          </xdr:cNvPicPr>
        </xdr:nvPicPr>
        <xdr:blipFill>
          <a:blip xmlns:r="http://schemas.openxmlformats.org/officeDocument/2006/relationships" r:embed="rId1"/>
          <a:stretch>
            <a:fillRect/>
          </a:stretch>
        </xdr:blipFill>
        <xdr:spPr>
          <a:xfrm>
            <a:off x="305235" y="251461"/>
            <a:ext cx="9034158" cy="4471881"/>
          </a:xfrm>
          <a:prstGeom prst="rect">
            <a:avLst/>
          </a:prstGeom>
        </xdr:spPr>
      </xdr:pic>
      <xdr:sp macro="" textlink="">
        <xdr:nvSpPr>
          <xdr:cNvPr id="3" name="Rectangle 2"/>
          <xdr:cNvSpPr/>
        </xdr:nvSpPr>
        <xdr:spPr>
          <a:xfrm>
            <a:off x="7480936" y="275166"/>
            <a:ext cx="1478914" cy="9535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4" name="Right Arrow 3"/>
          <xdr:cNvSpPr/>
        </xdr:nvSpPr>
        <xdr:spPr>
          <a:xfrm>
            <a:off x="9045575" y="723901"/>
            <a:ext cx="623148"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121920</xdr:colOff>
      <xdr:row>42</xdr:row>
      <xdr:rowOff>45720</xdr:rowOff>
    </xdr:from>
    <xdr:to>
      <xdr:col>8</xdr:col>
      <xdr:colOff>541403</xdr:colOff>
      <xdr:row>51</xdr:row>
      <xdr:rowOff>61110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17195" y="8037195"/>
          <a:ext cx="4877183" cy="1729890"/>
        </a:xfrm>
        <a:prstGeom prst="rect">
          <a:avLst/>
        </a:prstGeom>
        <a:ln>
          <a:solidFill>
            <a:srgbClr val="000000"/>
          </a:solidFill>
        </a:ln>
      </xdr:spPr>
    </xdr:pic>
    <xdr:clientData/>
  </xdr:twoCellAnchor>
  <xdr:twoCellAnchor editAs="oneCell">
    <xdr:from>
      <xdr:col>9</xdr:col>
      <xdr:colOff>50537</xdr:colOff>
      <xdr:row>42</xdr:row>
      <xdr:rowOff>38548</xdr:rowOff>
    </xdr:from>
    <xdr:to>
      <xdr:col>17</xdr:col>
      <xdr:colOff>43305</xdr:colOff>
      <xdr:row>51</xdr:row>
      <xdr:rowOff>31076</xdr:rowOff>
    </xdr:to>
    <xdr:pic>
      <xdr:nvPicPr>
        <xdr:cNvPr id="4" name="Picture 3"/>
        <xdr:cNvPicPr>
          <a:picLocks noChangeAspect="1"/>
        </xdr:cNvPicPr>
      </xdr:nvPicPr>
      <xdr:blipFill>
        <a:blip xmlns:r="http://schemas.openxmlformats.org/officeDocument/2006/relationships" r:embed="rId2"/>
        <a:stretch>
          <a:fillRect/>
        </a:stretch>
      </xdr:blipFill>
      <xdr:spPr>
        <a:xfrm>
          <a:off x="5489312" y="8030023"/>
          <a:ext cx="4945768" cy="1707028"/>
        </a:xfrm>
        <a:prstGeom prst="rect">
          <a:avLst/>
        </a:prstGeom>
        <a:ln>
          <a:solidFill>
            <a:srgbClr val="000000"/>
          </a:solidFill>
        </a:ln>
      </xdr:spPr>
    </xdr:pic>
    <xdr:clientData/>
  </xdr:twoCellAnchor>
  <xdr:twoCellAnchor>
    <xdr:from>
      <xdr:col>4</xdr:col>
      <xdr:colOff>266700</xdr:colOff>
      <xdr:row>40</xdr:row>
      <xdr:rowOff>83820</xdr:rowOff>
    </xdr:from>
    <xdr:to>
      <xdr:col>13</xdr:col>
      <xdr:colOff>182880</xdr:colOff>
      <xdr:row>41</xdr:row>
      <xdr:rowOff>175260</xdr:rowOff>
    </xdr:to>
    <xdr:sp macro="" textlink="">
      <xdr:nvSpPr>
        <xdr:cNvPr id="5" name="U-Turn Arrow 4"/>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51</xdr:row>
      <xdr:rowOff>99060</xdr:rowOff>
    </xdr:from>
    <xdr:to>
      <xdr:col>13</xdr:col>
      <xdr:colOff>190500</xdr:colOff>
      <xdr:row>52</xdr:row>
      <xdr:rowOff>182880</xdr:rowOff>
    </xdr:to>
    <xdr:sp macro="" textlink="">
      <xdr:nvSpPr>
        <xdr:cNvPr id="6" name="U-Turn Arrow 5"/>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83820</xdr:colOff>
      <xdr:row>62</xdr:row>
      <xdr:rowOff>76200</xdr:rowOff>
    </xdr:from>
    <xdr:to>
      <xdr:col>11</xdr:col>
      <xdr:colOff>312420</xdr:colOff>
      <xdr:row>63</xdr:row>
      <xdr:rowOff>167640</xdr:rowOff>
    </xdr:to>
    <xdr:sp macro="" textlink="">
      <xdr:nvSpPr>
        <xdr:cNvPr id="10" name="U-Turn Arrow 9"/>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1</xdr:col>
      <xdr:colOff>7731</xdr:colOff>
      <xdr:row>64</xdr:row>
      <xdr:rowOff>15239</xdr:rowOff>
    </xdr:from>
    <xdr:to>
      <xdr:col>8</xdr:col>
      <xdr:colOff>134471</xdr:colOff>
      <xdr:row>74</xdr:row>
      <xdr:rowOff>67234</xdr:rowOff>
    </xdr:to>
    <xdr:grpSp>
      <xdr:nvGrpSpPr>
        <xdr:cNvPr id="24" name="Group 23"/>
        <xdr:cNvGrpSpPr/>
      </xdr:nvGrpSpPr>
      <xdr:grpSpPr>
        <a:xfrm>
          <a:off x="304064" y="13614822"/>
          <a:ext cx="4603490" cy="2062829"/>
          <a:chOff x="299084" y="13070092"/>
          <a:chExt cx="4416767" cy="1956995"/>
        </a:xfrm>
      </xdr:grpSpPr>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9084" y="13070092"/>
            <a:ext cx="4416767" cy="1956995"/>
          </a:xfrm>
          <a:prstGeom prst="rect">
            <a:avLst/>
          </a:prstGeom>
        </xdr:spPr>
      </xdr:pic>
      <xdr:sp macro="" textlink="">
        <xdr:nvSpPr>
          <xdr:cNvPr id="11" name="Oval 10"/>
          <xdr:cNvSpPr/>
        </xdr:nvSpPr>
        <xdr:spPr>
          <a:xfrm>
            <a:off x="1714500" y="14037833"/>
            <a:ext cx="866663" cy="518608"/>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8</xdr:col>
      <xdr:colOff>431048</xdr:colOff>
      <xdr:row>64</xdr:row>
      <xdr:rowOff>12839</xdr:rowOff>
    </xdr:from>
    <xdr:to>
      <xdr:col>15</xdr:col>
      <xdr:colOff>432450</xdr:colOff>
      <xdr:row>74</xdr:row>
      <xdr:rowOff>67234</xdr:rowOff>
    </xdr:to>
    <xdr:grpSp>
      <xdr:nvGrpSpPr>
        <xdr:cNvPr id="25" name="Group 24"/>
        <xdr:cNvGrpSpPr/>
      </xdr:nvGrpSpPr>
      <xdr:grpSpPr>
        <a:xfrm>
          <a:off x="5204131" y="13612422"/>
          <a:ext cx="4446402" cy="2065229"/>
          <a:chOff x="5182342" y="13067692"/>
          <a:chExt cx="4394108" cy="1959395"/>
        </a:xfrm>
      </xdr:grpSpPr>
      <xdr:pic>
        <xdr:nvPicPr>
          <xdr:cNvPr id="8" name="Picture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82342" y="13067692"/>
            <a:ext cx="4394108" cy="1959395"/>
          </a:xfrm>
          <a:prstGeom prst="rect">
            <a:avLst/>
          </a:prstGeom>
        </xdr:spPr>
      </xdr:pic>
      <xdr:sp macro="" textlink="">
        <xdr:nvSpPr>
          <xdr:cNvPr id="12" name="Oval 11"/>
          <xdr:cNvSpPr/>
        </xdr:nvSpPr>
        <xdr:spPr>
          <a:xfrm>
            <a:off x="6459070" y="14113136"/>
            <a:ext cx="735105" cy="432099"/>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220980</xdr:colOff>
      <xdr:row>87</xdr:row>
      <xdr:rowOff>160020</xdr:rowOff>
    </xdr:from>
    <xdr:to>
      <xdr:col>8</xdr:col>
      <xdr:colOff>172406</xdr:colOff>
      <xdr:row>100</xdr:row>
      <xdr:rowOff>179294</xdr:rowOff>
    </xdr:to>
    <xdr:pic>
      <xdr:nvPicPr>
        <xdr:cNvPr id="3" name="Picture 2"/>
        <xdr:cNvPicPr>
          <a:picLocks noChangeAspect="1"/>
        </xdr:cNvPicPr>
      </xdr:nvPicPr>
      <xdr:blipFill>
        <a:blip xmlns:r="http://schemas.openxmlformats.org/officeDocument/2006/relationships" r:embed="rId5"/>
        <a:stretch>
          <a:fillRect/>
        </a:stretch>
      </xdr:blipFill>
      <xdr:spPr>
        <a:xfrm>
          <a:off x="220980" y="18705755"/>
          <a:ext cx="4702720" cy="2495774"/>
        </a:xfrm>
        <a:prstGeom prst="rect">
          <a:avLst/>
        </a:prstGeom>
      </xdr:spPr>
    </xdr:pic>
    <xdr:clientData/>
  </xdr:twoCellAnchor>
  <xdr:twoCellAnchor editAs="oneCell">
    <xdr:from>
      <xdr:col>8</xdr:col>
      <xdr:colOff>291358</xdr:colOff>
      <xdr:row>87</xdr:row>
      <xdr:rowOff>137160</xdr:rowOff>
    </xdr:from>
    <xdr:to>
      <xdr:col>15</xdr:col>
      <xdr:colOff>390372</xdr:colOff>
      <xdr:row>101</xdr:row>
      <xdr:rowOff>44824</xdr:rowOff>
    </xdr:to>
    <xdr:pic>
      <xdr:nvPicPr>
        <xdr:cNvPr id="9" name="Picture 8"/>
        <xdr:cNvPicPr>
          <a:picLocks noChangeAspect="1"/>
        </xdr:cNvPicPr>
      </xdr:nvPicPr>
      <xdr:blipFill>
        <a:blip xmlns:r="http://schemas.openxmlformats.org/officeDocument/2006/relationships" r:embed="rId6"/>
        <a:stretch>
          <a:fillRect/>
        </a:stretch>
      </xdr:blipFill>
      <xdr:spPr>
        <a:xfrm>
          <a:off x="5042652" y="18682895"/>
          <a:ext cx="4491720" cy="2574664"/>
        </a:xfrm>
        <a:prstGeom prst="rect">
          <a:avLst/>
        </a:prstGeom>
      </xdr:spPr>
    </xdr:pic>
    <xdr:clientData/>
  </xdr:twoCellAnchor>
  <xdr:twoCellAnchor editAs="oneCell">
    <xdr:from>
      <xdr:col>4</xdr:col>
      <xdr:colOff>167640</xdr:colOff>
      <xdr:row>77</xdr:row>
      <xdr:rowOff>22861</xdr:rowOff>
    </xdr:from>
    <xdr:to>
      <xdr:col>11</xdr:col>
      <xdr:colOff>247894</xdr:colOff>
      <xdr:row>84</xdr:row>
      <xdr:rowOff>134470</xdr:rowOff>
    </xdr:to>
    <xdr:pic>
      <xdr:nvPicPr>
        <xdr:cNvPr id="13" name="Picture 12"/>
        <xdr:cNvPicPr>
          <a:picLocks noChangeAspect="1"/>
        </xdr:cNvPicPr>
      </xdr:nvPicPr>
      <xdr:blipFill>
        <a:blip xmlns:r="http://schemas.openxmlformats.org/officeDocument/2006/relationships" r:embed="rId7"/>
        <a:stretch>
          <a:fillRect/>
        </a:stretch>
      </xdr:blipFill>
      <xdr:spPr>
        <a:xfrm>
          <a:off x="2767405" y="15554214"/>
          <a:ext cx="4125577" cy="2509668"/>
        </a:xfrm>
        <a:prstGeom prst="rect">
          <a:avLst/>
        </a:prstGeom>
      </xdr:spPr>
    </xdr:pic>
    <xdr:clientData/>
  </xdr:twoCellAnchor>
  <xdr:twoCellAnchor>
    <xdr:from>
      <xdr:col>3</xdr:col>
      <xdr:colOff>408798</xdr:colOff>
      <xdr:row>86</xdr:row>
      <xdr:rowOff>30480</xdr:rowOff>
    </xdr:from>
    <xdr:to>
      <xdr:col>12</xdr:col>
      <xdr:colOff>348734</xdr:colOff>
      <xdr:row>87</xdr:row>
      <xdr:rowOff>121920</xdr:rowOff>
    </xdr:to>
    <xdr:sp macro="" textlink="">
      <xdr:nvSpPr>
        <xdr:cNvPr id="18" name="U-Turn Arrow 17"/>
        <xdr:cNvSpPr/>
      </xdr:nvSpPr>
      <xdr:spPr>
        <a:xfrm>
          <a:off x="2246563" y="18385715"/>
          <a:ext cx="5352377"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14</xdr:col>
      <xdr:colOff>86994</xdr:colOff>
      <xdr:row>23</xdr:row>
      <xdr:rowOff>77067</xdr:rowOff>
    </xdr:from>
    <xdr:to>
      <xdr:col>19</xdr:col>
      <xdr:colOff>379325</xdr:colOff>
      <xdr:row>34</xdr:row>
      <xdr:rowOff>767</xdr:rowOff>
    </xdr:to>
    <xdr:pic>
      <xdr:nvPicPr>
        <xdr:cNvPr id="17" name="Picture 16"/>
        <xdr:cNvPicPr>
          <a:picLocks noChangeAspect="1"/>
        </xdr:cNvPicPr>
      </xdr:nvPicPr>
      <xdr:blipFill>
        <a:blip xmlns:r="http://schemas.openxmlformats.org/officeDocument/2006/relationships" r:embed="rId8"/>
        <a:stretch>
          <a:fillRect/>
        </a:stretch>
      </xdr:blipFill>
      <xdr:spPr>
        <a:xfrm>
          <a:off x="8547435" y="4615449"/>
          <a:ext cx="3396361" cy="2329827"/>
        </a:xfrm>
        <a:prstGeom prst="rect">
          <a:avLst/>
        </a:prstGeom>
      </xdr:spPr>
    </xdr:pic>
    <xdr:clientData/>
  </xdr:twoCellAnchor>
  <xdr:twoCellAnchor>
    <xdr:from>
      <xdr:col>1</xdr:col>
      <xdr:colOff>150496</xdr:colOff>
      <xdr:row>2</xdr:row>
      <xdr:rowOff>57150</xdr:rowOff>
    </xdr:from>
    <xdr:to>
      <xdr:col>13</xdr:col>
      <xdr:colOff>116632</xdr:colOff>
      <xdr:row>21</xdr:row>
      <xdr:rowOff>116969</xdr:rowOff>
    </xdr:to>
    <xdr:grpSp>
      <xdr:nvGrpSpPr>
        <xdr:cNvPr id="23" name="Group 22"/>
        <xdr:cNvGrpSpPr/>
      </xdr:nvGrpSpPr>
      <xdr:grpSpPr>
        <a:xfrm>
          <a:off x="446829" y="607483"/>
          <a:ext cx="7586136" cy="3880403"/>
          <a:chOff x="445771" y="600075"/>
          <a:chExt cx="7548036" cy="3679319"/>
        </a:xfrm>
      </xdr:grpSpPr>
      <xdr:pic>
        <xdr:nvPicPr>
          <xdr:cNvPr id="14" name="Picture 13"/>
          <xdr:cNvPicPr>
            <a:picLocks noChangeAspect="1"/>
          </xdr:cNvPicPr>
        </xdr:nvPicPr>
        <xdr:blipFill>
          <a:blip xmlns:r="http://schemas.openxmlformats.org/officeDocument/2006/relationships" r:embed="rId9"/>
          <a:stretch>
            <a:fillRect/>
          </a:stretch>
        </xdr:blipFill>
        <xdr:spPr>
          <a:xfrm>
            <a:off x="445771" y="658178"/>
            <a:ext cx="7548036" cy="3523297"/>
          </a:xfrm>
          <a:prstGeom prst="rect">
            <a:avLst/>
          </a:prstGeom>
        </xdr:spPr>
      </xdr:pic>
      <xdr:sp macro="" textlink="">
        <xdr:nvSpPr>
          <xdr:cNvPr id="15" name="Rectangle 14"/>
          <xdr:cNvSpPr/>
        </xdr:nvSpPr>
        <xdr:spPr>
          <a:xfrm>
            <a:off x="6421488" y="619125"/>
            <a:ext cx="1255662" cy="876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19" name="Rectangle 18"/>
          <xdr:cNvSpPr/>
        </xdr:nvSpPr>
        <xdr:spPr>
          <a:xfrm>
            <a:off x="5045359" y="3097356"/>
            <a:ext cx="669641" cy="8745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21" name="TextBox 20"/>
          <xdr:cNvSpPr txBox="1"/>
        </xdr:nvSpPr>
        <xdr:spPr>
          <a:xfrm>
            <a:off x="5581650" y="600075"/>
            <a:ext cx="877613"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Sec - Res</a:t>
            </a:r>
          </a:p>
        </xdr:txBody>
      </xdr:sp>
      <xdr:sp macro="" textlink="">
        <xdr:nvSpPr>
          <xdr:cNvPr id="22" name="TextBox 21"/>
          <xdr:cNvSpPr txBox="1"/>
        </xdr:nvSpPr>
        <xdr:spPr>
          <a:xfrm>
            <a:off x="5105400" y="4010025"/>
            <a:ext cx="51802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ARC</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91439</xdr:colOff>
      <xdr:row>10</xdr:row>
      <xdr:rowOff>111673</xdr:rowOff>
    </xdr:from>
    <xdr:to>
      <xdr:col>13</xdr:col>
      <xdr:colOff>274002</xdr:colOff>
      <xdr:row>21</xdr:row>
      <xdr:rowOff>45720</xdr:rowOff>
    </xdr:to>
    <xdr:pic>
      <xdr:nvPicPr>
        <xdr:cNvPr id="2" name="Picture 1"/>
        <xdr:cNvPicPr>
          <a:picLocks noChangeAspect="1"/>
        </xdr:cNvPicPr>
      </xdr:nvPicPr>
      <xdr:blipFill>
        <a:blip xmlns:r="http://schemas.openxmlformats.org/officeDocument/2006/relationships" r:embed="rId1"/>
        <a:stretch>
          <a:fillRect/>
        </a:stretch>
      </xdr:blipFill>
      <xdr:spPr>
        <a:xfrm>
          <a:off x="3909059" y="2489113"/>
          <a:ext cx="3687763" cy="2060027"/>
        </a:xfrm>
        <a:prstGeom prst="rect">
          <a:avLst/>
        </a:prstGeom>
      </xdr:spPr>
    </xdr:pic>
    <xdr:clientData/>
  </xdr:twoCellAnchor>
</xdr:wsDr>
</file>

<file path=xl/tables/table1.xml><?xml version="1.0" encoding="utf-8"?>
<table xmlns="http://schemas.openxmlformats.org/spreadsheetml/2006/main" id="1" name="Table1" displayName="Table1" ref="C76:C78" totalsRowShown="0" headerRowDxfId="2" dataDxfId="1">
  <autoFilter ref="C76:C78"/>
  <tableColumns count="1">
    <tableColumn id="1" name="V input type" dataDxfId="0"/>
  </tableColumns>
  <tableStyleInfo name="TableStyleMedium2"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package1"/></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132"/>
  <sheetViews>
    <sheetView topLeftCell="A105" zoomScaleNormal="100" workbookViewId="0">
      <selection activeCell="D57" sqref="D57"/>
    </sheetView>
  </sheetViews>
  <sheetFormatPr defaultColWidth="9" defaultRowHeight="15.75"/>
  <cols>
    <col min="1" max="1" width="5" style="11" customWidth="1"/>
    <col min="2" max="2" width="65.7109375" style="11" customWidth="1"/>
    <col min="3" max="3" width="13.7109375" style="41" customWidth="1"/>
    <col min="4" max="4" width="13.7109375" style="11" customWidth="1"/>
    <col min="5" max="5" width="7.7109375" style="11" customWidth="1"/>
    <col min="6" max="6" width="13.7109375" style="11" customWidth="1"/>
    <col min="7" max="7" width="43.85546875" style="11" customWidth="1"/>
    <col min="8" max="18" width="9" style="11"/>
    <col min="19" max="19" width="9.140625" style="11" customWidth="1"/>
    <col min="20" max="20" width="9" style="11" customWidth="1"/>
    <col min="21" max="16384" width="9" style="11"/>
  </cols>
  <sheetData>
    <row r="1" spans="1:23" ht="30">
      <c r="A1" s="201"/>
      <c r="B1" s="528" t="s">
        <v>2</v>
      </c>
      <c r="C1" s="528"/>
      <c r="D1" s="528"/>
      <c r="E1" s="528"/>
      <c r="F1" s="528"/>
      <c r="G1" s="528"/>
      <c r="H1" s="388"/>
      <c r="I1" s="200"/>
      <c r="J1" s="200"/>
      <c r="K1" s="200"/>
      <c r="L1" s="200"/>
      <c r="M1" s="200"/>
      <c r="N1" s="220"/>
      <c r="O1" s="91"/>
      <c r="P1" s="90"/>
      <c r="Q1" s="91"/>
      <c r="R1" s="91"/>
      <c r="S1" s="91"/>
      <c r="T1" s="91"/>
      <c r="U1" s="92"/>
      <c r="V1" s="93"/>
      <c r="W1" s="93"/>
    </row>
    <row r="2" spans="1:23" ht="24" customHeight="1" thickBot="1">
      <c r="A2" s="201"/>
      <c r="B2" s="389" t="s">
        <v>118</v>
      </c>
      <c r="C2" s="389"/>
      <c r="D2" s="390" t="s">
        <v>1028</v>
      </c>
      <c r="E2" s="391"/>
      <c r="F2" s="392"/>
      <c r="G2" s="393"/>
      <c r="H2" s="394"/>
      <c r="I2" s="395"/>
      <c r="J2" s="200"/>
      <c r="K2" s="200"/>
      <c r="L2" s="200"/>
      <c r="M2" s="200"/>
      <c r="N2" s="220"/>
      <c r="O2" s="91"/>
      <c r="P2" s="90"/>
      <c r="Q2" s="91"/>
      <c r="R2" s="91"/>
      <c r="S2" s="91"/>
      <c r="T2" s="91"/>
      <c r="U2" s="92"/>
      <c r="V2" s="93"/>
      <c r="W2" s="93"/>
    </row>
    <row r="3" spans="1:23">
      <c r="A3" s="201"/>
      <c r="B3" s="529" t="s">
        <v>123</v>
      </c>
      <c r="C3" s="530"/>
      <c r="D3" s="530"/>
      <c r="E3" s="530"/>
      <c r="F3" s="530"/>
      <c r="G3" s="531"/>
      <c r="H3" s="200"/>
      <c r="I3" s="200"/>
      <c r="J3" s="396"/>
      <c r="K3" s="396"/>
      <c r="L3" s="200"/>
      <c r="M3" s="200"/>
      <c r="N3" s="220"/>
      <c r="O3" s="94"/>
      <c r="P3" s="90"/>
      <c r="Q3" s="91"/>
      <c r="R3" s="91"/>
      <c r="S3" s="91"/>
      <c r="T3" s="91"/>
      <c r="U3" s="92"/>
      <c r="V3" s="93"/>
      <c r="W3" s="93"/>
    </row>
    <row r="4" spans="1:23">
      <c r="A4" s="194"/>
      <c r="B4" s="532" t="s">
        <v>247</v>
      </c>
      <c r="C4" s="533"/>
      <c r="D4" s="533"/>
      <c r="E4" s="533"/>
      <c r="F4" s="533"/>
      <c r="G4" s="534"/>
      <c r="H4" s="200"/>
      <c r="I4" s="200"/>
      <c r="J4" s="200"/>
      <c r="K4" s="200"/>
      <c r="L4" s="200"/>
      <c r="M4" s="200"/>
      <c r="N4" s="220"/>
      <c r="O4" s="94"/>
      <c r="P4" s="90"/>
      <c r="Q4" s="91"/>
      <c r="R4" s="91"/>
      <c r="S4" s="91"/>
      <c r="T4" s="91"/>
      <c r="U4" s="91"/>
      <c r="V4" s="93"/>
      <c r="W4" s="93"/>
    </row>
    <row r="5" spans="1:23">
      <c r="A5" s="201"/>
      <c r="B5" s="532"/>
      <c r="C5" s="533"/>
      <c r="D5" s="533"/>
      <c r="E5" s="533"/>
      <c r="F5" s="533"/>
      <c r="G5" s="534"/>
      <c r="H5" s="397"/>
      <c r="I5" s="200"/>
      <c r="J5" s="200"/>
      <c r="K5" s="200"/>
      <c r="L5" s="200"/>
      <c r="M5" s="200"/>
      <c r="N5" s="220"/>
      <c r="O5" s="94"/>
      <c r="P5" s="90"/>
      <c r="Q5" s="91"/>
      <c r="R5" s="91"/>
      <c r="S5" s="91"/>
      <c r="T5" s="91"/>
      <c r="U5" s="92"/>
      <c r="V5" s="93"/>
      <c r="W5" s="93"/>
    </row>
    <row r="6" spans="1:23" ht="16.5">
      <c r="A6" s="201"/>
      <c r="B6" s="532"/>
      <c r="C6" s="533"/>
      <c r="D6" s="533"/>
      <c r="E6" s="533"/>
      <c r="F6" s="533"/>
      <c r="G6" s="534"/>
      <c r="H6" s="396"/>
      <c r="I6" s="200"/>
      <c r="J6" s="394"/>
      <c r="K6" s="200"/>
      <c r="L6" s="200"/>
      <c r="M6" s="200"/>
      <c r="N6" s="220"/>
      <c r="O6" s="94"/>
      <c r="P6" s="90"/>
      <c r="Q6" s="91"/>
      <c r="R6" s="91"/>
      <c r="S6" s="91"/>
      <c r="T6" s="91"/>
      <c r="U6" s="92"/>
      <c r="V6" s="93"/>
      <c r="W6" s="93"/>
    </row>
    <row r="7" spans="1:23" ht="16.5" thickBot="1">
      <c r="A7" s="201"/>
      <c r="B7" s="535"/>
      <c r="C7" s="536"/>
      <c r="D7" s="536"/>
      <c r="E7" s="536"/>
      <c r="F7" s="536"/>
      <c r="G7" s="537"/>
      <c r="H7" s="396"/>
      <c r="I7" s="200"/>
      <c r="J7" s="200"/>
      <c r="K7" s="200"/>
      <c r="L7" s="200"/>
      <c r="M7" s="200"/>
      <c r="N7" s="220"/>
      <c r="O7" s="94"/>
      <c r="P7" s="90"/>
      <c r="Q7" s="91"/>
      <c r="R7" s="91"/>
      <c r="S7" s="91"/>
      <c r="T7" s="91"/>
      <c r="U7" s="92"/>
      <c r="V7" s="93"/>
      <c r="W7" s="93"/>
    </row>
    <row r="8" spans="1:23" ht="20.25">
      <c r="A8" s="201"/>
      <c r="B8" s="538" t="s">
        <v>195</v>
      </c>
      <c r="C8" s="539"/>
      <c r="D8" s="539"/>
      <c r="E8" s="539"/>
      <c r="F8" s="539"/>
      <c r="G8" s="540"/>
      <c r="H8" s="396"/>
      <c r="I8" s="200"/>
      <c r="J8" s="200"/>
      <c r="K8" s="200"/>
      <c r="L8" s="200"/>
      <c r="M8" s="200"/>
      <c r="N8" s="220"/>
      <c r="O8" s="94"/>
      <c r="P8" s="90"/>
      <c r="Q8" s="91"/>
      <c r="R8" s="91"/>
      <c r="S8" s="91"/>
      <c r="T8" s="91"/>
      <c r="U8" s="93"/>
      <c r="V8" s="93"/>
      <c r="W8" s="93"/>
    </row>
    <row r="9" spans="1:23" ht="21">
      <c r="A9" s="201"/>
      <c r="B9" s="541" t="s">
        <v>0</v>
      </c>
      <c r="C9" s="542"/>
      <c r="D9" s="542"/>
      <c r="E9" s="542"/>
      <c r="F9" s="542"/>
      <c r="G9" s="543"/>
      <c r="H9" s="397"/>
      <c r="I9" s="200"/>
      <c r="J9" s="200"/>
      <c r="K9" s="200"/>
      <c r="L9" s="200"/>
      <c r="M9" s="200"/>
      <c r="N9" s="220"/>
      <c r="O9" s="94"/>
      <c r="P9" s="90"/>
      <c r="Q9" s="97"/>
      <c r="R9" s="91"/>
      <c r="S9" s="91"/>
      <c r="T9" s="91"/>
      <c r="U9" s="93"/>
      <c r="V9" s="93"/>
      <c r="W9" s="93"/>
    </row>
    <row r="10" spans="1:23" ht="18.75" thickBot="1">
      <c r="A10" s="201"/>
      <c r="B10" s="504" t="s">
        <v>248</v>
      </c>
      <c r="C10" s="505"/>
      <c r="D10" s="505"/>
      <c r="E10" s="505"/>
      <c r="F10" s="505"/>
      <c r="G10" s="506"/>
      <c r="H10" s="396"/>
      <c r="I10" s="200"/>
      <c r="J10" s="200"/>
      <c r="K10" s="394"/>
      <c r="L10" s="200"/>
      <c r="M10" s="200"/>
      <c r="N10" s="220"/>
      <c r="O10" s="94"/>
      <c r="P10" s="90"/>
      <c r="Q10" s="98"/>
      <c r="R10" s="91"/>
      <c r="S10" s="91"/>
      <c r="T10" s="91"/>
      <c r="U10" s="93"/>
      <c r="V10" s="93"/>
      <c r="W10" s="93"/>
    </row>
    <row r="11" spans="1:23" ht="55.9" customHeight="1" thickBot="1">
      <c r="A11" s="201"/>
      <c r="B11" s="507" t="s">
        <v>298</v>
      </c>
      <c r="C11" s="508"/>
      <c r="D11" s="508"/>
      <c r="E11" s="508"/>
      <c r="F11" s="508"/>
      <c r="G11" s="509"/>
      <c r="H11" s="397"/>
      <c r="I11" s="200"/>
      <c r="J11" s="200"/>
      <c r="K11" s="200"/>
      <c r="L11" s="200"/>
      <c r="M11" s="200"/>
      <c r="N11" s="220"/>
      <c r="O11" s="94"/>
      <c r="P11" s="90"/>
      <c r="Q11" s="98"/>
      <c r="R11" s="91"/>
      <c r="S11" s="91"/>
      <c r="T11" s="91"/>
      <c r="U11" s="93"/>
      <c r="V11" s="93"/>
      <c r="W11" s="93"/>
    </row>
    <row r="12" spans="1:23" ht="16.5">
      <c r="A12" s="201"/>
      <c r="B12" s="510" t="s">
        <v>1</v>
      </c>
      <c r="C12" s="511"/>
      <c r="D12" s="511"/>
      <c r="E12" s="511"/>
      <c r="F12" s="511"/>
      <c r="G12" s="512"/>
      <c r="H12" s="200"/>
      <c r="I12" s="200"/>
      <c r="J12" s="200"/>
      <c r="K12" s="200"/>
      <c r="L12" s="200"/>
      <c r="M12" s="200"/>
      <c r="N12" s="220"/>
      <c r="O12" s="94"/>
      <c r="P12" s="90"/>
      <c r="Q12" s="34"/>
      <c r="R12" s="90"/>
      <c r="S12" s="90"/>
      <c r="T12" s="90"/>
    </row>
    <row r="13" spans="1:23" ht="17.25" thickBot="1">
      <c r="A13" s="201"/>
      <c r="B13" s="513"/>
      <c r="C13" s="514"/>
      <c r="D13" s="514"/>
      <c r="E13" s="514"/>
      <c r="F13" s="514"/>
      <c r="G13" s="515"/>
      <c r="H13" s="200"/>
      <c r="I13" s="200"/>
      <c r="J13" s="200"/>
      <c r="K13" s="200"/>
      <c r="L13" s="200"/>
      <c r="M13" s="200"/>
      <c r="N13" s="220"/>
      <c r="O13" s="94"/>
      <c r="P13" s="90"/>
      <c r="Q13" s="34"/>
      <c r="R13" s="90"/>
      <c r="S13" s="90"/>
      <c r="T13" s="90"/>
    </row>
    <row r="14" spans="1:23" ht="17.25" thickBot="1">
      <c r="A14" s="201"/>
      <c r="B14" s="398"/>
      <c r="C14" s="399" t="s">
        <v>449</v>
      </c>
      <c r="D14" s="400" t="s">
        <v>245</v>
      </c>
      <c r="E14" s="401" t="s">
        <v>246</v>
      </c>
      <c r="F14" s="402"/>
      <c r="G14" s="194"/>
      <c r="H14" s="200"/>
      <c r="I14" s="327"/>
      <c r="J14" s="200"/>
      <c r="K14" s="200"/>
      <c r="L14" s="200"/>
      <c r="M14" s="200"/>
      <c r="N14" s="220"/>
      <c r="O14" s="94"/>
      <c r="P14" s="90"/>
      <c r="Q14" s="34"/>
      <c r="R14" s="90"/>
      <c r="S14" s="90"/>
      <c r="T14" s="90"/>
    </row>
    <row r="15" spans="1:23" ht="18" customHeight="1">
      <c r="A15" s="201"/>
      <c r="B15" s="523" t="s">
        <v>202</v>
      </c>
      <c r="C15" s="524"/>
      <c r="D15" s="524"/>
      <c r="E15" s="524"/>
      <c r="F15" s="524"/>
      <c r="G15" s="525"/>
      <c r="H15" s="200"/>
      <c r="I15" s="200"/>
      <c r="J15" s="200"/>
      <c r="K15" s="200"/>
      <c r="L15" s="200"/>
      <c r="M15" s="200"/>
      <c r="N15" s="220"/>
      <c r="O15" s="94"/>
      <c r="P15" s="90"/>
      <c r="Q15" s="34"/>
      <c r="R15" s="90"/>
      <c r="S15" s="90"/>
      <c r="T15" s="90"/>
    </row>
    <row r="16" spans="1:23" ht="18.75" customHeight="1">
      <c r="A16" s="201"/>
      <c r="B16" s="403" t="s">
        <v>201</v>
      </c>
      <c r="C16" s="204" t="s">
        <v>785</v>
      </c>
      <c r="D16" s="87" t="s">
        <v>1031</v>
      </c>
      <c r="E16" s="404"/>
      <c r="F16" s="520" t="s">
        <v>521</v>
      </c>
      <c r="G16" s="521"/>
      <c r="H16" s="200"/>
      <c r="I16" s="200"/>
      <c r="J16" s="200"/>
      <c r="K16" s="200"/>
      <c r="L16" s="200"/>
      <c r="M16" s="200"/>
      <c r="N16" s="220"/>
      <c r="O16" s="91"/>
      <c r="P16" s="90"/>
      <c r="Q16" s="90"/>
      <c r="R16" s="90"/>
      <c r="S16" s="90"/>
      <c r="T16" s="90"/>
    </row>
    <row r="17" spans="1:20" ht="18.75" customHeight="1">
      <c r="A17" s="201"/>
      <c r="B17" s="405" t="s">
        <v>448</v>
      </c>
      <c r="C17" s="204" t="s">
        <v>786</v>
      </c>
      <c r="D17" s="82">
        <v>264</v>
      </c>
      <c r="E17" s="206" t="str">
        <f t="shared" ref="E17:E21" si="0">IF(Vin_type="AC","Vrms","V")</f>
        <v>Vrms</v>
      </c>
      <c r="F17" s="406" t="s">
        <v>283</v>
      </c>
      <c r="G17" s="407"/>
      <c r="H17" s="200"/>
      <c r="I17" s="200"/>
      <c r="J17" s="200"/>
      <c r="K17" s="200"/>
      <c r="L17" s="200"/>
      <c r="M17" s="200"/>
      <c r="N17" s="200"/>
      <c r="O17" s="90"/>
      <c r="P17" s="90"/>
      <c r="Q17" s="90"/>
      <c r="R17" s="90"/>
      <c r="S17" s="90"/>
      <c r="T17" s="90"/>
    </row>
    <row r="18" spans="1:20" ht="18.75" customHeight="1">
      <c r="A18" s="201"/>
      <c r="B18" s="405" t="s">
        <v>447</v>
      </c>
      <c r="C18" s="204" t="s">
        <v>787</v>
      </c>
      <c r="D18" s="49">
        <v>230</v>
      </c>
      <c r="E18" s="206" t="str">
        <f t="shared" si="0"/>
        <v>Vrms</v>
      </c>
      <c r="F18" s="467" t="s">
        <v>284</v>
      </c>
      <c r="G18" s="468"/>
      <c r="H18" s="200"/>
      <c r="I18" s="200"/>
      <c r="J18" s="200"/>
      <c r="K18" s="200"/>
      <c r="L18" s="200"/>
      <c r="M18" s="200"/>
      <c r="N18" s="200"/>
      <c r="O18" s="90"/>
      <c r="P18" s="90"/>
      <c r="Q18" s="90"/>
      <c r="R18" s="90"/>
      <c r="S18" s="90"/>
      <c r="T18" s="90"/>
    </row>
    <row r="19" spans="1:20" ht="18.600000000000001" customHeight="1">
      <c r="A19" s="201"/>
      <c r="B19" s="405" t="s">
        <v>446</v>
      </c>
      <c r="C19" s="204" t="s">
        <v>788</v>
      </c>
      <c r="D19" s="88">
        <v>85</v>
      </c>
      <c r="E19" s="206" t="str">
        <f t="shared" si="0"/>
        <v>Vrms</v>
      </c>
      <c r="F19" s="406" t="s">
        <v>282</v>
      </c>
      <c r="G19" s="408"/>
      <c r="H19" s="200"/>
      <c r="I19" s="200"/>
      <c r="J19" s="200"/>
      <c r="K19" s="200"/>
      <c r="L19" s="200"/>
      <c r="M19" s="200"/>
      <c r="N19" s="200"/>
      <c r="O19" s="90"/>
      <c r="P19" s="90"/>
      <c r="Q19" s="34"/>
      <c r="R19" s="90"/>
      <c r="S19" s="90"/>
      <c r="T19" s="90"/>
    </row>
    <row r="20" spans="1:20" s="41" customFormat="1" ht="18" customHeight="1">
      <c r="A20" s="201"/>
      <c r="B20" s="405" t="s">
        <v>522</v>
      </c>
      <c r="C20" s="204" t="s">
        <v>789</v>
      </c>
      <c r="D20" s="82">
        <v>80</v>
      </c>
      <c r="E20" s="206" t="str">
        <f t="shared" si="0"/>
        <v>Vrms</v>
      </c>
      <c r="F20" s="471" t="s">
        <v>539</v>
      </c>
      <c r="G20" s="472"/>
      <c r="H20" s="200"/>
      <c r="I20" s="200"/>
      <c r="J20" s="200"/>
      <c r="K20" s="200"/>
      <c r="L20" s="200"/>
      <c r="M20" s="200"/>
      <c r="N20" s="200"/>
      <c r="O20" s="90"/>
      <c r="P20" s="90"/>
      <c r="Q20" s="34"/>
      <c r="R20" s="90"/>
      <c r="S20" s="90"/>
      <c r="T20" s="90"/>
    </row>
    <row r="21" spans="1:20" s="41" customFormat="1" ht="18" customHeight="1">
      <c r="A21" s="201"/>
      <c r="B21" s="409" t="s">
        <v>790</v>
      </c>
      <c r="C21" s="410" t="s">
        <v>791</v>
      </c>
      <c r="D21" s="325">
        <f>0.83*VINPUT_Brownin</f>
        <v>66.399999999999991</v>
      </c>
      <c r="E21" s="206" t="str">
        <f t="shared" si="0"/>
        <v>Vrms</v>
      </c>
      <c r="F21" s="471" t="s">
        <v>292</v>
      </c>
      <c r="G21" s="472"/>
      <c r="H21" s="200"/>
      <c r="I21" s="200"/>
      <c r="J21" s="200"/>
      <c r="K21" s="200"/>
      <c r="L21" s="200"/>
      <c r="M21" s="200"/>
      <c r="N21" s="200"/>
      <c r="O21" s="90"/>
      <c r="P21" s="90"/>
      <c r="Q21" s="34"/>
      <c r="R21" s="90"/>
      <c r="S21" s="90"/>
      <c r="T21" s="90"/>
    </row>
    <row r="22" spans="1:20" ht="18" customHeight="1">
      <c r="A22" s="201"/>
      <c r="B22" s="405" t="s">
        <v>445</v>
      </c>
      <c r="C22" s="204" t="s">
        <v>792</v>
      </c>
      <c r="D22" s="49">
        <v>70</v>
      </c>
      <c r="E22" s="206" t="str">
        <f>IF(Vin_type="AC","V","V")</f>
        <v>V</v>
      </c>
      <c r="F22" s="467" t="s">
        <v>793</v>
      </c>
      <c r="G22" s="522"/>
      <c r="H22" s="200"/>
      <c r="I22" s="200"/>
      <c r="J22" s="200"/>
      <c r="K22" s="200"/>
      <c r="L22" s="200"/>
      <c r="M22" s="200"/>
      <c r="N22" s="200"/>
      <c r="O22" s="90"/>
      <c r="P22" s="90"/>
      <c r="Q22" s="90"/>
      <c r="R22" s="90"/>
      <c r="S22" s="90"/>
      <c r="T22" s="90"/>
    </row>
    <row r="23" spans="1:20" ht="18" customHeight="1">
      <c r="A23" s="201"/>
      <c r="B23" s="411"/>
      <c r="C23" s="412"/>
      <c r="D23" s="413"/>
      <c r="E23" s="413"/>
      <c r="F23" s="413"/>
      <c r="G23" s="414"/>
      <c r="H23" s="200"/>
      <c r="I23" s="200"/>
      <c r="J23" s="200"/>
      <c r="K23" s="200"/>
      <c r="L23" s="200"/>
      <c r="M23" s="200"/>
      <c r="N23" s="200"/>
      <c r="O23" s="90"/>
      <c r="P23" s="90"/>
      <c r="Q23" s="90"/>
      <c r="R23" s="90"/>
      <c r="S23" s="90"/>
      <c r="T23" s="90"/>
    </row>
    <row r="24" spans="1:20" ht="18.75">
      <c r="A24" s="201"/>
      <c r="B24" s="405" t="s">
        <v>444</v>
      </c>
      <c r="C24" s="204" t="s">
        <v>794</v>
      </c>
      <c r="D24" s="82">
        <v>47</v>
      </c>
      <c r="E24" s="206" t="s">
        <v>4</v>
      </c>
      <c r="F24" s="467" t="s">
        <v>1032</v>
      </c>
      <c r="G24" s="468"/>
      <c r="H24" s="200"/>
      <c r="I24" s="200"/>
      <c r="J24" s="200"/>
      <c r="K24" s="200"/>
      <c r="L24" s="200"/>
      <c r="M24" s="200"/>
      <c r="N24" s="200"/>
      <c r="O24" s="90"/>
      <c r="P24" s="90"/>
      <c r="Q24" s="90"/>
      <c r="R24" s="90"/>
      <c r="S24" s="90"/>
      <c r="T24" s="90"/>
    </row>
    <row r="25" spans="1:20" ht="18.75" customHeight="1" thickBot="1">
      <c r="A25" s="201"/>
      <c r="B25" s="415" t="s">
        <v>443</v>
      </c>
      <c r="C25" s="282" t="s">
        <v>795</v>
      </c>
      <c r="D25" s="89">
        <v>0.93</v>
      </c>
      <c r="E25" s="284"/>
      <c r="F25" s="526" t="s">
        <v>249</v>
      </c>
      <c r="G25" s="527"/>
      <c r="H25" s="200"/>
      <c r="I25" s="200"/>
      <c r="J25" s="200"/>
      <c r="K25" s="200"/>
      <c r="L25" s="200"/>
      <c r="M25" s="200"/>
      <c r="N25" s="200"/>
      <c r="O25" s="90"/>
      <c r="P25" s="90"/>
      <c r="Q25" s="90"/>
      <c r="R25" s="90"/>
      <c r="S25" s="90"/>
      <c r="T25" s="90"/>
    </row>
    <row r="26" spans="1:20" ht="16.5" thickBot="1">
      <c r="A26" s="201"/>
      <c r="B26" s="195"/>
      <c r="C26" s="195"/>
      <c r="D26" s="197"/>
      <c r="E26" s="195"/>
      <c r="F26" s="198"/>
      <c r="G26" s="199"/>
      <c r="H26" s="200"/>
      <c r="I26" s="200"/>
      <c r="J26" s="200"/>
      <c r="K26" s="200"/>
      <c r="L26" s="200"/>
      <c r="M26" s="200"/>
      <c r="N26" s="200"/>
      <c r="O26" s="90"/>
      <c r="P26" s="90"/>
      <c r="Q26" s="90"/>
      <c r="R26" s="90"/>
      <c r="S26" s="90"/>
      <c r="T26" s="90"/>
    </row>
    <row r="27" spans="1:20" ht="18" customHeight="1">
      <c r="A27" s="201"/>
      <c r="B27" s="516" t="s">
        <v>6</v>
      </c>
      <c r="C27" s="517"/>
      <c r="D27" s="518"/>
      <c r="E27" s="518"/>
      <c r="F27" s="518"/>
      <c r="G27" s="519"/>
      <c r="H27" s="200"/>
      <c r="I27" s="200"/>
      <c r="J27" s="200"/>
      <c r="K27" s="200"/>
      <c r="L27" s="200"/>
      <c r="M27" s="200"/>
      <c r="N27" s="200"/>
      <c r="O27" s="90"/>
      <c r="P27" s="90"/>
      <c r="Q27" s="90"/>
      <c r="R27" s="90"/>
      <c r="S27" s="90"/>
      <c r="T27" s="90"/>
    </row>
    <row r="28" spans="1:20" ht="18.75">
      <c r="A28" s="201"/>
      <c r="B28" s="416" t="s">
        <v>442</v>
      </c>
      <c r="C28" s="417" t="s">
        <v>778</v>
      </c>
      <c r="D28" s="84">
        <v>5</v>
      </c>
      <c r="E28" s="477" t="s">
        <v>138</v>
      </c>
      <c r="F28" s="477"/>
      <c r="G28" s="478"/>
      <c r="H28" s="200"/>
      <c r="I28" s="200"/>
      <c r="J28" s="200"/>
      <c r="K28" s="200"/>
      <c r="L28" s="200"/>
      <c r="M28" s="200"/>
      <c r="N28" s="200"/>
      <c r="O28" s="90"/>
      <c r="P28" s="90"/>
      <c r="Q28" s="90"/>
      <c r="R28" s="90"/>
      <c r="S28" s="90"/>
      <c r="T28" s="90"/>
    </row>
    <row r="29" spans="1:20" ht="18" customHeight="1">
      <c r="A29" s="201"/>
      <c r="B29" s="405" t="s">
        <v>441</v>
      </c>
      <c r="C29" s="204" t="s">
        <v>373</v>
      </c>
      <c r="D29" s="82">
        <v>115</v>
      </c>
      <c r="E29" s="477" t="s">
        <v>5</v>
      </c>
      <c r="F29" s="477"/>
      <c r="G29" s="478"/>
      <c r="H29" s="200"/>
      <c r="I29" s="200"/>
      <c r="J29" s="200"/>
      <c r="K29" s="200"/>
      <c r="L29" s="200"/>
      <c r="M29" s="200"/>
      <c r="N29" s="200"/>
      <c r="O29" s="90"/>
      <c r="P29" s="90"/>
      <c r="Q29" s="90"/>
      <c r="R29" s="90"/>
      <c r="S29" s="90"/>
      <c r="T29" s="90"/>
    </row>
    <row r="30" spans="1:20" ht="18.75">
      <c r="A30" s="201"/>
      <c r="B30" s="416" t="s">
        <v>440</v>
      </c>
      <c r="C30" s="417" t="s">
        <v>779</v>
      </c>
      <c r="D30" s="85">
        <v>50</v>
      </c>
      <c r="E30" s="206" t="s">
        <v>9</v>
      </c>
      <c r="F30" s="418" t="s">
        <v>450</v>
      </c>
      <c r="G30" s="207"/>
      <c r="H30" s="200"/>
      <c r="I30" s="200"/>
      <c r="J30" s="200"/>
      <c r="K30" s="200"/>
      <c r="L30" s="200"/>
      <c r="M30" s="200"/>
      <c r="N30" s="200"/>
      <c r="O30" s="90"/>
      <c r="P30" s="90"/>
      <c r="Q30" s="90"/>
      <c r="R30" s="90"/>
      <c r="S30" s="90"/>
      <c r="T30" s="90"/>
    </row>
    <row r="31" spans="1:20" ht="18.75">
      <c r="A31" s="201"/>
      <c r="B31" s="416" t="s">
        <v>439</v>
      </c>
      <c r="C31" s="417" t="s">
        <v>780</v>
      </c>
      <c r="D31" s="315">
        <f>PO_FL/VOUT</f>
        <v>10</v>
      </c>
      <c r="E31" s="477" t="s">
        <v>7</v>
      </c>
      <c r="F31" s="477"/>
      <c r="G31" s="478"/>
      <c r="H31" s="200"/>
      <c r="I31" s="200"/>
      <c r="J31" s="200"/>
      <c r="K31" s="200"/>
      <c r="L31" s="200"/>
      <c r="M31" s="200"/>
      <c r="N31" s="200"/>
      <c r="O31" s="90"/>
      <c r="P31" s="90"/>
      <c r="Q31" s="90"/>
      <c r="R31" s="90"/>
      <c r="S31" s="90"/>
      <c r="T31" s="90"/>
    </row>
    <row r="32" spans="1:20" s="41" customFormat="1" ht="18" customHeight="1">
      <c r="A32" s="201"/>
      <c r="B32" s="405" t="s">
        <v>438</v>
      </c>
      <c r="C32" s="204" t="s">
        <v>374</v>
      </c>
      <c r="D32" s="82">
        <v>110</v>
      </c>
      <c r="E32" s="419" t="s">
        <v>5</v>
      </c>
      <c r="F32" s="479" t="s">
        <v>250</v>
      </c>
      <c r="G32" s="480"/>
      <c r="H32" s="200"/>
      <c r="I32" s="200"/>
      <c r="J32" s="200"/>
      <c r="K32" s="200"/>
      <c r="L32" s="200"/>
      <c r="M32" s="200"/>
      <c r="N32" s="200"/>
      <c r="O32" s="90"/>
      <c r="P32" s="90"/>
      <c r="Q32" s="90"/>
      <c r="R32" s="90"/>
      <c r="S32" s="90"/>
      <c r="T32" s="90"/>
    </row>
    <row r="33" spans="1:21" ht="18.75">
      <c r="A33" s="201"/>
      <c r="B33" s="416" t="s">
        <v>437</v>
      </c>
      <c r="C33" s="417" t="s">
        <v>781</v>
      </c>
      <c r="D33" s="315">
        <f>PO_FL*OPP*0.01/VOUT</f>
        <v>11</v>
      </c>
      <c r="E33" s="477" t="s">
        <v>7</v>
      </c>
      <c r="F33" s="477"/>
      <c r="G33" s="478"/>
      <c r="H33" s="200"/>
      <c r="I33" s="200"/>
      <c r="J33" s="200"/>
      <c r="K33" s="200"/>
      <c r="L33" s="200"/>
      <c r="M33" s="200"/>
      <c r="N33" s="200"/>
      <c r="O33" s="90"/>
      <c r="P33" s="90"/>
      <c r="Q33" s="90"/>
      <c r="R33" s="90"/>
      <c r="S33" s="90"/>
      <c r="T33" s="90"/>
    </row>
    <row r="34" spans="1:21" ht="18" customHeight="1">
      <c r="A34" s="201"/>
      <c r="B34" s="416" t="s">
        <v>436</v>
      </c>
      <c r="C34" s="417" t="s">
        <v>375</v>
      </c>
      <c r="D34" s="82">
        <v>60</v>
      </c>
      <c r="E34" s="261" t="s">
        <v>5</v>
      </c>
      <c r="F34" s="471" t="s">
        <v>548</v>
      </c>
      <c r="G34" s="472"/>
      <c r="H34" s="200"/>
      <c r="I34" s="200"/>
      <c r="J34" s="200"/>
      <c r="K34" s="200"/>
      <c r="L34" s="200"/>
      <c r="M34" s="200"/>
      <c r="N34" s="200"/>
      <c r="O34" s="90"/>
      <c r="P34" s="90"/>
      <c r="Q34" s="90"/>
      <c r="R34" s="90"/>
      <c r="S34" s="90"/>
      <c r="T34" s="90"/>
    </row>
    <row r="35" spans="1:21" ht="18.75">
      <c r="A35" s="201"/>
      <c r="B35" s="420" t="s">
        <v>435</v>
      </c>
      <c r="C35" s="214" t="s">
        <v>782</v>
      </c>
      <c r="D35" s="86">
        <v>160</v>
      </c>
      <c r="E35" s="421" t="s">
        <v>10</v>
      </c>
      <c r="F35" s="498" t="s">
        <v>199</v>
      </c>
      <c r="G35" s="499"/>
      <c r="H35" s="200"/>
      <c r="I35" s="200"/>
      <c r="J35" s="200"/>
      <c r="K35" s="200"/>
      <c r="L35" s="200"/>
      <c r="M35" s="200"/>
      <c r="N35" s="200"/>
      <c r="O35" s="90"/>
      <c r="P35" s="90"/>
      <c r="Q35" s="90"/>
      <c r="R35" s="90"/>
      <c r="S35" s="90"/>
      <c r="T35" s="90"/>
    </row>
    <row r="36" spans="1:21" ht="18.75">
      <c r="A36" s="201"/>
      <c r="B36" s="416" t="s">
        <v>434</v>
      </c>
      <c r="C36" s="417" t="s">
        <v>783</v>
      </c>
      <c r="D36" s="84">
        <v>2</v>
      </c>
      <c r="E36" s="206" t="s">
        <v>10</v>
      </c>
      <c r="F36" s="418" t="s">
        <v>11</v>
      </c>
      <c r="G36" s="207"/>
      <c r="H36" s="200"/>
      <c r="I36" s="200"/>
      <c r="J36" s="200"/>
      <c r="K36" s="200"/>
      <c r="L36" s="200"/>
      <c r="M36" s="200"/>
      <c r="N36" s="200"/>
      <c r="O36" s="90"/>
      <c r="P36" s="90"/>
      <c r="Q36" s="90"/>
      <c r="R36" s="90"/>
      <c r="S36" s="90"/>
      <c r="T36" s="90"/>
    </row>
    <row r="37" spans="1:21" ht="19.5" thickBot="1">
      <c r="A37" s="201"/>
      <c r="B37" s="415" t="s">
        <v>451</v>
      </c>
      <c r="C37" s="282" t="s">
        <v>784</v>
      </c>
      <c r="D37" s="1">
        <v>200</v>
      </c>
      <c r="E37" s="284" t="s">
        <v>125</v>
      </c>
      <c r="F37" s="494" t="s">
        <v>251</v>
      </c>
      <c r="G37" s="495"/>
      <c r="H37" s="200"/>
      <c r="I37" s="200"/>
      <c r="J37" s="200"/>
      <c r="K37" s="200"/>
      <c r="L37" s="200"/>
      <c r="M37" s="200"/>
      <c r="N37" s="200"/>
      <c r="O37" s="90"/>
      <c r="P37" s="90"/>
      <c r="Q37" s="90"/>
      <c r="R37" s="90"/>
      <c r="S37" s="90"/>
      <c r="T37" s="90"/>
    </row>
    <row r="38" spans="1:21" ht="16.5" thickBot="1">
      <c r="A38" s="201"/>
      <c r="B38" s="195"/>
      <c r="C38" s="195"/>
      <c r="D38" s="197"/>
      <c r="E38" s="195"/>
      <c r="F38" s="198"/>
      <c r="G38" s="199"/>
      <c r="H38" s="200"/>
      <c r="I38" s="200"/>
      <c r="J38" s="200"/>
      <c r="K38" s="200"/>
      <c r="L38" s="200"/>
      <c r="M38" s="200"/>
      <c r="N38" s="200"/>
      <c r="O38" s="90"/>
      <c r="P38" s="90"/>
      <c r="Q38" s="90"/>
      <c r="R38" s="90"/>
      <c r="S38" s="90"/>
      <c r="T38" s="90"/>
    </row>
    <row r="39" spans="1:21" ht="18" customHeight="1">
      <c r="A39" s="201"/>
      <c r="B39" s="500" t="s">
        <v>285</v>
      </c>
      <c r="C39" s="501"/>
      <c r="D39" s="502"/>
      <c r="E39" s="502"/>
      <c r="F39" s="502"/>
      <c r="G39" s="503"/>
      <c r="H39" s="200"/>
      <c r="I39" s="200"/>
      <c r="J39" s="200"/>
      <c r="K39" s="200"/>
      <c r="L39" s="200"/>
      <c r="M39" s="200"/>
      <c r="N39" s="200"/>
      <c r="O39" s="90"/>
      <c r="P39" s="90"/>
      <c r="Q39" s="90"/>
      <c r="R39" s="90"/>
      <c r="S39" s="90"/>
      <c r="T39" s="90"/>
    </row>
    <row r="40" spans="1:21" ht="18.75">
      <c r="A40" s="201"/>
      <c r="B40" s="422" t="s">
        <v>759</v>
      </c>
      <c r="C40" s="204" t="s">
        <v>760</v>
      </c>
      <c r="D40" s="35">
        <v>80</v>
      </c>
      <c r="E40" s="261" t="s">
        <v>5</v>
      </c>
      <c r="F40" s="467"/>
      <c r="G40" s="468"/>
      <c r="H40" s="200"/>
      <c r="I40" s="200"/>
      <c r="J40" s="248"/>
      <c r="K40" s="200"/>
      <c r="L40" s="200"/>
      <c r="M40" s="200"/>
      <c r="N40" s="200"/>
      <c r="O40" s="90"/>
      <c r="P40" s="90"/>
      <c r="Q40" s="90"/>
      <c r="R40" s="90"/>
      <c r="S40" s="90"/>
      <c r="T40" s="90"/>
    </row>
    <row r="41" spans="1:21" ht="18.75">
      <c r="A41" s="201"/>
      <c r="B41" s="422" t="s">
        <v>469</v>
      </c>
      <c r="C41" s="204" t="s">
        <v>761</v>
      </c>
      <c r="D41" s="260">
        <f>IF(Vin_type="AC",((VINPUT_max*1.414+NPS*VOUT)/(Kder/100)),((VINPUT_max+NPS*VOUT)/(Kder/100)))</f>
        <v>566.62</v>
      </c>
      <c r="E41" s="261" t="s">
        <v>8</v>
      </c>
      <c r="F41" s="467"/>
      <c r="G41" s="468"/>
      <c r="H41" s="396"/>
      <c r="I41" s="200"/>
      <c r="J41" s="248"/>
      <c r="K41" s="200"/>
      <c r="L41" s="200"/>
      <c r="M41" s="200"/>
      <c r="N41" s="200"/>
      <c r="O41" s="90"/>
      <c r="P41" s="90"/>
      <c r="Q41" s="90"/>
      <c r="R41" s="90"/>
      <c r="S41" s="90"/>
      <c r="T41" s="90"/>
    </row>
    <row r="42" spans="1:21" ht="18.75">
      <c r="A42" s="201"/>
      <c r="B42" s="405" t="s">
        <v>433</v>
      </c>
      <c r="C42" s="204" t="s">
        <v>762</v>
      </c>
      <c r="D42" s="82">
        <v>600</v>
      </c>
      <c r="E42" s="421" t="s">
        <v>8</v>
      </c>
      <c r="F42" s="496" t="s">
        <v>3</v>
      </c>
      <c r="G42" s="497"/>
      <c r="H42" s="242"/>
      <c r="I42" s="200"/>
      <c r="J42" s="200"/>
      <c r="K42" s="200"/>
      <c r="L42" s="200"/>
      <c r="M42" s="200"/>
      <c r="N42" s="200"/>
      <c r="O42" s="90"/>
      <c r="P42" s="90"/>
      <c r="Q42" s="90"/>
      <c r="R42" s="90"/>
      <c r="S42" s="90"/>
      <c r="T42" s="90"/>
    </row>
    <row r="43" spans="1:21" ht="18" customHeight="1">
      <c r="A43" s="201"/>
      <c r="B43" s="405" t="s">
        <v>461</v>
      </c>
      <c r="C43" s="204" t="s">
        <v>376</v>
      </c>
      <c r="D43" s="49">
        <v>1</v>
      </c>
      <c r="E43" s="423"/>
      <c r="F43" s="471" t="s">
        <v>460</v>
      </c>
      <c r="G43" s="472"/>
      <c r="H43" s="194"/>
      <c r="I43" s="200"/>
      <c r="J43" s="200"/>
      <c r="K43" s="200"/>
      <c r="L43" s="200"/>
      <c r="M43" s="200"/>
      <c r="N43" s="200"/>
      <c r="O43" s="90"/>
      <c r="P43" s="90"/>
      <c r="Q43" s="90"/>
      <c r="R43" s="90"/>
      <c r="S43" s="90"/>
      <c r="T43" s="90"/>
    </row>
    <row r="44" spans="1:21" ht="18.75">
      <c r="A44" s="201"/>
      <c r="B44" s="405" t="s">
        <v>462</v>
      </c>
      <c r="C44" s="204" t="s">
        <v>763</v>
      </c>
      <c r="D44" s="278">
        <f>IF(SET=0,11.2*10^11,5.6*10^11)</f>
        <v>560000000000</v>
      </c>
      <c r="E44" s="424" t="s">
        <v>764</v>
      </c>
      <c r="F44" s="471" t="s">
        <v>463</v>
      </c>
      <c r="G44" s="472"/>
      <c r="H44" s="200"/>
      <c r="I44" s="200"/>
      <c r="J44" s="200"/>
      <c r="K44" s="200"/>
      <c r="L44" s="200"/>
      <c r="M44" s="200"/>
      <c r="N44" s="200"/>
      <c r="O44" s="90"/>
      <c r="P44" s="90"/>
      <c r="Q44" s="90"/>
      <c r="R44" s="90"/>
      <c r="S44" s="90"/>
      <c r="T44" s="90"/>
    </row>
    <row r="45" spans="1:21" ht="18.75" customHeight="1">
      <c r="A45" s="201"/>
      <c r="B45" s="425" t="s">
        <v>464</v>
      </c>
      <c r="C45" s="426"/>
      <c r="D45" s="427"/>
      <c r="E45" s="421"/>
      <c r="F45" s="458"/>
      <c r="G45" s="459"/>
      <c r="H45" s="430" t="s">
        <v>541</v>
      </c>
      <c r="I45" s="200"/>
      <c r="J45" s="200"/>
      <c r="K45" s="200"/>
      <c r="L45" s="200"/>
      <c r="M45" s="200"/>
      <c r="N45" s="200"/>
      <c r="O45" s="90"/>
      <c r="P45" s="90"/>
      <c r="Q45" s="90"/>
      <c r="R45" s="90"/>
      <c r="S45" s="90"/>
      <c r="T45" s="90"/>
    </row>
    <row r="46" spans="1:21" ht="18.75" customHeight="1">
      <c r="A46" s="201"/>
      <c r="B46" s="203" t="s">
        <v>286</v>
      </c>
      <c r="C46" s="547" t="s">
        <v>1033</v>
      </c>
      <c r="D46" s="547"/>
      <c r="E46" s="206"/>
      <c r="F46" s="467" t="s">
        <v>470</v>
      </c>
      <c r="G46" s="468"/>
      <c r="H46" s="200"/>
      <c r="I46" s="200"/>
      <c r="J46" s="200"/>
      <c r="K46" s="200"/>
      <c r="L46" s="200"/>
      <c r="M46" s="200"/>
      <c r="N46" s="200"/>
      <c r="O46" s="90"/>
      <c r="P46" s="90"/>
      <c r="Q46" s="90"/>
      <c r="R46" s="90"/>
      <c r="S46" s="90"/>
      <c r="T46" s="90"/>
    </row>
    <row r="47" spans="1:21" ht="18.75">
      <c r="A47" s="201"/>
      <c r="B47" s="405" t="s">
        <v>549</v>
      </c>
      <c r="C47" s="204" t="s">
        <v>765</v>
      </c>
      <c r="D47" s="83">
        <v>0.28000000000000003</v>
      </c>
      <c r="E47" s="419" t="s">
        <v>12</v>
      </c>
      <c r="F47" s="460"/>
      <c r="G47" s="461"/>
      <c r="H47" s="200"/>
      <c r="I47" s="200"/>
      <c r="J47" s="200"/>
      <c r="K47" s="200"/>
      <c r="L47" s="200"/>
      <c r="M47" s="200"/>
      <c r="N47" s="200"/>
      <c r="O47" s="90"/>
      <c r="P47" s="90"/>
      <c r="Q47" s="90"/>
      <c r="R47" s="90"/>
      <c r="S47" s="90"/>
      <c r="T47" s="90"/>
    </row>
    <row r="48" spans="1:21" ht="18.75" customHeight="1">
      <c r="A48" s="201"/>
      <c r="B48" s="405" t="s">
        <v>456</v>
      </c>
      <c r="C48" s="204" t="s">
        <v>766</v>
      </c>
      <c r="D48" s="82">
        <v>5000</v>
      </c>
      <c r="E48" s="206" t="s">
        <v>15</v>
      </c>
      <c r="F48" s="418"/>
      <c r="G48" s="207" t="s">
        <v>540</v>
      </c>
      <c r="H48" s="200"/>
      <c r="I48" s="200"/>
      <c r="J48" s="200"/>
      <c r="K48" s="200"/>
      <c r="L48" s="200"/>
      <c r="M48" s="200"/>
      <c r="N48" s="200"/>
      <c r="O48" s="90"/>
      <c r="P48" s="90"/>
      <c r="Q48" s="90"/>
      <c r="R48" s="90"/>
      <c r="S48" s="90"/>
      <c r="T48" s="90"/>
      <c r="U48" s="95"/>
    </row>
    <row r="49" spans="1:20" ht="18.75" customHeight="1">
      <c r="A49" s="201"/>
      <c r="B49" s="405" t="s">
        <v>457</v>
      </c>
      <c r="C49" s="204" t="s">
        <v>767</v>
      </c>
      <c r="D49" s="82">
        <v>22</v>
      </c>
      <c r="E49" s="206" t="s">
        <v>15</v>
      </c>
      <c r="F49" s="418"/>
      <c r="G49" s="207" t="s">
        <v>540</v>
      </c>
      <c r="H49" s="200"/>
      <c r="I49" s="200"/>
      <c r="J49" s="200"/>
      <c r="K49" s="200"/>
      <c r="L49" s="200"/>
      <c r="M49" s="200"/>
      <c r="N49" s="200"/>
      <c r="O49" s="90"/>
      <c r="P49" s="90"/>
      <c r="Q49" s="90"/>
      <c r="R49" s="90"/>
      <c r="S49" s="90"/>
      <c r="T49" s="90"/>
    </row>
    <row r="50" spans="1:20" ht="18.75">
      <c r="A50" s="201"/>
      <c r="B50" s="405" t="s">
        <v>551</v>
      </c>
      <c r="C50" s="204" t="s">
        <v>768</v>
      </c>
      <c r="D50" s="82">
        <v>24</v>
      </c>
      <c r="E50" s="206" t="s">
        <v>14</v>
      </c>
      <c r="F50" s="418"/>
      <c r="G50" s="207" t="s">
        <v>540</v>
      </c>
      <c r="H50" s="200"/>
      <c r="I50" s="200"/>
      <c r="J50" s="200"/>
      <c r="K50" s="200"/>
      <c r="L50" s="200"/>
      <c r="M50" s="200"/>
      <c r="N50" s="200"/>
      <c r="O50" s="90"/>
      <c r="P50" s="90"/>
      <c r="Q50" s="90"/>
      <c r="R50" s="90"/>
      <c r="S50" s="90"/>
      <c r="T50" s="90"/>
    </row>
    <row r="51" spans="1:20" ht="18.75">
      <c r="A51" s="201"/>
      <c r="B51" s="405" t="s">
        <v>458</v>
      </c>
      <c r="C51" s="204" t="s">
        <v>769</v>
      </c>
      <c r="D51" s="82">
        <v>45</v>
      </c>
      <c r="E51" s="421" t="s">
        <v>16</v>
      </c>
      <c r="F51" s="432"/>
      <c r="G51" s="433"/>
      <c r="H51" s="200"/>
      <c r="I51" s="200"/>
      <c r="J51" s="200"/>
      <c r="K51" s="200"/>
      <c r="L51" s="200"/>
      <c r="M51" s="200"/>
      <c r="N51" s="200"/>
      <c r="O51" s="90"/>
      <c r="P51" s="90"/>
      <c r="Q51" s="90"/>
      <c r="R51" s="90"/>
      <c r="S51" s="90"/>
      <c r="T51" s="90"/>
    </row>
    <row r="52" spans="1:20" ht="18.75">
      <c r="A52" s="201"/>
      <c r="B52" s="405" t="s">
        <v>459</v>
      </c>
      <c r="C52" s="204" t="s">
        <v>770</v>
      </c>
      <c r="D52" s="434">
        <f>IF(Vin_type="AC",((COSS_QH_bg*Vxh*(10^-12)+COSS_QH_sm*(10^-12)*(VBulk_min_tgt+NPS*VOUT-Vxh))/(VBulk_min_tgt+VOUT*NPS))*10^12,((COSS_QH_bg*Vxh*(10^-12)+COSS_QH_sm*(10^-12)*(VBulk_min_tgt+NPS*VOUT-Vxh))/(VBulk_min_tgt+VOUT*NPS))*10^12)</f>
        <v>818.47999999999979</v>
      </c>
      <c r="E52" s="206" t="s">
        <v>15</v>
      </c>
      <c r="F52" s="406"/>
      <c r="G52" s="207"/>
      <c r="H52" s="396"/>
      <c r="I52" s="200"/>
      <c r="J52" s="248"/>
      <c r="K52" s="200"/>
      <c r="L52" s="200"/>
      <c r="M52" s="200"/>
      <c r="N52" s="200"/>
      <c r="O52" s="90"/>
      <c r="P52" s="90"/>
      <c r="Q52" s="90"/>
      <c r="R52" s="90"/>
      <c r="S52" s="90"/>
      <c r="T52" s="90"/>
    </row>
    <row r="53" spans="1:20" ht="18.75" customHeight="1">
      <c r="A53" s="201"/>
      <c r="B53" s="435" t="s">
        <v>465</v>
      </c>
      <c r="C53" s="436"/>
      <c r="D53" s="427"/>
      <c r="E53" s="419"/>
      <c r="F53" s="195"/>
      <c r="G53" s="437"/>
      <c r="H53" s="200"/>
      <c r="I53" s="200"/>
      <c r="J53" s="248"/>
      <c r="K53" s="200"/>
      <c r="L53" s="200"/>
      <c r="M53" s="200"/>
      <c r="N53" s="200"/>
      <c r="O53" s="90"/>
      <c r="P53" s="90"/>
      <c r="Q53" s="90"/>
      <c r="R53" s="90"/>
      <c r="S53" s="90"/>
      <c r="T53" s="90"/>
    </row>
    <row r="54" spans="1:20" ht="18.75" customHeight="1">
      <c r="A54" s="201"/>
      <c r="B54" s="203" t="s">
        <v>287</v>
      </c>
      <c r="C54" s="463" t="s">
        <v>1034</v>
      </c>
      <c r="D54" s="464"/>
      <c r="E54" s="475"/>
      <c r="F54" s="475"/>
      <c r="G54" s="476"/>
      <c r="H54" s="200"/>
      <c r="I54" s="200"/>
      <c r="J54" s="200"/>
      <c r="K54" s="200"/>
      <c r="L54" s="200"/>
      <c r="M54" s="200"/>
      <c r="N54" s="200"/>
      <c r="O54" s="90"/>
      <c r="P54" s="90"/>
      <c r="Q54" s="90"/>
      <c r="R54" s="90"/>
      <c r="S54" s="90"/>
      <c r="T54" s="90"/>
    </row>
    <row r="55" spans="1:20" ht="18.75">
      <c r="A55" s="201"/>
      <c r="B55" s="405" t="s">
        <v>550</v>
      </c>
      <c r="C55" s="204" t="s">
        <v>771</v>
      </c>
      <c r="D55" s="83">
        <v>0.28000000000000003</v>
      </c>
      <c r="E55" s="206" t="s">
        <v>12</v>
      </c>
      <c r="F55" s="432"/>
      <c r="G55" s="433"/>
      <c r="H55" s="200"/>
      <c r="I55" s="200"/>
      <c r="J55" s="200"/>
      <c r="K55" s="200"/>
      <c r="L55" s="200"/>
      <c r="M55" s="200"/>
      <c r="N55" s="200"/>
      <c r="O55" s="90"/>
      <c r="P55" s="90"/>
      <c r="Q55" s="90"/>
      <c r="R55" s="90"/>
      <c r="S55" s="90"/>
      <c r="T55" s="90"/>
    </row>
    <row r="56" spans="1:20" ht="18.75">
      <c r="A56" s="201"/>
      <c r="B56" s="405" t="s">
        <v>772</v>
      </c>
      <c r="C56" s="204" t="s">
        <v>773</v>
      </c>
      <c r="D56" s="82">
        <v>5000</v>
      </c>
      <c r="E56" s="206" t="s">
        <v>15</v>
      </c>
      <c r="F56" s="432"/>
      <c r="G56" s="207" t="s">
        <v>540</v>
      </c>
      <c r="H56" s="200"/>
      <c r="I56" s="200"/>
      <c r="J56" s="200"/>
      <c r="K56" s="200"/>
      <c r="L56" s="200"/>
      <c r="M56" s="200"/>
      <c r="N56" s="200"/>
      <c r="O56" s="90"/>
      <c r="P56" s="90"/>
      <c r="Q56" s="90"/>
      <c r="R56" s="90"/>
      <c r="S56" s="90"/>
      <c r="T56" s="90"/>
    </row>
    <row r="57" spans="1:20" ht="18.75">
      <c r="A57" s="201"/>
      <c r="B57" s="405" t="s">
        <v>455</v>
      </c>
      <c r="C57" s="204" t="s">
        <v>774</v>
      </c>
      <c r="D57" s="82">
        <v>22</v>
      </c>
      <c r="E57" s="206" t="s">
        <v>15</v>
      </c>
      <c r="F57" s="432"/>
      <c r="G57" s="207" t="s">
        <v>540</v>
      </c>
      <c r="H57" s="200"/>
      <c r="I57" s="200"/>
      <c r="J57" s="200"/>
      <c r="K57" s="200"/>
      <c r="L57" s="200"/>
      <c r="M57" s="200"/>
      <c r="N57" s="200"/>
      <c r="O57" s="90"/>
      <c r="P57" s="90"/>
      <c r="Q57" s="90"/>
      <c r="R57" s="90"/>
      <c r="S57" s="90"/>
      <c r="T57" s="90"/>
    </row>
    <row r="58" spans="1:20" ht="18.75">
      <c r="A58" s="201"/>
      <c r="B58" s="405" t="s">
        <v>552</v>
      </c>
      <c r="C58" s="204" t="s">
        <v>775</v>
      </c>
      <c r="D58" s="82">
        <v>24</v>
      </c>
      <c r="E58" s="206" t="s">
        <v>14</v>
      </c>
      <c r="F58" s="432"/>
      <c r="G58" s="207" t="s">
        <v>540</v>
      </c>
      <c r="H58" s="200"/>
      <c r="I58" s="200"/>
      <c r="J58" s="200"/>
      <c r="K58" s="200"/>
      <c r="L58" s="200"/>
      <c r="M58" s="200"/>
      <c r="N58" s="200"/>
      <c r="O58" s="90"/>
      <c r="P58" s="90"/>
      <c r="Q58" s="90"/>
      <c r="R58" s="90"/>
      <c r="S58" s="90"/>
      <c r="T58" s="90"/>
    </row>
    <row r="59" spans="1:20" ht="18.75">
      <c r="A59" s="201"/>
      <c r="B59" s="405" t="s">
        <v>458</v>
      </c>
      <c r="C59" s="204" t="s">
        <v>776</v>
      </c>
      <c r="D59" s="82">
        <v>45</v>
      </c>
      <c r="E59" s="206" t="s">
        <v>7</v>
      </c>
      <c r="F59" s="418"/>
      <c r="G59" s="207"/>
      <c r="H59" s="200"/>
      <c r="I59" s="200"/>
      <c r="J59" s="200"/>
      <c r="K59" s="200"/>
      <c r="L59" s="200"/>
      <c r="M59" s="200"/>
      <c r="N59" s="200"/>
      <c r="O59" s="90"/>
      <c r="P59" s="90"/>
      <c r="Q59" s="90"/>
      <c r="R59" s="90"/>
      <c r="S59" s="90"/>
      <c r="T59" s="90"/>
    </row>
    <row r="60" spans="1:20" ht="19.5" thickBot="1">
      <c r="A60" s="201"/>
      <c r="B60" s="415" t="s">
        <v>459</v>
      </c>
      <c r="C60" s="282" t="s">
        <v>777</v>
      </c>
      <c r="D60" s="438">
        <f>IF(Vin_type="AC",((COSS_QL_bg*Vxl*(10^-12)+COSS_QL_sm*(10^-12)*(VBulk_min_tgt+NPS*VOUT-Vxl))/(VBulk_min_tgt+VOUT*NPS))*10^12,((COSS_QL_bg*Vxl*(10^-12)+COSS_QL_sm*(10^-12)*(VBulk_min_tgt+NPS*VOUT-Vxl))/(VBulk_min_tgt+VOUT*NPS))*10^12)</f>
        <v>818.47999999999979</v>
      </c>
      <c r="E60" s="284" t="s">
        <v>15</v>
      </c>
      <c r="F60" s="439"/>
      <c r="G60" s="440"/>
      <c r="H60" s="396"/>
      <c r="I60" s="200"/>
      <c r="J60" s="248"/>
      <c r="K60" s="200"/>
      <c r="L60" s="200"/>
      <c r="M60" s="200"/>
      <c r="N60" s="200"/>
      <c r="O60" s="90"/>
      <c r="P60" s="90"/>
      <c r="Q60" s="90"/>
      <c r="R60" s="90"/>
      <c r="S60" s="90"/>
      <c r="T60" s="90"/>
    </row>
    <row r="61" spans="1:20" ht="16.5" thickBot="1">
      <c r="A61" s="201"/>
      <c r="B61" s="441"/>
      <c r="C61" s="441"/>
      <c r="D61" s="197"/>
      <c r="E61" s="442"/>
      <c r="F61" s="442"/>
      <c r="G61" s="442"/>
      <c r="H61" s="200"/>
      <c r="I61" s="200"/>
      <c r="J61" s="248"/>
      <c r="K61" s="200"/>
      <c r="L61" s="200"/>
      <c r="M61" s="200"/>
      <c r="N61" s="200"/>
      <c r="O61" s="90"/>
      <c r="P61" s="90"/>
      <c r="Q61" s="90"/>
      <c r="R61" s="90"/>
      <c r="S61" s="90"/>
      <c r="T61" s="90"/>
    </row>
    <row r="62" spans="1:20" ht="18" customHeight="1">
      <c r="A62" s="201"/>
      <c r="B62" s="481" t="s">
        <v>302</v>
      </c>
      <c r="C62" s="482"/>
      <c r="D62" s="482"/>
      <c r="E62" s="482"/>
      <c r="F62" s="482"/>
      <c r="G62" s="483"/>
      <c r="H62" s="200"/>
      <c r="I62" s="200"/>
      <c r="J62" s="200"/>
      <c r="K62" s="200"/>
      <c r="L62" s="200"/>
      <c r="M62" s="200"/>
      <c r="N62" s="200"/>
      <c r="O62" s="90"/>
      <c r="P62" s="90"/>
      <c r="Q62" s="90"/>
      <c r="R62" s="90"/>
      <c r="S62" s="90"/>
      <c r="T62" s="90"/>
    </row>
    <row r="63" spans="1:20" s="41" customFormat="1" ht="18.75" customHeight="1">
      <c r="A63" s="201"/>
      <c r="B63" s="443" t="s">
        <v>301</v>
      </c>
      <c r="C63" s="463" t="s">
        <v>300</v>
      </c>
      <c r="D63" s="464"/>
      <c r="E63" s="475"/>
      <c r="F63" s="475"/>
      <c r="G63" s="476"/>
      <c r="H63" s="200"/>
      <c r="I63" s="200"/>
      <c r="J63" s="200"/>
      <c r="K63" s="200"/>
      <c r="L63" s="200"/>
      <c r="M63" s="200"/>
      <c r="N63" s="200"/>
      <c r="O63" s="90"/>
      <c r="P63" s="90"/>
      <c r="Q63" s="90"/>
      <c r="R63" s="90"/>
      <c r="S63" s="90"/>
      <c r="T63" s="90"/>
    </row>
    <row r="64" spans="1:20" ht="18.75">
      <c r="A64" s="201"/>
      <c r="B64" s="405" t="s">
        <v>432</v>
      </c>
      <c r="C64" s="204" t="s">
        <v>754</v>
      </c>
      <c r="D64" s="49">
        <v>100</v>
      </c>
      <c r="E64" s="421" t="s">
        <v>40</v>
      </c>
      <c r="F64" s="428"/>
      <c r="G64" s="429"/>
      <c r="H64" s="200"/>
      <c r="I64" s="200"/>
      <c r="J64" s="200"/>
      <c r="K64" s="200"/>
      <c r="L64" s="200"/>
      <c r="M64" s="200"/>
      <c r="N64" s="200"/>
      <c r="O64" s="90"/>
      <c r="P64" s="90"/>
      <c r="Q64" s="90"/>
      <c r="R64" s="90"/>
      <c r="S64" s="90"/>
      <c r="T64" s="90"/>
    </row>
    <row r="65" spans="1:20" ht="18.75">
      <c r="A65" s="201"/>
      <c r="B65" s="405" t="s">
        <v>431</v>
      </c>
      <c r="C65" s="204" t="s">
        <v>755</v>
      </c>
      <c r="D65" s="49">
        <v>100</v>
      </c>
      <c r="E65" s="421" t="s">
        <v>53</v>
      </c>
      <c r="F65" s="428"/>
      <c r="G65" s="429"/>
      <c r="H65" s="200"/>
      <c r="I65" s="200"/>
      <c r="J65" s="200"/>
      <c r="K65" s="200"/>
      <c r="L65" s="200"/>
      <c r="M65" s="200"/>
      <c r="N65" s="200"/>
      <c r="O65" s="90"/>
      <c r="P65" s="90"/>
      <c r="Q65" s="90"/>
      <c r="R65" s="90"/>
      <c r="S65" s="90"/>
      <c r="T65" s="90"/>
    </row>
    <row r="66" spans="1:20" ht="18.75">
      <c r="A66" s="201"/>
      <c r="B66" s="405" t="s">
        <v>466</v>
      </c>
      <c r="C66" s="204" t="s">
        <v>756</v>
      </c>
      <c r="D66" s="81">
        <v>1</v>
      </c>
      <c r="E66" s="421" t="s">
        <v>71</v>
      </c>
      <c r="F66" s="428"/>
      <c r="G66" s="429"/>
      <c r="H66" s="200"/>
      <c r="I66" s="200"/>
      <c r="J66" s="200"/>
      <c r="K66" s="200"/>
      <c r="L66" s="200"/>
      <c r="M66" s="200"/>
      <c r="N66" s="200"/>
      <c r="O66" s="90"/>
      <c r="P66" s="90"/>
      <c r="Q66" s="90"/>
      <c r="R66" s="90"/>
      <c r="S66" s="90"/>
      <c r="T66" s="90"/>
    </row>
    <row r="67" spans="1:20" ht="18.75">
      <c r="A67" s="201"/>
      <c r="B67" s="405" t="s">
        <v>467</v>
      </c>
      <c r="C67" s="204" t="s">
        <v>757</v>
      </c>
      <c r="D67" s="49">
        <v>10</v>
      </c>
      <c r="E67" s="421" t="s">
        <v>15</v>
      </c>
      <c r="F67" s="428"/>
      <c r="G67" s="429"/>
      <c r="H67" s="200"/>
      <c r="I67" s="200"/>
      <c r="J67" s="200"/>
      <c r="K67" s="200"/>
      <c r="L67" s="200"/>
      <c r="M67" s="200"/>
      <c r="N67" s="200"/>
      <c r="O67" s="90"/>
      <c r="P67" s="90"/>
      <c r="Q67" s="90"/>
      <c r="R67" s="90"/>
      <c r="S67" s="90"/>
      <c r="T67" s="90"/>
    </row>
    <row r="68" spans="1:20" ht="19.5" thickBot="1">
      <c r="A68" s="201"/>
      <c r="B68" s="415" t="s">
        <v>430</v>
      </c>
      <c r="C68" s="282" t="s">
        <v>758</v>
      </c>
      <c r="D68" s="1">
        <v>0.4</v>
      </c>
      <c r="E68" s="284" t="s">
        <v>65</v>
      </c>
      <c r="F68" s="494" t="s">
        <v>299</v>
      </c>
      <c r="G68" s="548"/>
      <c r="H68" s="200"/>
      <c r="I68" s="200"/>
      <c r="J68" s="200"/>
      <c r="K68" s="200"/>
      <c r="L68" s="200"/>
      <c r="M68" s="200"/>
      <c r="N68" s="200"/>
      <c r="O68" s="90"/>
      <c r="P68" s="90"/>
      <c r="Q68" s="90"/>
      <c r="R68" s="90"/>
      <c r="S68" s="90"/>
      <c r="T68" s="90"/>
    </row>
    <row r="69" spans="1:20" ht="16.5" thickBot="1">
      <c r="A69" s="201"/>
      <c r="B69" s="441"/>
      <c r="C69" s="441"/>
      <c r="D69" s="197"/>
      <c r="E69" s="442"/>
      <c r="F69" s="442"/>
      <c r="G69" s="442"/>
      <c r="H69" s="200"/>
      <c r="I69" s="200"/>
      <c r="J69" s="200"/>
      <c r="K69" s="200"/>
      <c r="L69" s="200"/>
      <c r="M69" s="200"/>
      <c r="N69" s="200"/>
      <c r="O69" s="90"/>
      <c r="P69" s="90"/>
      <c r="Q69" s="90"/>
      <c r="R69" s="90"/>
      <c r="S69" s="90"/>
      <c r="T69" s="90"/>
    </row>
    <row r="70" spans="1:20" ht="18" customHeight="1">
      <c r="A70" s="201"/>
      <c r="B70" s="481" t="s">
        <v>252</v>
      </c>
      <c r="C70" s="482"/>
      <c r="D70" s="482"/>
      <c r="E70" s="482"/>
      <c r="F70" s="482"/>
      <c r="G70" s="483"/>
      <c r="H70" s="327"/>
      <c r="I70" s="200"/>
      <c r="J70" s="200"/>
      <c r="K70" s="200"/>
      <c r="L70" s="200"/>
      <c r="M70" s="200"/>
      <c r="N70" s="200"/>
      <c r="O70" s="90"/>
      <c r="P70" s="90"/>
      <c r="Q70" s="90"/>
      <c r="R70" s="90"/>
      <c r="S70" s="90"/>
      <c r="T70" s="90"/>
    </row>
    <row r="71" spans="1:20" ht="18.75">
      <c r="A71" s="194"/>
      <c r="B71" s="422" t="s">
        <v>738</v>
      </c>
      <c r="C71" s="204" t="s">
        <v>739</v>
      </c>
      <c r="D71" s="325">
        <f>IF(Vin_type="AC",((2*PO_FL/η_min)*(0.25+ASIN(VBulk_min_tgt/(VIN_min*1.414))/6.2832)/(((VIN_min*1.414-2)^2-(VBulk_min_tgt)^2)*fLINE_min)*1)*10^6,"(N/A)")</f>
        <v>88.028398901746044</v>
      </c>
      <c r="E71" s="261" t="s">
        <v>61</v>
      </c>
      <c r="F71" s="491" t="s">
        <v>740</v>
      </c>
      <c r="G71" s="468"/>
      <c r="H71" s="396"/>
      <c r="I71" s="200"/>
      <c r="J71" s="248"/>
      <c r="K71" s="200"/>
      <c r="L71" s="200"/>
      <c r="M71" s="200"/>
      <c r="N71" s="200"/>
      <c r="O71" s="90"/>
      <c r="P71" s="90"/>
      <c r="Q71" s="90"/>
      <c r="R71" s="90"/>
      <c r="S71" s="90"/>
      <c r="T71" s="90"/>
    </row>
    <row r="72" spans="1:20" ht="18.75">
      <c r="A72" s="201"/>
      <c r="B72" s="422" t="s">
        <v>429</v>
      </c>
      <c r="C72" s="204" t="s">
        <v>741</v>
      </c>
      <c r="D72" s="35">
        <v>94</v>
      </c>
      <c r="E72" s="261" t="s">
        <v>61</v>
      </c>
      <c r="F72" s="406" t="s">
        <v>291</v>
      </c>
      <c r="G72" s="210"/>
      <c r="H72" s="200"/>
      <c r="I72" s="200"/>
      <c r="J72" s="248"/>
      <c r="K72" s="200"/>
      <c r="L72" s="200"/>
      <c r="M72" s="200"/>
      <c r="N72" s="200"/>
      <c r="O72" s="90"/>
      <c r="P72" s="90"/>
      <c r="Q72" s="90"/>
      <c r="R72" s="90"/>
      <c r="S72" s="90"/>
      <c r="T72" s="90"/>
    </row>
    <row r="73" spans="1:20" ht="18.75">
      <c r="A73" s="201"/>
      <c r="B73" s="422" t="s">
        <v>428</v>
      </c>
      <c r="C73" s="204" t="s">
        <v>742</v>
      </c>
      <c r="D73" s="260">
        <f>IF(CBULK_act="",CBULK_rec,CBULK_act)</f>
        <v>94</v>
      </c>
      <c r="E73" s="261" t="s">
        <v>61</v>
      </c>
      <c r="F73" s="406"/>
      <c r="G73" s="210"/>
      <c r="H73" s="200"/>
      <c r="I73" s="200"/>
      <c r="J73" s="200"/>
      <c r="K73" s="200"/>
      <c r="L73" s="200"/>
      <c r="M73" s="200"/>
      <c r="N73" s="200"/>
      <c r="O73" s="90"/>
      <c r="P73" s="90"/>
      <c r="Q73" s="90"/>
      <c r="R73" s="90"/>
      <c r="S73" s="90"/>
      <c r="T73" s="90"/>
    </row>
    <row r="74" spans="1:20" ht="18.75">
      <c r="A74" s="201"/>
      <c r="B74" s="422" t="s">
        <v>427</v>
      </c>
      <c r="C74" s="204" t="s">
        <v>743</v>
      </c>
      <c r="D74" s="260">
        <f>IF(Vin_type="AC",ROUNDUP(VINPUT_max*1.414,-2),ROUNDUP(VINPUT_max,-2))</f>
        <v>400</v>
      </c>
      <c r="E74" s="261" t="s">
        <v>14</v>
      </c>
      <c r="F74" s="406" t="s">
        <v>454</v>
      </c>
      <c r="G74" s="210"/>
      <c r="H74" s="396"/>
      <c r="I74" s="200"/>
      <c r="J74" s="248"/>
      <c r="K74" s="200"/>
      <c r="L74" s="200"/>
      <c r="M74" s="200"/>
      <c r="N74" s="200"/>
      <c r="O74" s="90"/>
      <c r="P74" s="90"/>
      <c r="Q74" s="90"/>
      <c r="R74" s="90"/>
      <c r="S74" s="90"/>
      <c r="T74" s="90"/>
    </row>
    <row r="75" spans="1:20">
      <c r="A75" s="201"/>
      <c r="B75" s="444"/>
      <c r="C75" s="431"/>
      <c r="D75" s="260"/>
      <c r="E75" s="261"/>
      <c r="F75" s="406"/>
      <c r="G75" s="210"/>
      <c r="H75" s="396"/>
      <c r="I75" s="200"/>
      <c r="J75" s="248"/>
      <c r="K75" s="200"/>
      <c r="L75" s="200"/>
      <c r="M75" s="200"/>
      <c r="N75" s="200"/>
      <c r="O75" s="90"/>
      <c r="P75" s="90"/>
      <c r="Q75" s="90"/>
      <c r="R75" s="90"/>
      <c r="S75" s="90"/>
      <c r="T75" s="90"/>
    </row>
    <row r="76" spans="1:20" ht="18.75">
      <c r="A76" s="201"/>
      <c r="B76" s="422" t="s">
        <v>744</v>
      </c>
      <c r="C76" s="204" t="s">
        <v>745</v>
      </c>
      <c r="D76" s="35">
        <v>20</v>
      </c>
      <c r="E76" s="261" t="s">
        <v>746</v>
      </c>
      <c r="F76" s="406"/>
      <c r="G76" s="210"/>
      <c r="H76" s="200"/>
      <c r="I76" s="200"/>
      <c r="J76" s="200"/>
      <c r="K76" s="200"/>
      <c r="L76" s="200"/>
      <c r="M76" s="200"/>
      <c r="N76" s="200"/>
      <c r="O76" s="90"/>
      <c r="P76" s="90"/>
      <c r="Q76" s="90"/>
      <c r="R76" s="90"/>
      <c r="S76" s="90"/>
      <c r="T76" s="90"/>
    </row>
    <row r="77" spans="1:20" ht="18.75">
      <c r="A77" s="201"/>
      <c r="B77" s="422" t="s">
        <v>425</v>
      </c>
      <c r="C77" s="204" t="s">
        <v>747</v>
      </c>
      <c r="D77" s="4">
        <v>1.5</v>
      </c>
      <c r="E77" s="261" t="s">
        <v>14</v>
      </c>
      <c r="F77" s="406" t="s">
        <v>748</v>
      </c>
      <c r="G77" s="210"/>
      <c r="H77" s="200"/>
      <c r="I77" s="200"/>
      <c r="J77" s="200"/>
      <c r="K77" s="200"/>
      <c r="L77" s="200"/>
      <c r="M77" s="200"/>
      <c r="N77" s="200"/>
      <c r="O77" s="90"/>
      <c r="P77" s="90"/>
      <c r="Q77" s="90"/>
      <c r="R77" s="90"/>
      <c r="S77" s="90"/>
      <c r="T77" s="90"/>
    </row>
    <row r="78" spans="1:20" ht="18.75">
      <c r="A78" s="201"/>
      <c r="B78" s="405" t="s">
        <v>749</v>
      </c>
      <c r="C78" s="204" t="s">
        <v>750</v>
      </c>
      <c r="D78" s="260">
        <f>(IOUT*(0.35/(Fcr_min*10^3)+50*10^-6)/(Vo_drop-IOUT*RCO*0.001))*10^6*1</f>
        <v>1730.7692307692307</v>
      </c>
      <c r="E78" s="261" t="s">
        <v>61</v>
      </c>
      <c r="F78" s="491" t="s">
        <v>485</v>
      </c>
      <c r="G78" s="468"/>
      <c r="H78" s="200"/>
      <c r="I78" s="248"/>
      <c r="J78" s="200"/>
      <c r="K78" s="200"/>
      <c r="L78" s="200"/>
      <c r="M78" s="200"/>
      <c r="N78" s="200"/>
      <c r="O78" s="90"/>
      <c r="P78" s="90"/>
      <c r="Q78" s="90"/>
      <c r="R78" s="90"/>
      <c r="S78" s="90"/>
      <c r="T78" s="90"/>
    </row>
    <row r="79" spans="1:20" ht="16.149999999999999" customHeight="1">
      <c r="A79" s="201"/>
      <c r="B79" s="422" t="s">
        <v>751</v>
      </c>
      <c r="C79" s="204" t="s">
        <v>752</v>
      </c>
      <c r="D79" s="82">
        <v>470</v>
      </c>
      <c r="E79" s="261" t="s">
        <v>61</v>
      </c>
      <c r="F79" s="492" t="s">
        <v>291</v>
      </c>
      <c r="G79" s="493"/>
      <c r="H79" s="200"/>
      <c r="I79" s="200"/>
      <c r="J79" s="396"/>
      <c r="K79" s="200"/>
      <c r="L79" s="200"/>
      <c r="M79" s="200"/>
      <c r="N79" s="200"/>
      <c r="O79" s="90"/>
      <c r="P79" s="90"/>
      <c r="Q79" s="90"/>
      <c r="R79" s="90"/>
      <c r="S79" s="90"/>
      <c r="T79" s="90"/>
    </row>
    <row r="80" spans="1:20" ht="19.5" thickBot="1">
      <c r="A80" s="201"/>
      <c r="B80" s="445" t="s">
        <v>426</v>
      </c>
      <c r="C80" s="282" t="s">
        <v>753</v>
      </c>
      <c r="D80" s="446">
        <f>IF(COUT_act="",COUT_rec,COUT_act)</f>
        <v>470</v>
      </c>
      <c r="E80" s="284" t="s">
        <v>61</v>
      </c>
      <c r="F80" s="447"/>
      <c r="G80" s="285"/>
      <c r="H80" s="200"/>
      <c r="I80" s="200"/>
      <c r="J80" s="200"/>
      <c r="K80" s="200"/>
      <c r="L80" s="200"/>
      <c r="M80" s="200"/>
      <c r="N80" s="200"/>
      <c r="O80" s="90"/>
      <c r="P80" s="90"/>
      <c r="Q80" s="90"/>
      <c r="R80" s="90"/>
      <c r="S80" s="90"/>
      <c r="T80" s="90"/>
    </row>
    <row r="81" spans="1:20" ht="16.5" thickBot="1">
      <c r="A81" s="201"/>
      <c r="B81" s="195"/>
      <c r="C81" s="195"/>
      <c r="D81" s="197"/>
      <c r="E81" s="195"/>
      <c r="F81" s="198"/>
      <c r="G81" s="199"/>
      <c r="H81" s="200"/>
      <c r="I81" s="200"/>
      <c r="J81" s="200"/>
      <c r="K81" s="200"/>
      <c r="L81" s="200"/>
      <c r="M81" s="200"/>
      <c r="N81" s="200"/>
      <c r="O81" s="90"/>
      <c r="P81" s="90"/>
      <c r="Q81" s="90"/>
      <c r="R81" s="90"/>
      <c r="S81" s="90"/>
      <c r="T81" s="90"/>
    </row>
    <row r="82" spans="1:20" ht="18" customHeight="1">
      <c r="A82" s="201"/>
      <c r="B82" s="481" t="s">
        <v>294</v>
      </c>
      <c r="C82" s="482"/>
      <c r="D82" s="482"/>
      <c r="E82" s="482"/>
      <c r="F82" s="482"/>
      <c r="G82" s="483"/>
      <c r="H82" s="200"/>
      <c r="I82" s="200"/>
      <c r="J82" s="200"/>
      <c r="K82" s="200"/>
      <c r="L82" s="200"/>
      <c r="M82" s="200"/>
      <c r="N82" s="200"/>
      <c r="O82" s="90"/>
      <c r="P82" s="90"/>
      <c r="Q82" s="90"/>
      <c r="R82" s="90"/>
      <c r="S82" s="90"/>
      <c r="T82" s="90"/>
    </row>
    <row r="83" spans="1:20" ht="18.75" customHeight="1">
      <c r="A83" s="201"/>
      <c r="B83" s="443" t="s">
        <v>288</v>
      </c>
      <c r="C83" s="463" t="s">
        <v>1035</v>
      </c>
      <c r="D83" s="464"/>
      <c r="E83" s="475"/>
      <c r="F83" s="475"/>
      <c r="G83" s="476"/>
      <c r="H83" s="200"/>
      <c r="I83" s="200"/>
      <c r="J83" s="200"/>
      <c r="K83" s="200"/>
      <c r="L83" s="200"/>
      <c r="M83" s="200"/>
      <c r="N83" s="200"/>
      <c r="O83" s="90"/>
      <c r="P83" s="90"/>
      <c r="Q83" s="90"/>
      <c r="R83" s="90"/>
      <c r="S83" s="90"/>
      <c r="T83" s="90"/>
    </row>
    <row r="84" spans="1:20" ht="18.75">
      <c r="A84" s="201"/>
      <c r="B84" s="422" t="s">
        <v>418</v>
      </c>
      <c r="C84" s="204" t="s">
        <v>726</v>
      </c>
      <c r="D84" s="35">
        <v>85</v>
      </c>
      <c r="E84" s="261" t="s">
        <v>5</v>
      </c>
      <c r="F84" s="467"/>
      <c r="G84" s="468"/>
      <c r="H84" s="200"/>
      <c r="I84" s="200"/>
      <c r="J84" s="200"/>
      <c r="K84" s="200"/>
      <c r="L84" s="200"/>
      <c r="M84" s="200"/>
      <c r="N84" s="200"/>
      <c r="O84" s="90"/>
      <c r="P84" s="90"/>
      <c r="Q84" s="90"/>
      <c r="R84" s="90"/>
      <c r="S84" s="90"/>
      <c r="T84" s="90"/>
    </row>
    <row r="85" spans="1:20" ht="18.75" customHeight="1">
      <c r="A85" s="201"/>
      <c r="B85" s="422" t="s">
        <v>419</v>
      </c>
      <c r="C85" s="204" t="s">
        <v>727</v>
      </c>
      <c r="D85" s="260">
        <f>IF(Vin_type="AC",((VINPUT_max*SQRT(2)/NPS)+VOUT*OVP_tgt*0.01)/(Kder_SR/100),((VINPUT_max/NPS)+VOUT*OVP_tgt*0.01)/(Kder_SR/100))</f>
        <v>34.217086799007141</v>
      </c>
      <c r="E85" s="261" t="s">
        <v>8</v>
      </c>
      <c r="F85" s="471"/>
      <c r="G85" s="472"/>
      <c r="H85" s="396"/>
      <c r="I85" s="200"/>
      <c r="J85" s="248"/>
      <c r="K85" s="200"/>
      <c r="L85" s="200"/>
      <c r="M85" s="200"/>
      <c r="N85" s="200"/>
      <c r="O85" s="90"/>
      <c r="P85" s="90"/>
      <c r="Q85" s="90"/>
      <c r="R85" s="90"/>
      <c r="S85" s="90"/>
      <c r="T85" s="90"/>
    </row>
    <row r="86" spans="1:20" ht="19.899999999999999" customHeight="1">
      <c r="A86" s="201"/>
      <c r="B86" s="405" t="s">
        <v>420</v>
      </c>
      <c r="C86" s="204" t="s">
        <v>728</v>
      </c>
      <c r="D86" s="82">
        <v>40</v>
      </c>
      <c r="E86" s="206" t="s">
        <v>8</v>
      </c>
      <c r="F86" s="406"/>
      <c r="G86" s="210"/>
      <c r="H86" s="200"/>
      <c r="I86" s="200"/>
      <c r="J86" s="248"/>
      <c r="K86" s="200"/>
      <c r="L86" s="200"/>
      <c r="M86" s="200"/>
      <c r="N86" s="200"/>
      <c r="O86" s="90"/>
      <c r="P86" s="90"/>
      <c r="Q86" s="90"/>
      <c r="R86" s="90"/>
      <c r="S86" s="90"/>
      <c r="T86" s="90"/>
    </row>
    <row r="87" spans="1:20" ht="18.75" customHeight="1">
      <c r="A87" s="201"/>
      <c r="B87" s="422" t="s">
        <v>729</v>
      </c>
      <c r="C87" s="204" t="s">
        <v>730</v>
      </c>
      <c r="D87" s="35">
        <v>1800</v>
      </c>
      <c r="E87" s="261" t="s">
        <v>15</v>
      </c>
      <c r="F87" s="406"/>
      <c r="G87" s="210"/>
      <c r="H87" s="200"/>
      <c r="I87" s="200"/>
      <c r="J87" s="200"/>
      <c r="K87" s="200"/>
      <c r="L87" s="200"/>
      <c r="M87" s="200"/>
      <c r="N87" s="200"/>
      <c r="O87" s="90"/>
      <c r="P87" s="90"/>
      <c r="Q87" s="90"/>
      <c r="R87" s="90"/>
      <c r="S87" s="90"/>
      <c r="T87" s="90"/>
    </row>
    <row r="88" spans="1:20" ht="18.75" customHeight="1">
      <c r="A88" s="201"/>
      <c r="B88" s="422" t="s">
        <v>731</v>
      </c>
      <c r="C88" s="204" t="s">
        <v>732</v>
      </c>
      <c r="D88" s="35">
        <v>1000</v>
      </c>
      <c r="E88" s="261" t="s">
        <v>15</v>
      </c>
      <c r="F88" s="406"/>
      <c r="G88" s="210"/>
      <c r="H88" s="200"/>
      <c r="I88" s="200"/>
      <c r="J88" s="200"/>
      <c r="K88" s="200"/>
      <c r="L88" s="200"/>
      <c r="M88" s="200"/>
      <c r="N88" s="200"/>
      <c r="O88" s="90"/>
      <c r="P88" s="90"/>
      <c r="Q88" s="90"/>
      <c r="R88" s="90"/>
      <c r="S88" s="90"/>
      <c r="T88" s="90"/>
    </row>
    <row r="89" spans="1:20" ht="18.75" customHeight="1">
      <c r="A89" s="201"/>
      <c r="B89" s="422" t="s">
        <v>553</v>
      </c>
      <c r="C89" s="204" t="s">
        <v>733</v>
      </c>
      <c r="D89" s="35">
        <v>10</v>
      </c>
      <c r="E89" s="261" t="s">
        <v>14</v>
      </c>
      <c r="F89" s="406"/>
      <c r="G89" s="210"/>
      <c r="H89" s="200"/>
      <c r="I89" s="200"/>
      <c r="J89" s="200"/>
      <c r="K89" s="200"/>
      <c r="L89" s="200"/>
      <c r="M89" s="200"/>
      <c r="N89" s="200"/>
      <c r="O89" s="90"/>
      <c r="P89" s="90"/>
      <c r="Q89" s="90"/>
      <c r="R89" s="90"/>
      <c r="S89" s="90"/>
      <c r="T89" s="90"/>
    </row>
    <row r="90" spans="1:20" ht="18.75">
      <c r="A90" s="201"/>
      <c r="B90" s="422" t="s">
        <v>421</v>
      </c>
      <c r="C90" s="204" t="s">
        <v>734</v>
      </c>
      <c r="D90" s="260">
        <f>IF(Vin_type="AC",(Coss_SR_bg*Vx_SR+Coss_SR_sm*(VOUT+VBulk_min_tgt/NPS-Vx_SR))/(VOUT+VBulk_min_tgt/NPS),(Coss_SR_bg*Vx_SR+Coss_SR_sm*(VOUT+VBulk_min_tgt/NPS-Vx_SR))/(VOUT+VBulk_min_tgt/NPS))</f>
        <v>1853.3333333333333</v>
      </c>
      <c r="E90" s="261" t="s">
        <v>15</v>
      </c>
      <c r="F90" s="406"/>
      <c r="G90" s="448"/>
      <c r="H90" s="396"/>
      <c r="I90" s="200"/>
      <c r="J90" s="248"/>
      <c r="K90" s="200"/>
      <c r="L90" s="200"/>
      <c r="M90" s="200"/>
      <c r="N90" s="200"/>
      <c r="O90" s="90"/>
      <c r="P90" s="90"/>
      <c r="Q90" s="90"/>
      <c r="R90" s="90"/>
      <c r="S90" s="90"/>
      <c r="T90" s="90"/>
    </row>
    <row r="91" spans="1:20" ht="18.75">
      <c r="A91" s="201"/>
      <c r="B91" s="405" t="s">
        <v>422</v>
      </c>
      <c r="C91" s="204" t="s">
        <v>735</v>
      </c>
      <c r="D91" s="82">
        <v>204</v>
      </c>
      <c r="E91" s="206" t="s">
        <v>15</v>
      </c>
      <c r="F91" s="471" t="s">
        <v>295</v>
      </c>
      <c r="G91" s="472"/>
      <c r="H91" s="449"/>
      <c r="I91" s="200"/>
      <c r="J91" s="248"/>
      <c r="K91" s="200"/>
      <c r="L91" s="200"/>
      <c r="M91" s="200"/>
      <c r="N91" s="200"/>
      <c r="O91" s="90"/>
      <c r="P91" s="90"/>
      <c r="Q91" s="90"/>
      <c r="R91" s="90"/>
      <c r="S91" s="90"/>
      <c r="T91" s="90"/>
    </row>
    <row r="92" spans="1:20" ht="18.75">
      <c r="A92" s="201"/>
      <c r="B92" s="405" t="s">
        <v>423</v>
      </c>
      <c r="C92" s="204" t="s">
        <v>736</v>
      </c>
      <c r="D92" s="80">
        <v>0</v>
      </c>
      <c r="E92" s="206" t="s">
        <v>17</v>
      </c>
      <c r="F92" s="492" t="s">
        <v>296</v>
      </c>
      <c r="G92" s="546"/>
      <c r="H92" s="200"/>
      <c r="I92" s="200"/>
      <c r="J92" s="200"/>
      <c r="K92" s="200"/>
      <c r="L92" s="200"/>
      <c r="M92" s="200"/>
      <c r="N92" s="200"/>
      <c r="O92" s="90"/>
      <c r="P92" s="90"/>
      <c r="Q92" s="90"/>
      <c r="R92" s="90"/>
      <c r="S92" s="90"/>
      <c r="T92" s="90"/>
    </row>
    <row r="93" spans="1:20" ht="19.5" thickBot="1">
      <c r="A93" s="201"/>
      <c r="B93" s="415" t="s">
        <v>424</v>
      </c>
      <c r="C93" s="282" t="s">
        <v>737</v>
      </c>
      <c r="D93" s="1">
        <v>400</v>
      </c>
      <c r="E93" s="284" t="s">
        <v>126</v>
      </c>
      <c r="F93" s="544" t="s">
        <v>297</v>
      </c>
      <c r="G93" s="545"/>
      <c r="H93" s="200"/>
      <c r="I93" s="200"/>
      <c r="J93" s="200"/>
      <c r="K93" s="200"/>
      <c r="L93" s="200"/>
      <c r="M93" s="200"/>
      <c r="N93" s="200"/>
      <c r="O93" s="90"/>
      <c r="P93" s="90"/>
      <c r="Q93" s="90"/>
      <c r="R93" s="90"/>
      <c r="S93" s="90"/>
      <c r="T93" s="90"/>
    </row>
    <row r="94" spans="1:20" ht="16.5" thickBot="1">
      <c r="A94" s="201"/>
      <c r="B94" s="195"/>
      <c r="C94" s="195"/>
      <c r="D94" s="197"/>
      <c r="E94" s="195"/>
      <c r="F94" s="198"/>
      <c r="G94" s="199"/>
      <c r="H94" s="200"/>
      <c r="I94" s="200"/>
      <c r="J94" s="200"/>
      <c r="K94" s="200"/>
      <c r="L94" s="200"/>
      <c r="M94" s="200"/>
      <c r="N94" s="200"/>
      <c r="O94" s="90"/>
      <c r="P94" s="90"/>
      <c r="Q94" s="90"/>
      <c r="R94" s="90"/>
      <c r="S94" s="90"/>
      <c r="T94" s="90"/>
    </row>
    <row r="95" spans="1:20" ht="18" customHeight="1">
      <c r="A95" s="201"/>
      <c r="B95" s="481" t="s">
        <v>19</v>
      </c>
      <c r="C95" s="482"/>
      <c r="D95" s="482"/>
      <c r="E95" s="482"/>
      <c r="F95" s="482"/>
      <c r="G95" s="483"/>
      <c r="H95" s="200"/>
      <c r="I95" s="200"/>
      <c r="J95" s="200"/>
      <c r="K95" s="200"/>
      <c r="L95" s="200"/>
      <c r="M95" s="200"/>
      <c r="N95" s="200"/>
      <c r="O95" s="90"/>
      <c r="P95" s="90"/>
      <c r="Q95" s="90"/>
      <c r="R95" s="90"/>
      <c r="S95" s="90"/>
      <c r="T95" s="90"/>
    </row>
    <row r="96" spans="1:20" ht="18" customHeight="1">
      <c r="A96" s="291"/>
      <c r="B96" s="450" t="s">
        <v>289</v>
      </c>
      <c r="C96" s="465" t="s">
        <v>198</v>
      </c>
      <c r="D96" s="466"/>
      <c r="E96" s="473"/>
      <c r="F96" s="473"/>
      <c r="G96" s="474"/>
      <c r="H96" s="200"/>
      <c r="I96" s="200"/>
      <c r="J96" s="200"/>
      <c r="K96" s="200"/>
      <c r="L96" s="200"/>
      <c r="M96" s="200"/>
      <c r="N96" s="200"/>
      <c r="O96" s="90"/>
      <c r="P96" s="90"/>
      <c r="Q96" s="90"/>
      <c r="R96" s="90"/>
      <c r="S96" s="90"/>
      <c r="T96" s="90"/>
    </row>
    <row r="97" spans="1:20" ht="18.75">
      <c r="A97" s="291"/>
      <c r="B97" s="451" t="s">
        <v>410</v>
      </c>
      <c r="C97" s="249" t="s">
        <v>377</v>
      </c>
      <c r="D97" s="36">
        <v>0.2</v>
      </c>
      <c r="E97" s="452" t="s">
        <v>17</v>
      </c>
      <c r="F97" s="486"/>
      <c r="G97" s="485"/>
      <c r="H97" s="200"/>
      <c r="I97" s="200"/>
      <c r="J97" s="200"/>
      <c r="K97" s="200"/>
      <c r="L97" s="200"/>
      <c r="M97" s="200"/>
      <c r="N97" s="200"/>
      <c r="O97" s="90"/>
      <c r="P97" s="90"/>
      <c r="Q97" s="90"/>
      <c r="R97" s="90"/>
      <c r="S97" s="90"/>
      <c r="T97" s="90"/>
    </row>
    <row r="98" spans="1:20" ht="18.75">
      <c r="A98" s="291"/>
      <c r="B98" s="451" t="s">
        <v>554</v>
      </c>
      <c r="C98" s="249" t="s">
        <v>378</v>
      </c>
      <c r="D98" s="26">
        <v>1</v>
      </c>
      <c r="E98" s="487" t="s">
        <v>20</v>
      </c>
      <c r="F98" s="487"/>
      <c r="G98" s="488"/>
      <c r="H98" s="200"/>
      <c r="I98" s="200"/>
      <c r="J98" s="200"/>
      <c r="K98" s="200"/>
      <c r="L98" s="200"/>
      <c r="M98" s="200"/>
      <c r="N98" s="200"/>
      <c r="O98" s="90"/>
      <c r="P98" s="90"/>
      <c r="Q98" s="90"/>
      <c r="R98" s="90"/>
      <c r="S98" s="90"/>
      <c r="T98" s="90"/>
    </row>
    <row r="99" spans="1:20" ht="18.75">
      <c r="A99" s="291"/>
      <c r="B99" s="451" t="s">
        <v>468</v>
      </c>
      <c r="C99" s="249" t="s">
        <v>378</v>
      </c>
      <c r="D99" s="26">
        <v>0.5</v>
      </c>
      <c r="E99" s="452" t="s">
        <v>8</v>
      </c>
      <c r="F99" s="489" t="s">
        <v>206</v>
      </c>
      <c r="G99" s="490"/>
      <c r="H99" s="200"/>
      <c r="I99" s="200"/>
      <c r="J99" s="200"/>
      <c r="K99" s="200"/>
      <c r="L99" s="200"/>
      <c r="M99" s="200"/>
      <c r="N99" s="200"/>
      <c r="O99" s="90"/>
      <c r="P99" s="90"/>
      <c r="Q99" s="90"/>
      <c r="R99" s="90"/>
      <c r="S99" s="90"/>
      <c r="T99" s="90"/>
    </row>
    <row r="100" spans="1:20" ht="18.75">
      <c r="A100" s="291"/>
      <c r="B100" s="451" t="s">
        <v>411</v>
      </c>
      <c r="C100" s="249" t="s">
        <v>379</v>
      </c>
      <c r="D100" s="37">
        <v>3</v>
      </c>
      <c r="E100" s="452" t="s">
        <v>10</v>
      </c>
      <c r="F100" s="484"/>
      <c r="G100" s="485"/>
      <c r="H100" s="200"/>
      <c r="I100" s="200"/>
      <c r="J100" s="200"/>
      <c r="K100" s="200"/>
      <c r="L100" s="200"/>
      <c r="M100" s="200"/>
      <c r="N100" s="200"/>
      <c r="O100" s="90"/>
      <c r="P100" s="90"/>
      <c r="Q100" s="90"/>
      <c r="R100" s="90"/>
      <c r="S100" s="90"/>
      <c r="T100" s="90"/>
    </row>
    <row r="101" spans="1:20" ht="18.75">
      <c r="A101" s="291"/>
      <c r="B101" s="453" t="s">
        <v>412</v>
      </c>
      <c r="C101" s="454" t="s">
        <v>415</v>
      </c>
      <c r="D101" s="27">
        <v>1.6</v>
      </c>
      <c r="E101" s="452"/>
      <c r="F101" s="484"/>
      <c r="G101" s="485"/>
      <c r="H101" s="200"/>
      <c r="I101" s="200"/>
      <c r="J101" s="200"/>
      <c r="K101" s="200"/>
      <c r="L101" s="200"/>
      <c r="M101" s="200"/>
      <c r="N101" s="200"/>
      <c r="O101" s="90"/>
      <c r="P101" s="90"/>
      <c r="Q101" s="90"/>
      <c r="R101" s="90"/>
      <c r="S101" s="90"/>
      <c r="T101" s="90"/>
    </row>
    <row r="102" spans="1:20" ht="18.75">
      <c r="A102" s="291"/>
      <c r="B102" s="453" t="s">
        <v>413</v>
      </c>
      <c r="C102" s="454" t="s">
        <v>416</v>
      </c>
      <c r="D102" s="27">
        <v>0.4</v>
      </c>
      <c r="E102" s="452"/>
      <c r="F102" s="484"/>
      <c r="G102" s="485"/>
      <c r="H102" s="200"/>
      <c r="I102" s="200"/>
      <c r="J102" s="200"/>
      <c r="K102" s="200"/>
      <c r="L102" s="200"/>
      <c r="M102" s="200"/>
      <c r="N102" s="200"/>
      <c r="O102" s="90"/>
      <c r="P102" s="90"/>
      <c r="Q102" s="90"/>
      <c r="R102" s="90"/>
      <c r="S102" s="90"/>
      <c r="T102" s="90"/>
    </row>
    <row r="103" spans="1:20" ht="19.5" thickBot="1">
      <c r="A103" s="291"/>
      <c r="B103" s="455" t="s">
        <v>414</v>
      </c>
      <c r="C103" s="456" t="s">
        <v>380</v>
      </c>
      <c r="D103" s="28">
        <v>0.5</v>
      </c>
      <c r="E103" s="457"/>
      <c r="F103" s="469" t="s">
        <v>197</v>
      </c>
      <c r="G103" s="470"/>
      <c r="H103" s="200"/>
      <c r="I103" s="200"/>
      <c r="J103" s="200"/>
      <c r="K103" s="200"/>
      <c r="L103" s="200"/>
      <c r="M103" s="200"/>
      <c r="N103" s="200"/>
      <c r="O103" s="90"/>
      <c r="P103" s="90"/>
      <c r="Q103" s="90"/>
      <c r="R103" s="90"/>
      <c r="S103" s="90"/>
      <c r="T103" s="90"/>
    </row>
    <row r="104" spans="1:20" ht="16.5" thickBot="1">
      <c r="A104" s="201"/>
      <c r="B104" s="195"/>
      <c r="C104" s="195"/>
      <c r="D104" s="197"/>
      <c r="E104" s="195"/>
      <c r="F104" s="198"/>
      <c r="G104" s="199"/>
      <c r="H104" s="200"/>
      <c r="I104" s="200"/>
      <c r="J104" s="200"/>
      <c r="K104" s="200"/>
      <c r="L104" s="200"/>
      <c r="M104" s="200"/>
      <c r="N104" s="200"/>
      <c r="O104" s="90"/>
      <c r="P104" s="90"/>
      <c r="Q104" s="90"/>
      <c r="R104" s="90"/>
      <c r="S104" s="90"/>
      <c r="T104" s="90"/>
    </row>
    <row r="105" spans="1:20" ht="18" customHeight="1">
      <c r="A105" s="201"/>
      <c r="B105" s="481" t="s">
        <v>453</v>
      </c>
      <c r="C105" s="482"/>
      <c r="D105" s="482"/>
      <c r="E105" s="482"/>
      <c r="F105" s="482"/>
      <c r="G105" s="483"/>
      <c r="H105" s="200"/>
      <c r="I105" s="200"/>
      <c r="J105" s="200"/>
      <c r="K105" s="200"/>
      <c r="L105" s="200"/>
      <c r="M105" s="200"/>
      <c r="N105" s="200"/>
      <c r="O105" s="90"/>
      <c r="P105" s="90"/>
      <c r="Q105" s="90"/>
      <c r="R105" s="90"/>
      <c r="S105" s="90"/>
      <c r="T105" s="90"/>
    </row>
    <row r="106" spans="1:20" ht="18" customHeight="1">
      <c r="A106" s="201"/>
      <c r="B106" s="450" t="s">
        <v>289</v>
      </c>
      <c r="C106" s="463" t="s">
        <v>196</v>
      </c>
      <c r="D106" s="464"/>
      <c r="E106" s="475"/>
      <c r="F106" s="475"/>
      <c r="G106" s="476"/>
      <c r="H106" s="200"/>
      <c r="I106" s="200"/>
      <c r="J106" s="200"/>
      <c r="K106" s="200"/>
      <c r="L106" s="200"/>
      <c r="M106" s="200"/>
      <c r="N106" s="200"/>
      <c r="O106" s="90"/>
      <c r="P106" s="90"/>
      <c r="Q106" s="90"/>
      <c r="R106" s="90"/>
      <c r="S106" s="90"/>
      <c r="T106" s="90"/>
    </row>
    <row r="107" spans="1:20" ht="18.75">
      <c r="A107" s="201"/>
      <c r="B107" s="405" t="s">
        <v>406</v>
      </c>
      <c r="C107" s="204" t="s">
        <v>381</v>
      </c>
      <c r="D107" s="82">
        <v>35</v>
      </c>
      <c r="E107" s="221" t="s">
        <v>207</v>
      </c>
      <c r="F107" s="557"/>
      <c r="G107" s="553"/>
      <c r="H107" s="200"/>
      <c r="I107" s="200"/>
      <c r="J107" s="200"/>
      <c r="K107" s="200"/>
      <c r="L107" s="200"/>
      <c r="M107" s="200"/>
      <c r="N107" s="200"/>
      <c r="O107" s="90"/>
      <c r="P107" s="90"/>
      <c r="Q107" s="90"/>
      <c r="R107" s="90"/>
      <c r="S107" s="90"/>
      <c r="T107" s="90"/>
    </row>
    <row r="108" spans="1:20" ht="18.75">
      <c r="A108" s="201"/>
      <c r="B108" s="405" t="s">
        <v>407</v>
      </c>
      <c r="C108" s="204" t="s">
        <v>382</v>
      </c>
      <c r="D108" s="4">
        <v>2.5</v>
      </c>
      <c r="E108" s="477" t="s">
        <v>17</v>
      </c>
      <c r="F108" s="477"/>
      <c r="G108" s="478"/>
      <c r="H108" s="200"/>
      <c r="I108" s="200"/>
      <c r="J108" s="200"/>
      <c r="K108" s="200"/>
      <c r="L108" s="200"/>
      <c r="M108" s="200"/>
      <c r="N108" s="200"/>
      <c r="O108" s="90"/>
      <c r="P108" s="90"/>
      <c r="Q108" s="90"/>
      <c r="R108" s="90"/>
      <c r="S108" s="90"/>
      <c r="T108" s="90"/>
    </row>
    <row r="109" spans="1:20" ht="18.75">
      <c r="A109" s="201"/>
      <c r="B109" s="451" t="s">
        <v>408</v>
      </c>
      <c r="C109" s="249" t="s">
        <v>383</v>
      </c>
      <c r="D109" s="82">
        <v>30</v>
      </c>
      <c r="E109" s="477" t="s">
        <v>200</v>
      </c>
      <c r="F109" s="477"/>
      <c r="G109" s="478"/>
      <c r="H109" s="200"/>
      <c r="I109" s="200"/>
      <c r="J109" s="200"/>
      <c r="K109" s="200"/>
      <c r="L109" s="200"/>
      <c r="M109" s="200"/>
      <c r="N109" s="200"/>
      <c r="O109" s="90"/>
      <c r="P109" s="90"/>
      <c r="Q109" s="90"/>
      <c r="R109" s="90"/>
      <c r="S109" s="90"/>
      <c r="T109" s="90"/>
    </row>
    <row r="110" spans="1:20" ht="19.5" thickBot="1">
      <c r="A110" s="201"/>
      <c r="B110" s="415" t="s">
        <v>409</v>
      </c>
      <c r="C110" s="282" t="s">
        <v>384</v>
      </c>
      <c r="D110" s="1">
        <v>150</v>
      </c>
      <c r="E110" s="558" t="s">
        <v>72</v>
      </c>
      <c r="F110" s="558"/>
      <c r="G110" s="559"/>
      <c r="H110" s="200"/>
      <c r="I110" s="200"/>
      <c r="J110" s="200"/>
      <c r="K110" s="200"/>
      <c r="L110" s="200"/>
      <c r="M110" s="200"/>
      <c r="N110" s="200"/>
      <c r="O110" s="90"/>
      <c r="P110" s="90"/>
      <c r="Q110" s="90"/>
      <c r="R110" s="90"/>
      <c r="S110" s="90"/>
      <c r="T110" s="90"/>
    </row>
    <row r="111" spans="1:20" ht="16.5" thickBot="1">
      <c r="A111" s="201"/>
      <c r="B111" s="195"/>
      <c r="C111" s="195"/>
      <c r="D111" s="197"/>
      <c r="E111" s="195"/>
      <c r="F111" s="198"/>
      <c r="G111" s="199"/>
      <c r="H111" s="200"/>
      <c r="I111" s="200"/>
      <c r="J111" s="200"/>
      <c r="K111" s="200"/>
      <c r="L111" s="200"/>
      <c r="M111" s="200"/>
      <c r="N111" s="200"/>
      <c r="O111" s="90"/>
      <c r="P111" s="90"/>
      <c r="Q111" s="90"/>
      <c r="R111" s="90"/>
      <c r="S111" s="90"/>
      <c r="T111" s="90"/>
    </row>
    <row r="112" spans="1:20" ht="17.25" customHeight="1">
      <c r="A112" s="201"/>
      <c r="B112" s="481" t="s">
        <v>253</v>
      </c>
      <c r="C112" s="482"/>
      <c r="D112" s="482"/>
      <c r="E112" s="482"/>
      <c r="F112" s="482"/>
      <c r="G112" s="483"/>
      <c r="H112" s="200"/>
      <c r="I112" s="200"/>
      <c r="J112" s="200"/>
      <c r="K112" s="200"/>
      <c r="L112" s="200"/>
      <c r="M112" s="200"/>
      <c r="N112" s="200"/>
      <c r="O112" s="90"/>
      <c r="P112" s="90"/>
      <c r="Q112" s="90"/>
      <c r="R112" s="90"/>
      <c r="S112" s="90"/>
      <c r="T112" s="90"/>
    </row>
    <row r="113" spans="1:20" ht="18" customHeight="1">
      <c r="A113" s="201"/>
      <c r="B113" s="450" t="s">
        <v>289</v>
      </c>
      <c r="C113" s="463" t="s">
        <v>204</v>
      </c>
      <c r="D113" s="464"/>
      <c r="E113" s="475"/>
      <c r="F113" s="475"/>
      <c r="G113" s="476"/>
      <c r="H113" s="200"/>
      <c r="I113" s="200"/>
      <c r="J113" s="200"/>
      <c r="K113" s="200"/>
      <c r="L113" s="200"/>
      <c r="M113" s="200"/>
      <c r="N113" s="200"/>
      <c r="O113" s="90"/>
      <c r="P113" s="90"/>
      <c r="Q113" s="90"/>
      <c r="R113" s="90"/>
      <c r="S113" s="90"/>
      <c r="T113" s="90"/>
    </row>
    <row r="114" spans="1:20" ht="18.75">
      <c r="A114" s="201"/>
      <c r="B114" s="405" t="s">
        <v>402</v>
      </c>
      <c r="C114" s="204" t="s">
        <v>385</v>
      </c>
      <c r="D114" s="82">
        <v>1.7</v>
      </c>
      <c r="E114" s="206" t="s">
        <v>15</v>
      </c>
      <c r="F114" s="492" t="s">
        <v>555</v>
      </c>
      <c r="G114" s="493"/>
      <c r="H114" s="449"/>
      <c r="I114" s="200"/>
      <c r="J114" s="200"/>
      <c r="K114" s="200"/>
      <c r="L114" s="200"/>
      <c r="M114" s="200"/>
      <c r="N114" s="200"/>
      <c r="O114" s="90"/>
      <c r="P114" s="90"/>
      <c r="Q114" s="90"/>
      <c r="R114" s="90"/>
      <c r="S114" s="90"/>
      <c r="T114" s="90"/>
    </row>
    <row r="115" spans="1:20" ht="18.75">
      <c r="A115" s="201"/>
      <c r="B115" s="405" t="s">
        <v>556</v>
      </c>
      <c r="C115" s="204" t="s">
        <v>386</v>
      </c>
      <c r="D115" s="82">
        <v>20</v>
      </c>
      <c r="E115" s="477" t="s">
        <v>17</v>
      </c>
      <c r="F115" s="477"/>
      <c r="G115" s="478"/>
      <c r="H115" s="200"/>
      <c r="I115" s="200"/>
      <c r="J115" s="200"/>
      <c r="K115" s="200"/>
      <c r="L115" s="200"/>
      <c r="M115" s="200"/>
      <c r="N115" s="200"/>
      <c r="O115" s="90"/>
      <c r="P115" s="90"/>
      <c r="Q115" s="90"/>
      <c r="R115" s="90"/>
      <c r="S115" s="90"/>
      <c r="T115" s="90"/>
    </row>
    <row r="116" spans="1:20" ht="18.75">
      <c r="A116" s="201"/>
      <c r="B116" s="405" t="s">
        <v>403</v>
      </c>
      <c r="C116" s="204" t="s">
        <v>387</v>
      </c>
      <c r="D116" s="82">
        <v>4</v>
      </c>
      <c r="E116" s="206" t="s">
        <v>21</v>
      </c>
      <c r="F116" s="489"/>
      <c r="G116" s="553"/>
      <c r="H116" s="200"/>
      <c r="I116" s="200"/>
      <c r="J116" s="200"/>
      <c r="K116" s="200"/>
      <c r="L116" s="200"/>
      <c r="M116" s="200"/>
      <c r="N116" s="200"/>
      <c r="O116" s="90"/>
      <c r="P116" s="90"/>
      <c r="Q116" s="90"/>
      <c r="R116" s="90"/>
      <c r="S116" s="90"/>
      <c r="T116" s="90"/>
    </row>
    <row r="117" spans="1:20" ht="18.75">
      <c r="A117" s="201"/>
      <c r="B117" s="405" t="s">
        <v>404</v>
      </c>
      <c r="C117" s="204" t="s">
        <v>417</v>
      </c>
      <c r="D117" s="82">
        <v>28</v>
      </c>
      <c r="E117" s="206" t="s">
        <v>15</v>
      </c>
      <c r="F117" s="484"/>
      <c r="G117" s="553"/>
      <c r="H117" s="200"/>
      <c r="I117" s="200"/>
      <c r="J117" s="200"/>
      <c r="K117" s="200"/>
      <c r="L117" s="200"/>
      <c r="M117" s="200"/>
      <c r="N117" s="200"/>
      <c r="O117" s="90"/>
      <c r="P117" s="90"/>
      <c r="Q117" s="90"/>
      <c r="R117" s="90"/>
      <c r="S117" s="90"/>
      <c r="T117" s="90"/>
    </row>
    <row r="118" spans="1:20" ht="19.5" thickBot="1">
      <c r="A118" s="201"/>
      <c r="B118" s="415" t="s">
        <v>405</v>
      </c>
      <c r="C118" s="282" t="s">
        <v>388</v>
      </c>
      <c r="D118" s="1">
        <v>2</v>
      </c>
      <c r="E118" s="284" t="s">
        <v>17</v>
      </c>
      <c r="F118" s="549"/>
      <c r="G118" s="550"/>
      <c r="H118" s="200"/>
      <c r="I118" s="200"/>
      <c r="J118" s="200"/>
      <c r="K118" s="200"/>
      <c r="L118" s="200"/>
      <c r="M118" s="200"/>
      <c r="N118" s="200"/>
      <c r="O118" s="90"/>
      <c r="P118" s="90"/>
      <c r="Q118" s="90"/>
      <c r="R118" s="90"/>
      <c r="S118" s="90"/>
      <c r="T118" s="90"/>
    </row>
    <row r="119" spans="1:20" ht="16.5" thickBot="1">
      <c r="A119" s="201"/>
      <c r="B119" s="195"/>
      <c r="C119" s="195"/>
      <c r="D119" s="197"/>
      <c r="E119" s="195"/>
      <c r="F119" s="198"/>
      <c r="G119" s="199"/>
      <c r="H119" s="200"/>
      <c r="I119" s="200"/>
      <c r="J119" s="200"/>
      <c r="K119" s="200"/>
      <c r="L119" s="200"/>
      <c r="M119" s="200"/>
      <c r="N119" s="200"/>
      <c r="O119" s="90"/>
      <c r="P119" s="90"/>
      <c r="Q119" s="90"/>
      <c r="R119" s="90"/>
      <c r="S119" s="90"/>
      <c r="T119" s="90"/>
    </row>
    <row r="120" spans="1:20" ht="18" customHeight="1">
      <c r="A120" s="201"/>
      <c r="B120" s="481" t="s">
        <v>241</v>
      </c>
      <c r="C120" s="482"/>
      <c r="D120" s="555"/>
      <c r="E120" s="555"/>
      <c r="F120" s="555"/>
      <c r="G120" s="556"/>
      <c r="H120" s="200"/>
      <c r="I120" s="200"/>
      <c r="J120" s="200"/>
      <c r="K120" s="200"/>
      <c r="L120" s="200"/>
      <c r="M120" s="200"/>
      <c r="N120" s="200"/>
      <c r="O120" s="90"/>
      <c r="P120" s="90"/>
      <c r="Q120" s="90"/>
      <c r="R120" s="90"/>
      <c r="S120" s="90"/>
      <c r="T120" s="90"/>
    </row>
    <row r="121" spans="1:20" ht="18" customHeight="1">
      <c r="A121" s="201"/>
      <c r="B121" s="450" t="s">
        <v>289</v>
      </c>
      <c r="C121" s="465" t="s">
        <v>203</v>
      </c>
      <c r="D121" s="466"/>
      <c r="E121" s="473"/>
      <c r="F121" s="473"/>
      <c r="G121" s="474"/>
      <c r="H121" s="200"/>
      <c r="I121" s="200"/>
      <c r="J121" s="200"/>
      <c r="K121" s="200"/>
      <c r="L121" s="200"/>
      <c r="M121" s="200"/>
      <c r="N121" s="200"/>
      <c r="O121" s="90"/>
      <c r="P121" s="90"/>
      <c r="Q121" s="90"/>
      <c r="R121" s="90"/>
      <c r="S121" s="90"/>
      <c r="T121" s="90"/>
    </row>
    <row r="122" spans="1:20" ht="18.75">
      <c r="A122" s="201"/>
      <c r="B122" s="451" t="s">
        <v>400</v>
      </c>
      <c r="C122" s="249" t="s">
        <v>389</v>
      </c>
      <c r="D122" s="26">
        <v>20</v>
      </c>
      <c r="E122" s="452" t="s">
        <v>43</v>
      </c>
      <c r="F122" s="489"/>
      <c r="G122" s="554"/>
      <c r="H122" s="200"/>
      <c r="I122" s="200"/>
      <c r="J122" s="200"/>
      <c r="K122" s="200"/>
      <c r="L122" s="200"/>
      <c r="M122" s="200"/>
      <c r="N122" s="200"/>
      <c r="O122" s="90"/>
      <c r="P122" s="90"/>
      <c r="Q122" s="90"/>
      <c r="R122" s="90"/>
      <c r="S122" s="90"/>
      <c r="T122" s="90"/>
    </row>
    <row r="123" spans="1:20" ht="19.5" customHeight="1" thickBot="1">
      <c r="A123" s="201"/>
      <c r="B123" s="455" t="s">
        <v>401</v>
      </c>
      <c r="C123" s="456" t="s">
        <v>390</v>
      </c>
      <c r="D123" s="28">
        <v>5</v>
      </c>
      <c r="E123" s="457" t="s">
        <v>139</v>
      </c>
      <c r="F123" s="469" t="s">
        <v>293</v>
      </c>
      <c r="G123" s="470"/>
      <c r="H123" s="200"/>
      <c r="I123" s="200"/>
      <c r="J123" s="200"/>
      <c r="K123" s="200"/>
      <c r="L123" s="200"/>
      <c r="M123" s="200"/>
      <c r="N123" s="200"/>
      <c r="O123" s="90"/>
      <c r="P123" s="90"/>
      <c r="Q123" s="90"/>
      <c r="R123" s="90"/>
      <c r="S123" s="90"/>
      <c r="T123" s="90"/>
    </row>
    <row r="124" spans="1:20" ht="16.5" thickBot="1">
      <c r="A124" s="201"/>
      <c r="B124" s="195"/>
      <c r="C124" s="195"/>
      <c r="D124" s="197"/>
      <c r="E124" s="195"/>
      <c r="F124" s="198"/>
      <c r="G124" s="199"/>
      <c r="H124" s="200"/>
      <c r="I124" s="200"/>
      <c r="J124" s="200"/>
      <c r="K124" s="200"/>
      <c r="L124" s="200"/>
      <c r="M124" s="200"/>
      <c r="N124" s="200"/>
      <c r="O124" s="90"/>
      <c r="P124" s="90"/>
      <c r="Q124" s="90"/>
      <c r="R124" s="90"/>
      <c r="S124" s="90"/>
      <c r="T124" s="90"/>
    </row>
    <row r="125" spans="1:20" ht="18" customHeight="1">
      <c r="A125" s="201"/>
      <c r="B125" s="481" t="s">
        <v>22</v>
      </c>
      <c r="C125" s="482"/>
      <c r="D125" s="482"/>
      <c r="E125" s="482"/>
      <c r="F125" s="482"/>
      <c r="G125" s="483"/>
      <c r="H125" s="200"/>
      <c r="I125" s="200"/>
      <c r="J125" s="200"/>
      <c r="K125" s="200"/>
      <c r="L125" s="200"/>
      <c r="M125" s="200"/>
      <c r="N125" s="200"/>
      <c r="O125" s="90"/>
      <c r="P125" s="90"/>
      <c r="Q125" s="90"/>
      <c r="R125" s="90"/>
      <c r="S125" s="90"/>
      <c r="T125" s="90"/>
    </row>
    <row r="126" spans="1:20" ht="18" customHeight="1">
      <c r="A126" s="201"/>
      <c r="B126" s="450" t="s">
        <v>289</v>
      </c>
      <c r="C126" s="463" t="s">
        <v>205</v>
      </c>
      <c r="D126" s="464"/>
      <c r="E126" s="475"/>
      <c r="F126" s="475"/>
      <c r="G126" s="476"/>
      <c r="H126" s="200"/>
      <c r="I126" s="200"/>
      <c r="J126" s="200"/>
      <c r="K126" s="200"/>
      <c r="L126" s="200"/>
      <c r="M126" s="200"/>
      <c r="N126" s="200"/>
      <c r="O126" s="90"/>
      <c r="P126" s="90"/>
      <c r="Q126" s="90"/>
      <c r="R126" s="90"/>
      <c r="S126" s="90"/>
      <c r="T126" s="90"/>
    </row>
    <row r="127" spans="1:20" ht="18.75">
      <c r="A127" s="201"/>
      <c r="B127" s="405" t="s">
        <v>399</v>
      </c>
      <c r="C127" s="204" t="s">
        <v>391</v>
      </c>
      <c r="D127" s="82">
        <v>4.68</v>
      </c>
      <c r="E127" s="206" t="s">
        <v>15</v>
      </c>
      <c r="F127" s="552"/>
      <c r="G127" s="553"/>
      <c r="H127" s="200"/>
      <c r="I127" s="200"/>
      <c r="J127" s="200"/>
      <c r="K127" s="200"/>
      <c r="L127" s="200"/>
      <c r="M127" s="200"/>
      <c r="N127" s="200"/>
      <c r="O127" s="90"/>
      <c r="P127" s="90"/>
      <c r="Q127" s="90"/>
      <c r="R127" s="90"/>
      <c r="S127" s="90"/>
      <c r="T127" s="90"/>
    </row>
    <row r="128" spans="1:20" ht="18.75">
      <c r="A128" s="201"/>
      <c r="B128" s="405" t="s">
        <v>398</v>
      </c>
      <c r="C128" s="204" t="s">
        <v>392</v>
      </c>
      <c r="D128" s="82">
        <v>2</v>
      </c>
      <c r="E128" s="206" t="s">
        <v>15</v>
      </c>
      <c r="F128" s="489" t="s">
        <v>395</v>
      </c>
      <c r="G128" s="551"/>
      <c r="H128" s="200"/>
      <c r="I128" s="200"/>
      <c r="J128" s="200"/>
      <c r="K128" s="200"/>
      <c r="L128" s="200"/>
      <c r="M128" s="200"/>
      <c r="N128" s="200"/>
      <c r="O128" s="90"/>
      <c r="P128" s="90"/>
      <c r="Q128" s="90"/>
      <c r="R128" s="90"/>
      <c r="S128" s="90"/>
      <c r="T128" s="90"/>
    </row>
    <row r="129" spans="1:20" ht="18.75">
      <c r="A129" s="201"/>
      <c r="B129" s="405" t="s">
        <v>397</v>
      </c>
      <c r="C129" s="204" t="s">
        <v>393</v>
      </c>
      <c r="D129" s="82">
        <v>1.25</v>
      </c>
      <c r="E129" s="206" t="s">
        <v>17</v>
      </c>
      <c r="F129" s="484"/>
      <c r="G129" s="553"/>
      <c r="H129" s="200"/>
      <c r="I129" s="200"/>
      <c r="J129" s="200"/>
      <c r="K129" s="200"/>
      <c r="L129" s="200"/>
      <c r="M129" s="200"/>
      <c r="N129" s="200"/>
      <c r="O129" s="90"/>
      <c r="P129" s="90"/>
      <c r="Q129" s="90"/>
      <c r="R129" s="90"/>
      <c r="S129" s="90"/>
      <c r="T129" s="90"/>
    </row>
    <row r="130" spans="1:20" ht="19.5" customHeight="1" thickBot="1">
      <c r="A130" s="194"/>
      <c r="B130" s="415" t="s">
        <v>396</v>
      </c>
      <c r="C130" s="282" t="s">
        <v>394</v>
      </c>
      <c r="D130" s="1">
        <v>1.25</v>
      </c>
      <c r="E130" s="284" t="s">
        <v>18</v>
      </c>
      <c r="F130" s="549"/>
      <c r="G130" s="550"/>
      <c r="H130" s="200"/>
      <c r="I130" s="200"/>
      <c r="J130" s="200"/>
      <c r="K130" s="200"/>
      <c r="L130" s="200"/>
      <c r="M130" s="200"/>
      <c r="N130" s="200"/>
      <c r="O130" s="90"/>
      <c r="P130" s="90"/>
      <c r="Q130" s="90"/>
      <c r="R130" s="90"/>
      <c r="S130" s="90"/>
      <c r="T130" s="90"/>
    </row>
    <row r="131" spans="1:20">
      <c r="A131" s="194"/>
      <c r="B131" s="194"/>
      <c r="C131" s="194"/>
      <c r="D131" s="194"/>
      <c r="E131" s="194"/>
      <c r="F131" s="194"/>
      <c r="G131" s="194"/>
      <c r="H131" s="200"/>
      <c r="I131" s="200"/>
      <c r="J131" s="200"/>
      <c r="K131" s="200"/>
      <c r="L131" s="200"/>
      <c r="M131" s="200"/>
      <c r="N131" s="200"/>
      <c r="O131" s="90"/>
      <c r="P131" s="90"/>
      <c r="Q131" s="90"/>
      <c r="R131" s="90"/>
      <c r="S131" s="90"/>
      <c r="T131" s="90"/>
    </row>
    <row r="132" spans="1:20">
      <c r="A132" s="194"/>
      <c r="B132" s="194"/>
      <c r="C132" s="194"/>
      <c r="D132" s="194"/>
      <c r="E132" s="194"/>
      <c r="F132" s="194"/>
      <c r="G132" s="194"/>
      <c r="H132" s="200"/>
      <c r="I132" s="200"/>
      <c r="J132" s="200"/>
      <c r="K132" s="200"/>
      <c r="L132" s="200"/>
      <c r="M132" s="200"/>
      <c r="N132" s="200"/>
      <c r="O132" s="90"/>
      <c r="P132" s="90"/>
      <c r="Q132" s="90"/>
      <c r="R132" s="90"/>
      <c r="S132" s="90"/>
      <c r="T132" s="90"/>
    </row>
  </sheetData>
  <sheetProtection password="E9DD" sheet="1" objects="1" scenarios="1" selectLockedCells="1"/>
  <mergeCells count="88">
    <mergeCell ref="E108:G108"/>
    <mergeCell ref="C121:D121"/>
    <mergeCell ref="C113:D113"/>
    <mergeCell ref="E113:G113"/>
    <mergeCell ref="F118:G118"/>
    <mergeCell ref="B112:G112"/>
    <mergeCell ref="F116:G116"/>
    <mergeCell ref="F117:G117"/>
    <mergeCell ref="F114:G114"/>
    <mergeCell ref="F130:G130"/>
    <mergeCell ref="F128:G128"/>
    <mergeCell ref="B125:G125"/>
    <mergeCell ref="F127:G127"/>
    <mergeCell ref="F129:G129"/>
    <mergeCell ref="C126:D126"/>
    <mergeCell ref="B62:G62"/>
    <mergeCell ref="C46:D46"/>
    <mergeCell ref="E54:G54"/>
    <mergeCell ref="B82:G82"/>
    <mergeCell ref="F68:G68"/>
    <mergeCell ref="B70:G70"/>
    <mergeCell ref="C54:D54"/>
    <mergeCell ref="B1:G1"/>
    <mergeCell ref="B3:G3"/>
    <mergeCell ref="B4:G7"/>
    <mergeCell ref="B8:G8"/>
    <mergeCell ref="B9:G9"/>
    <mergeCell ref="F43:G43"/>
    <mergeCell ref="F46:G46"/>
    <mergeCell ref="E63:G63"/>
    <mergeCell ref="C63:D63"/>
    <mergeCell ref="B10:G10"/>
    <mergeCell ref="B11:G11"/>
    <mergeCell ref="B12:G13"/>
    <mergeCell ref="F20:G20"/>
    <mergeCell ref="B27:G27"/>
    <mergeCell ref="F24:G24"/>
    <mergeCell ref="F18:G18"/>
    <mergeCell ref="F21:G21"/>
    <mergeCell ref="F16:G16"/>
    <mergeCell ref="F22:G22"/>
    <mergeCell ref="B15:G15"/>
    <mergeCell ref="F25:G25"/>
    <mergeCell ref="F37:G37"/>
    <mergeCell ref="F34:G34"/>
    <mergeCell ref="F42:G42"/>
    <mergeCell ref="F35:G35"/>
    <mergeCell ref="E33:G33"/>
    <mergeCell ref="B39:G39"/>
    <mergeCell ref="F41:G41"/>
    <mergeCell ref="F44:G44"/>
    <mergeCell ref="E29:G29"/>
    <mergeCell ref="F32:G32"/>
    <mergeCell ref="E28:G28"/>
    <mergeCell ref="B105:G105"/>
    <mergeCell ref="B95:G95"/>
    <mergeCell ref="F100:G100"/>
    <mergeCell ref="F97:G97"/>
    <mergeCell ref="E98:G98"/>
    <mergeCell ref="F99:G99"/>
    <mergeCell ref="F101:G101"/>
    <mergeCell ref="F71:G71"/>
    <mergeCell ref="F78:G78"/>
    <mergeCell ref="F79:G79"/>
    <mergeCell ref="E31:G31"/>
    <mergeCell ref="F40:G40"/>
    <mergeCell ref="E121:G121"/>
    <mergeCell ref="E126:G126"/>
    <mergeCell ref="E96:G96"/>
    <mergeCell ref="E83:G83"/>
    <mergeCell ref="E106:G106"/>
    <mergeCell ref="F85:G85"/>
    <mergeCell ref="F93:G93"/>
    <mergeCell ref="F92:G92"/>
    <mergeCell ref="F102:G102"/>
    <mergeCell ref="F122:G122"/>
    <mergeCell ref="B120:G120"/>
    <mergeCell ref="F123:G123"/>
    <mergeCell ref="E109:G109"/>
    <mergeCell ref="F107:G107"/>
    <mergeCell ref="E115:G115"/>
    <mergeCell ref="E110:G110"/>
    <mergeCell ref="C106:D106"/>
    <mergeCell ref="C96:D96"/>
    <mergeCell ref="C83:D83"/>
    <mergeCell ref="F84:G84"/>
    <mergeCell ref="F103:G103"/>
    <mergeCell ref="F91:G91"/>
  </mergeCells>
  <phoneticPr fontId="27" type="noConversion"/>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'Hide Calculate'!$C$77:$C$78</xm:f>
          </x14:formula1>
          <xm:sqref>D16</xm:sqref>
        </x14:dataValidation>
        <x14:dataValidation type="list" allowBlank="1" showInputMessage="1" showErrorMessage="1">
          <x14:formula1>
            <xm:f>'Hide Calculate'!$D$77:$D$78</xm:f>
          </x14:formula1>
          <xm:sqref>D43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F305"/>
  <sheetViews>
    <sheetView tabSelected="1" topLeftCell="B148" zoomScale="85" zoomScaleNormal="85" workbookViewId="0">
      <selection activeCell="D148" sqref="D148"/>
    </sheetView>
  </sheetViews>
  <sheetFormatPr defaultColWidth="9" defaultRowHeight="15.75"/>
  <cols>
    <col min="1" max="1" width="4.42578125" style="11" customWidth="1"/>
    <col min="2" max="2" width="64.42578125" style="11" customWidth="1"/>
    <col min="3" max="3" width="15.7109375" style="20" customWidth="1"/>
    <col min="4" max="4" width="13.7109375" style="21" customWidth="1"/>
    <col min="5" max="5" width="7.7109375" style="11" customWidth="1"/>
    <col min="6" max="6" width="75.5703125" style="11" customWidth="1"/>
    <col min="7" max="7" width="9" style="11" customWidth="1"/>
    <col min="8" max="10" width="9" style="11"/>
    <col min="11" max="11" width="9" style="11" customWidth="1"/>
    <col min="12" max="13" width="9" style="11"/>
    <col min="14" max="14" width="9" style="11" customWidth="1"/>
    <col min="15" max="16384" width="9" style="11"/>
  </cols>
  <sheetData>
    <row r="1" spans="1:29" ht="16.5" thickBot="1">
      <c r="A1" s="194"/>
      <c r="B1" s="195"/>
      <c r="C1" s="196"/>
      <c r="D1" s="197"/>
      <c r="E1" s="198"/>
      <c r="F1" s="199"/>
      <c r="G1" s="200"/>
      <c r="H1" s="200"/>
      <c r="I1" s="200"/>
      <c r="J1" s="90"/>
      <c r="K1" s="90"/>
      <c r="L1" s="90"/>
      <c r="M1" s="90"/>
      <c r="N1" s="90"/>
      <c r="O1" s="90"/>
      <c r="P1" s="90"/>
      <c r="Q1" s="90"/>
      <c r="R1" s="90"/>
      <c r="S1" s="90"/>
      <c r="T1" s="90"/>
      <c r="U1" s="90"/>
      <c r="V1" s="90"/>
      <c r="W1" s="90"/>
      <c r="X1" s="90"/>
      <c r="Y1" s="90"/>
      <c r="Z1" s="90"/>
      <c r="AA1" s="90"/>
      <c r="AB1" s="90"/>
      <c r="AC1" s="90"/>
    </row>
    <row r="2" spans="1:29" ht="18" customHeight="1">
      <c r="A2" s="201"/>
      <c r="B2" s="578" t="s">
        <v>254</v>
      </c>
      <c r="C2" s="579"/>
      <c r="D2" s="579"/>
      <c r="E2" s="579"/>
      <c r="F2" s="580"/>
      <c r="G2" s="200"/>
      <c r="H2" s="200"/>
      <c r="I2" s="200"/>
      <c r="J2" s="90"/>
      <c r="K2" s="90"/>
      <c r="L2" s="90"/>
      <c r="M2" s="90"/>
      <c r="N2" s="90"/>
      <c r="O2" s="90"/>
      <c r="P2" s="90"/>
      <c r="Q2" s="90"/>
      <c r="R2" s="90"/>
      <c r="S2" s="90"/>
      <c r="T2" s="90"/>
      <c r="U2" s="90"/>
      <c r="V2" s="90"/>
      <c r="W2" s="90"/>
      <c r="X2" s="90"/>
      <c r="Y2" s="90"/>
      <c r="Z2" s="90"/>
      <c r="AA2" s="90"/>
      <c r="AB2" s="90"/>
      <c r="AC2" s="90"/>
    </row>
    <row r="3" spans="1:29" ht="18.75">
      <c r="A3" s="202"/>
      <c r="B3" s="203" t="s">
        <v>255</v>
      </c>
      <c r="C3" s="204" t="s">
        <v>797</v>
      </c>
      <c r="D3" s="205">
        <v>9.8000000000000007</v>
      </c>
      <c r="E3" s="206" t="s">
        <v>8</v>
      </c>
      <c r="F3" s="207" t="s">
        <v>181</v>
      </c>
      <c r="G3" s="200"/>
      <c r="H3" s="200"/>
      <c r="I3" s="200"/>
      <c r="J3" s="90"/>
      <c r="K3" s="90"/>
      <c r="L3" s="90"/>
      <c r="M3" s="90"/>
      <c r="N3" s="90"/>
      <c r="O3" s="90"/>
      <c r="P3" s="90"/>
      <c r="Q3" s="90"/>
      <c r="R3" s="90"/>
      <c r="S3" s="90"/>
      <c r="T3" s="90"/>
      <c r="U3" s="90"/>
      <c r="V3" s="90"/>
      <c r="W3" s="90"/>
      <c r="X3" s="90"/>
      <c r="Y3" s="90"/>
      <c r="Z3" s="90"/>
      <c r="AA3" s="90"/>
      <c r="AB3" s="90"/>
      <c r="AC3" s="90"/>
    </row>
    <row r="4" spans="1:29" ht="18.75">
      <c r="A4" s="202"/>
      <c r="B4" s="203" t="s">
        <v>262</v>
      </c>
      <c r="C4" s="204" t="s">
        <v>798</v>
      </c>
      <c r="D4" s="205">
        <v>17.5</v>
      </c>
      <c r="E4" s="206" t="s">
        <v>8</v>
      </c>
      <c r="F4" s="207" t="s">
        <v>181</v>
      </c>
      <c r="G4" s="200"/>
      <c r="H4" s="200"/>
      <c r="I4" s="200"/>
      <c r="J4" s="90"/>
      <c r="K4" s="90"/>
      <c r="L4" s="90"/>
      <c r="M4" s="90"/>
      <c r="N4" s="90"/>
      <c r="O4" s="90"/>
      <c r="P4" s="90"/>
      <c r="Q4" s="90"/>
      <c r="R4" s="90"/>
      <c r="S4" s="90"/>
      <c r="T4" s="90"/>
      <c r="U4" s="90"/>
      <c r="V4" s="90"/>
      <c r="W4" s="90"/>
      <c r="X4" s="90"/>
      <c r="Y4" s="90"/>
      <c r="Z4" s="90"/>
      <c r="AA4" s="90"/>
      <c r="AB4" s="90"/>
      <c r="AC4" s="90"/>
    </row>
    <row r="5" spans="1:29" ht="18.75">
      <c r="A5" s="202"/>
      <c r="B5" s="203" t="s">
        <v>140</v>
      </c>
      <c r="C5" s="204" t="s">
        <v>799</v>
      </c>
      <c r="D5" s="208">
        <v>34</v>
      </c>
      <c r="E5" s="206" t="s">
        <v>8</v>
      </c>
      <c r="F5" s="207" t="s">
        <v>328</v>
      </c>
      <c r="G5" s="200"/>
      <c r="H5" s="200"/>
      <c r="I5" s="200"/>
      <c r="J5" s="90"/>
      <c r="K5" s="90"/>
      <c r="L5" s="90"/>
      <c r="M5" s="90"/>
      <c r="N5" s="90"/>
      <c r="O5" s="90"/>
      <c r="P5" s="90"/>
      <c r="Q5" s="90"/>
      <c r="R5" s="90"/>
      <c r="S5" s="90"/>
      <c r="T5" s="90"/>
      <c r="U5" s="90"/>
      <c r="V5" s="90"/>
      <c r="W5" s="90"/>
      <c r="X5" s="90"/>
      <c r="Y5" s="90"/>
      <c r="Z5" s="90"/>
      <c r="AA5" s="90"/>
      <c r="AB5" s="90"/>
      <c r="AC5" s="90"/>
    </row>
    <row r="6" spans="1:29" ht="18.75">
      <c r="A6" s="202"/>
      <c r="B6" s="209" t="s">
        <v>141</v>
      </c>
      <c r="C6" s="204" t="s">
        <v>800</v>
      </c>
      <c r="D6" s="205">
        <v>1</v>
      </c>
      <c r="E6" s="206" t="s">
        <v>8</v>
      </c>
      <c r="F6" s="207" t="s">
        <v>181</v>
      </c>
      <c r="G6" s="200"/>
      <c r="H6" s="200"/>
      <c r="I6" s="200"/>
      <c r="J6" s="90"/>
      <c r="K6" s="90"/>
      <c r="L6" s="90"/>
      <c r="M6" s="90"/>
      <c r="N6" s="90"/>
      <c r="O6" s="90"/>
      <c r="P6" s="90"/>
      <c r="Q6" s="90"/>
      <c r="R6" s="90"/>
      <c r="S6" s="90"/>
      <c r="T6" s="90"/>
      <c r="U6" s="90"/>
      <c r="V6" s="90"/>
      <c r="W6" s="90"/>
      <c r="X6" s="90"/>
      <c r="Y6" s="90"/>
      <c r="Z6" s="90"/>
      <c r="AA6" s="90"/>
      <c r="AB6" s="90"/>
      <c r="AC6" s="90"/>
    </row>
    <row r="7" spans="1:29" ht="18.75">
      <c r="A7" s="202"/>
      <c r="B7" s="203" t="s">
        <v>256</v>
      </c>
      <c r="C7" s="204" t="s">
        <v>801</v>
      </c>
      <c r="D7" s="208">
        <v>365</v>
      </c>
      <c r="E7" s="206" t="s">
        <v>207</v>
      </c>
      <c r="F7" s="210" t="s">
        <v>833</v>
      </c>
      <c r="G7" s="200"/>
      <c r="H7" s="200"/>
      <c r="I7" s="200"/>
      <c r="J7" s="90"/>
      <c r="K7" s="90"/>
      <c r="L7" s="90"/>
      <c r="M7" s="90"/>
      <c r="N7" s="90"/>
      <c r="O7" s="90"/>
      <c r="P7" s="90"/>
      <c r="Q7" s="90"/>
      <c r="R7" s="90"/>
      <c r="S7" s="90"/>
      <c r="T7" s="90"/>
      <c r="U7" s="90"/>
      <c r="V7" s="90"/>
      <c r="W7" s="90"/>
      <c r="X7" s="90"/>
      <c r="Y7" s="90"/>
      <c r="Z7" s="90"/>
      <c r="AA7" s="90"/>
      <c r="AB7" s="90"/>
      <c r="AC7" s="90"/>
    </row>
    <row r="8" spans="1:29" ht="18.75">
      <c r="A8" s="201"/>
      <c r="B8" s="203" t="s">
        <v>257</v>
      </c>
      <c r="C8" s="204" t="s">
        <v>802</v>
      </c>
      <c r="D8" s="211">
        <v>4.5</v>
      </c>
      <c r="E8" s="206" t="s">
        <v>8</v>
      </c>
      <c r="F8" s="207" t="s">
        <v>181</v>
      </c>
      <c r="G8" s="200"/>
      <c r="H8" s="200"/>
      <c r="I8" s="200"/>
      <c r="J8" s="90"/>
      <c r="K8" s="90"/>
      <c r="L8" s="90"/>
      <c r="M8" s="90"/>
      <c r="N8" s="90"/>
      <c r="O8" s="90"/>
      <c r="P8" s="90"/>
      <c r="Q8" s="90"/>
      <c r="R8" s="90"/>
      <c r="S8" s="90"/>
      <c r="T8" s="90"/>
      <c r="U8" s="90"/>
      <c r="V8" s="90"/>
      <c r="W8" s="90"/>
      <c r="X8" s="90"/>
      <c r="Y8" s="90"/>
      <c r="Z8" s="90"/>
      <c r="AA8" s="90"/>
      <c r="AB8" s="90"/>
      <c r="AC8" s="90"/>
    </row>
    <row r="9" spans="1:29" ht="18.75">
      <c r="A9" s="201"/>
      <c r="B9" s="209" t="s">
        <v>142</v>
      </c>
      <c r="C9" s="204" t="s">
        <v>803</v>
      </c>
      <c r="D9" s="212">
        <v>15</v>
      </c>
      <c r="E9" s="206" t="s">
        <v>180</v>
      </c>
      <c r="F9" s="210" t="s">
        <v>181</v>
      </c>
      <c r="G9" s="200"/>
      <c r="H9" s="200"/>
      <c r="I9" s="200"/>
      <c r="J9" s="90"/>
      <c r="K9" s="90"/>
      <c r="L9" s="90"/>
      <c r="M9" s="90"/>
      <c r="N9" s="90"/>
      <c r="O9" s="90"/>
      <c r="P9" s="90"/>
      <c r="Q9" s="90"/>
      <c r="R9" s="90"/>
      <c r="S9" s="90"/>
      <c r="T9" s="90"/>
      <c r="U9" s="90"/>
      <c r="V9" s="90"/>
      <c r="W9" s="90"/>
      <c r="X9" s="90"/>
      <c r="Y9" s="90"/>
      <c r="Z9" s="90"/>
      <c r="AA9" s="90"/>
      <c r="AB9" s="90"/>
      <c r="AC9" s="90"/>
    </row>
    <row r="10" spans="1:29" ht="18.75">
      <c r="A10" s="201"/>
      <c r="B10" s="213" t="s">
        <v>280</v>
      </c>
      <c r="C10" s="214" t="s">
        <v>804</v>
      </c>
      <c r="D10" s="215">
        <v>0.8</v>
      </c>
      <c r="E10" s="206" t="s">
        <v>8</v>
      </c>
      <c r="F10" s="207" t="s">
        <v>181</v>
      </c>
      <c r="G10" s="200"/>
      <c r="H10" s="200"/>
      <c r="I10" s="200"/>
      <c r="J10" s="90"/>
      <c r="K10" s="90"/>
      <c r="L10" s="90"/>
      <c r="M10" s="90"/>
      <c r="N10" s="90"/>
      <c r="O10" s="90"/>
      <c r="P10" s="90"/>
      <c r="Q10" s="90"/>
      <c r="R10" s="90"/>
      <c r="S10" s="90"/>
      <c r="T10" s="90"/>
      <c r="U10" s="90"/>
      <c r="V10" s="90"/>
      <c r="W10" s="90"/>
      <c r="X10" s="90"/>
      <c r="Y10" s="90"/>
      <c r="Z10" s="90"/>
      <c r="AA10" s="90"/>
      <c r="AB10" s="90"/>
      <c r="AC10" s="90"/>
    </row>
    <row r="11" spans="1:29" ht="18.75">
      <c r="A11" s="201"/>
      <c r="B11" s="213" t="s">
        <v>484</v>
      </c>
      <c r="C11" s="214" t="s">
        <v>805</v>
      </c>
      <c r="D11" s="215">
        <v>0.6</v>
      </c>
      <c r="E11" s="206" t="s">
        <v>8</v>
      </c>
      <c r="F11" s="207" t="s">
        <v>181</v>
      </c>
      <c r="G11" s="200"/>
      <c r="H11" s="200"/>
      <c r="I11" s="200"/>
      <c r="J11" s="90"/>
      <c r="K11" s="90"/>
      <c r="L11" s="90"/>
      <c r="M11" s="90"/>
      <c r="N11" s="90"/>
      <c r="O11" s="90"/>
      <c r="P11" s="90"/>
      <c r="Q11" s="90"/>
      <c r="R11" s="90"/>
      <c r="S11" s="90"/>
      <c r="T11" s="90"/>
      <c r="U11" s="90"/>
      <c r="V11" s="90"/>
      <c r="W11" s="90"/>
      <c r="X11" s="90"/>
      <c r="Y11" s="90"/>
      <c r="Z11" s="90"/>
      <c r="AA11" s="90"/>
      <c r="AB11" s="90"/>
      <c r="AC11" s="90"/>
    </row>
    <row r="12" spans="1:29" ht="18.75">
      <c r="A12" s="201"/>
      <c r="B12" s="213" t="s">
        <v>331</v>
      </c>
      <c r="C12" s="214" t="s">
        <v>806</v>
      </c>
      <c r="D12" s="215">
        <v>0.42499999999999999</v>
      </c>
      <c r="E12" s="216" t="s">
        <v>8</v>
      </c>
      <c r="F12" s="207" t="s">
        <v>181</v>
      </c>
      <c r="G12" s="200"/>
      <c r="H12" s="200"/>
      <c r="I12" s="200"/>
      <c r="J12" s="90"/>
      <c r="K12" s="90"/>
      <c r="L12" s="90"/>
      <c r="M12" s="90"/>
      <c r="N12" s="90"/>
      <c r="O12" s="90"/>
      <c r="P12" s="90"/>
      <c r="Q12" s="90"/>
      <c r="R12" s="90"/>
      <c r="S12" s="90"/>
      <c r="T12" s="90"/>
      <c r="U12" s="90"/>
      <c r="V12" s="90"/>
      <c r="W12" s="90"/>
      <c r="X12" s="90"/>
      <c r="Y12" s="90"/>
      <c r="Z12" s="90"/>
      <c r="AA12" s="90"/>
      <c r="AB12" s="90"/>
      <c r="AC12" s="90"/>
    </row>
    <row r="13" spans="1:29" ht="18.75">
      <c r="A13" s="201"/>
      <c r="B13" s="213" t="s">
        <v>258</v>
      </c>
      <c r="C13" s="214" t="s">
        <v>807</v>
      </c>
      <c r="D13" s="217">
        <v>0.25</v>
      </c>
      <c r="E13" s="216" t="s">
        <v>182</v>
      </c>
      <c r="F13" s="218" t="s">
        <v>181</v>
      </c>
      <c r="G13" s="200"/>
      <c r="H13" s="200"/>
      <c r="I13" s="200"/>
      <c r="J13" s="90"/>
      <c r="K13" s="90"/>
      <c r="L13" s="90"/>
      <c r="M13" s="90"/>
      <c r="N13" s="90"/>
      <c r="O13" s="90"/>
      <c r="P13" s="90"/>
      <c r="Q13" s="90"/>
      <c r="R13" s="90"/>
      <c r="S13" s="90"/>
      <c r="T13" s="90"/>
      <c r="U13" s="90"/>
      <c r="V13" s="90"/>
      <c r="W13" s="90"/>
      <c r="X13" s="90"/>
      <c r="Y13" s="90"/>
      <c r="Z13" s="90"/>
      <c r="AA13" s="90"/>
      <c r="AB13" s="90"/>
      <c r="AC13" s="90"/>
    </row>
    <row r="14" spans="1:29" ht="18.75">
      <c r="A14" s="201"/>
      <c r="B14" s="213" t="s">
        <v>259</v>
      </c>
      <c r="C14" s="214" t="s">
        <v>808</v>
      </c>
      <c r="D14" s="215">
        <v>25</v>
      </c>
      <c r="E14" s="216" t="s">
        <v>183</v>
      </c>
      <c r="F14" s="218" t="s">
        <v>181</v>
      </c>
      <c r="G14" s="200"/>
      <c r="H14" s="200"/>
      <c r="I14" s="200"/>
      <c r="J14" s="90"/>
      <c r="K14" s="90"/>
      <c r="L14" s="90"/>
      <c r="M14" s="90"/>
      <c r="N14" s="90"/>
      <c r="O14" s="90"/>
      <c r="P14" s="90"/>
      <c r="Q14" s="90"/>
      <c r="R14" s="90"/>
      <c r="S14" s="90"/>
      <c r="T14" s="90"/>
      <c r="U14" s="90"/>
      <c r="V14" s="90"/>
      <c r="W14" s="90"/>
      <c r="X14" s="90"/>
      <c r="Y14" s="90"/>
      <c r="Z14" s="90"/>
      <c r="AA14" s="90"/>
      <c r="AB14" s="90"/>
      <c r="AC14" s="90"/>
    </row>
    <row r="15" spans="1:29" ht="18.75">
      <c r="A15" s="201"/>
      <c r="B15" s="213" t="s">
        <v>243</v>
      </c>
      <c r="C15" s="214" t="s">
        <v>809</v>
      </c>
      <c r="D15" s="219">
        <f>5*10^9</f>
        <v>5000000000</v>
      </c>
      <c r="E15" s="216" t="s">
        <v>764</v>
      </c>
      <c r="F15" s="218" t="s">
        <v>330</v>
      </c>
      <c r="G15" s="200"/>
      <c r="H15" s="200"/>
      <c r="I15" s="200"/>
      <c r="J15" s="90"/>
      <c r="K15" s="90"/>
      <c r="L15" s="90"/>
      <c r="M15" s="90"/>
      <c r="N15" s="90"/>
      <c r="O15" s="90"/>
      <c r="P15" s="90"/>
      <c r="Q15" s="90"/>
      <c r="R15" s="90"/>
      <c r="S15" s="90"/>
      <c r="T15" s="90"/>
      <c r="U15" s="90"/>
      <c r="V15" s="90"/>
      <c r="W15" s="90"/>
      <c r="X15" s="90"/>
      <c r="Y15" s="90"/>
      <c r="Z15" s="90"/>
      <c r="AA15" s="90"/>
      <c r="AB15" s="90"/>
      <c r="AC15" s="90"/>
    </row>
    <row r="16" spans="1:29" ht="18.75">
      <c r="A16" s="201"/>
      <c r="B16" s="213" t="s">
        <v>810</v>
      </c>
      <c r="C16" s="214" t="s">
        <v>811</v>
      </c>
      <c r="D16" s="215">
        <v>4</v>
      </c>
      <c r="E16" s="216" t="s">
        <v>184</v>
      </c>
      <c r="F16" s="218" t="s">
        <v>181</v>
      </c>
      <c r="G16" s="200"/>
      <c r="H16" s="200"/>
      <c r="I16" s="200"/>
      <c r="J16" s="90"/>
      <c r="K16" s="90"/>
      <c r="L16" s="90"/>
      <c r="M16" s="90"/>
      <c r="N16" s="90"/>
      <c r="O16" s="90"/>
      <c r="P16" s="90"/>
      <c r="Q16" s="90"/>
      <c r="R16" s="90"/>
      <c r="S16" s="90"/>
      <c r="T16" s="90"/>
      <c r="U16" s="90"/>
      <c r="V16" s="90"/>
      <c r="W16" s="90"/>
      <c r="X16" s="90"/>
      <c r="Y16" s="90"/>
      <c r="Z16" s="90"/>
      <c r="AA16" s="90"/>
      <c r="AB16" s="90"/>
      <c r="AC16" s="90"/>
    </row>
    <row r="17" spans="1:29" ht="18.75">
      <c r="A17" s="201"/>
      <c r="B17" s="203" t="s">
        <v>143</v>
      </c>
      <c r="C17" s="214" t="s">
        <v>812</v>
      </c>
      <c r="D17" s="215">
        <v>10.5</v>
      </c>
      <c r="E17" s="216" t="s">
        <v>185</v>
      </c>
      <c r="F17" s="218" t="s">
        <v>181</v>
      </c>
      <c r="G17" s="200"/>
      <c r="H17" s="200"/>
      <c r="I17" s="200"/>
      <c r="J17" s="90"/>
      <c r="K17" s="90"/>
      <c r="L17" s="90"/>
      <c r="M17" s="90"/>
      <c r="N17" s="90"/>
      <c r="O17" s="90"/>
      <c r="P17" s="90"/>
      <c r="Q17" s="90"/>
      <c r="R17" s="90"/>
      <c r="S17" s="90"/>
      <c r="T17" s="90"/>
      <c r="U17" s="90"/>
      <c r="V17" s="90"/>
      <c r="W17" s="90"/>
      <c r="X17" s="90"/>
      <c r="Y17" s="90"/>
      <c r="Z17" s="90"/>
      <c r="AA17" s="90"/>
      <c r="AB17" s="90"/>
      <c r="AC17" s="90"/>
    </row>
    <row r="18" spans="1:29" ht="18.75">
      <c r="A18" s="201"/>
      <c r="B18" s="203" t="s">
        <v>796</v>
      </c>
      <c r="C18" s="214" t="s">
        <v>813</v>
      </c>
      <c r="D18" s="215">
        <v>2.5</v>
      </c>
      <c r="E18" s="216" t="s">
        <v>186</v>
      </c>
      <c r="F18" s="218" t="s">
        <v>181</v>
      </c>
      <c r="G18" s="200"/>
      <c r="H18" s="200"/>
      <c r="I18" s="200"/>
      <c r="J18" s="90"/>
      <c r="K18" s="90"/>
      <c r="L18" s="90"/>
      <c r="M18" s="90"/>
      <c r="N18" s="90"/>
      <c r="O18" s="90"/>
      <c r="P18" s="90"/>
      <c r="Q18" s="90"/>
      <c r="R18" s="90"/>
      <c r="S18" s="90"/>
      <c r="T18" s="90"/>
      <c r="U18" s="90"/>
      <c r="V18" s="90"/>
      <c r="W18" s="90"/>
      <c r="X18" s="90"/>
      <c r="Y18" s="90"/>
      <c r="Z18" s="90"/>
      <c r="AA18" s="90"/>
      <c r="AB18" s="90"/>
      <c r="AC18" s="90"/>
    </row>
    <row r="19" spans="1:29" ht="18.75">
      <c r="A19" s="201"/>
      <c r="B19" s="213" t="s">
        <v>279</v>
      </c>
      <c r="C19" s="214" t="s">
        <v>814</v>
      </c>
      <c r="D19" s="215">
        <v>0.4</v>
      </c>
      <c r="E19" s="216" t="s">
        <v>186</v>
      </c>
      <c r="F19" s="218" t="s">
        <v>181</v>
      </c>
      <c r="G19" s="220"/>
      <c r="H19" s="200"/>
      <c r="I19" s="200"/>
      <c r="J19" s="90"/>
      <c r="K19" s="90"/>
      <c r="L19" s="90"/>
      <c r="M19" s="90"/>
      <c r="N19" s="90"/>
      <c r="O19" s="90"/>
      <c r="P19" s="90"/>
      <c r="Q19" s="90"/>
      <c r="R19" s="90"/>
      <c r="S19" s="90"/>
      <c r="T19" s="90"/>
      <c r="U19" s="90"/>
      <c r="V19" s="90"/>
      <c r="W19" s="90"/>
      <c r="X19" s="90"/>
      <c r="Y19" s="90"/>
      <c r="Z19" s="90"/>
      <c r="AA19" s="90"/>
      <c r="AB19" s="90"/>
      <c r="AC19" s="90"/>
    </row>
    <row r="20" spans="1:29" ht="18.75">
      <c r="A20" s="201"/>
      <c r="B20" s="213" t="s">
        <v>345</v>
      </c>
      <c r="C20" s="214" t="s">
        <v>815</v>
      </c>
      <c r="D20" s="215">
        <v>2.2000000000000002</v>
      </c>
      <c r="E20" s="221" t="s">
        <v>187</v>
      </c>
      <c r="F20" s="218" t="s">
        <v>329</v>
      </c>
      <c r="G20" s="222"/>
      <c r="H20" s="200"/>
      <c r="I20" s="200"/>
      <c r="J20" s="90"/>
      <c r="K20" s="90"/>
      <c r="L20" s="90"/>
      <c r="M20" s="90"/>
      <c r="N20" s="90"/>
      <c r="O20" s="90"/>
      <c r="P20" s="90"/>
      <c r="Q20" s="90"/>
      <c r="R20" s="90"/>
      <c r="S20" s="90"/>
      <c r="T20" s="90"/>
      <c r="U20" s="90"/>
      <c r="V20" s="90"/>
      <c r="W20" s="90"/>
      <c r="X20" s="90"/>
      <c r="Y20" s="90"/>
      <c r="Z20" s="90"/>
      <c r="AA20" s="90"/>
      <c r="AB20" s="90"/>
      <c r="AC20" s="90"/>
    </row>
    <row r="21" spans="1:29" ht="18.75">
      <c r="A21" s="201"/>
      <c r="B21" s="213" t="s">
        <v>260</v>
      </c>
      <c r="C21" s="214" t="s">
        <v>816</v>
      </c>
      <c r="D21" s="215">
        <v>90</v>
      </c>
      <c r="E21" s="206" t="s">
        <v>207</v>
      </c>
      <c r="F21" s="218" t="s">
        <v>181</v>
      </c>
      <c r="G21" s="220"/>
      <c r="H21" s="200"/>
      <c r="I21" s="200"/>
      <c r="J21" s="90"/>
      <c r="K21" s="90"/>
      <c r="L21" s="90"/>
      <c r="M21" s="90"/>
      <c r="N21" s="90"/>
      <c r="O21" s="90"/>
      <c r="P21" s="90"/>
      <c r="Q21" s="90"/>
      <c r="R21" s="90"/>
      <c r="S21" s="90"/>
      <c r="T21" s="90"/>
      <c r="U21" s="90"/>
      <c r="V21" s="90"/>
      <c r="W21" s="90"/>
      <c r="X21" s="90"/>
      <c r="Y21" s="90"/>
      <c r="Z21" s="90"/>
      <c r="AA21" s="90"/>
      <c r="AB21" s="90"/>
      <c r="AC21" s="90"/>
    </row>
    <row r="22" spans="1:29" ht="18.75">
      <c r="A22" s="201"/>
      <c r="B22" s="213" t="s">
        <v>817</v>
      </c>
      <c r="C22" s="214" t="s">
        <v>818</v>
      </c>
      <c r="D22" s="215">
        <v>1</v>
      </c>
      <c r="E22" s="216" t="s">
        <v>188</v>
      </c>
      <c r="F22" s="223"/>
      <c r="G22" s="224"/>
      <c r="H22" s="200"/>
      <c r="I22" s="200"/>
      <c r="J22" s="90"/>
      <c r="K22" s="90"/>
      <c r="L22" s="90"/>
      <c r="M22" s="90"/>
      <c r="N22" s="90"/>
      <c r="O22" s="90"/>
      <c r="P22" s="90"/>
      <c r="Q22" s="90"/>
      <c r="R22" s="90"/>
      <c r="S22" s="90"/>
      <c r="T22" s="90"/>
      <c r="U22" s="90"/>
      <c r="V22" s="90"/>
      <c r="W22" s="90"/>
      <c r="X22" s="90"/>
      <c r="Y22" s="90"/>
      <c r="Z22" s="90"/>
      <c r="AA22" s="90"/>
      <c r="AB22" s="90"/>
      <c r="AC22" s="90"/>
    </row>
    <row r="23" spans="1:29" ht="18.75">
      <c r="A23" s="201"/>
      <c r="B23" s="213" t="s">
        <v>347</v>
      </c>
      <c r="C23" s="214" t="s">
        <v>819</v>
      </c>
      <c r="D23" s="215">
        <v>4.3</v>
      </c>
      <c r="E23" s="216" t="s">
        <v>8</v>
      </c>
      <c r="F23" s="218" t="s">
        <v>181</v>
      </c>
      <c r="G23" s="200"/>
      <c r="H23" s="200"/>
      <c r="I23" s="200"/>
      <c r="J23" s="90"/>
      <c r="K23" s="90"/>
      <c r="L23" s="90"/>
      <c r="M23" s="90"/>
      <c r="N23" s="90"/>
      <c r="O23" s="90"/>
      <c r="P23" s="90"/>
      <c r="Q23" s="90"/>
      <c r="R23" s="90"/>
      <c r="S23" s="90"/>
      <c r="T23" s="90"/>
      <c r="U23" s="90"/>
      <c r="V23" s="90"/>
      <c r="W23" s="90"/>
      <c r="X23" s="90"/>
      <c r="Y23" s="90"/>
      <c r="Z23" s="90"/>
      <c r="AA23" s="90"/>
      <c r="AB23" s="90"/>
      <c r="AC23" s="90"/>
    </row>
    <row r="24" spans="1:29" ht="18.75">
      <c r="A24" s="201"/>
      <c r="B24" s="213" t="s">
        <v>346</v>
      </c>
      <c r="C24" s="214" t="s">
        <v>820</v>
      </c>
      <c r="D24" s="219">
        <v>8000</v>
      </c>
      <c r="E24" s="225" t="s">
        <v>211</v>
      </c>
      <c r="F24" s="218" t="s">
        <v>181</v>
      </c>
      <c r="G24" s="200"/>
      <c r="H24" s="200"/>
      <c r="I24" s="200"/>
      <c r="J24" s="90"/>
      <c r="K24" s="90"/>
      <c r="L24" s="90"/>
      <c r="M24" s="90"/>
      <c r="N24" s="90"/>
      <c r="O24" s="90"/>
      <c r="P24" s="90"/>
      <c r="Q24" s="90"/>
      <c r="R24" s="90"/>
      <c r="S24" s="90"/>
      <c r="T24" s="90"/>
      <c r="U24" s="90"/>
      <c r="V24" s="90"/>
      <c r="W24" s="90"/>
      <c r="X24" s="90"/>
      <c r="Y24" s="90"/>
      <c r="Z24" s="90"/>
      <c r="AA24" s="90"/>
      <c r="AB24" s="90"/>
      <c r="AC24" s="90"/>
    </row>
    <row r="25" spans="1:29" ht="18.75">
      <c r="A25" s="201"/>
      <c r="B25" s="213" t="s">
        <v>278</v>
      </c>
      <c r="C25" s="214" t="s">
        <v>821</v>
      </c>
      <c r="D25" s="215">
        <v>75</v>
      </c>
      <c r="E25" s="221" t="s">
        <v>189</v>
      </c>
      <c r="F25" s="218" t="s">
        <v>181</v>
      </c>
      <c r="G25" s="200"/>
      <c r="H25" s="200"/>
      <c r="I25" s="200"/>
      <c r="J25" s="90"/>
      <c r="K25" s="90"/>
      <c r="L25" s="90"/>
      <c r="M25" s="90"/>
      <c r="N25" s="90"/>
      <c r="O25" s="90"/>
      <c r="P25" s="90"/>
      <c r="Q25" s="90"/>
      <c r="R25" s="90"/>
      <c r="S25" s="90"/>
      <c r="T25" s="90"/>
      <c r="U25" s="90"/>
      <c r="V25" s="90"/>
      <c r="W25" s="90"/>
      <c r="X25" s="90"/>
      <c r="Y25" s="90"/>
      <c r="Z25" s="90"/>
      <c r="AA25" s="90"/>
      <c r="AB25" s="90"/>
      <c r="AC25" s="90"/>
    </row>
    <row r="26" spans="1:29" ht="18.75">
      <c r="A26" s="201"/>
      <c r="B26" s="226" t="s">
        <v>822</v>
      </c>
      <c r="C26" s="227" t="s">
        <v>823</v>
      </c>
      <c r="D26" s="103">
        <v>100</v>
      </c>
      <c r="E26" s="228" t="s">
        <v>190</v>
      </c>
      <c r="F26" s="229" t="s">
        <v>832</v>
      </c>
      <c r="G26" s="200"/>
      <c r="H26" s="200"/>
      <c r="I26" s="200"/>
      <c r="J26" s="90"/>
      <c r="K26" s="90"/>
      <c r="L26" s="90"/>
      <c r="M26" s="90"/>
      <c r="N26" s="90"/>
      <c r="O26" s="90"/>
      <c r="P26" s="90"/>
      <c r="Q26" s="90"/>
      <c r="R26" s="90"/>
      <c r="S26" s="90"/>
      <c r="T26" s="90"/>
      <c r="U26" s="90"/>
      <c r="V26" s="90"/>
      <c r="W26" s="90"/>
      <c r="X26" s="90"/>
      <c r="Y26" s="90"/>
      <c r="Z26" s="90"/>
      <c r="AA26" s="90"/>
      <c r="AB26" s="90"/>
      <c r="AC26" s="90"/>
    </row>
    <row r="27" spans="1:29" ht="18.75">
      <c r="A27" s="201"/>
      <c r="B27" s="230" t="s">
        <v>348</v>
      </c>
      <c r="C27" s="214" t="s">
        <v>824</v>
      </c>
      <c r="D27" s="215">
        <v>34</v>
      </c>
      <c r="E27" s="231" t="s">
        <v>192</v>
      </c>
      <c r="F27" s="218" t="s">
        <v>181</v>
      </c>
      <c r="G27" s="200"/>
      <c r="H27" s="200"/>
      <c r="I27" s="200"/>
      <c r="J27" s="90"/>
      <c r="K27" s="90"/>
      <c r="L27" s="90"/>
      <c r="M27" s="90"/>
      <c r="N27" s="90"/>
      <c r="O27" s="90"/>
      <c r="P27" s="90"/>
      <c r="Q27" s="90"/>
      <c r="R27" s="90"/>
      <c r="S27" s="90"/>
      <c r="T27" s="90"/>
      <c r="U27" s="90"/>
      <c r="V27" s="90"/>
      <c r="W27" s="90"/>
      <c r="X27" s="90"/>
      <c r="Y27" s="90"/>
      <c r="Z27" s="90"/>
      <c r="AA27" s="90"/>
      <c r="AB27" s="90"/>
      <c r="AC27" s="90"/>
    </row>
    <row r="28" spans="1:29" s="41" customFormat="1" ht="18.75">
      <c r="A28" s="201"/>
      <c r="B28" s="230" t="s">
        <v>349</v>
      </c>
      <c r="C28" s="214" t="s">
        <v>825</v>
      </c>
      <c r="D28" s="215">
        <v>25</v>
      </c>
      <c r="E28" s="231" t="s">
        <v>191</v>
      </c>
      <c r="F28" s="218" t="s">
        <v>181</v>
      </c>
      <c r="G28" s="200"/>
      <c r="H28" s="200"/>
      <c r="I28" s="200"/>
      <c r="J28" s="90"/>
      <c r="K28" s="90"/>
      <c r="L28" s="90"/>
      <c r="M28" s="90"/>
      <c r="N28" s="90"/>
      <c r="O28" s="90"/>
      <c r="P28" s="90"/>
      <c r="Q28" s="90"/>
      <c r="R28" s="90"/>
      <c r="S28" s="90"/>
      <c r="T28" s="90"/>
      <c r="U28" s="90"/>
      <c r="V28" s="90"/>
      <c r="W28" s="90"/>
      <c r="X28" s="90"/>
      <c r="Y28" s="90"/>
      <c r="Z28" s="90"/>
      <c r="AA28" s="90"/>
      <c r="AB28" s="90"/>
      <c r="AC28" s="90"/>
    </row>
    <row r="29" spans="1:29" ht="18.75">
      <c r="A29" s="201"/>
      <c r="B29" s="230" t="s">
        <v>261</v>
      </c>
      <c r="C29" s="214" t="s">
        <v>826</v>
      </c>
      <c r="D29" s="211">
        <v>1.5</v>
      </c>
      <c r="E29" s="221" t="s">
        <v>193</v>
      </c>
      <c r="F29" s="210" t="s">
        <v>181</v>
      </c>
      <c r="G29" s="200"/>
      <c r="H29" s="200"/>
      <c r="I29" s="200"/>
      <c r="J29" s="90"/>
      <c r="K29" s="90"/>
      <c r="L29" s="90"/>
      <c r="M29" s="90"/>
      <c r="N29" s="90"/>
      <c r="O29" s="90"/>
      <c r="P29" s="90"/>
      <c r="Q29" s="90"/>
      <c r="R29" s="90"/>
      <c r="S29" s="90"/>
      <c r="T29" s="90"/>
      <c r="U29" s="90"/>
      <c r="V29" s="90"/>
      <c r="W29" s="90"/>
      <c r="X29" s="90"/>
      <c r="Y29" s="90"/>
      <c r="Z29" s="90"/>
      <c r="AA29" s="90"/>
      <c r="AB29" s="90"/>
      <c r="AC29" s="90"/>
    </row>
    <row r="30" spans="1:29" ht="18.75">
      <c r="A30" s="201"/>
      <c r="B30" s="232" t="s">
        <v>350</v>
      </c>
      <c r="C30" s="227" t="s">
        <v>827</v>
      </c>
      <c r="D30" s="103">
        <v>6</v>
      </c>
      <c r="E30" s="228" t="s">
        <v>162</v>
      </c>
      <c r="F30" s="229" t="s">
        <v>354</v>
      </c>
      <c r="G30" s="200"/>
      <c r="H30" s="200"/>
      <c r="I30" s="200"/>
      <c r="J30" s="90"/>
      <c r="K30" s="90"/>
      <c r="L30" s="90"/>
      <c r="M30" s="90"/>
      <c r="N30" s="90"/>
      <c r="O30" s="90"/>
      <c r="P30" s="90"/>
      <c r="Q30" s="90"/>
      <c r="R30" s="90"/>
      <c r="S30" s="90"/>
      <c r="T30" s="90"/>
      <c r="U30" s="90"/>
      <c r="V30" s="90"/>
      <c r="W30" s="90"/>
      <c r="X30" s="90"/>
      <c r="Y30" s="90"/>
      <c r="Z30" s="90"/>
      <c r="AA30" s="90"/>
      <c r="AB30" s="90"/>
      <c r="AC30" s="90"/>
    </row>
    <row r="31" spans="1:29" ht="18.75">
      <c r="A31" s="201"/>
      <c r="B31" s="226" t="s">
        <v>828</v>
      </c>
      <c r="C31" s="227" t="s">
        <v>829</v>
      </c>
      <c r="D31" s="86">
        <v>3</v>
      </c>
      <c r="E31" s="233" t="s">
        <v>168</v>
      </c>
      <c r="F31" s="229" t="s">
        <v>353</v>
      </c>
      <c r="G31" s="200"/>
      <c r="H31" s="200"/>
      <c r="I31" s="200"/>
      <c r="J31" s="90"/>
      <c r="K31" s="90"/>
      <c r="L31" s="90"/>
      <c r="M31" s="90"/>
      <c r="N31" s="90"/>
      <c r="O31" s="90"/>
      <c r="P31" s="90"/>
      <c r="Q31" s="90"/>
      <c r="R31" s="90"/>
      <c r="S31" s="90"/>
      <c r="T31" s="90"/>
      <c r="U31" s="90"/>
      <c r="V31" s="90"/>
      <c r="W31" s="90"/>
      <c r="X31" s="90"/>
      <c r="Y31" s="90"/>
      <c r="Z31" s="90"/>
      <c r="AA31" s="90"/>
      <c r="AB31" s="90"/>
      <c r="AC31" s="90"/>
    </row>
    <row r="32" spans="1:29" ht="19.5" customHeight="1">
      <c r="A32" s="201"/>
      <c r="B32" s="234" t="s">
        <v>351</v>
      </c>
      <c r="C32" s="235" t="s">
        <v>830</v>
      </c>
      <c r="D32" s="82">
        <v>30</v>
      </c>
      <c r="E32" s="236" t="s">
        <v>8</v>
      </c>
      <c r="F32" s="237" t="s">
        <v>281</v>
      </c>
      <c r="G32" s="200"/>
      <c r="H32" s="200"/>
      <c r="I32" s="200"/>
      <c r="J32" s="90"/>
      <c r="K32" s="90"/>
      <c r="L32" s="90"/>
      <c r="M32" s="90"/>
      <c r="N32" s="90"/>
      <c r="O32" s="90"/>
      <c r="P32" s="90"/>
      <c r="Q32" s="90"/>
      <c r="R32" s="90"/>
      <c r="S32" s="90"/>
      <c r="T32" s="90"/>
      <c r="U32" s="90"/>
      <c r="V32" s="90"/>
      <c r="W32" s="90"/>
      <c r="X32" s="90"/>
      <c r="Y32" s="90"/>
      <c r="Z32" s="90"/>
      <c r="AA32" s="90"/>
      <c r="AB32" s="90"/>
      <c r="AC32" s="90"/>
    </row>
    <row r="33" spans="1:30" ht="19.5" customHeight="1" thickBot="1">
      <c r="A33" s="201"/>
      <c r="B33" s="238" t="s">
        <v>212</v>
      </c>
      <c r="C33" s="239" t="s">
        <v>831</v>
      </c>
      <c r="D33" s="1">
        <v>20</v>
      </c>
      <c r="E33" s="240" t="s">
        <v>8</v>
      </c>
      <c r="F33" s="241" t="s">
        <v>352</v>
      </c>
      <c r="G33" s="200"/>
      <c r="H33" s="242"/>
      <c r="I33" s="200"/>
      <c r="J33" s="90"/>
      <c r="K33" s="90"/>
      <c r="L33" s="90"/>
      <c r="M33" s="90"/>
      <c r="N33" s="90"/>
      <c r="O33" s="90"/>
      <c r="P33" s="90"/>
      <c r="Q33" s="99"/>
      <c r="R33" s="90"/>
      <c r="S33" s="90"/>
      <c r="T33" s="90"/>
      <c r="U33" s="90"/>
      <c r="V33" s="90"/>
      <c r="W33" s="90"/>
      <c r="X33" s="90"/>
      <c r="Y33" s="90"/>
      <c r="Z33" s="90"/>
      <c r="AA33" s="90"/>
      <c r="AB33" s="90"/>
      <c r="AC33" s="90"/>
    </row>
    <row r="34" spans="1:30" ht="16.5" thickBot="1">
      <c r="A34" s="201"/>
      <c r="B34" s="195"/>
      <c r="C34" s="196"/>
      <c r="D34" s="197"/>
      <c r="E34" s="198"/>
      <c r="F34" s="243"/>
      <c r="G34" s="200"/>
      <c r="H34" s="200"/>
      <c r="I34" s="200"/>
      <c r="J34" s="118"/>
      <c r="K34" s="90"/>
      <c r="L34" s="90"/>
      <c r="M34" s="90"/>
      <c r="N34" s="90"/>
      <c r="O34" s="90"/>
      <c r="P34" s="90"/>
      <c r="Q34" s="90"/>
      <c r="R34" s="90"/>
      <c r="S34" s="90"/>
      <c r="T34" s="90"/>
      <c r="U34" s="90"/>
      <c r="V34" s="90"/>
      <c r="W34" s="90"/>
      <c r="X34" s="90"/>
      <c r="Y34" s="90"/>
      <c r="Z34" s="90"/>
      <c r="AA34" s="90"/>
      <c r="AB34" s="90"/>
      <c r="AC34" s="90"/>
    </row>
    <row r="35" spans="1:30" ht="18" customHeight="1">
      <c r="A35" s="201"/>
      <c r="B35" s="569" t="s">
        <v>263</v>
      </c>
      <c r="C35" s="570"/>
      <c r="D35" s="570"/>
      <c r="E35" s="570"/>
      <c r="F35" s="571"/>
      <c r="G35" s="200"/>
      <c r="H35" s="200"/>
      <c r="I35" s="200"/>
      <c r="J35" s="90"/>
      <c r="K35" s="90"/>
      <c r="L35" s="90"/>
      <c r="M35" s="90"/>
      <c r="N35" s="90"/>
      <c r="O35" s="90"/>
      <c r="P35" s="90"/>
      <c r="Q35" s="90"/>
      <c r="R35" s="90"/>
      <c r="S35" s="90"/>
      <c r="T35" s="90"/>
      <c r="U35" s="90"/>
      <c r="V35" s="90"/>
      <c r="W35" s="90"/>
      <c r="X35" s="90"/>
      <c r="Y35" s="90"/>
      <c r="Z35" s="90"/>
      <c r="AA35" s="90"/>
      <c r="AB35" s="90"/>
      <c r="AC35" s="90"/>
    </row>
    <row r="36" spans="1:30" ht="19.5">
      <c r="A36" s="201"/>
      <c r="B36" s="244" t="s">
        <v>264</v>
      </c>
      <c r="C36" s="245" t="s">
        <v>213</v>
      </c>
      <c r="D36" s="246">
        <f>IF(Vin_type="AC",((VINPUT_max*SQRT(2))/(VSR_actual*0.9-(VOUT+Vf_SR)*OVP_tgt/100-ΔVSPIKE_SR)),((VINPUT_max)/(VSR_actual*0.9-(VOUT+Vf_SR)*OVP_tgt/100-ΔVSPIKE_SR)))</f>
        <v>1493.4095218659884</v>
      </c>
      <c r="E36" s="574"/>
      <c r="F36" s="575"/>
      <c r="G36" s="247"/>
      <c r="H36" s="242"/>
      <c r="I36" s="248"/>
      <c r="J36" s="90"/>
      <c r="K36" s="90"/>
      <c r="L36" s="90"/>
      <c r="M36" s="90"/>
      <c r="N36" s="90"/>
      <c r="O36" s="90"/>
      <c r="P36" s="90"/>
      <c r="Q36" s="90"/>
      <c r="R36" s="90"/>
      <c r="S36" s="90"/>
      <c r="T36" s="90"/>
      <c r="U36" s="90"/>
      <c r="V36" s="90"/>
      <c r="W36" s="90"/>
      <c r="X36" s="90"/>
      <c r="Y36" s="90"/>
      <c r="Z36" s="90"/>
      <c r="AA36" s="90"/>
      <c r="AB36" s="90"/>
      <c r="AC36" s="90"/>
    </row>
    <row r="37" spans="1:30" ht="19.5">
      <c r="A37" s="201"/>
      <c r="B37" s="244" t="s">
        <v>265</v>
      </c>
      <c r="C37" s="249" t="s">
        <v>214</v>
      </c>
      <c r="D37" s="246">
        <f>IF(Vin_type="AC",((VDS_actual*0.9-VINPUT_max*SQRT(2)-ΔVCLAMP)/((VOUT+Vf_SR)*OVP_tgt/100)+Vf_SR),((VDS_actual*0.9-VINPUT_max-ΔVCLAMP)/((VOUT+Vf_SR)*OVP_tgt/100)+Vf_SR))</f>
        <v>25.50393383191355</v>
      </c>
      <c r="E37" s="576"/>
      <c r="F37" s="577"/>
      <c r="G37" s="247"/>
      <c r="H37" s="242"/>
      <c r="I37" s="248"/>
      <c r="J37" s="90"/>
      <c r="K37" s="90"/>
      <c r="L37" s="90"/>
      <c r="M37" s="90"/>
      <c r="N37" s="90"/>
      <c r="O37" s="90"/>
      <c r="P37" s="90"/>
      <c r="Q37" s="90"/>
      <c r="R37" s="90"/>
      <c r="S37" s="90"/>
      <c r="T37" s="90"/>
      <c r="U37" s="90"/>
      <c r="V37" s="90"/>
      <c r="W37" s="90"/>
      <c r="X37" s="90"/>
      <c r="Y37" s="90"/>
      <c r="Z37" s="90"/>
      <c r="AA37" s="90"/>
      <c r="AB37" s="90"/>
      <c r="AC37" s="90"/>
    </row>
    <row r="38" spans="1:30" ht="18.75">
      <c r="A38" s="201"/>
      <c r="B38" s="250" t="s">
        <v>266</v>
      </c>
      <c r="C38" s="251" t="s">
        <v>219</v>
      </c>
      <c r="D38" s="43">
        <v>16</v>
      </c>
      <c r="E38" s="252"/>
      <c r="F38" s="253" t="s">
        <v>344</v>
      </c>
      <c r="G38" s="200"/>
      <c r="H38" s="200"/>
      <c r="I38" s="200"/>
      <c r="J38" s="90"/>
      <c r="K38" s="90"/>
      <c r="L38" s="90"/>
      <c r="M38" s="90"/>
      <c r="N38" s="90"/>
      <c r="O38" s="90"/>
      <c r="P38" s="90"/>
      <c r="Q38" s="90"/>
      <c r="R38" s="90"/>
      <c r="S38" s="90"/>
      <c r="T38" s="90"/>
      <c r="U38" s="90"/>
      <c r="V38" s="90"/>
      <c r="W38" s="90"/>
      <c r="X38" s="90"/>
      <c r="Y38" s="90"/>
      <c r="Z38" s="90"/>
      <c r="AA38" s="90"/>
      <c r="AB38" s="90"/>
      <c r="AC38" s="90"/>
    </row>
    <row r="39" spans="1:30" ht="18.75">
      <c r="A39" s="201"/>
      <c r="B39" s="250" t="s">
        <v>144</v>
      </c>
      <c r="C39" s="251" t="s">
        <v>220</v>
      </c>
      <c r="D39" s="38">
        <v>32</v>
      </c>
      <c r="E39" s="254"/>
      <c r="F39" s="255" t="s">
        <v>215</v>
      </c>
      <c r="G39" s="200"/>
      <c r="H39" s="200"/>
      <c r="I39" s="200"/>
      <c r="J39" s="90"/>
      <c r="K39" s="90"/>
      <c r="L39" s="90"/>
      <c r="M39" s="90"/>
      <c r="N39" s="90"/>
      <c r="O39" s="90"/>
      <c r="P39" s="90"/>
      <c r="Q39" s="90"/>
      <c r="R39" s="90"/>
      <c r="S39" s="90"/>
      <c r="T39" s="90"/>
      <c r="U39" s="90"/>
      <c r="V39" s="90"/>
      <c r="W39" s="90"/>
      <c r="X39" s="90"/>
      <c r="Y39" s="90"/>
      <c r="Z39" s="90"/>
      <c r="AA39" s="90"/>
      <c r="AB39" s="90"/>
      <c r="AC39" s="90"/>
    </row>
    <row r="40" spans="1:30" ht="18.75">
      <c r="A40" s="201"/>
      <c r="B40" s="244" t="s">
        <v>177</v>
      </c>
      <c r="C40" s="249" t="s">
        <v>221</v>
      </c>
      <c r="D40" s="256">
        <f>NP/NPS</f>
        <v>2</v>
      </c>
      <c r="E40" s="257"/>
      <c r="F40" s="258"/>
      <c r="G40" s="200"/>
      <c r="H40" s="200"/>
      <c r="I40" s="200"/>
      <c r="J40" s="90"/>
      <c r="K40" s="90"/>
      <c r="L40" s="90"/>
      <c r="M40" s="90"/>
      <c r="N40" s="90"/>
      <c r="O40" s="90"/>
      <c r="P40" s="90"/>
      <c r="Q40" s="90"/>
      <c r="R40" s="90"/>
      <c r="S40" s="90"/>
      <c r="T40" s="90"/>
      <c r="U40" s="90"/>
      <c r="V40" s="90"/>
      <c r="W40" s="90"/>
      <c r="X40" s="90"/>
      <c r="Y40" s="90"/>
      <c r="Z40" s="90"/>
      <c r="AA40" s="90"/>
      <c r="AB40" s="90"/>
      <c r="AC40" s="90"/>
    </row>
    <row r="41" spans="1:30" ht="18.75">
      <c r="A41" s="201"/>
      <c r="B41" s="244" t="s">
        <v>523</v>
      </c>
      <c r="C41" s="249" t="s">
        <v>222</v>
      </c>
      <c r="D41" s="106">
        <f>ROUND(NS_rec,0)</f>
        <v>2</v>
      </c>
      <c r="E41" s="257"/>
      <c r="F41" s="210" t="s">
        <v>834</v>
      </c>
      <c r="G41" s="200"/>
      <c r="H41" s="200"/>
      <c r="I41" s="200"/>
      <c r="J41" s="90"/>
      <c r="K41" s="90"/>
      <c r="L41" s="90"/>
      <c r="M41" s="90"/>
      <c r="N41" s="90"/>
      <c r="O41" s="90"/>
      <c r="P41" s="90"/>
      <c r="Q41" s="90"/>
      <c r="R41" s="90"/>
      <c r="S41" s="90"/>
      <c r="T41" s="90"/>
      <c r="U41" s="90"/>
      <c r="V41" s="90"/>
      <c r="W41" s="90"/>
      <c r="X41" s="90"/>
      <c r="Y41" s="90"/>
      <c r="Z41" s="90"/>
      <c r="AA41" s="90"/>
      <c r="AB41" s="90"/>
      <c r="AC41" s="90"/>
    </row>
    <row r="42" spans="1:30" ht="18.75">
      <c r="A42" s="201"/>
      <c r="B42" s="244" t="s">
        <v>267</v>
      </c>
      <c r="C42" s="249" t="s">
        <v>223</v>
      </c>
      <c r="D42" s="256">
        <f>ROUND((VDD_off+VDD_PCT+_∆V_MIN)*NS/(VOUT+Vf_SR),1)</f>
        <v>5.5</v>
      </c>
      <c r="E42" s="257"/>
      <c r="F42" s="258"/>
      <c r="G42" s="200"/>
      <c r="H42" s="200"/>
      <c r="I42" s="200"/>
      <c r="J42" s="90"/>
      <c r="K42" s="90"/>
      <c r="L42" s="90"/>
      <c r="M42" s="90"/>
      <c r="N42" s="90"/>
      <c r="O42" s="90"/>
      <c r="P42" s="90"/>
      <c r="Q42" s="90"/>
      <c r="R42" s="90"/>
      <c r="S42" s="90"/>
      <c r="T42" s="90"/>
      <c r="U42" s="90"/>
      <c r="V42" s="90"/>
      <c r="W42" s="90"/>
      <c r="X42" s="90"/>
      <c r="Y42" s="90"/>
      <c r="Z42" s="90"/>
      <c r="AA42" s="90"/>
      <c r="AB42" s="90"/>
      <c r="AC42" s="90"/>
    </row>
    <row r="43" spans="1:30" ht="18.75">
      <c r="A43" s="201"/>
      <c r="B43" s="244" t="s">
        <v>268</v>
      </c>
      <c r="C43" s="249" t="s">
        <v>224</v>
      </c>
      <c r="D43" s="256">
        <f>ROUND((VDD_max*NS)/(VOUT*OVP_tgt*0.01+Vf_SR),1)</f>
        <v>11.8</v>
      </c>
      <c r="E43" s="257"/>
      <c r="F43" s="258"/>
      <c r="G43" s="247"/>
      <c r="H43" s="247"/>
      <c r="I43" s="247"/>
      <c r="J43" s="118"/>
      <c r="K43" s="118"/>
      <c r="L43" s="118"/>
      <c r="M43" s="118"/>
      <c r="N43" s="118"/>
      <c r="O43" s="118"/>
      <c r="P43" s="118"/>
      <c r="Q43" s="118"/>
      <c r="R43" s="118"/>
      <c r="S43" s="118"/>
      <c r="T43" s="118"/>
      <c r="U43" s="118"/>
      <c r="V43" s="118"/>
      <c r="W43" s="118"/>
      <c r="X43" s="118"/>
      <c r="Y43" s="118"/>
      <c r="Z43" s="118"/>
      <c r="AA43" s="118"/>
      <c r="AB43" s="118"/>
      <c r="AC43" s="118"/>
      <c r="AD43" s="118"/>
    </row>
    <row r="44" spans="1:30" ht="18.75">
      <c r="A44" s="201"/>
      <c r="B44" s="250" t="s">
        <v>225</v>
      </c>
      <c r="C44" s="251" t="s">
        <v>226</v>
      </c>
      <c r="D44" s="38">
        <v>6</v>
      </c>
      <c r="E44" s="259"/>
      <c r="F44" s="253" t="s">
        <v>835</v>
      </c>
      <c r="G44" s="247"/>
      <c r="H44" s="247"/>
      <c r="I44" s="247"/>
      <c r="J44" s="118"/>
      <c r="K44" s="118"/>
      <c r="L44" s="118"/>
      <c r="M44" s="118"/>
      <c r="N44" s="118"/>
      <c r="O44" s="118"/>
      <c r="P44" s="118"/>
      <c r="Q44" s="118"/>
      <c r="R44" s="118"/>
      <c r="S44" s="118"/>
      <c r="T44" s="118"/>
      <c r="U44" s="118"/>
      <c r="V44" s="118"/>
      <c r="W44" s="118"/>
      <c r="X44" s="118"/>
      <c r="Y44" s="118"/>
      <c r="Z44" s="118"/>
      <c r="AA44" s="118"/>
      <c r="AB44" s="118"/>
      <c r="AC44" s="118"/>
      <c r="AD44" s="118"/>
    </row>
    <row r="45" spans="1:30" ht="18.75">
      <c r="A45" s="201"/>
      <c r="B45" s="203" t="s">
        <v>844</v>
      </c>
      <c r="C45" s="204" t="s">
        <v>845</v>
      </c>
      <c r="D45" s="260">
        <f>(Vf_SR+VOUT)*NPS</f>
        <v>80</v>
      </c>
      <c r="E45" s="261" t="s">
        <v>8</v>
      </c>
      <c r="F45" s="210"/>
      <c r="G45" s="247"/>
      <c r="H45" s="247"/>
      <c r="I45" s="247"/>
      <c r="J45" s="118"/>
      <c r="K45" s="118"/>
      <c r="L45" s="118"/>
      <c r="M45" s="118"/>
      <c r="N45" s="118"/>
      <c r="O45" s="118"/>
      <c r="P45" s="118"/>
      <c r="Q45" s="118"/>
      <c r="R45" s="118"/>
      <c r="S45" s="118"/>
      <c r="T45" s="118"/>
      <c r="U45" s="118"/>
      <c r="V45" s="118"/>
      <c r="W45" s="118"/>
      <c r="X45" s="118"/>
      <c r="Y45" s="118"/>
      <c r="Z45" s="118"/>
      <c r="AA45" s="118"/>
      <c r="AB45" s="118"/>
      <c r="AC45" s="118"/>
      <c r="AD45" s="118"/>
    </row>
    <row r="46" spans="1:30" ht="18.75">
      <c r="A46" s="201"/>
      <c r="B46" s="203" t="s">
        <v>269</v>
      </c>
      <c r="C46" s="262" t="s">
        <v>846</v>
      </c>
      <c r="D46" s="263">
        <f>IF(Vin_type="AC",((NPS*(VOUT+Vf_SR))/((VBulk_min_tgt+NPS*VOUT))),((NPS*(VOUT+Vf_SR))/((VBulk_min_tgt+NPS*VOUT))))</f>
        <v>0.53333333333333333</v>
      </c>
      <c r="E46" s="221"/>
      <c r="F46" s="210"/>
      <c r="G46" s="247"/>
      <c r="H46" s="264"/>
      <c r="I46" s="265"/>
      <c r="J46" s="118"/>
      <c r="K46" s="118"/>
      <c r="L46" s="118"/>
      <c r="M46" s="118"/>
      <c r="N46" s="118"/>
      <c r="O46" s="118"/>
      <c r="P46" s="118"/>
      <c r="Q46" s="118"/>
      <c r="R46" s="118"/>
      <c r="S46" s="118"/>
      <c r="T46" s="118"/>
      <c r="U46" s="118"/>
      <c r="V46" s="118"/>
      <c r="W46" s="118"/>
      <c r="X46" s="118"/>
      <c r="Y46" s="118"/>
      <c r="Z46" s="118"/>
      <c r="AA46" s="118"/>
      <c r="AB46" s="118"/>
      <c r="AC46" s="118"/>
      <c r="AD46" s="118"/>
    </row>
    <row r="47" spans="1:30" ht="18.75">
      <c r="A47" s="201"/>
      <c r="B47" s="203" t="s">
        <v>847</v>
      </c>
      <c r="C47" s="204" t="s">
        <v>848</v>
      </c>
      <c r="D47" s="260">
        <f>IF(Vin_type="AC",((((D_max^2)*((VBulk_min_tgt)^2)*η_min*((100-KRES)/100))/(2*PO_FL*fSWmin*1000))*10^6),((((D_max^2)*((VBulk_min_tgt)^2)*η_min*((100-KRES)/100))/(2*PO_FL*fSWmin*1000))*10^6))</f>
        <v>76.152533333333338</v>
      </c>
      <c r="E47" s="221" t="s">
        <v>13</v>
      </c>
      <c r="F47" s="210"/>
      <c r="G47" s="247"/>
      <c r="H47" s="264"/>
      <c r="I47" s="265"/>
      <c r="J47" s="118"/>
      <c r="K47" s="118"/>
      <c r="L47" s="118"/>
      <c r="M47" s="118"/>
      <c r="N47" s="118"/>
      <c r="O47" s="118"/>
      <c r="P47" s="118"/>
      <c r="Q47" s="118"/>
      <c r="R47" s="118"/>
      <c r="S47" s="118"/>
      <c r="T47" s="118"/>
      <c r="U47" s="118"/>
      <c r="V47" s="118"/>
      <c r="W47" s="118"/>
      <c r="X47" s="118"/>
      <c r="Y47" s="118"/>
      <c r="Z47" s="118"/>
      <c r="AA47" s="118"/>
      <c r="AB47" s="118"/>
      <c r="AC47" s="118"/>
      <c r="AD47" s="118"/>
    </row>
    <row r="48" spans="1:30" ht="18.75">
      <c r="A48" s="201"/>
      <c r="B48" s="266" t="s">
        <v>227</v>
      </c>
      <c r="C48" s="267" t="s">
        <v>332</v>
      </c>
      <c r="D48" s="38">
        <v>110</v>
      </c>
      <c r="E48" s="268" t="s">
        <v>13</v>
      </c>
      <c r="F48" s="269" t="s">
        <v>343</v>
      </c>
      <c r="G48" s="247"/>
      <c r="H48" s="247"/>
      <c r="I48" s="247"/>
      <c r="J48" s="118"/>
      <c r="K48" s="118"/>
      <c r="L48" s="118"/>
      <c r="M48" s="118"/>
      <c r="N48" s="118"/>
      <c r="O48" s="118"/>
      <c r="P48" s="118"/>
      <c r="Q48" s="118"/>
      <c r="R48" s="118"/>
      <c r="S48" s="118"/>
      <c r="T48" s="118"/>
      <c r="U48" s="118"/>
      <c r="V48" s="118"/>
      <c r="W48" s="118"/>
      <c r="X48" s="118"/>
      <c r="Y48" s="118"/>
      <c r="Z48" s="118"/>
      <c r="AA48" s="118"/>
      <c r="AB48" s="118"/>
      <c r="AC48" s="118"/>
      <c r="AD48" s="118"/>
    </row>
    <row r="49" spans="1:30" ht="18.75">
      <c r="A49" s="201"/>
      <c r="B49" s="244" t="s">
        <v>145</v>
      </c>
      <c r="C49" s="249" t="s">
        <v>228</v>
      </c>
      <c r="D49" s="106">
        <f>IF(LM_act="",LM_rec,LM_act)</f>
        <v>110</v>
      </c>
      <c r="E49" s="270" t="s">
        <v>13</v>
      </c>
      <c r="F49" s="271"/>
      <c r="G49" s="247"/>
      <c r="H49" s="247"/>
      <c r="I49" s="247"/>
      <c r="J49" s="118"/>
      <c r="K49" s="118"/>
      <c r="L49" s="118"/>
      <c r="M49" s="118"/>
      <c r="N49" s="118"/>
      <c r="O49" s="118"/>
      <c r="P49" s="118"/>
      <c r="Q49" s="118"/>
      <c r="R49" s="118"/>
      <c r="S49" s="118"/>
      <c r="T49" s="118"/>
      <c r="U49" s="118"/>
      <c r="V49" s="118"/>
      <c r="W49" s="118"/>
      <c r="X49" s="118"/>
      <c r="Y49" s="118"/>
      <c r="Z49" s="118"/>
      <c r="AA49" s="118"/>
      <c r="AB49" s="118"/>
      <c r="AC49" s="118"/>
      <c r="AD49" s="118"/>
    </row>
    <row r="50" spans="1:30" ht="18.75">
      <c r="A50" s="201"/>
      <c r="B50" s="266" t="s">
        <v>333</v>
      </c>
      <c r="C50" s="267" t="s">
        <v>334</v>
      </c>
      <c r="D50" s="44">
        <v>2.5</v>
      </c>
      <c r="E50" s="272" t="s">
        <v>23</v>
      </c>
      <c r="F50" s="269" t="s">
        <v>343</v>
      </c>
      <c r="G50" s="247"/>
      <c r="H50" s="247"/>
      <c r="I50" s="247"/>
      <c r="J50" s="118"/>
      <c r="K50" s="118"/>
      <c r="L50" s="118"/>
      <c r="M50" s="118"/>
      <c r="N50" s="118"/>
      <c r="O50" s="118"/>
      <c r="P50" s="118"/>
      <c r="Q50" s="118"/>
      <c r="R50" s="118"/>
      <c r="S50" s="118"/>
      <c r="T50" s="118"/>
      <c r="U50" s="118"/>
      <c r="V50" s="118"/>
      <c r="W50" s="118"/>
      <c r="X50" s="118"/>
      <c r="Y50" s="118"/>
      <c r="Z50" s="118"/>
      <c r="AA50" s="118"/>
      <c r="AB50" s="118"/>
      <c r="AC50" s="118"/>
      <c r="AD50" s="118"/>
    </row>
    <row r="51" spans="1:30" ht="18.75">
      <c r="A51" s="201"/>
      <c r="B51" s="250" t="s">
        <v>338</v>
      </c>
      <c r="C51" s="251" t="s">
        <v>339</v>
      </c>
      <c r="D51" s="22">
        <v>0.96</v>
      </c>
      <c r="E51" s="272"/>
      <c r="F51" s="269"/>
      <c r="G51" s="247"/>
      <c r="H51" s="247"/>
      <c r="I51" s="247"/>
      <c r="J51" s="118"/>
      <c r="K51" s="118"/>
      <c r="L51" s="118"/>
      <c r="M51" s="118"/>
      <c r="N51" s="118"/>
      <c r="O51" s="118"/>
      <c r="P51" s="118"/>
      <c r="Q51" s="118"/>
      <c r="R51" s="118"/>
      <c r="S51" s="118"/>
      <c r="T51" s="118"/>
      <c r="U51" s="118"/>
      <c r="V51" s="118"/>
      <c r="W51" s="118"/>
      <c r="X51" s="118"/>
      <c r="Y51" s="118"/>
      <c r="Z51" s="118"/>
      <c r="AA51" s="118"/>
      <c r="AB51" s="118"/>
      <c r="AC51" s="118"/>
      <c r="AD51" s="118"/>
    </row>
    <row r="52" spans="1:30" ht="18.75">
      <c r="A52" s="201"/>
      <c r="B52" s="250" t="s">
        <v>340</v>
      </c>
      <c r="C52" s="251" t="s">
        <v>229</v>
      </c>
      <c r="D52" s="44">
        <v>3.1</v>
      </c>
      <c r="E52" s="268" t="s">
        <v>127</v>
      </c>
      <c r="F52" s="269" t="s">
        <v>342</v>
      </c>
      <c r="G52" s="247"/>
      <c r="H52" s="247"/>
      <c r="I52" s="247"/>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19.5" thickBot="1">
      <c r="A53" s="201"/>
      <c r="B53" s="273" t="s">
        <v>341</v>
      </c>
      <c r="C53" s="274" t="s">
        <v>230</v>
      </c>
      <c r="D53" s="29">
        <v>0.1</v>
      </c>
      <c r="E53" s="275" t="s">
        <v>12</v>
      </c>
      <c r="F53" s="276" t="s">
        <v>343</v>
      </c>
      <c r="G53" s="247"/>
      <c r="H53" s="247"/>
      <c r="I53" s="247"/>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16.5" thickBot="1">
      <c r="A54" s="201"/>
      <c r="B54" s="195"/>
      <c r="C54" s="277"/>
      <c r="D54" s="197"/>
      <c r="E54" s="198"/>
      <c r="F54" s="199"/>
      <c r="G54" s="247"/>
      <c r="H54" s="247"/>
      <c r="I54" s="247"/>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18">
      <c r="A55" s="201"/>
      <c r="B55" s="578" t="s">
        <v>78</v>
      </c>
      <c r="C55" s="579"/>
      <c r="D55" s="579"/>
      <c r="E55" s="579"/>
      <c r="F55" s="580"/>
      <c r="G55" s="247"/>
      <c r="H55" s="247"/>
      <c r="I55" s="247"/>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8.75">
      <c r="A56" s="202"/>
      <c r="B56" s="203" t="s">
        <v>270</v>
      </c>
      <c r="C56" s="204" t="s">
        <v>837</v>
      </c>
      <c r="D56" s="260">
        <f>Coss_QH_T</f>
        <v>818.47999999999979</v>
      </c>
      <c r="E56" s="206" t="s">
        <v>290</v>
      </c>
      <c r="F56" s="207" t="s">
        <v>836</v>
      </c>
      <c r="G56" s="247"/>
      <c r="H56" s="247"/>
      <c r="I56" s="265"/>
      <c r="J56" s="118"/>
      <c r="K56" s="118"/>
      <c r="L56" s="118"/>
      <c r="M56" s="118"/>
      <c r="N56" s="118"/>
      <c r="O56" s="118"/>
      <c r="P56" s="118"/>
      <c r="Q56" s="118"/>
      <c r="R56" s="118"/>
      <c r="S56" s="118"/>
      <c r="T56" s="118"/>
      <c r="U56" s="118"/>
      <c r="V56" s="118"/>
      <c r="W56" s="118"/>
      <c r="X56" s="118"/>
      <c r="Y56" s="118"/>
      <c r="Z56" s="118"/>
      <c r="AA56" s="118"/>
      <c r="AB56" s="118"/>
      <c r="AC56" s="118"/>
      <c r="AD56" s="118"/>
    </row>
    <row r="57" spans="1:30" ht="18.75">
      <c r="A57" s="202"/>
      <c r="B57" s="203" t="s">
        <v>271</v>
      </c>
      <c r="C57" s="204" t="s">
        <v>838</v>
      </c>
      <c r="D57" s="260">
        <f>Coss_QL_T</f>
        <v>818.47999999999979</v>
      </c>
      <c r="E57" s="206" t="s">
        <v>290</v>
      </c>
      <c r="F57" s="207" t="s">
        <v>836</v>
      </c>
      <c r="G57" s="247"/>
      <c r="H57" s="247"/>
      <c r="I57" s="265"/>
      <c r="J57" s="118"/>
      <c r="K57" s="118"/>
      <c r="L57" s="118"/>
      <c r="M57" s="118"/>
      <c r="N57" s="118"/>
      <c r="O57" s="118"/>
      <c r="P57" s="118"/>
      <c r="Q57" s="118"/>
      <c r="R57" s="118"/>
      <c r="S57" s="118"/>
      <c r="T57" s="118"/>
      <c r="U57" s="118"/>
      <c r="V57" s="118"/>
      <c r="W57" s="118"/>
      <c r="X57" s="118"/>
      <c r="Y57" s="118"/>
      <c r="Z57" s="118"/>
      <c r="AA57" s="118"/>
      <c r="AB57" s="118"/>
      <c r="AC57" s="118"/>
      <c r="AD57" s="118"/>
    </row>
    <row r="58" spans="1:30" ht="18.75">
      <c r="A58" s="202"/>
      <c r="B58" s="203" t="s">
        <v>146</v>
      </c>
      <c r="C58" s="204" t="s">
        <v>839</v>
      </c>
      <c r="D58" s="260">
        <f>CTr</f>
        <v>3.1</v>
      </c>
      <c r="E58" s="206" t="s">
        <v>24</v>
      </c>
      <c r="F58" s="207"/>
      <c r="G58" s="247"/>
      <c r="H58" s="247"/>
      <c r="I58" s="247"/>
      <c r="J58" s="118"/>
      <c r="K58" s="118"/>
      <c r="L58" s="118"/>
      <c r="M58" s="118"/>
      <c r="N58" s="118"/>
      <c r="O58" s="118"/>
      <c r="P58" s="118"/>
      <c r="Q58" s="118"/>
      <c r="R58" s="118"/>
      <c r="S58" s="118"/>
      <c r="T58" s="118"/>
      <c r="U58" s="118"/>
      <c r="V58" s="118"/>
      <c r="W58" s="118"/>
      <c r="X58" s="118"/>
      <c r="Y58" s="118"/>
      <c r="Z58" s="118"/>
      <c r="AA58" s="118"/>
      <c r="AB58" s="118"/>
      <c r="AC58" s="118"/>
      <c r="AD58" s="118"/>
    </row>
    <row r="59" spans="1:30" ht="18.75">
      <c r="A59" s="201"/>
      <c r="B59" s="203" t="s">
        <v>482</v>
      </c>
      <c r="C59" s="204" t="s">
        <v>840</v>
      </c>
      <c r="D59" s="278">
        <f>CBootD_T</f>
        <v>10</v>
      </c>
      <c r="E59" s="206" t="s">
        <v>30</v>
      </c>
      <c r="F59" s="207"/>
      <c r="G59" s="247"/>
      <c r="H59" s="247"/>
      <c r="I59" s="247"/>
      <c r="J59" s="118"/>
      <c r="K59" s="118"/>
      <c r="L59" s="118"/>
      <c r="M59" s="118"/>
      <c r="N59" s="118"/>
      <c r="O59" s="118"/>
      <c r="P59" s="118"/>
      <c r="Q59" s="118"/>
      <c r="R59" s="118"/>
      <c r="S59" s="118"/>
      <c r="T59" s="118"/>
      <c r="U59" s="118"/>
      <c r="V59" s="118"/>
      <c r="W59" s="118"/>
      <c r="X59" s="118"/>
      <c r="Y59" s="118"/>
      <c r="Z59" s="118"/>
      <c r="AA59" s="118"/>
      <c r="AB59" s="118"/>
      <c r="AC59" s="118"/>
      <c r="AD59" s="118"/>
    </row>
    <row r="60" spans="1:30" ht="18.75">
      <c r="A60" s="201"/>
      <c r="B60" s="203" t="s">
        <v>147</v>
      </c>
      <c r="C60" s="204" t="s">
        <v>841</v>
      </c>
      <c r="D60" s="279">
        <f>COSS_Qs</f>
        <v>1.7</v>
      </c>
      <c r="E60" s="206" t="s">
        <v>15</v>
      </c>
      <c r="F60" s="210"/>
      <c r="G60" s="247"/>
      <c r="H60" s="247"/>
      <c r="I60" s="247"/>
      <c r="J60" s="118"/>
      <c r="K60" s="118"/>
      <c r="L60" s="118"/>
      <c r="M60" s="118"/>
      <c r="N60" s="118"/>
      <c r="O60" s="118"/>
      <c r="P60" s="118"/>
      <c r="Q60" s="118"/>
      <c r="R60" s="118"/>
      <c r="S60" s="118"/>
      <c r="T60" s="118"/>
      <c r="U60" s="118"/>
      <c r="V60" s="118"/>
      <c r="W60" s="118"/>
      <c r="X60" s="118"/>
      <c r="Y60" s="118"/>
      <c r="Z60" s="118"/>
      <c r="AA60" s="118"/>
      <c r="AB60" s="118"/>
      <c r="AC60" s="118"/>
      <c r="AD60" s="118"/>
    </row>
    <row r="61" spans="1:30" ht="18.75">
      <c r="A61" s="201"/>
      <c r="B61" s="213" t="s">
        <v>335</v>
      </c>
      <c r="C61" s="214" t="s">
        <v>842</v>
      </c>
      <c r="D61" s="280">
        <f>Coss_SR_T/(NP/NS)^2+CDaux_T/(NP/NA)^2</f>
        <v>7.4041145833333326</v>
      </c>
      <c r="E61" s="206" t="s">
        <v>24</v>
      </c>
      <c r="F61" s="207"/>
      <c r="G61" s="247"/>
      <c r="H61" s="247"/>
      <c r="I61" s="247"/>
      <c r="J61" s="118"/>
      <c r="K61" s="118"/>
      <c r="L61" s="118"/>
      <c r="M61" s="118"/>
      <c r="N61" s="118"/>
      <c r="O61" s="118"/>
      <c r="P61" s="118"/>
      <c r="Q61" s="118"/>
      <c r="R61" s="118"/>
      <c r="S61" s="118"/>
      <c r="T61" s="118"/>
      <c r="U61" s="118"/>
      <c r="V61" s="118"/>
      <c r="W61" s="118"/>
      <c r="X61" s="118"/>
      <c r="Y61" s="118"/>
      <c r="Z61" s="118"/>
      <c r="AA61" s="118"/>
      <c r="AB61" s="118"/>
      <c r="AC61" s="118"/>
      <c r="AD61" s="118"/>
    </row>
    <row r="62" spans="1:30" ht="19.5" thickBot="1">
      <c r="A62" s="201"/>
      <c r="B62" s="281" t="s">
        <v>483</v>
      </c>
      <c r="C62" s="282" t="s">
        <v>843</v>
      </c>
      <c r="D62" s="283">
        <f>D56+D57+D58+D59+D60+D61</f>
        <v>1659.1641145833328</v>
      </c>
      <c r="E62" s="284" t="s">
        <v>24</v>
      </c>
      <c r="F62" s="285" t="s">
        <v>836</v>
      </c>
      <c r="G62" s="247"/>
      <c r="H62" s="247"/>
      <c r="I62" s="247"/>
      <c r="J62" s="118"/>
      <c r="K62" s="118"/>
      <c r="L62" s="118"/>
      <c r="M62" s="118"/>
      <c r="N62" s="118"/>
      <c r="O62" s="118"/>
      <c r="P62" s="118"/>
      <c r="Q62" s="118"/>
      <c r="R62" s="118"/>
      <c r="S62" s="118"/>
      <c r="T62" s="118"/>
      <c r="U62" s="118"/>
      <c r="V62" s="118"/>
      <c r="W62" s="118"/>
      <c r="X62" s="118"/>
      <c r="Y62" s="118"/>
      <c r="Z62" s="118"/>
      <c r="AA62" s="118"/>
      <c r="AB62" s="118"/>
      <c r="AC62" s="118"/>
      <c r="AD62" s="118"/>
    </row>
    <row r="63" spans="1:30" ht="16.5" thickBot="1">
      <c r="A63" s="201"/>
      <c r="B63" s="195"/>
      <c r="C63" s="277"/>
      <c r="D63" s="197"/>
      <c r="E63" s="198"/>
      <c r="F63" s="199"/>
      <c r="G63" s="247"/>
      <c r="H63" s="247"/>
      <c r="I63" s="247"/>
      <c r="J63" s="118"/>
      <c r="K63" s="118"/>
      <c r="L63" s="118"/>
      <c r="M63" s="118"/>
      <c r="N63" s="118"/>
      <c r="O63" s="118"/>
      <c r="P63" s="118"/>
      <c r="Q63" s="118"/>
      <c r="R63" s="118"/>
      <c r="S63" s="118"/>
      <c r="T63" s="118"/>
      <c r="U63" s="118"/>
      <c r="V63" s="118"/>
      <c r="W63" s="118"/>
      <c r="X63" s="118"/>
      <c r="Y63" s="118"/>
      <c r="Z63" s="118"/>
      <c r="AA63" s="118"/>
      <c r="AB63" s="118"/>
      <c r="AC63" s="118"/>
      <c r="AD63" s="118"/>
    </row>
    <row r="64" spans="1:30" ht="18" customHeight="1">
      <c r="A64" s="201"/>
      <c r="B64" s="569" t="s">
        <v>52</v>
      </c>
      <c r="C64" s="570"/>
      <c r="D64" s="570"/>
      <c r="E64" s="570"/>
      <c r="F64" s="571"/>
      <c r="G64" s="247"/>
      <c r="H64" s="247"/>
      <c r="I64" s="247"/>
      <c r="J64" s="118"/>
      <c r="K64" s="118"/>
      <c r="L64" s="118"/>
      <c r="M64" s="118"/>
      <c r="N64" s="118"/>
      <c r="O64" s="118"/>
      <c r="P64" s="118"/>
      <c r="Q64" s="118"/>
      <c r="R64" s="118"/>
      <c r="S64" s="118"/>
      <c r="T64" s="118"/>
      <c r="U64" s="118"/>
      <c r="V64" s="118"/>
      <c r="W64" s="118"/>
      <c r="X64" s="118"/>
      <c r="Y64" s="118"/>
      <c r="Z64" s="118"/>
      <c r="AA64" s="118"/>
      <c r="AB64" s="118"/>
      <c r="AC64" s="118"/>
      <c r="AD64" s="118"/>
    </row>
    <row r="65" spans="1:32" ht="18.75">
      <c r="A65" s="201"/>
      <c r="B65" s="226" t="s">
        <v>849</v>
      </c>
      <c r="C65" s="227" t="s">
        <v>850</v>
      </c>
      <c r="D65" s="361">
        <v>-40</v>
      </c>
      <c r="E65" s="286" t="s">
        <v>5</v>
      </c>
      <c r="F65" s="287" t="s">
        <v>336</v>
      </c>
      <c r="G65" s="247"/>
      <c r="H65" s="247"/>
      <c r="I65" s="247"/>
      <c r="J65" s="118"/>
      <c r="K65" s="118"/>
      <c r="L65" s="118"/>
      <c r="M65" s="118"/>
      <c r="N65" s="118"/>
      <c r="O65" s="118"/>
      <c r="P65" s="118"/>
      <c r="Q65" s="118"/>
      <c r="R65" s="118"/>
      <c r="S65" s="118"/>
      <c r="T65" s="118"/>
      <c r="U65" s="118"/>
      <c r="V65" s="118"/>
      <c r="W65" s="118"/>
      <c r="X65" s="118"/>
      <c r="Y65" s="118"/>
      <c r="Z65" s="118"/>
      <c r="AA65" s="118"/>
      <c r="AB65" s="118"/>
      <c r="AC65" s="118"/>
      <c r="AD65" s="118"/>
    </row>
    <row r="66" spans="1:32" ht="18.75">
      <c r="A66" s="201"/>
      <c r="B66" s="213" t="s">
        <v>851</v>
      </c>
      <c r="C66" s="214" t="s">
        <v>852</v>
      </c>
      <c r="D66" s="288">
        <f>IF(Vin_type="AC",(((((0.001/fSWmin)*VINPUT_Brownout*1.414)/(VINPUT_Brownout*1.414+VRfl))^2)/((3.1416^2)*LK_act*10^-6))*10^6/((100+Drea_clamp)/100),(((((0.001/fSWmin)*VINPUT_Brownout)/(VINPUT_Brownout+VRfl))^2)/((3.1416^2)*LK_act*10^-6))*10^6/((100+Drea_clamp)/100))</f>
        <v>0.7692274254173268</v>
      </c>
      <c r="E66" s="261" t="s">
        <v>27</v>
      </c>
      <c r="F66" s="207" t="s">
        <v>503</v>
      </c>
      <c r="G66" s="247"/>
      <c r="H66" s="264"/>
      <c r="I66" s="265"/>
      <c r="J66" s="118"/>
      <c r="K66" s="118"/>
      <c r="L66" s="118"/>
      <c r="M66" s="118"/>
      <c r="N66" s="118"/>
      <c r="O66" s="118"/>
      <c r="P66" s="118"/>
      <c r="Q66" s="118"/>
      <c r="R66" s="118"/>
      <c r="S66" s="118"/>
      <c r="T66" s="118"/>
      <c r="U66" s="118"/>
      <c r="V66" s="118"/>
      <c r="W66" s="118"/>
      <c r="X66" s="118"/>
      <c r="Y66" s="118"/>
      <c r="Z66" s="118"/>
      <c r="AA66" s="118"/>
      <c r="AB66" s="118"/>
      <c r="AC66" s="118"/>
      <c r="AD66" s="118"/>
    </row>
    <row r="67" spans="1:32" ht="18.75">
      <c r="A67" s="201"/>
      <c r="B67" s="226" t="s">
        <v>853</v>
      </c>
      <c r="C67" s="289" t="s">
        <v>854</v>
      </c>
      <c r="D67" s="85">
        <v>0.99</v>
      </c>
      <c r="E67" s="286" t="s">
        <v>29</v>
      </c>
      <c r="F67" s="237" t="s">
        <v>855</v>
      </c>
      <c r="G67" s="247"/>
      <c r="H67" s="247"/>
      <c r="I67" s="247"/>
      <c r="J67" s="118"/>
      <c r="K67" s="118"/>
      <c r="L67" s="118"/>
      <c r="M67" s="118"/>
      <c r="N67" s="118"/>
      <c r="O67" s="118"/>
      <c r="P67" s="118"/>
      <c r="Q67" s="118"/>
      <c r="R67" s="118"/>
      <c r="S67" s="118"/>
      <c r="T67" s="118"/>
      <c r="U67" s="118"/>
      <c r="V67" s="118"/>
      <c r="W67" s="118"/>
      <c r="X67" s="118"/>
      <c r="Y67" s="118"/>
      <c r="Z67" s="118"/>
      <c r="AA67" s="118"/>
      <c r="AB67" s="118"/>
      <c r="AC67" s="118"/>
      <c r="AD67" s="118"/>
    </row>
    <row r="68" spans="1:32" s="41" customFormat="1" ht="18.75">
      <c r="A68" s="201"/>
      <c r="B68" s="213" t="s">
        <v>856</v>
      </c>
      <c r="C68" s="214" t="s">
        <v>857</v>
      </c>
      <c r="D68" s="288">
        <f>Cclamp_act*(100+Drea_clamp)/100</f>
        <v>0.59399999999999997</v>
      </c>
      <c r="E68" s="261" t="s">
        <v>27</v>
      </c>
      <c r="F68" s="290"/>
      <c r="G68" s="247"/>
      <c r="H68" s="247"/>
      <c r="I68" s="247"/>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8.75">
      <c r="A69" s="291"/>
      <c r="B69" s="213" t="s">
        <v>524</v>
      </c>
      <c r="C69" s="214" t="s">
        <v>858</v>
      </c>
      <c r="D69" s="288">
        <f>IF(Cclamp_act="",Cclamp_rec,Cclamp_eff)</f>
        <v>0.59399999999999997</v>
      </c>
      <c r="E69" s="261" t="s">
        <v>29</v>
      </c>
      <c r="F69" s="210"/>
      <c r="G69" s="247"/>
      <c r="H69" s="247"/>
      <c r="I69" s="247"/>
      <c r="J69" s="118"/>
      <c r="K69" s="118"/>
      <c r="L69" s="118"/>
      <c r="M69" s="118"/>
      <c r="N69" s="118"/>
      <c r="O69" s="118"/>
      <c r="P69" s="118"/>
      <c r="Q69" s="118"/>
      <c r="R69" s="118"/>
      <c r="S69" s="118"/>
      <c r="T69" s="118"/>
      <c r="U69" s="118"/>
      <c r="V69" s="118"/>
      <c r="W69" s="118"/>
      <c r="X69" s="118"/>
      <c r="Y69" s="118"/>
      <c r="Z69" s="118"/>
      <c r="AA69" s="118"/>
      <c r="AB69" s="118"/>
      <c r="AC69" s="118"/>
      <c r="AD69" s="118"/>
    </row>
    <row r="70" spans="1:32" ht="18.75">
      <c r="A70" s="201"/>
      <c r="B70" s="213" t="s">
        <v>859</v>
      </c>
      <c r="C70" s="214" t="s">
        <v>860</v>
      </c>
      <c r="D70" s="288">
        <f>TFDR/(Cclamp*10^-6*LN((NPS*VOUT+ΔVCLAMP)/(Vclamp_max)))/1000000</f>
        <v>3.2665185870770506</v>
      </c>
      <c r="E70" s="261" t="s">
        <v>244</v>
      </c>
      <c r="F70" s="210"/>
      <c r="G70" s="247"/>
      <c r="H70" s="247"/>
      <c r="I70" s="247"/>
      <c r="J70" s="118"/>
      <c r="K70" s="118"/>
      <c r="L70" s="118"/>
      <c r="M70" s="118"/>
      <c r="N70" s="118"/>
      <c r="O70" s="118"/>
      <c r="P70" s="118"/>
      <c r="Q70" s="118"/>
      <c r="R70" s="118"/>
      <c r="S70" s="118"/>
      <c r="T70" s="118"/>
      <c r="U70" s="118"/>
      <c r="V70" s="118"/>
      <c r="W70" s="118"/>
      <c r="X70" s="118"/>
      <c r="Y70" s="118"/>
      <c r="Z70" s="118"/>
      <c r="AA70" s="118"/>
      <c r="AB70" s="118"/>
      <c r="AC70" s="118"/>
      <c r="AD70" s="118"/>
    </row>
    <row r="71" spans="1:32" ht="18.75">
      <c r="A71" s="201"/>
      <c r="B71" s="226" t="s">
        <v>861</v>
      </c>
      <c r="C71" s="289" t="s">
        <v>862</v>
      </c>
      <c r="D71" s="85">
        <v>2.2000000000000002</v>
      </c>
      <c r="E71" s="286" t="s">
        <v>244</v>
      </c>
      <c r="F71" s="237"/>
      <c r="G71" s="247"/>
      <c r="H71" s="247"/>
      <c r="I71" s="247"/>
      <c r="J71" s="118"/>
      <c r="K71" s="118"/>
      <c r="L71" s="118"/>
      <c r="M71" s="118"/>
      <c r="N71" s="118"/>
      <c r="O71" s="118"/>
      <c r="P71" s="118"/>
      <c r="Q71" s="118"/>
      <c r="R71" s="118"/>
      <c r="S71" s="118"/>
      <c r="T71" s="118"/>
      <c r="U71" s="118"/>
      <c r="V71" s="118"/>
      <c r="W71" s="118"/>
      <c r="X71" s="118"/>
      <c r="Y71" s="118"/>
      <c r="Z71" s="118"/>
      <c r="AA71" s="118"/>
      <c r="AB71" s="118"/>
      <c r="AC71" s="118"/>
      <c r="AD71" s="118"/>
    </row>
    <row r="72" spans="1:32" ht="19.5" thickBot="1">
      <c r="A72" s="201"/>
      <c r="B72" s="281" t="s">
        <v>337</v>
      </c>
      <c r="C72" s="282" t="s">
        <v>863</v>
      </c>
      <c r="D72" s="292">
        <f>IF(RBLEED_act="",RBLEED_rec,RBLEED_act)</f>
        <v>2.2000000000000002</v>
      </c>
      <c r="E72" s="293" t="s">
        <v>244</v>
      </c>
      <c r="F72" s="294"/>
      <c r="G72" s="247"/>
      <c r="H72" s="247"/>
      <c r="I72" s="247"/>
      <c r="J72" s="118"/>
      <c r="K72" s="118"/>
      <c r="L72" s="118"/>
      <c r="M72" s="118"/>
      <c r="N72" s="118"/>
      <c r="O72" s="118"/>
      <c r="P72" s="118"/>
      <c r="Q72" s="118"/>
      <c r="R72" s="118"/>
      <c r="S72" s="118"/>
      <c r="T72" s="118"/>
      <c r="U72" s="118"/>
      <c r="V72" s="118"/>
      <c r="W72" s="118"/>
      <c r="X72" s="118"/>
      <c r="Y72" s="118"/>
      <c r="Z72" s="118"/>
      <c r="AA72" s="118"/>
      <c r="AB72" s="118"/>
      <c r="AC72" s="118"/>
      <c r="AD72" s="118"/>
    </row>
    <row r="73" spans="1:32" ht="16.5" thickBot="1">
      <c r="A73" s="201"/>
      <c r="B73" s="195"/>
      <c r="C73" s="277"/>
      <c r="D73" s="197"/>
      <c r="E73" s="198"/>
      <c r="F73" s="199"/>
      <c r="G73" s="247"/>
      <c r="H73" s="247"/>
      <c r="I73" s="247"/>
      <c r="J73" s="118"/>
      <c r="K73" s="118"/>
      <c r="L73" s="118"/>
      <c r="M73" s="118"/>
      <c r="N73" s="118"/>
      <c r="O73" s="118"/>
      <c r="P73" s="118"/>
      <c r="Q73" s="118"/>
      <c r="R73" s="118"/>
      <c r="S73" s="118"/>
      <c r="T73" s="118"/>
      <c r="U73" s="118"/>
      <c r="V73" s="118"/>
      <c r="W73" s="118"/>
      <c r="X73" s="118"/>
      <c r="Y73" s="118"/>
      <c r="Z73" s="118"/>
      <c r="AA73" s="118"/>
      <c r="AB73" s="118"/>
      <c r="AC73" s="118"/>
      <c r="AD73" s="118"/>
    </row>
    <row r="74" spans="1:32" ht="18" customHeight="1">
      <c r="A74" s="201"/>
      <c r="B74" s="295" t="s">
        <v>31</v>
      </c>
      <c r="C74" s="296"/>
      <c r="D74" s="297"/>
      <c r="E74" s="298"/>
      <c r="F74" s="299"/>
      <c r="G74" s="247"/>
      <c r="H74" s="247"/>
      <c r="I74" s="247"/>
      <c r="J74" s="118"/>
      <c r="K74" s="118"/>
      <c r="L74" s="118"/>
      <c r="M74" s="118"/>
      <c r="N74" s="118"/>
      <c r="O74" s="118"/>
      <c r="P74" s="118"/>
      <c r="Q74" s="118"/>
      <c r="R74" s="118"/>
      <c r="S74" s="118"/>
      <c r="T74" s="118"/>
      <c r="U74" s="118"/>
      <c r="V74" s="118"/>
      <c r="W74" s="118"/>
      <c r="X74" s="118"/>
      <c r="Y74" s="118"/>
      <c r="Z74" s="118"/>
      <c r="AA74" s="118"/>
      <c r="AB74" s="118"/>
      <c r="AC74" s="118"/>
      <c r="AD74" s="118"/>
    </row>
    <row r="75" spans="1:32" ht="18.75">
      <c r="A75" s="201"/>
      <c r="B75" s="213" t="s">
        <v>148</v>
      </c>
      <c r="C75" s="214" t="s">
        <v>32</v>
      </c>
      <c r="D75" s="288">
        <f>IF(Vin_type="AC",(NA*VINPUT_Brownin*1.414)/(NP*IVSL_run*10^-6)/1000,(NA*VINPUT_Brownin)/(NP*IVSL_run*10^-6)/1000)</f>
        <v>58.109589041095887</v>
      </c>
      <c r="E75" s="225" t="s">
        <v>218</v>
      </c>
      <c r="F75" s="300"/>
      <c r="G75" s="247"/>
      <c r="H75" s="264"/>
      <c r="I75" s="265"/>
      <c r="J75" s="118"/>
      <c r="K75" s="118"/>
      <c r="L75" s="118"/>
      <c r="M75" s="118"/>
      <c r="N75" s="118"/>
      <c r="O75" s="118"/>
      <c r="P75" s="118"/>
      <c r="Q75" s="118"/>
      <c r="R75" s="118"/>
      <c r="S75" s="118"/>
      <c r="T75" s="118"/>
      <c r="U75" s="118"/>
      <c r="V75" s="118"/>
      <c r="W75" s="118"/>
      <c r="X75" s="118"/>
      <c r="Y75" s="118"/>
      <c r="Z75" s="118"/>
      <c r="AA75" s="118"/>
      <c r="AB75" s="118"/>
      <c r="AC75" s="118"/>
      <c r="AD75" s="118"/>
    </row>
    <row r="76" spans="1:32" ht="18.75">
      <c r="A76" s="201"/>
      <c r="B76" s="226" t="s">
        <v>149</v>
      </c>
      <c r="C76" s="227" t="s">
        <v>33</v>
      </c>
      <c r="D76" s="48">
        <v>56</v>
      </c>
      <c r="E76" s="301" t="s">
        <v>73</v>
      </c>
      <c r="F76" s="302" t="s">
        <v>356</v>
      </c>
      <c r="G76" s="247"/>
      <c r="H76" s="247"/>
      <c r="I76" s="247"/>
      <c r="J76" s="118"/>
      <c r="K76" s="118"/>
      <c r="L76" s="118"/>
      <c r="M76" s="118"/>
      <c r="N76" s="118"/>
      <c r="O76" s="118"/>
      <c r="P76" s="118"/>
      <c r="Q76" s="118"/>
      <c r="R76" s="118"/>
      <c r="S76" s="118"/>
      <c r="T76" s="118"/>
      <c r="U76" s="118"/>
      <c r="V76" s="118"/>
      <c r="W76" s="118"/>
      <c r="X76" s="118"/>
      <c r="Y76" s="118"/>
      <c r="Z76" s="118"/>
      <c r="AA76" s="118"/>
      <c r="AB76" s="118"/>
      <c r="AC76" s="118"/>
      <c r="AD76" s="118"/>
    </row>
    <row r="77" spans="1:32" ht="18.75">
      <c r="A77" s="201"/>
      <c r="B77" s="213" t="s">
        <v>150</v>
      </c>
      <c r="C77" s="214" t="s">
        <v>34</v>
      </c>
      <c r="D77" s="303">
        <f>IF(RVS1_act="",RVS1_rec,RVS1_act)</f>
        <v>56</v>
      </c>
      <c r="E77" s="225" t="s">
        <v>538</v>
      </c>
      <c r="F77" s="300"/>
      <c r="G77" s="247"/>
      <c r="H77" s="247"/>
      <c r="I77" s="247"/>
      <c r="J77" s="118"/>
      <c r="K77" s="118"/>
      <c r="L77" s="118"/>
      <c r="M77" s="118"/>
      <c r="N77" s="118"/>
      <c r="O77" s="118"/>
      <c r="P77" s="118"/>
      <c r="Q77" s="118"/>
      <c r="R77" s="118"/>
      <c r="S77" s="118"/>
      <c r="T77" s="118"/>
      <c r="U77" s="118"/>
      <c r="V77" s="118"/>
      <c r="W77" s="118"/>
      <c r="X77" s="118"/>
      <c r="Y77" s="118"/>
      <c r="Z77" s="118"/>
      <c r="AA77" s="118"/>
      <c r="AB77" s="118"/>
      <c r="AC77" s="118"/>
      <c r="AD77" s="118"/>
    </row>
    <row r="78" spans="1:32" s="41" customFormat="1" ht="18.75">
      <c r="A78" s="201"/>
      <c r="B78" s="213" t="s">
        <v>533</v>
      </c>
      <c r="C78" s="214" t="s">
        <v>534</v>
      </c>
      <c r="D78" s="304">
        <f>IF(Vin_type="AC",RVS_1*1000*(IVSL_run*10^-6)/NA*NP,RVS_1*1000*(IVSL_run*10^-6)/NA*NP)</f>
        <v>109.01333333333332</v>
      </c>
      <c r="E78" s="225" t="s">
        <v>8</v>
      </c>
      <c r="F78" s="300" t="s">
        <v>542</v>
      </c>
      <c r="G78" s="247"/>
      <c r="H78" s="247"/>
      <c r="I78" s="247"/>
      <c r="J78" s="118"/>
      <c r="K78" s="118"/>
      <c r="L78" s="118"/>
      <c r="M78" s="118"/>
      <c r="N78" s="118"/>
      <c r="O78" s="118"/>
      <c r="P78" s="118"/>
      <c r="Q78" s="118"/>
      <c r="R78" s="118"/>
      <c r="S78" s="118"/>
      <c r="T78" s="118"/>
      <c r="U78" s="118"/>
      <c r="V78" s="118"/>
      <c r="W78" s="118"/>
      <c r="X78" s="118"/>
      <c r="Y78" s="118"/>
      <c r="Z78" s="118"/>
      <c r="AA78" s="118"/>
      <c r="AB78" s="118"/>
      <c r="AC78" s="118"/>
      <c r="AD78" s="118"/>
    </row>
    <row r="79" spans="1:32" ht="18.75">
      <c r="A79" s="201"/>
      <c r="B79" s="213" t="s">
        <v>151</v>
      </c>
      <c r="C79" s="214" t="s">
        <v>35</v>
      </c>
      <c r="D79" s="288">
        <f>(VVS_OVP*RVS_1)/(NA/NS*(VOUT*OVP_tgt*0.01+Vf_SR)-VVS_OVP)</f>
        <v>19.764705882352942</v>
      </c>
      <c r="E79" s="225" t="s">
        <v>73</v>
      </c>
      <c r="F79" s="300"/>
      <c r="G79" s="247"/>
      <c r="H79" s="247"/>
      <c r="I79" s="247"/>
      <c r="J79" s="118"/>
      <c r="K79" s="118"/>
      <c r="L79" s="118"/>
      <c r="M79" s="118"/>
      <c r="N79" s="118"/>
      <c r="O79" s="118"/>
      <c r="P79" s="118"/>
      <c r="Q79" s="118"/>
      <c r="R79" s="118"/>
      <c r="S79" s="118"/>
      <c r="T79" s="118"/>
      <c r="U79" s="118"/>
      <c r="V79" s="118"/>
      <c r="W79" s="118"/>
      <c r="X79" s="118"/>
      <c r="Y79" s="118"/>
      <c r="Z79" s="118"/>
      <c r="AA79" s="118"/>
      <c r="AB79" s="118"/>
      <c r="AC79" s="118"/>
      <c r="AD79" s="118"/>
    </row>
    <row r="80" spans="1:32" ht="18.75">
      <c r="A80" s="201"/>
      <c r="B80" s="226" t="s">
        <v>152</v>
      </c>
      <c r="C80" s="227" t="s">
        <v>37</v>
      </c>
      <c r="D80" s="48">
        <v>20</v>
      </c>
      <c r="E80" s="301" t="s">
        <v>73</v>
      </c>
      <c r="F80" s="302" t="s">
        <v>356</v>
      </c>
      <c r="G80" s="247"/>
      <c r="H80" s="247"/>
      <c r="I80" s="247"/>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s="41" customFormat="1" ht="18.75">
      <c r="A81" s="201"/>
      <c r="B81" s="305" t="s">
        <v>535</v>
      </c>
      <c r="C81" s="204" t="s">
        <v>38</v>
      </c>
      <c r="D81" s="306">
        <f>IF(RVS2_act="",RVS2_rec,RVS2_act)</f>
        <v>20</v>
      </c>
      <c r="E81" s="307" t="s">
        <v>210</v>
      </c>
      <c r="F81" s="308"/>
      <c r="G81" s="247"/>
      <c r="H81" s="265"/>
      <c r="I81" s="247"/>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18" customHeight="1" thickBot="1">
      <c r="A82" s="201"/>
      <c r="B82" s="281" t="s">
        <v>537</v>
      </c>
      <c r="C82" s="309" t="s">
        <v>373</v>
      </c>
      <c r="D82" s="310">
        <f>(VVS_OVP*((RVS_1+RVS_2)/RVS_2)*NS/NA-Vf_SR)/VOUT*100</f>
        <v>113.99999999999999</v>
      </c>
      <c r="E82" s="311" t="s">
        <v>536</v>
      </c>
      <c r="F82" s="312" t="s">
        <v>543</v>
      </c>
      <c r="G82" s="247"/>
      <c r="H82" s="247"/>
      <c r="I82" s="247"/>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16.5" thickBot="1">
      <c r="A83" s="201"/>
      <c r="B83" s="195"/>
      <c r="C83" s="277"/>
      <c r="D83" s="197"/>
      <c r="E83" s="198"/>
      <c r="F83" s="199"/>
      <c r="G83" s="247"/>
      <c r="H83" s="247"/>
      <c r="I83" s="247"/>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18">
      <c r="A84" s="201"/>
      <c r="B84" s="295" t="s">
        <v>474</v>
      </c>
      <c r="C84" s="296"/>
      <c r="D84" s="297"/>
      <c r="E84" s="298"/>
      <c r="F84" s="299"/>
      <c r="G84" s="247"/>
      <c r="H84" s="247"/>
      <c r="I84" s="247"/>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18.75" customHeight="1">
      <c r="A85" s="201"/>
      <c r="B85" s="313" t="s">
        <v>504</v>
      </c>
      <c r="C85" s="235" t="s">
        <v>864</v>
      </c>
      <c r="D85" s="35">
        <v>25</v>
      </c>
      <c r="E85" s="286" t="s">
        <v>41</v>
      </c>
      <c r="F85" s="237" t="s">
        <v>355</v>
      </c>
      <c r="G85" s="247"/>
      <c r="H85" s="247"/>
      <c r="I85" s="247"/>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18.75">
      <c r="A86" s="201"/>
      <c r="B86" s="213" t="s">
        <v>473</v>
      </c>
      <c r="C86" s="214" t="s">
        <v>865</v>
      </c>
      <c r="D86" s="288">
        <f>IF(Vin_type="AC",VCST_OPP_adj_Rcs/(PO_FL*OPP*0.01*2/(VBulk_min_tgt*ηXFMR*DOPP_min)-VBulk_min_tgt*tD_CST_vmin*10^-9/LM*10^-6),VCST_OPP_adj_Rcs/(PO_FL*OPP*0.01*2/(VBulk_min_tgt*ηXFMR*DOPP_min)-VBulk_min_tgt*tD_CST_vmin*10^-9/LM*10^-6))</f>
        <v>0.18005095563637011</v>
      </c>
      <c r="E86" s="225" t="s">
        <v>36</v>
      </c>
      <c r="F86" s="300"/>
      <c r="G86" s="247"/>
      <c r="H86" s="264"/>
      <c r="I86" s="265"/>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18.75">
      <c r="A87" s="201"/>
      <c r="B87" s="226" t="s">
        <v>475</v>
      </c>
      <c r="C87" s="227" t="s">
        <v>866</v>
      </c>
      <c r="D87" s="32">
        <v>0.18</v>
      </c>
      <c r="E87" s="286" t="s">
        <v>242</v>
      </c>
      <c r="F87" s="314" t="s">
        <v>477</v>
      </c>
      <c r="G87" s="247"/>
      <c r="H87" s="247"/>
      <c r="I87" s="247"/>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18.75">
      <c r="A88" s="201"/>
      <c r="B88" s="203" t="s">
        <v>476</v>
      </c>
      <c r="C88" s="204" t="s">
        <v>867</v>
      </c>
      <c r="D88" s="315">
        <f>IF(RCS_act="",RCS_rec,RCS_act)</f>
        <v>0.18</v>
      </c>
      <c r="E88" s="225" t="s">
        <v>211</v>
      </c>
      <c r="F88" s="300"/>
      <c r="G88" s="247"/>
      <c r="H88" s="247"/>
      <c r="I88" s="247"/>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18.75">
      <c r="A89" s="201"/>
      <c r="B89" s="213" t="s">
        <v>471</v>
      </c>
      <c r="C89" s="214" t="s">
        <v>868</v>
      </c>
      <c r="D89" s="315">
        <f>SQRT((fsw_OPP_min*1000/3)*((ipk_OPP_min^2)*(DOPP_min/(fsw_OPP_min*1000)-TZ_min*10^-9)+(TZ_min*10^-9)*( 0*IM_nega_max^2 + 1*IM_nega_OPP_min^2)))</f>
        <v>1.4319171476605748</v>
      </c>
      <c r="E89" s="316" t="s">
        <v>16</v>
      </c>
      <c r="F89" s="317"/>
      <c r="G89" s="247"/>
      <c r="H89" s="247"/>
      <c r="I89" s="247"/>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19.5" thickBot="1">
      <c r="A90" s="201"/>
      <c r="B90" s="281" t="s">
        <v>472</v>
      </c>
      <c r="C90" s="282" t="s">
        <v>869</v>
      </c>
      <c r="D90" s="318">
        <f>RCS*iQL_RMS^2</f>
        <v>0.36906960919759135</v>
      </c>
      <c r="E90" s="319" t="s">
        <v>9</v>
      </c>
      <c r="F90" s="320"/>
      <c r="G90" s="247"/>
      <c r="H90" s="247"/>
      <c r="I90" s="247"/>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16.5" thickBot="1">
      <c r="A91" s="201"/>
      <c r="B91" s="195"/>
      <c r="C91" s="277"/>
      <c r="D91" s="197"/>
      <c r="E91" s="198"/>
      <c r="F91" s="199"/>
      <c r="G91" s="247"/>
      <c r="H91" s="247"/>
      <c r="I91" s="247"/>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18" customHeight="1">
      <c r="A92" s="201"/>
      <c r="B92" s="295" t="s">
        <v>45</v>
      </c>
      <c r="C92" s="296"/>
      <c r="D92" s="297"/>
      <c r="E92" s="298"/>
      <c r="F92" s="299"/>
      <c r="G92" s="247"/>
      <c r="H92" s="247"/>
      <c r="I92" s="247"/>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18.75">
      <c r="A93" s="201"/>
      <c r="B93" s="213" t="s">
        <v>153</v>
      </c>
      <c r="C93" s="214" t="s">
        <v>46</v>
      </c>
      <c r="D93" s="321">
        <f>IF(Vin_type="AC",(Voffset_CS_OPP+(TD_CS_filter*10^-9)*VINPUT_max*1.414*RCS/(LM*10^-6))/((iVSL_max*10^-3)/KLC),(Voffset_CS_OPP+(TD_CS_filter*10^-9)*VINPUT_max*RCS/(LM*10^-6))/((iVSL_max*10^-3)/KLC))</f>
        <v>2617.8652278673762</v>
      </c>
      <c r="E93" s="225" t="s">
        <v>871</v>
      </c>
      <c r="F93" s="300"/>
      <c r="G93" s="247"/>
      <c r="H93" s="264"/>
      <c r="I93" s="265"/>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18.75">
      <c r="A94" s="201"/>
      <c r="B94" s="226" t="s">
        <v>154</v>
      </c>
      <c r="C94" s="227" t="s">
        <v>48</v>
      </c>
      <c r="D94" s="48">
        <v>1870</v>
      </c>
      <c r="E94" s="301" t="s">
        <v>36</v>
      </c>
      <c r="F94" s="302" t="s">
        <v>356</v>
      </c>
      <c r="G94" s="247"/>
      <c r="H94" s="247"/>
      <c r="I94" s="247"/>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18.75">
      <c r="A95" s="201"/>
      <c r="B95" s="213" t="s">
        <v>155</v>
      </c>
      <c r="C95" s="214" t="s">
        <v>131</v>
      </c>
      <c r="D95" s="303">
        <f>IF(R_OPP_act="",R_OPP_rec,R_OPP_act)</f>
        <v>1870</v>
      </c>
      <c r="E95" s="225" t="s">
        <v>870</v>
      </c>
      <c r="F95" s="300"/>
      <c r="G95" s="247"/>
      <c r="H95" s="247"/>
      <c r="I95" s="247"/>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18.75">
      <c r="A96" s="201"/>
      <c r="B96" s="213" t="s">
        <v>479</v>
      </c>
      <c r="C96" s="214" t="s">
        <v>129</v>
      </c>
      <c r="D96" s="260">
        <f>(TD_CS_filter/R_OPP)*10^3</f>
        <v>13.368983957219251</v>
      </c>
      <c r="E96" s="225" t="s">
        <v>30</v>
      </c>
      <c r="F96" s="300"/>
      <c r="G96" s="247"/>
      <c r="H96" s="247"/>
      <c r="I96" s="247"/>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18.75">
      <c r="A97" s="201"/>
      <c r="B97" s="226" t="s">
        <v>481</v>
      </c>
      <c r="C97" s="227" t="s">
        <v>49</v>
      </c>
      <c r="D97" s="48">
        <v>10</v>
      </c>
      <c r="E97" s="301" t="s">
        <v>30</v>
      </c>
      <c r="F97" s="237" t="s">
        <v>497</v>
      </c>
      <c r="G97" s="247"/>
      <c r="H97" s="247"/>
      <c r="I97" s="247"/>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row>
    <row r="98" spans="1:32" ht="18.75">
      <c r="A98" s="201"/>
      <c r="B98" s="213" t="s">
        <v>480</v>
      </c>
      <c r="C98" s="214" t="s">
        <v>163</v>
      </c>
      <c r="D98" s="322">
        <f>IF(CCS_act="",CCS_rec,CCS_act)</f>
        <v>10</v>
      </c>
      <c r="E98" s="316" t="s">
        <v>164</v>
      </c>
      <c r="F98" s="317"/>
      <c r="G98" s="247"/>
      <c r="H98" s="247"/>
      <c r="I98" s="247"/>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19.5" thickBot="1">
      <c r="A99" s="201"/>
      <c r="B99" s="281" t="s">
        <v>478</v>
      </c>
      <c r="C99" s="282" t="s">
        <v>165</v>
      </c>
      <c r="D99" s="310">
        <f>R_OPP*CCS*0.001</f>
        <v>18.7</v>
      </c>
      <c r="E99" s="319" t="s">
        <v>166</v>
      </c>
      <c r="F99" s="320" t="s">
        <v>544</v>
      </c>
      <c r="G99" s="247"/>
      <c r="H99" s="247"/>
      <c r="I99" s="247"/>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16.5" thickBot="1">
      <c r="A100" s="201"/>
      <c r="B100" s="195"/>
      <c r="C100" s="277"/>
      <c r="D100" s="323"/>
      <c r="E100" s="324"/>
      <c r="F100" s="324"/>
      <c r="G100" s="247"/>
      <c r="H100" s="247"/>
      <c r="I100" s="247"/>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18" customHeight="1">
      <c r="A101" s="201"/>
      <c r="B101" s="295" t="s">
        <v>50</v>
      </c>
      <c r="C101" s="296"/>
      <c r="D101" s="297"/>
      <c r="E101" s="298"/>
      <c r="F101" s="299"/>
      <c r="G101" s="247"/>
      <c r="H101" s="247"/>
      <c r="I101" s="247"/>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18.75">
      <c r="A102" s="201"/>
      <c r="B102" s="203" t="s">
        <v>872</v>
      </c>
      <c r="C102" s="204" t="s">
        <v>873</v>
      </c>
      <c r="D102" s="325">
        <f>KDM*(LM*10^-6/RCS)*(NA/NP)*(RVS_2*1000/(RVS_1*1000+RVS_2*1000))/1000</f>
        <v>150.76754385964909</v>
      </c>
      <c r="E102" s="225" t="s">
        <v>73</v>
      </c>
      <c r="F102" s="300" t="s">
        <v>194</v>
      </c>
      <c r="G102" s="247"/>
      <c r="H102" s="247"/>
      <c r="I102" s="247"/>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18.75">
      <c r="A103" s="201"/>
      <c r="B103" s="313" t="s">
        <v>874</v>
      </c>
      <c r="C103" s="235" t="s">
        <v>875</v>
      </c>
      <c r="D103" s="85">
        <v>150</v>
      </c>
      <c r="E103" s="301" t="s">
        <v>73</v>
      </c>
      <c r="F103" s="302" t="s">
        <v>356</v>
      </c>
      <c r="G103" s="247"/>
      <c r="H103" s="247"/>
      <c r="I103" s="247"/>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19.5" thickBot="1">
      <c r="A104" s="201"/>
      <c r="B104" s="281" t="s">
        <v>876</v>
      </c>
      <c r="C104" s="282" t="s">
        <v>877</v>
      </c>
      <c r="D104" s="292">
        <f>IF(RDM_act="",RDM_rec,RDM_act)</f>
        <v>150</v>
      </c>
      <c r="E104" s="311" t="s">
        <v>73</v>
      </c>
      <c r="F104" s="326"/>
      <c r="G104" s="247"/>
      <c r="H104" s="247"/>
      <c r="I104" s="247"/>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16.5" thickBot="1">
      <c r="A105" s="201"/>
      <c r="B105" s="195"/>
      <c r="C105" s="277"/>
      <c r="D105" s="197"/>
      <c r="E105" s="198"/>
      <c r="F105" s="199"/>
      <c r="G105" s="247"/>
      <c r="H105" s="247"/>
      <c r="I105" s="247"/>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18" customHeight="1">
      <c r="A106" s="201"/>
      <c r="B106" s="295" t="s">
        <v>51</v>
      </c>
      <c r="C106" s="296"/>
      <c r="D106" s="297"/>
      <c r="E106" s="298"/>
      <c r="F106" s="299"/>
      <c r="G106" s="327"/>
      <c r="H106" s="247"/>
      <c r="I106" s="247"/>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18.75">
      <c r="A107" s="201"/>
      <c r="B107" s="203" t="s">
        <v>156</v>
      </c>
      <c r="C107" s="204" t="s">
        <v>878</v>
      </c>
      <c r="D107" s="260">
        <f>IF(Vin_type="AC",((3.1416-ACOS(NPS*(VOUT+Vf_SR)/VINPUT_max*1.414))*SQRT(LM*10^-6*CSWN_T_vmax*10^-12)*10^9),((3.1416-ACOS(NPS*(VOUT+Vf_SR)/VINPUT_max))*SQRT(LM*10^-6*CSWN_T_vmax*10^-12)*10^9))</f>
        <v>581.80060886057936</v>
      </c>
      <c r="E107" s="565" t="s">
        <v>41</v>
      </c>
      <c r="F107" s="566"/>
      <c r="G107" s="247"/>
      <c r="H107" s="247"/>
      <c r="I107" s="247"/>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18.75">
      <c r="A108" s="201"/>
      <c r="B108" s="203" t="s">
        <v>879</v>
      </c>
      <c r="C108" s="204" t="s">
        <v>880</v>
      </c>
      <c r="D108" s="325">
        <f>KTZ*(TZ_min+TD_HDr)*10^-9/1000</f>
        <v>381.80834096192444</v>
      </c>
      <c r="E108" s="225" t="s">
        <v>73</v>
      </c>
      <c r="F108" s="300"/>
      <c r="G108" s="247"/>
      <c r="H108" s="247"/>
      <c r="I108" s="247"/>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18.75">
      <c r="A109" s="201"/>
      <c r="B109" s="313" t="s">
        <v>881</v>
      </c>
      <c r="C109" s="235" t="s">
        <v>882</v>
      </c>
      <c r="D109" s="85">
        <v>280</v>
      </c>
      <c r="E109" s="301" t="s">
        <v>73</v>
      </c>
      <c r="F109" s="302" t="s">
        <v>356</v>
      </c>
      <c r="G109" s="247"/>
      <c r="H109" s="247"/>
      <c r="I109" s="247"/>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19.5" thickBot="1">
      <c r="A110" s="201"/>
      <c r="B110" s="281" t="s">
        <v>157</v>
      </c>
      <c r="C110" s="282" t="s">
        <v>883</v>
      </c>
      <c r="D110" s="292">
        <f>IF(RTZ_act="",RTZ_rec,RTZ_act)</f>
        <v>280</v>
      </c>
      <c r="E110" s="311" t="s">
        <v>73</v>
      </c>
      <c r="F110" s="326"/>
      <c r="G110" s="247"/>
      <c r="H110" s="247"/>
      <c r="I110" s="247"/>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16.5" thickBot="1">
      <c r="A111" s="201"/>
      <c r="B111" s="195"/>
      <c r="C111" s="277"/>
      <c r="D111" s="197"/>
      <c r="E111" s="198"/>
      <c r="F111" s="199"/>
      <c r="G111" s="247"/>
      <c r="H111" s="247"/>
      <c r="I111" s="247"/>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18" customHeight="1">
      <c r="A112" s="201"/>
      <c r="B112" s="295" t="s">
        <v>54</v>
      </c>
      <c r="C112" s="296"/>
      <c r="D112" s="297"/>
      <c r="E112" s="298"/>
      <c r="F112" s="299"/>
      <c r="G112" s="247"/>
      <c r="H112" s="247"/>
      <c r="I112" s="247"/>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18.75" customHeight="1">
      <c r="A113" s="201"/>
      <c r="B113" s="203" t="s">
        <v>367</v>
      </c>
      <c r="C113" s="204" t="s">
        <v>884</v>
      </c>
      <c r="D113" s="315">
        <f>IF(Vin_type="AC",ipk_BUR*RCS-VINPUT_BUR*1.414*RCS*tD_CST_BUR*10^-9/(LM*10^-6)+iVSL_BUR*10^-3*R_OPP/KLC,ipk_BUR*RCS-VINPUT_BUR*RCS*(tD_CST_BUR+0.31)*10^-9/(LM*10^-6)+iVSL_BUR*10^-3*R_OPP/KLC)</f>
        <v>0.34552533885258929</v>
      </c>
      <c r="E113" s="316" t="s">
        <v>55</v>
      </c>
      <c r="F113" s="317"/>
      <c r="G113" s="247"/>
      <c r="H113" s="264"/>
      <c r="I113" s="265"/>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s="41" customFormat="1" ht="18.75" customHeight="1">
      <c r="A114" s="201"/>
      <c r="B114" s="203" t="s">
        <v>885</v>
      </c>
      <c r="C114" s="204" t="s">
        <v>886</v>
      </c>
      <c r="D114" s="315">
        <f>KBUR_CST*VCST_BUR</f>
        <v>1.3821013554103572</v>
      </c>
      <c r="E114" s="316" t="s">
        <v>8</v>
      </c>
      <c r="F114" s="317"/>
      <c r="G114" s="247"/>
      <c r="H114" s="247"/>
      <c r="I114" s="247"/>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18.75">
      <c r="A115" s="201"/>
      <c r="B115" s="213" t="s">
        <v>887</v>
      </c>
      <c r="C115" s="204" t="s">
        <v>888</v>
      </c>
      <c r="D115" s="328">
        <f>(0.11/(2.7*10^-6))/(1-KBUR_CST*VCST_BUR/5)/1000</f>
        <v>56.304425224385646</v>
      </c>
      <c r="E115" s="225" t="s">
        <v>76</v>
      </c>
      <c r="F115" s="300" t="s">
        <v>889</v>
      </c>
      <c r="G115" s="247"/>
      <c r="H115" s="247"/>
      <c r="I115" s="247"/>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18.75">
      <c r="A116" s="201"/>
      <c r="B116" s="226" t="s">
        <v>890</v>
      </c>
      <c r="C116" s="235" t="s">
        <v>891</v>
      </c>
      <c r="D116" s="85">
        <v>47.5</v>
      </c>
      <c r="E116" s="301" t="s">
        <v>73</v>
      </c>
      <c r="F116" s="302" t="s">
        <v>356</v>
      </c>
      <c r="G116" s="247"/>
      <c r="H116" s="247"/>
      <c r="I116" s="247"/>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18.75">
      <c r="A117" s="201"/>
      <c r="B117" s="213" t="s">
        <v>892</v>
      </c>
      <c r="C117" s="204" t="s">
        <v>893</v>
      </c>
      <c r="D117" s="322">
        <f>IF(RBUR2_act="",RBUR2_rec,RBUR2_act)</f>
        <v>47.5</v>
      </c>
      <c r="E117" s="565" t="s">
        <v>73</v>
      </c>
      <c r="F117" s="566"/>
      <c r="G117" s="247"/>
      <c r="H117" s="247"/>
      <c r="I117" s="247"/>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18.75">
      <c r="A118" s="201"/>
      <c r="B118" s="213" t="s">
        <v>894</v>
      </c>
      <c r="C118" s="204" t="s">
        <v>895</v>
      </c>
      <c r="D118" s="328">
        <f>(5*1000*RBUR2/(KBUR_CST*VCST_BUR)-RBUR2*1000)/1000</f>
        <v>124.33978517225628</v>
      </c>
      <c r="E118" s="565" t="s">
        <v>119</v>
      </c>
      <c r="F118" s="566"/>
      <c r="G118" s="247"/>
      <c r="H118" s="247"/>
      <c r="I118" s="247"/>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18.75">
      <c r="A119" s="201"/>
      <c r="B119" s="226" t="s">
        <v>896</v>
      </c>
      <c r="C119" s="235" t="s">
        <v>897</v>
      </c>
      <c r="D119" s="85">
        <v>196</v>
      </c>
      <c r="E119" s="301" t="s">
        <v>119</v>
      </c>
      <c r="F119" s="302" t="s">
        <v>356</v>
      </c>
      <c r="G119" s="247"/>
      <c r="H119" s="247"/>
      <c r="I119" s="247"/>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18.75">
      <c r="A120" s="201"/>
      <c r="B120" s="213" t="s">
        <v>898</v>
      </c>
      <c r="C120" s="204" t="s">
        <v>899</v>
      </c>
      <c r="D120" s="322">
        <f>IF(RBUR1_act="",RBUR1_rec,RBUR1_act)</f>
        <v>196</v>
      </c>
      <c r="E120" s="565" t="s">
        <v>119</v>
      </c>
      <c r="F120" s="566"/>
      <c r="G120" s="247"/>
      <c r="H120" s="247"/>
      <c r="I120" s="247"/>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18.75">
      <c r="A121" s="201"/>
      <c r="B121" s="213" t="s">
        <v>505</v>
      </c>
      <c r="C121" s="204" t="s">
        <v>900</v>
      </c>
      <c r="D121" s="329">
        <f>5*RBUR2/(RBUR2+RBUR1)</f>
        <v>0.97535934291581106</v>
      </c>
      <c r="E121" s="330" t="s">
        <v>175</v>
      </c>
      <c r="F121" s="331" t="s">
        <v>901</v>
      </c>
      <c r="G121" s="247"/>
      <c r="H121" s="247"/>
      <c r="I121" s="247"/>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18.75">
      <c r="A122" s="201"/>
      <c r="B122" s="213" t="s">
        <v>902</v>
      </c>
      <c r="C122" s="204" t="s">
        <v>903</v>
      </c>
      <c r="D122" s="332">
        <f>(40*10^-6)/(3*(RBUR2*RBUR1*1000/(RBUR2+RBUR1)))*10^12</f>
        <v>348.72896527031855</v>
      </c>
      <c r="E122" s="565" t="s">
        <v>120</v>
      </c>
      <c r="F122" s="566"/>
      <c r="G122" s="247"/>
      <c r="H122" s="247"/>
      <c r="I122" s="247"/>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18.75">
      <c r="A123" s="201"/>
      <c r="B123" s="226" t="s">
        <v>904</v>
      </c>
      <c r="C123" s="235" t="s">
        <v>905</v>
      </c>
      <c r="D123" s="35">
        <v>180</v>
      </c>
      <c r="E123" s="301" t="s">
        <v>120</v>
      </c>
      <c r="F123" s="237" t="s">
        <v>497</v>
      </c>
      <c r="G123" s="247"/>
      <c r="H123" s="247"/>
      <c r="I123" s="247"/>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19.5" thickBot="1">
      <c r="A124" s="201"/>
      <c r="B124" s="281" t="s">
        <v>906</v>
      </c>
      <c r="C124" s="282" t="s">
        <v>907</v>
      </c>
      <c r="D124" s="283">
        <f>IF(CBUR_act="",CBUR_max,CBUR_act)</f>
        <v>180</v>
      </c>
      <c r="E124" s="572" t="s">
        <v>121</v>
      </c>
      <c r="F124" s="573"/>
      <c r="G124" s="247"/>
      <c r="H124" s="247"/>
      <c r="I124" s="247"/>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16.5" thickBot="1">
      <c r="A125" s="201"/>
      <c r="B125" s="195"/>
      <c r="C125" s="277"/>
      <c r="D125" s="197"/>
      <c r="E125" s="198"/>
      <c r="F125" s="199"/>
      <c r="G125" s="247"/>
      <c r="H125" s="247"/>
      <c r="I125" s="247"/>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18" customHeight="1">
      <c r="A126" s="201"/>
      <c r="B126" s="295" t="s">
        <v>56</v>
      </c>
      <c r="C126" s="296"/>
      <c r="D126" s="297"/>
      <c r="E126" s="298"/>
      <c r="F126" s="299"/>
      <c r="G126" s="247"/>
      <c r="H126" s="247"/>
      <c r="I126" s="247"/>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18.75">
      <c r="A127" s="201"/>
      <c r="B127" s="203" t="s">
        <v>908</v>
      </c>
      <c r="C127" s="204" t="s">
        <v>909</v>
      </c>
      <c r="D127" s="260">
        <f>IF(Vin_type="AC",(COSS_Qs*10^-12*(VINPUT_max*1.414+NPS*VOUT)/(VHVG+0.9*Vgs_Qs)-CDz*10^-12)*10^12,(COSS_Qs*10^-12*(VINPUT_max+NPS*VOUT)/(VHVG+0.9*Vgs_Qs)-CDz*10^-12)*10^12)</f>
        <v>22.038708771929823</v>
      </c>
      <c r="E127" s="261" t="s">
        <v>57</v>
      </c>
      <c r="F127" s="333"/>
      <c r="G127" s="247"/>
      <c r="H127" s="264"/>
      <c r="I127" s="265"/>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18.75">
      <c r="A128" s="201"/>
      <c r="B128" s="313" t="s">
        <v>910</v>
      </c>
      <c r="C128" s="235" t="s">
        <v>911</v>
      </c>
      <c r="D128" s="35">
        <v>22</v>
      </c>
      <c r="E128" s="286" t="s">
        <v>57</v>
      </c>
      <c r="F128" s="237" t="s">
        <v>497</v>
      </c>
      <c r="G128" s="247"/>
      <c r="H128" s="247"/>
      <c r="I128" s="247"/>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18.75">
      <c r="A129" s="201"/>
      <c r="B129" s="203" t="s">
        <v>158</v>
      </c>
      <c r="C129" s="204" t="s">
        <v>912</v>
      </c>
      <c r="D129" s="260">
        <f>IF(CSWS_act="",CSWS_rec,CSWS_act)</f>
        <v>22</v>
      </c>
      <c r="E129" s="261" t="s">
        <v>57</v>
      </c>
      <c r="F129" s="210"/>
      <c r="G129" s="247"/>
      <c r="H129" s="247"/>
      <c r="I129" s="247"/>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18.75">
      <c r="A130" s="201"/>
      <c r="B130" s="203" t="s">
        <v>363</v>
      </c>
      <c r="C130" s="204" t="s">
        <v>913</v>
      </c>
      <c r="D130" s="260">
        <f>10*SQRT((LQs*10^-9)/((CSWS+CDz)*10^-12))</f>
        <v>121.71612389003691</v>
      </c>
      <c r="E130" s="225" t="s">
        <v>36</v>
      </c>
      <c r="F130" s="300" t="s">
        <v>495</v>
      </c>
      <c r="G130" s="247"/>
      <c r="H130" s="247"/>
      <c r="I130" s="247"/>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18.75">
      <c r="A131" s="201"/>
      <c r="B131" s="313" t="s">
        <v>914</v>
      </c>
      <c r="C131" s="235" t="s">
        <v>915</v>
      </c>
      <c r="D131" s="35">
        <v>121</v>
      </c>
      <c r="E131" s="301" t="s">
        <v>36</v>
      </c>
      <c r="F131" s="302" t="s">
        <v>496</v>
      </c>
      <c r="G131" s="247"/>
      <c r="H131" s="247"/>
      <c r="I131" s="247"/>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row>
    <row r="132" spans="1:32" ht="19.5" thickBot="1">
      <c r="A132" s="201"/>
      <c r="B132" s="281" t="s">
        <v>159</v>
      </c>
      <c r="C132" s="282" t="s">
        <v>916</v>
      </c>
      <c r="D132" s="283">
        <f>IF(RSWS_act="",RSWS_rec,RSWS_act)</f>
        <v>121</v>
      </c>
      <c r="E132" s="572" t="s">
        <v>36</v>
      </c>
      <c r="F132" s="573"/>
      <c r="G132" s="247"/>
      <c r="H132" s="247"/>
      <c r="I132" s="247"/>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row>
    <row r="133" spans="1:32" ht="16.5" thickBot="1">
      <c r="A133" s="201"/>
      <c r="B133" s="195"/>
      <c r="C133" s="277"/>
      <c r="D133" s="197"/>
      <c r="E133" s="198"/>
      <c r="F133" s="199"/>
      <c r="G133" s="247"/>
      <c r="H133" s="247"/>
      <c r="I133" s="247"/>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row>
    <row r="134" spans="1:32" ht="18" customHeight="1">
      <c r="A134" s="201"/>
      <c r="B134" s="295" t="s">
        <v>58</v>
      </c>
      <c r="C134" s="296"/>
      <c r="D134" s="297"/>
      <c r="E134" s="298"/>
      <c r="F134" s="299"/>
      <c r="G134" s="247"/>
      <c r="H134" s="247"/>
      <c r="I134" s="247"/>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row>
    <row r="135" spans="1:32" ht="18.75">
      <c r="A135" s="201"/>
      <c r="B135" s="203" t="s">
        <v>917</v>
      </c>
      <c r="C135" s="204" t="s">
        <v>918</v>
      </c>
      <c r="D135" s="325">
        <f>Vth_Qs/(15*10^-6)/1000</f>
        <v>133.33333333333334</v>
      </c>
      <c r="E135" s="334" t="s">
        <v>128</v>
      </c>
      <c r="F135" s="335" t="s">
        <v>545</v>
      </c>
      <c r="G135" s="247"/>
      <c r="H135" s="247"/>
      <c r="I135" s="247"/>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row>
    <row r="136" spans="1:32" ht="18.75">
      <c r="A136" s="201"/>
      <c r="B136" s="313" t="s">
        <v>919</v>
      </c>
      <c r="C136" s="235" t="s">
        <v>920</v>
      </c>
      <c r="D136" s="85">
        <v>1</v>
      </c>
      <c r="E136" s="286" t="s">
        <v>77</v>
      </c>
      <c r="F136" s="237" t="s">
        <v>921</v>
      </c>
      <c r="G136" s="247"/>
      <c r="H136" s="247"/>
      <c r="I136" s="247"/>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row>
    <row r="137" spans="1:32" ht="18.75">
      <c r="A137" s="201"/>
      <c r="B137" s="203" t="s">
        <v>922</v>
      </c>
      <c r="C137" s="204" t="s">
        <v>923</v>
      </c>
      <c r="D137" s="322">
        <f>IF(RHVG_act="",RHVG_rec,RHVG_act)</f>
        <v>1</v>
      </c>
      <c r="E137" s="565" t="s">
        <v>77</v>
      </c>
      <c r="F137" s="566"/>
      <c r="G137" s="247"/>
      <c r="H137" s="247"/>
      <c r="I137" s="247"/>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row>
    <row r="138" spans="1:32" ht="18.75" customHeight="1">
      <c r="A138" s="201"/>
      <c r="B138" s="203" t="s">
        <v>924</v>
      </c>
      <c r="C138" s="204" t="s">
        <v>925</v>
      </c>
      <c r="D138" s="315">
        <f>((Ciss_Qs*10^-12)+(Trise_max*10^-9)/(RHVG*10^6))*(VDz-VHVG)/0.22*10^9*1.2</f>
        <v>1.4595024922724247</v>
      </c>
      <c r="E138" s="336" t="s">
        <v>59</v>
      </c>
      <c r="F138" s="337" t="s">
        <v>452</v>
      </c>
      <c r="G138" s="247"/>
      <c r="H138" s="247"/>
      <c r="I138" s="247"/>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row>
    <row r="139" spans="1:32" ht="18.75">
      <c r="A139" s="201"/>
      <c r="B139" s="313" t="s">
        <v>926</v>
      </c>
      <c r="C139" s="235" t="s">
        <v>927</v>
      </c>
      <c r="D139" s="85">
        <v>2.2000000000000002</v>
      </c>
      <c r="E139" s="338" t="s">
        <v>59</v>
      </c>
      <c r="F139" s="237" t="s">
        <v>498</v>
      </c>
      <c r="G139" s="247"/>
      <c r="H139" s="247"/>
      <c r="I139" s="247"/>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row>
    <row r="140" spans="1:32" ht="18.75">
      <c r="A140" s="201"/>
      <c r="B140" s="203" t="s">
        <v>928</v>
      </c>
      <c r="C140" s="204" t="s">
        <v>929</v>
      </c>
      <c r="D140" s="322">
        <f>IF(CHVG_act="",CHVG_rec,CHVG_act)</f>
        <v>2.2000000000000002</v>
      </c>
      <c r="E140" s="261" t="s">
        <v>60</v>
      </c>
      <c r="F140" s="210"/>
      <c r="G140" s="247"/>
      <c r="H140" s="247"/>
      <c r="I140" s="247"/>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row>
    <row r="141" spans="1:32" ht="18.75">
      <c r="A141" s="201"/>
      <c r="B141" s="203" t="s">
        <v>930</v>
      </c>
      <c r="C141" s="204" t="s">
        <v>931</v>
      </c>
      <c r="D141" s="315">
        <f>((IRUN_VDD*10^-3-Iwait_VDD*10^-3)*tD_RUN_PWML*10^-6)/(2*0.05)*10^6*1.2</f>
        <v>5.5439999999999996E-2</v>
      </c>
      <c r="E141" s="261" t="s">
        <v>130</v>
      </c>
      <c r="F141" s="210" t="s">
        <v>132</v>
      </c>
      <c r="G141" s="247"/>
      <c r="H141" s="247"/>
      <c r="I141" s="247"/>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row>
    <row r="142" spans="1:32" ht="18.75">
      <c r="A142" s="201"/>
      <c r="B142" s="313" t="s">
        <v>932</v>
      </c>
      <c r="C142" s="235" t="s">
        <v>933</v>
      </c>
      <c r="D142" s="85">
        <v>0.1</v>
      </c>
      <c r="E142" s="339" t="s">
        <v>61</v>
      </c>
      <c r="F142" s="340" t="s">
        <v>499</v>
      </c>
      <c r="G142" s="247"/>
      <c r="H142" s="247"/>
      <c r="I142" s="247"/>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row>
    <row r="143" spans="1:32" ht="19.5" thickBot="1">
      <c r="A143" s="201"/>
      <c r="B143" s="281" t="s">
        <v>934</v>
      </c>
      <c r="C143" s="282" t="s">
        <v>935</v>
      </c>
      <c r="D143" s="292">
        <f>IF(CREF_act="",CREF_rec,CREF_act)</f>
        <v>0.1</v>
      </c>
      <c r="E143" s="319" t="s">
        <v>61</v>
      </c>
      <c r="F143" s="320"/>
      <c r="G143" s="247"/>
      <c r="H143" s="247"/>
      <c r="I143" s="247"/>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row>
    <row r="144" spans="1:32" ht="16.5" thickBot="1">
      <c r="A144" s="201"/>
      <c r="B144" s="195"/>
      <c r="C144" s="277"/>
      <c r="D144" s="197"/>
      <c r="E144" s="198"/>
      <c r="F144" s="199"/>
      <c r="G144" s="247"/>
      <c r="H144" s="247"/>
      <c r="I144" s="247"/>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row>
    <row r="145" spans="1:31" ht="18" customHeight="1">
      <c r="A145" s="201"/>
      <c r="B145" s="295" t="s">
        <v>557</v>
      </c>
      <c r="C145" s="296"/>
      <c r="D145" s="297"/>
      <c r="E145" s="298"/>
      <c r="F145" s="299"/>
      <c r="G145" s="247"/>
      <c r="H145" s="247"/>
      <c r="I145" s="247"/>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row>
    <row r="146" spans="1:31" ht="18.75">
      <c r="A146" s="201"/>
      <c r="B146" s="203" t="s">
        <v>546</v>
      </c>
      <c r="C146" s="204" t="s">
        <v>940</v>
      </c>
      <c r="D146" s="260">
        <f>((Qg_Qh*10^-9+(IVCC_qcc*10^-3)/(fBUR_LR*10^3))/((VDD-Vf_BootD-11)-ipk_BUR_min*(RCS+RDSon_QL)))*10^9</f>
        <v>31.999271430473147</v>
      </c>
      <c r="E146" s="565" t="s">
        <v>59</v>
      </c>
      <c r="F146" s="566"/>
      <c r="G146" s="247"/>
      <c r="H146" s="247"/>
      <c r="I146" s="247"/>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row>
    <row r="147" spans="1:31" ht="18.75">
      <c r="A147" s="201"/>
      <c r="B147" s="203" t="s">
        <v>547</v>
      </c>
      <c r="C147" s="204" t="s">
        <v>941</v>
      </c>
      <c r="D147" s="260">
        <f>((0.1*(IVCC_qcc*10^-3)/fBUR_standyby)/(VDD-Vf_BootD-8.5))*10^9</f>
        <v>47.058823529411768</v>
      </c>
      <c r="E147" s="565" t="s">
        <v>59</v>
      </c>
      <c r="F147" s="566"/>
      <c r="G147" s="247"/>
      <c r="H147" s="247"/>
      <c r="I147" s="247"/>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row>
    <row r="148" spans="1:31" ht="18.75">
      <c r="A148" s="201"/>
      <c r="B148" s="313" t="s">
        <v>160</v>
      </c>
      <c r="C148" s="235" t="s">
        <v>942</v>
      </c>
      <c r="D148" s="35">
        <v>47</v>
      </c>
      <c r="E148" s="339" t="s">
        <v>59</v>
      </c>
      <c r="F148" s="340" t="s">
        <v>939</v>
      </c>
      <c r="G148" s="247"/>
      <c r="H148" s="247"/>
      <c r="I148" s="247"/>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row>
    <row r="149" spans="1:31" ht="18.75" customHeight="1">
      <c r="A149" s="201"/>
      <c r="B149" s="203" t="s">
        <v>943</v>
      </c>
      <c r="C149" s="204" t="s">
        <v>944</v>
      </c>
      <c r="D149" s="315">
        <f>(10*Cboot)*10^-3</f>
        <v>0.47000000000000003</v>
      </c>
      <c r="E149" s="261" t="s">
        <v>169</v>
      </c>
      <c r="F149" s="210" t="s">
        <v>936</v>
      </c>
      <c r="G149" s="247"/>
      <c r="H149" s="247"/>
      <c r="I149" s="247"/>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row>
    <row r="150" spans="1:31" ht="33">
      <c r="A150" s="201"/>
      <c r="B150" s="313" t="s">
        <v>945</v>
      </c>
      <c r="C150" s="235" t="s">
        <v>946</v>
      </c>
      <c r="D150" s="85">
        <v>1</v>
      </c>
      <c r="E150" s="339" t="s">
        <v>61</v>
      </c>
      <c r="F150" s="341" t="s">
        <v>937</v>
      </c>
      <c r="G150" s="247"/>
      <c r="H150" s="247"/>
      <c r="I150" s="247"/>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row>
    <row r="151" spans="1:31" ht="18.75">
      <c r="A151" s="201"/>
      <c r="B151" s="203" t="s">
        <v>947</v>
      </c>
      <c r="C151" s="204" t="s">
        <v>948</v>
      </c>
      <c r="D151" s="325">
        <f>10*RCS</f>
        <v>1.7999999999999998</v>
      </c>
      <c r="E151" s="261" t="s">
        <v>170</v>
      </c>
      <c r="F151" s="210" t="s">
        <v>938</v>
      </c>
      <c r="G151" s="247"/>
      <c r="H151" s="247"/>
      <c r="I151" s="247"/>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row>
    <row r="152" spans="1:31" ht="19.5" thickBot="1">
      <c r="A152" s="201"/>
      <c r="B152" s="238" t="s">
        <v>949</v>
      </c>
      <c r="C152" s="239" t="s">
        <v>950</v>
      </c>
      <c r="D152" s="114">
        <v>10</v>
      </c>
      <c r="E152" s="342" t="s">
        <v>170</v>
      </c>
      <c r="F152" s="241"/>
      <c r="G152" s="247"/>
      <c r="H152" s="247"/>
      <c r="I152" s="247"/>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row>
    <row r="153" spans="1:31" ht="16.5" thickBot="1">
      <c r="A153" s="201"/>
      <c r="B153" s="195"/>
      <c r="C153" s="277"/>
      <c r="D153" s="197"/>
      <c r="E153" s="198"/>
      <c r="F153" s="199"/>
      <c r="G153" s="247"/>
      <c r="H153" s="247"/>
      <c r="I153" s="247"/>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row>
    <row r="154" spans="1:31" ht="18" customHeight="1">
      <c r="A154" s="201"/>
      <c r="B154" s="295" t="s">
        <v>63</v>
      </c>
      <c r="C154" s="296"/>
      <c r="D154" s="297"/>
      <c r="E154" s="298"/>
      <c r="F154" s="299"/>
      <c r="G154" s="247"/>
      <c r="H154" s="247"/>
      <c r="I154" s="247"/>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row>
    <row r="155" spans="1:31" ht="18.75">
      <c r="A155" s="201"/>
      <c r="B155" s="203" t="s">
        <v>364</v>
      </c>
      <c r="C155" s="204" t="s">
        <v>951</v>
      </c>
      <c r="D155" s="322">
        <f>(NA/NS)*VOUT-Vf_Daux</f>
        <v>13.75</v>
      </c>
      <c r="E155" s="565" t="s">
        <v>55</v>
      </c>
      <c r="F155" s="566"/>
      <c r="G155" s="247"/>
      <c r="H155" s="247"/>
      <c r="I155" s="247"/>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row>
    <row r="156" spans="1:31" ht="18.75">
      <c r="A156" s="201"/>
      <c r="B156" s="203" t="s">
        <v>952</v>
      </c>
      <c r="C156" s="204" t="s">
        <v>953</v>
      </c>
      <c r="D156" s="325">
        <f>(VDD-VDD_off)/IDaux_max</f>
        <v>3.1599999999999993</v>
      </c>
      <c r="E156" s="565" t="s">
        <v>36</v>
      </c>
      <c r="F156" s="566"/>
      <c r="G156" s="247"/>
      <c r="H156" s="247"/>
      <c r="I156" s="247"/>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row>
    <row r="157" spans="1:31" ht="18.75">
      <c r="A157" s="201"/>
      <c r="B157" s="313" t="s">
        <v>954</v>
      </c>
      <c r="C157" s="235" t="s">
        <v>955</v>
      </c>
      <c r="D157" s="85">
        <v>2.4900000000000002</v>
      </c>
      <c r="E157" s="567" t="s">
        <v>36</v>
      </c>
      <c r="F157" s="568"/>
      <c r="G157" s="247"/>
      <c r="H157" s="247"/>
      <c r="I157" s="247"/>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row>
    <row r="158" spans="1:31" ht="18.75">
      <c r="A158" s="201"/>
      <c r="B158" s="203" t="s">
        <v>956</v>
      </c>
      <c r="C158" s="204" t="s">
        <v>957</v>
      </c>
      <c r="D158" s="322">
        <f>IF(RDD1_act="",RDD1_rec,RDD1_act)</f>
        <v>2.4900000000000002</v>
      </c>
      <c r="E158" s="565" t="s">
        <v>36</v>
      </c>
      <c r="F158" s="566"/>
      <c r="G158" s="247"/>
      <c r="H158" s="247"/>
      <c r="I158" s="247"/>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row>
    <row r="159" spans="1:31" ht="18.75">
      <c r="A159" s="201"/>
      <c r="B159" s="203" t="s">
        <v>958</v>
      </c>
      <c r="C159" s="204" t="s">
        <v>959</v>
      </c>
      <c r="D159" s="329">
        <f>CHVG*10^-9*(VDD_on-VDD_off-Vth_Qs)/((Istart_HVG-15)*10^-6)*10^3</f>
        <v>0.16720000000000002</v>
      </c>
      <c r="E159" s="334" t="s">
        <v>64</v>
      </c>
      <c r="F159" s="335"/>
      <c r="G159" s="247"/>
      <c r="H159" s="247"/>
      <c r="I159" s="247"/>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row>
    <row r="160" spans="1:31" ht="18.75">
      <c r="A160" s="201"/>
      <c r="B160" s="203" t="s">
        <v>960</v>
      </c>
      <c r="C160" s="204" t="s">
        <v>961</v>
      </c>
      <c r="D160" s="325">
        <f>IF(Vin_type="AC",((COUT*10^-6)*VOUT/(NPS*VCST_max*VINPUT_Brownout*1.414/(2*RCS*(VINPUT_Brownout*1.414+NPS*VOUT))-IOUT)+0.001)*10^3,((COUT*10^-6)*VOUT/(NPS*VCST_max*VINPUT_Brownout/(2*RCS*(VINPUT_Brownout+NPS*VOUT))-IOUT)+0.001)*10^3)</f>
        <v>1.2554960190649165</v>
      </c>
      <c r="E160" s="330" t="s">
        <v>64</v>
      </c>
      <c r="F160" s="337" t="s">
        <v>365</v>
      </c>
      <c r="G160" s="247"/>
      <c r="H160" s="264"/>
      <c r="I160" s="265"/>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row>
    <row r="161" spans="1:31" ht="18.75">
      <c r="A161" s="201"/>
      <c r="B161" s="313" t="s">
        <v>962</v>
      </c>
      <c r="C161" s="235" t="s">
        <v>963</v>
      </c>
      <c r="D161" s="35">
        <v>-70</v>
      </c>
      <c r="E161" s="343" t="s">
        <v>174</v>
      </c>
      <c r="F161" s="344" t="s">
        <v>362</v>
      </c>
      <c r="G161" s="247"/>
      <c r="H161" s="247"/>
      <c r="I161" s="247"/>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row>
    <row r="162" spans="1:31" ht="18.75">
      <c r="A162" s="201"/>
      <c r="B162" s="203" t="s">
        <v>964</v>
      </c>
      <c r="C162" s="204" t="s">
        <v>965</v>
      </c>
      <c r="D162" s="325">
        <f>(((IEN_VDD+IVCC_qcc)*THVG*10^-6+(IRUN_VDD+IVCC_sw)*(TSS_max+tD_RUN_PWML)*10^-6+CREF*5*10^-6)/(VDD_on-VDD_off))*10^6/((100+Drea_CDD1)/100)</f>
        <v>5.5629172658777124</v>
      </c>
      <c r="E162" s="206" t="s">
        <v>27</v>
      </c>
      <c r="F162" s="207" t="s">
        <v>503</v>
      </c>
      <c r="G162" s="247"/>
      <c r="H162" s="247"/>
      <c r="I162" s="247"/>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row>
    <row r="163" spans="1:31" ht="18.75">
      <c r="A163" s="201"/>
      <c r="B163" s="313" t="s">
        <v>966</v>
      </c>
      <c r="C163" s="235" t="s">
        <v>967</v>
      </c>
      <c r="D163" s="85">
        <v>22</v>
      </c>
      <c r="E163" s="339" t="s">
        <v>61</v>
      </c>
      <c r="F163" s="340" t="s">
        <v>968</v>
      </c>
      <c r="G163" s="247"/>
      <c r="H163" s="247"/>
      <c r="I163" s="247"/>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row>
    <row r="164" spans="1:31" ht="19.5" thickBot="1">
      <c r="A164" s="201"/>
      <c r="B164" s="281" t="s">
        <v>969</v>
      </c>
      <c r="C164" s="282" t="s">
        <v>970</v>
      </c>
      <c r="D164" s="292">
        <f>IF(CDD1_act="",CDD1_rec,CDD1_act)</f>
        <v>22</v>
      </c>
      <c r="E164" s="319" t="s">
        <v>61</v>
      </c>
      <c r="F164" s="320"/>
      <c r="G164" s="247"/>
      <c r="H164" s="247"/>
      <c r="I164" s="247"/>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row>
    <row r="165" spans="1:31" ht="16.5" thickBot="1">
      <c r="A165" s="201"/>
      <c r="B165" s="195"/>
      <c r="C165" s="277"/>
      <c r="D165" s="197"/>
      <c r="E165" s="198"/>
      <c r="F165" s="199"/>
      <c r="G165" s="247"/>
      <c r="H165" s="247"/>
      <c r="I165" s="247"/>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row>
    <row r="166" spans="1:31" ht="18" customHeight="1">
      <c r="A166" s="201"/>
      <c r="B166" s="295" t="s">
        <v>67</v>
      </c>
      <c r="C166" s="296"/>
      <c r="D166" s="297"/>
      <c r="E166" s="298"/>
      <c r="F166" s="299"/>
      <c r="G166" s="247"/>
      <c r="H166" s="247"/>
      <c r="I166" s="247"/>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row>
    <row r="167" spans="1:31" ht="18.75">
      <c r="A167" s="201"/>
      <c r="B167" s="203" t="s">
        <v>972</v>
      </c>
      <c r="C167" s="204" t="s">
        <v>973</v>
      </c>
      <c r="D167" s="325">
        <f>((VFB_max-VCE_sat_opto)/(IFB_max*10^-6)-RFB_int)/1000</f>
        <v>46.666666666666664</v>
      </c>
      <c r="E167" s="565" t="s">
        <v>73</v>
      </c>
      <c r="F167" s="566"/>
      <c r="G167" s="247"/>
      <c r="H167" s="247"/>
      <c r="I167" s="247"/>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row>
    <row r="168" spans="1:31" ht="18.75">
      <c r="A168" s="201"/>
      <c r="B168" s="313" t="s">
        <v>974</v>
      </c>
      <c r="C168" s="235" t="s">
        <v>975</v>
      </c>
      <c r="D168" s="85">
        <v>22</v>
      </c>
      <c r="E168" s="339" t="s">
        <v>210</v>
      </c>
      <c r="F168" s="341" t="s">
        <v>500</v>
      </c>
      <c r="G168" s="247"/>
      <c r="H168" s="247"/>
      <c r="I168" s="247"/>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row>
    <row r="169" spans="1:31" ht="18.75">
      <c r="A169" s="201"/>
      <c r="B169" s="203" t="s">
        <v>366</v>
      </c>
      <c r="C169" s="204" t="s">
        <v>976</v>
      </c>
      <c r="D169" s="322">
        <f>IF(RFB_act="",RFB_max,RFB_act)</f>
        <v>22</v>
      </c>
      <c r="E169" s="330" t="s">
        <v>73</v>
      </c>
      <c r="F169" s="331"/>
      <c r="G169" s="247"/>
      <c r="H169" s="247"/>
      <c r="I169" s="247"/>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row>
    <row r="170" spans="1:31" ht="18.75">
      <c r="A170" s="201"/>
      <c r="B170" s="203" t="s">
        <v>977</v>
      </c>
      <c r="C170" s="204" t="s">
        <v>978</v>
      </c>
      <c r="D170" s="332">
        <v>100</v>
      </c>
      <c r="E170" s="330" t="s">
        <v>124</v>
      </c>
      <c r="F170" s="337"/>
      <c r="G170" s="247"/>
      <c r="H170" s="247"/>
      <c r="I170" s="247"/>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row>
    <row r="171" spans="1:31" ht="28.5">
      <c r="A171" s="201"/>
      <c r="B171" s="203" t="s">
        <v>979</v>
      </c>
      <c r="C171" s="204" t="s">
        <v>980</v>
      </c>
      <c r="D171" s="345">
        <v>1</v>
      </c>
      <c r="E171" s="330" t="s">
        <v>172</v>
      </c>
      <c r="F171" s="346" t="s">
        <v>971</v>
      </c>
      <c r="G171" s="247"/>
      <c r="H171" s="247"/>
      <c r="I171" s="247"/>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row>
    <row r="172" spans="1:31" ht="18.75">
      <c r="A172" s="201"/>
      <c r="B172" s="203" t="s">
        <v>981</v>
      </c>
      <c r="C172" s="204" t="s">
        <v>982</v>
      </c>
      <c r="D172" s="345">
        <f>VD_LED_off/(IKA_min*10^-6)/1000</f>
        <v>14.285714285714286</v>
      </c>
      <c r="E172" s="330" t="s">
        <v>73</v>
      </c>
      <c r="F172" s="562" t="s">
        <v>69</v>
      </c>
      <c r="G172" s="247"/>
      <c r="H172" s="247"/>
      <c r="I172" s="247"/>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row>
    <row r="173" spans="1:31" ht="18.75">
      <c r="A173" s="201"/>
      <c r="B173" s="313" t="s">
        <v>983</v>
      </c>
      <c r="C173" s="235" t="s">
        <v>984</v>
      </c>
      <c r="D173" s="115">
        <v>8.3000000000000007</v>
      </c>
      <c r="E173" s="343" t="s">
        <v>73</v>
      </c>
      <c r="F173" s="563"/>
      <c r="G173" s="247"/>
      <c r="H173" s="247"/>
      <c r="I173" s="247"/>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row>
    <row r="174" spans="1:31" ht="18.75">
      <c r="A174" s="201"/>
      <c r="B174" s="203" t="s">
        <v>359</v>
      </c>
      <c r="C174" s="204" t="s">
        <v>985</v>
      </c>
      <c r="D174" s="325">
        <f>IF(Rbias2_act="",Rbias2_rec,Rbias2_act)</f>
        <v>8.3000000000000007</v>
      </c>
      <c r="E174" s="330" t="s">
        <v>73</v>
      </c>
      <c r="F174" s="564"/>
      <c r="G174" s="247"/>
      <c r="H174" s="247"/>
      <c r="I174" s="247"/>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row>
    <row r="175" spans="1:31" ht="18.75">
      <c r="A175" s="201"/>
      <c r="B175" s="209" t="s">
        <v>357</v>
      </c>
      <c r="C175" s="204" t="s">
        <v>986</v>
      </c>
      <c r="D175" s="325">
        <f>(VOUT-Vref_431-VD_LED)/(VD_LED/(Rbias2*1000)+(IFB_max*10^-6)/(CTRmin*KCTR_Temp))/1000</f>
        <v>3.0273556231003038</v>
      </c>
      <c r="E175" s="330" t="s">
        <v>73</v>
      </c>
      <c r="F175" s="347"/>
      <c r="G175" s="247"/>
      <c r="H175" s="247"/>
      <c r="I175" s="247"/>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row>
    <row r="176" spans="1:31" ht="18.75">
      <c r="A176" s="201"/>
      <c r="B176" s="209" t="s">
        <v>358</v>
      </c>
      <c r="C176" s="204" t="s">
        <v>987</v>
      </c>
      <c r="D176" s="325">
        <f>(CTRmax*_∆VO_ABM*10^-3/(10*10^-6))/1000</f>
        <v>16.000000000000004</v>
      </c>
      <c r="E176" s="330" t="s">
        <v>73</v>
      </c>
      <c r="F176" s="210"/>
      <c r="G176" s="247"/>
      <c r="H176" s="247"/>
      <c r="I176" s="247"/>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row>
    <row r="177" spans="1:31" s="41" customFormat="1" ht="18.75">
      <c r="A177" s="201"/>
      <c r="B177" s="209" t="s">
        <v>988</v>
      </c>
      <c r="C177" s="204" t="s">
        <v>989</v>
      </c>
      <c r="D177" s="325">
        <f>MIN(Rbias1_max_SBP,Rbias1_max_ABM)</f>
        <v>3.0273556231003038</v>
      </c>
      <c r="E177" s="330" t="s">
        <v>73</v>
      </c>
      <c r="F177" s="210"/>
      <c r="G177" s="247"/>
      <c r="H177" s="247"/>
      <c r="I177" s="247"/>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row>
    <row r="178" spans="1:31" ht="18.75">
      <c r="A178" s="201"/>
      <c r="B178" s="209" t="s">
        <v>990</v>
      </c>
      <c r="C178" s="204" t="s">
        <v>991</v>
      </c>
      <c r="D178" s="325">
        <f>(KVC*68000*CTRmin/(KBUR_CST*2*3.1416*Fcr_min*1000))/1000</f>
        <v>35.344021265260956</v>
      </c>
      <c r="E178" s="330" t="s">
        <v>76</v>
      </c>
      <c r="F178" s="210"/>
      <c r="G178" s="247"/>
      <c r="H178" s="247"/>
      <c r="I178" s="247"/>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row>
    <row r="179" spans="1:31" ht="19.5" thickBot="1">
      <c r="A179" s="201"/>
      <c r="B179" s="348" t="s">
        <v>992</v>
      </c>
      <c r="C179" s="239" t="s">
        <v>993</v>
      </c>
      <c r="D179" s="116">
        <v>2.7</v>
      </c>
      <c r="E179" s="349" t="s">
        <v>73</v>
      </c>
      <c r="F179" s="241"/>
      <c r="G179" s="247"/>
      <c r="H179" s="247"/>
      <c r="I179" s="247"/>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row>
    <row r="180" spans="1:31" ht="16.5" thickBot="1">
      <c r="A180" s="201"/>
      <c r="B180" s="195"/>
      <c r="C180" s="277"/>
      <c r="D180" s="197"/>
      <c r="E180" s="198"/>
      <c r="F180" s="199"/>
      <c r="G180" s="247"/>
      <c r="H180" s="247"/>
      <c r="I180" s="247"/>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row>
    <row r="181" spans="1:31" ht="18" customHeight="1">
      <c r="A181" s="201"/>
      <c r="B181" s="295" t="s">
        <v>276</v>
      </c>
      <c r="C181" s="296"/>
      <c r="D181" s="297"/>
      <c r="E181" s="298"/>
      <c r="F181" s="299"/>
      <c r="G181" s="247"/>
      <c r="H181" s="247"/>
      <c r="I181" s="247"/>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row>
    <row r="182" spans="1:31">
      <c r="A182" s="201"/>
      <c r="B182" s="209" t="s">
        <v>360</v>
      </c>
      <c r="C182" s="560" t="str">
        <f>'Input Here'!C106</f>
        <v>ATL431</v>
      </c>
      <c r="D182" s="561"/>
      <c r="E182" s="330"/>
      <c r="F182" s="347"/>
      <c r="G182" s="247"/>
      <c r="H182" s="247"/>
      <c r="I182" s="247"/>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row>
    <row r="183" spans="1:31" ht="18.75">
      <c r="A183" s="201"/>
      <c r="B183" s="209" t="s">
        <v>995</v>
      </c>
      <c r="C183" s="204" t="s">
        <v>996</v>
      </c>
      <c r="D183" s="325">
        <f>Vref_431/(500*Iref_431_max*10^-9)/1000</f>
        <v>33.333333333333329</v>
      </c>
      <c r="E183" s="330" t="s">
        <v>73</v>
      </c>
      <c r="F183" s="347"/>
      <c r="G183" s="247"/>
      <c r="H183" s="247"/>
      <c r="I183" s="247"/>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row>
    <row r="184" spans="1:31" ht="18.75">
      <c r="A184" s="201"/>
      <c r="B184" s="234" t="s">
        <v>997</v>
      </c>
      <c r="C184" s="235" t="s">
        <v>998</v>
      </c>
      <c r="D184" s="85">
        <v>100</v>
      </c>
      <c r="E184" s="343" t="s">
        <v>73</v>
      </c>
      <c r="F184" s="302" t="s">
        <v>356</v>
      </c>
      <c r="G184" s="247"/>
      <c r="H184" s="247"/>
      <c r="I184" s="247"/>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row>
    <row r="185" spans="1:31" ht="18.75">
      <c r="A185" s="201"/>
      <c r="B185" s="209" t="s">
        <v>999</v>
      </c>
      <c r="C185" s="204" t="s">
        <v>1000</v>
      </c>
      <c r="D185" s="322">
        <f>IF(Rvo2_act="",Rvo2_rec,Rvo2_act)</f>
        <v>100</v>
      </c>
      <c r="E185" s="330" t="s">
        <v>73</v>
      </c>
      <c r="F185" s="210"/>
      <c r="G185" s="247"/>
      <c r="H185" s="247"/>
      <c r="I185" s="247"/>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row>
    <row r="186" spans="1:31" ht="18.75">
      <c r="A186" s="201"/>
      <c r="B186" s="209" t="s">
        <v>1001</v>
      </c>
      <c r="C186" s="204" t="s">
        <v>1002</v>
      </c>
      <c r="D186" s="325">
        <f>(VOUT-Vref_431)/(Vref_431/(1000*Rvo2_)+Iref_431*10^-9)/1000</f>
        <v>99.880143827407096</v>
      </c>
      <c r="E186" s="330" t="s">
        <v>73</v>
      </c>
      <c r="F186" s="347"/>
      <c r="G186" s="247"/>
      <c r="H186" s="247"/>
      <c r="I186" s="247"/>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row>
    <row r="187" spans="1:31" ht="18.75">
      <c r="A187" s="201"/>
      <c r="B187" s="234" t="s">
        <v>1003</v>
      </c>
      <c r="C187" s="235" t="s">
        <v>1004</v>
      </c>
      <c r="D187" s="85">
        <v>100</v>
      </c>
      <c r="E187" s="343" t="s">
        <v>73</v>
      </c>
      <c r="F187" s="302" t="s">
        <v>356</v>
      </c>
      <c r="G187" s="247"/>
      <c r="H187" s="247"/>
      <c r="I187" s="247"/>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row>
    <row r="188" spans="1:31" ht="18.75">
      <c r="A188" s="201"/>
      <c r="B188" s="209" t="s">
        <v>1005</v>
      </c>
      <c r="C188" s="204" t="s">
        <v>1006</v>
      </c>
      <c r="D188" s="322">
        <f>IF(Rvo1_act="",Rvo1_rec,Rvo1_act)</f>
        <v>100</v>
      </c>
      <c r="E188" s="330" t="s">
        <v>73</v>
      </c>
      <c r="F188" s="210"/>
      <c r="G188" s="247"/>
      <c r="H188" s="247"/>
      <c r="I188" s="247"/>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row>
    <row r="189" spans="1:31" ht="19.5" thickBot="1">
      <c r="A189" s="201"/>
      <c r="B189" s="281" t="s">
        <v>161</v>
      </c>
      <c r="C189" s="282" t="s">
        <v>1007</v>
      </c>
      <c r="D189" s="318">
        <f>Vref_431*(Rvo1_+Rvo2_)/Rvo2_+Iref_431*10^-9*Rvo1_*1000</f>
        <v>5.0030000000000001</v>
      </c>
      <c r="E189" s="311" t="s">
        <v>14</v>
      </c>
      <c r="F189" s="312" t="s">
        <v>994</v>
      </c>
      <c r="G189" s="247"/>
      <c r="H189" s="247"/>
      <c r="I189" s="247"/>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row>
    <row r="190" spans="1:31" ht="16.5" thickBot="1">
      <c r="A190" s="201"/>
      <c r="B190" s="195"/>
      <c r="C190" s="277"/>
      <c r="D190" s="197"/>
      <c r="E190" s="198"/>
      <c r="F190" s="199"/>
      <c r="G190" s="247"/>
      <c r="H190" s="247"/>
      <c r="I190" s="247"/>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row>
    <row r="191" spans="1:31" ht="18" customHeight="1">
      <c r="A191" s="201"/>
      <c r="B191" s="295" t="s">
        <v>275</v>
      </c>
      <c r="C191" s="296"/>
      <c r="D191" s="297"/>
      <c r="E191" s="298"/>
      <c r="F191" s="299"/>
      <c r="G191" s="247"/>
      <c r="H191" s="247"/>
      <c r="I191" s="247"/>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row>
    <row r="192" spans="1:31" ht="18" customHeight="1">
      <c r="A192" s="201"/>
      <c r="B192" s="350" t="s">
        <v>274</v>
      </c>
      <c r="C192" s="351"/>
      <c r="D192" s="352"/>
      <c r="E192" s="353"/>
      <c r="F192" s="354"/>
      <c r="G192" s="247"/>
      <c r="H192" s="247"/>
      <c r="I192" s="247"/>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row>
    <row r="193" spans="1:31" ht="18.75">
      <c r="A193" s="201"/>
      <c r="B193" s="209" t="s">
        <v>1008</v>
      </c>
      <c r="C193" s="204" t="s">
        <v>1009</v>
      </c>
      <c r="D193" s="325">
        <f>((fBUR_UP*1000*2-fp_opto*1000)/(2*3.1416*Rbias1*1000*2*fBUR_UP*1000*fp_opto*1000))*10^9</f>
        <v>18.781857497736006</v>
      </c>
      <c r="E193" s="330" t="s">
        <v>74</v>
      </c>
      <c r="F193" s="347"/>
      <c r="G193" s="247"/>
      <c r="H193" s="247"/>
      <c r="I193" s="247"/>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row>
    <row r="194" spans="1:31" ht="18.75">
      <c r="A194" s="201"/>
      <c r="B194" s="234" t="s">
        <v>1010</v>
      </c>
      <c r="C194" s="235" t="s">
        <v>1011</v>
      </c>
      <c r="D194" s="85">
        <v>4.7</v>
      </c>
      <c r="E194" s="343" t="s">
        <v>74</v>
      </c>
      <c r="F194" s="340" t="s">
        <v>502</v>
      </c>
      <c r="G194" s="247"/>
      <c r="H194" s="247"/>
      <c r="I194" s="247"/>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row>
    <row r="195" spans="1:31" ht="18.75">
      <c r="A195" s="201"/>
      <c r="B195" s="209" t="s">
        <v>1012</v>
      </c>
      <c r="C195" s="204" t="s">
        <v>1013</v>
      </c>
      <c r="D195" s="322">
        <f>IF(Cdiff_act="",Cdiff_rec,Cdiff_act)</f>
        <v>4.7</v>
      </c>
      <c r="E195" s="330" t="s">
        <v>74</v>
      </c>
      <c r="F195" s="210"/>
      <c r="G195" s="247"/>
      <c r="H195" s="247"/>
      <c r="I195" s="247"/>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row>
    <row r="196" spans="1:31" ht="18.75">
      <c r="A196" s="201"/>
      <c r="B196" s="209" t="s">
        <v>1014</v>
      </c>
      <c r="C196" s="204" t="s">
        <v>1015</v>
      </c>
      <c r="D196" s="260">
        <f>1/(2*3.1416*2*fBUR_UP*1000*Cdiff*10^-9)</f>
        <v>497.98050975993988</v>
      </c>
      <c r="E196" s="330" t="s">
        <v>68</v>
      </c>
      <c r="F196" s="347"/>
      <c r="G196" s="247"/>
      <c r="H196" s="247"/>
      <c r="I196" s="247"/>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row>
    <row r="197" spans="1:31" ht="18.75">
      <c r="A197" s="201"/>
      <c r="B197" s="234" t="s">
        <v>1016</v>
      </c>
      <c r="C197" s="235" t="s">
        <v>1017</v>
      </c>
      <c r="D197" s="85">
        <v>536</v>
      </c>
      <c r="E197" s="343" t="s">
        <v>68</v>
      </c>
      <c r="F197" s="237"/>
      <c r="G197" s="247"/>
      <c r="H197" s="247"/>
      <c r="I197" s="247"/>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row>
    <row r="198" spans="1:31" ht="18.75">
      <c r="A198" s="201"/>
      <c r="B198" s="209" t="s">
        <v>1018</v>
      </c>
      <c r="C198" s="204" t="s">
        <v>1019</v>
      </c>
      <c r="D198" s="322">
        <f>IF(Rdiff_act="",Rdiff_rec,Rdiff_act)</f>
        <v>536</v>
      </c>
      <c r="E198" s="330" t="s">
        <v>36</v>
      </c>
      <c r="F198" s="210"/>
      <c r="G198" s="247"/>
      <c r="H198" s="247"/>
      <c r="I198" s="247"/>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row>
    <row r="199" spans="1:31" ht="18" customHeight="1">
      <c r="A199" s="201"/>
      <c r="B199" s="355" t="s">
        <v>208</v>
      </c>
      <c r="C199" s="356"/>
      <c r="D199" s="357"/>
      <c r="E199" s="330"/>
      <c r="F199" s="347"/>
      <c r="G199" s="247"/>
      <c r="H199" s="247"/>
      <c r="I199" s="247"/>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row>
    <row r="200" spans="1:31" ht="18.75">
      <c r="A200" s="201"/>
      <c r="B200" s="209" t="s">
        <v>1020</v>
      </c>
      <c r="C200" s="204" t="s">
        <v>1021</v>
      </c>
      <c r="D200" s="325">
        <f>(1/(Rvo1_*1000*2*3.1416*Fcr_min*1000/10))*10^9</f>
        <v>7.9577285459638398</v>
      </c>
      <c r="E200" s="330" t="s">
        <v>74</v>
      </c>
      <c r="F200" s="347"/>
      <c r="G200" s="247"/>
      <c r="H200" s="247"/>
      <c r="I200" s="247"/>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row>
    <row r="201" spans="1:31" ht="18.75">
      <c r="A201" s="201"/>
      <c r="B201" s="234" t="s">
        <v>1022</v>
      </c>
      <c r="C201" s="235" t="s">
        <v>1023</v>
      </c>
      <c r="D201" s="85">
        <v>10</v>
      </c>
      <c r="E201" s="343" t="s">
        <v>74</v>
      </c>
      <c r="F201" s="340" t="s">
        <v>501</v>
      </c>
      <c r="G201" s="247"/>
      <c r="H201" s="247"/>
      <c r="I201" s="247"/>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row>
    <row r="202" spans="1:31" ht="18.75">
      <c r="A202" s="201"/>
      <c r="B202" s="209" t="s">
        <v>1024</v>
      </c>
      <c r="C202" s="204" t="s">
        <v>1025</v>
      </c>
      <c r="D202" s="322">
        <f>IF(Cint_act="",Cint_rec,Cint_act)</f>
        <v>10</v>
      </c>
      <c r="E202" s="330" t="s">
        <v>75</v>
      </c>
      <c r="F202" s="210"/>
      <c r="G202" s="247"/>
      <c r="H202" s="247"/>
      <c r="I202" s="247"/>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row>
    <row r="203" spans="1:31" ht="19.5" thickBot="1">
      <c r="A203" s="201"/>
      <c r="B203" s="358" t="s">
        <v>1026</v>
      </c>
      <c r="C203" s="282" t="s">
        <v>1027</v>
      </c>
      <c r="D203" s="292">
        <v>0</v>
      </c>
      <c r="E203" s="319" t="s">
        <v>68</v>
      </c>
      <c r="F203" s="294" t="s">
        <v>361</v>
      </c>
      <c r="G203" s="247"/>
      <c r="H203" s="247"/>
      <c r="I203" s="247"/>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row>
    <row r="204" spans="1:31">
      <c r="A204" s="201"/>
      <c r="B204" s="194"/>
      <c r="C204" s="359"/>
      <c r="D204" s="360"/>
      <c r="E204" s="194"/>
      <c r="F204" s="194"/>
      <c r="G204" s="247"/>
      <c r="H204" s="247"/>
      <c r="I204" s="247"/>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row>
    <row r="205" spans="1:31">
      <c r="A205" s="201"/>
      <c r="B205" s="194"/>
      <c r="C205" s="359"/>
      <c r="D205" s="360"/>
      <c r="E205" s="194"/>
      <c r="F205" s="194"/>
      <c r="G205" s="247"/>
      <c r="H205" s="247"/>
      <c r="I205" s="247"/>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row>
    <row r="206" spans="1:31">
      <c r="A206" s="201"/>
      <c r="B206" s="194"/>
      <c r="C206" s="359"/>
      <c r="D206" s="360"/>
      <c r="E206" s="194"/>
      <c r="F206" s="194"/>
      <c r="G206" s="247"/>
      <c r="H206" s="247"/>
      <c r="I206" s="247"/>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row>
    <row r="207" spans="1:31">
      <c r="A207" s="201"/>
      <c r="B207" s="194"/>
      <c r="C207" s="359"/>
      <c r="D207" s="360"/>
      <c r="E207" s="194"/>
      <c r="F207" s="194"/>
      <c r="G207" s="247"/>
      <c r="H207" s="247"/>
      <c r="I207" s="247"/>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row>
    <row r="208" spans="1:31">
      <c r="A208" s="201"/>
      <c r="B208" s="194"/>
      <c r="C208" s="359"/>
      <c r="D208" s="360"/>
      <c r="E208" s="194"/>
      <c r="F208" s="194"/>
      <c r="G208" s="247"/>
      <c r="H208" s="247"/>
      <c r="I208" s="247"/>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row>
    <row r="209" spans="1:31">
      <c r="A209" s="201"/>
      <c r="B209" s="194"/>
      <c r="C209" s="359"/>
      <c r="D209" s="360"/>
      <c r="E209" s="194"/>
      <c r="F209" s="194"/>
      <c r="G209" s="247"/>
      <c r="H209" s="247"/>
      <c r="I209" s="247"/>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row>
    <row r="210" spans="1:31">
      <c r="A210" s="201"/>
      <c r="B210" s="194"/>
      <c r="C210" s="359"/>
      <c r="D210" s="360"/>
      <c r="E210" s="194"/>
      <c r="F210" s="194"/>
      <c r="G210" s="247"/>
      <c r="H210" s="247"/>
      <c r="I210" s="247"/>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row>
    <row r="211" spans="1:31">
      <c r="A211" s="12"/>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row>
    <row r="212" spans="1:31">
      <c r="A212" s="12"/>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row>
    <row r="213" spans="1:31">
      <c r="A213" s="12"/>
    </row>
    <row r="214" spans="1:31">
      <c r="A214" s="12"/>
    </row>
    <row r="215" spans="1:31">
      <c r="A215" s="12"/>
    </row>
    <row r="216" spans="1:31">
      <c r="A216" s="12"/>
    </row>
    <row r="217" spans="1:31">
      <c r="A217" s="12"/>
    </row>
    <row r="218" spans="1:31">
      <c r="A218" s="12"/>
    </row>
    <row r="219" spans="1:31">
      <c r="A219" s="12"/>
    </row>
    <row r="220" spans="1:31">
      <c r="A220" s="12"/>
    </row>
    <row r="221" spans="1:31">
      <c r="A221" s="12"/>
    </row>
    <row r="222" spans="1:31">
      <c r="A222" s="12"/>
    </row>
    <row r="223" spans="1:31">
      <c r="A223" s="12"/>
    </row>
    <row r="224" spans="1:31">
      <c r="A224" s="12"/>
    </row>
    <row r="225" spans="1:1">
      <c r="A225" s="12"/>
    </row>
    <row r="226" spans="1:1">
      <c r="A226" s="12"/>
    </row>
    <row r="227" spans="1:1">
      <c r="A227" s="12"/>
    </row>
    <row r="228" spans="1:1">
      <c r="A228" s="12"/>
    </row>
    <row r="229" spans="1:1">
      <c r="A229" s="12"/>
    </row>
    <row r="230" spans="1:1">
      <c r="A230" s="12"/>
    </row>
    <row r="231" spans="1:1">
      <c r="A231" s="12"/>
    </row>
    <row r="232" spans="1:1">
      <c r="A232" s="12"/>
    </row>
    <row r="233" spans="1:1">
      <c r="A233" s="12"/>
    </row>
    <row r="234" spans="1:1">
      <c r="A234" s="12"/>
    </row>
    <row r="235" spans="1:1">
      <c r="A235" s="12"/>
    </row>
    <row r="236" spans="1:1">
      <c r="A236" s="12"/>
    </row>
    <row r="237" spans="1:1">
      <c r="A237" s="12"/>
    </row>
    <row r="238" spans="1:1">
      <c r="A238" s="12"/>
    </row>
    <row r="239" spans="1:1">
      <c r="A239" s="12"/>
    </row>
    <row r="240" spans="1:1">
      <c r="A240" s="12"/>
    </row>
    <row r="241" spans="1:1">
      <c r="A241" s="12"/>
    </row>
    <row r="242" spans="1:1">
      <c r="A242" s="12"/>
    </row>
    <row r="243" spans="1:1">
      <c r="A243" s="12"/>
    </row>
    <row r="244" spans="1:1">
      <c r="A244" s="12"/>
    </row>
    <row r="245" spans="1:1">
      <c r="A245" s="12"/>
    </row>
    <row r="246" spans="1:1">
      <c r="A246" s="12"/>
    </row>
    <row r="247" spans="1:1">
      <c r="A247" s="12"/>
    </row>
    <row r="248" spans="1:1">
      <c r="A248" s="12"/>
    </row>
    <row r="249" spans="1:1">
      <c r="A249" s="12"/>
    </row>
    <row r="250" spans="1:1">
      <c r="A250" s="12"/>
    </row>
    <row r="251" spans="1:1">
      <c r="A251" s="12"/>
    </row>
    <row r="252" spans="1:1">
      <c r="A252" s="12"/>
    </row>
    <row r="253" spans="1:1">
      <c r="A253" s="12"/>
    </row>
    <row r="254" spans="1:1">
      <c r="A254" s="12"/>
    </row>
    <row r="255" spans="1:1">
      <c r="A255" s="12"/>
    </row>
    <row r="256" spans="1:1">
      <c r="A256" s="12"/>
    </row>
    <row r="257" spans="1:1">
      <c r="A257" s="12"/>
    </row>
    <row r="258" spans="1:1">
      <c r="A258" s="12"/>
    </row>
    <row r="259" spans="1:1">
      <c r="A259" s="12"/>
    </row>
    <row r="260" spans="1:1">
      <c r="A260" s="12"/>
    </row>
    <row r="261" spans="1:1">
      <c r="A261" s="12"/>
    </row>
    <row r="262" spans="1:1">
      <c r="A262" s="12"/>
    </row>
    <row r="263" spans="1:1">
      <c r="A263" s="12"/>
    </row>
    <row r="264" spans="1:1">
      <c r="A264" s="12"/>
    </row>
    <row r="265" spans="1:1">
      <c r="A265" s="12"/>
    </row>
    <row r="266" spans="1:1">
      <c r="A266" s="12"/>
    </row>
    <row r="267" spans="1:1">
      <c r="A267" s="12"/>
    </row>
    <row r="268" spans="1:1">
      <c r="A268" s="12"/>
    </row>
    <row r="269" spans="1:1">
      <c r="A269" s="12"/>
    </row>
    <row r="270" spans="1:1">
      <c r="A270" s="12"/>
    </row>
    <row r="271" spans="1:1">
      <c r="A271" s="12"/>
    </row>
    <row r="272" spans="1:1">
      <c r="A272" s="12"/>
    </row>
    <row r="273" spans="1:1">
      <c r="A273" s="12"/>
    </row>
    <row r="274" spans="1:1">
      <c r="A274" s="12"/>
    </row>
    <row r="275" spans="1:1">
      <c r="A275" s="12"/>
    </row>
    <row r="276" spans="1:1">
      <c r="A276" s="12"/>
    </row>
    <row r="277" spans="1:1">
      <c r="A277" s="12"/>
    </row>
    <row r="278" spans="1:1">
      <c r="A278" s="12"/>
    </row>
    <row r="279" spans="1:1">
      <c r="A279" s="12"/>
    </row>
    <row r="280" spans="1:1">
      <c r="A280" s="12"/>
    </row>
    <row r="281" spans="1:1">
      <c r="A281" s="12"/>
    </row>
    <row r="282" spans="1:1">
      <c r="A282" s="12"/>
    </row>
    <row r="283" spans="1:1">
      <c r="A283" s="12"/>
    </row>
    <row r="284" spans="1:1">
      <c r="A284" s="12"/>
    </row>
    <row r="285" spans="1:1">
      <c r="A285" s="12"/>
    </row>
    <row r="286" spans="1:1">
      <c r="A286" s="12"/>
    </row>
    <row r="287" spans="1:1">
      <c r="A287" s="12"/>
    </row>
    <row r="288" spans="1:1">
      <c r="A288" s="12"/>
    </row>
    <row r="289" spans="1:1">
      <c r="A289" s="12"/>
    </row>
    <row r="290" spans="1:1">
      <c r="A290" s="12"/>
    </row>
    <row r="291" spans="1:1">
      <c r="A291" s="12"/>
    </row>
    <row r="292" spans="1:1">
      <c r="A292" s="12"/>
    </row>
    <row r="293" spans="1:1">
      <c r="A293" s="12"/>
    </row>
    <row r="294" spans="1:1">
      <c r="A294" s="12"/>
    </row>
    <row r="295" spans="1:1">
      <c r="A295" s="12"/>
    </row>
    <row r="296" spans="1:1">
      <c r="A296" s="12"/>
    </row>
    <row r="297" spans="1:1">
      <c r="A297" s="12"/>
    </row>
    <row r="298" spans="1:1">
      <c r="A298" s="12"/>
    </row>
    <row r="299" spans="1:1">
      <c r="A299" s="12"/>
    </row>
    <row r="300" spans="1:1">
      <c r="A300" s="12"/>
    </row>
    <row r="301" spans="1:1">
      <c r="A301" s="12"/>
    </row>
    <row r="302" spans="1:1">
      <c r="A302" s="12"/>
    </row>
    <row r="303" spans="1:1">
      <c r="A303" s="12"/>
    </row>
    <row r="304" spans="1:1">
      <c r="A304" s="12"/>
    </row>
    <row r="305" spans="1:1">
      <c r="A305" s="12"/>
    </row>
  </sheetData>
  <sheetProtection password="E9DD" sheet="1" objects="1" scenarios="1" selectLockedCells="1"/>
  <mergeCells count="23">
    <mergeCell ref="E36:F36"/>
    <mergeCell ref="E37:F37"/>
    <mergeCell ref="B2:F2"/>
    <mergeCell ref="B35:F35"/>
    <mergeCell ref="B55:F55"/>
    <mergeCell ref="B64:F64"/>
    <mergeCell ref="E137:F137"/>
    <mergeCell ref="E107:F107"/>
    <mergeCell ref="E122:F122"/>
    <mergeCell ref="E124:F124"/>
    <mergeCell ref="E132:F132"/>
    <mergeCell ref="E118:F118"/>
    <mergeCell ref="E120:F120"/>
    <mergeCell ref="E117:F117"/>
    <mergeCell ref="C182:D182"/>
    <mergeCell ref="F172:F174"/>
    <mergeCell ref="E146:F146"/>
    <mergeCell ref="E156:F156"/>
    <mergeCell ref="E158:F158"/>
    <mergeCell ref="E157:F157"/>
    <mergeCell ref="E167:F167"/>
    <mergeCell ref="E147:F147"/>
    <mergeCell ref="E155:F155"/>
  </mergeCells>
  <phoneticPr fontId="27"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104775</xdr:colOff>
                <xdr:row>70</xdr:row>
                <xdr:rowOff>85725</xdr:rowOff>
              </from>
              <to>
                <xdr:col>11</xdr:col>
                <xdr:colOff>571500</xdr:colOff>
                <xdr:row>78</xdr:row>
                <xdr:rowOff>152400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35"/>
  <sheetViews>
    <sheetView zoomScale="70" zoomScaleNormal="70" workbookViewId="0">
      <selection activeCell="D102" sqref="D102:F102"/>
    </sheetView>
  </sheetViews>
  <sheetFormatPr defaultRowHeight="15.75"/>
  <cols>
    <col min="1" max="1" width="4.28515625" customWidth="1"/>
    <col min="2" max="2" width="38.85546875" customWidth="1"/>
    <col min="3" max="3" width="40.42578125" customWidth="1"/>
    <col min="4" max="4" width="11.85546875" customWidth="1"/>
    <col min="5" max="5" width="5.42578125" customWidth="1"/>
    <col min="6" max="6" width="16.28515625" customWidth="1"/>
    <col min="7" max="7" width="11.85546875" customWidth="1"/>
    <col min="8" max="8" width="17.5703125" customWidth="1"/>
    <col min="9" max="9" width="18" customWidth="1"/>
  </cols>
  <sheetData>
    <row r="1" spans="1:9">
      <c r="A1" s="41"/>
      <c r="B1" s="41"/>
      <c r="C1" s="41"/>
      <c r="D1" s="41"/>
      <c r="E1" s="41"/>
      <c r="F1" s="41"/>
      <c r="G1" s="41"/>
      <c r="H1" s="41"/>
      <c r="I1" s="41"/>
    </row>
    <row r="2" spans="1:9">
      <c r="A2" s="41"/>
      <c r="B2" s="41"/>
      <c r="C2" s="41"/>
      <c r="D2" s="41"/>
      <c r="E2" s="41"/>
      <c r="F2" s="41"/>
      <c r="G2" s="41"/>
      <c r="H2" s="41"/>
      <c r="I2" s="41"/>
    </row>
    <row r="3" spans="1:9">
      <c r="A3" s="41"/>
      <c r="B3" s="41"/>
      <c r="C3" s="41"/>
      <c r="D3" s="41"/>
      <c r="E3" s="41"/>
      <c r="F3" s="41"/>
      <c r="G3" s="41"/>
      <c r="H3" s="41"/>
      <c r="I3" s="41"/>
    </row>
    <row r="4" spans="1:9" ht="51" customHeight="1">
      <c r="A4" s="41"/>
      <c r="B4" s="41"/>
      <c r="C4" s="41"/>
      <c r="D4" s="41"/>
      <c r="E4" s="41"/>
      <c r="F4" s="41"/>
      <c r="G4" s="41"/>
      <c r="H4" s="41"/>
      <c r="I4" s="362" t="s">
        <v>371</v>
      </c>
    </row>
    <row r="5" spans="1:9">
      <c r="A5" s="41"/>
      <c r="B5" s="41"/>
      <c r="C5" s="41"/>
      <c r="D5" s="41"/>
      <c r="E5" s="41"/>
      <c r="F5" s="41"/>
      <c r="G5" s="41"/>
      <c r="H5" s="41"/>
      <c r="I5" s="41"/>
    </row>
    <row r="6" spans="1:9">
      <c r="A6" s="41"/>
      <c r="B6" s="41"/>
      <c r="C6" s="41"/>
      <c r="D6" s="41"/>
      <c r="E6" s="41"/>
      <c r="F6" s="41"/>
      <c r="G6" s="23"/>
      <c r="H6" s="41"/>
      <c r="I6" s="41"/>
    </row>
    <row r="7" spans="1:9">
      <c r="A7" s="41"/>
      <c r="B7" s="41"/>
      <c r="C7" s="41"/>
      <c r="D7" s="41"/>
      <c r="E7" s="41"/>
      <c r="F7" s="41"/>
      <c r="G7" s="23"/>
      <c r="H7" s="41"/>
      <c r="I7" s="41"/>
    </row>
    <row r="8" spans="1:9">
      <c r="A8" s="41"/>
      <c r="B8" s="41"/>
      <c r="C8" s="41"/>
      <c r="D8" s="41"/>
      <c r="E8" s="41"/>
      <c r="F8" s="41"/>
      <c r="G8" s="41"/>
      <c r="H8" s="41"/>
      <c r="I8" s="41"/>
    </row>
    <row r="9" spans="1:9">
      <c r="A9" s="41"/>
      <c r="B9" s="41"/>
      <c r="C9" s="41"/>
      <c r="D9" s="41"/>
      <c r="E9" s="41"/>
      <c r="F9" s="41"/>
      <c r="G9" s="41"/>
      <c r="H9" s="41"/>
      <c r="I9" s="41"/>
    </row>
    <row r="10" spans="1:9" ht="14.25" customHeight="1">
      <c r="A10" s="41"/>
      <c r="B10" s="41"/>
      <c r="C10" s="41"/>
      <c r="D10" s="41"/>
      <c r="E10" s="41"/>
      <c r="F10" s="41"/>
      <c r="G10" s="363"/>
      <c r="H10" s="41"/>
      <c r="I10" s="41"/>
    </row>
    <row r="11" spans="1:9">
      <c r="A11" s="41"/>
      <c r="B11" s="41"/>
      <c r="C11" s="41"/>
      <c r="D11" s="41"/>
      <c r="E11" s="41"/>
      <c r="F11" s="41"/>
      <c r="G11" s="41"/>
      <c r="H11" s="41"/>
      <c r="I11" s="41"/>
    </row>
    <row r="12" spans="1:9">
      <c r="A12" s="41"/>
      <c r="B12" s="41"/>
      <c r="C12" s="41"/>
      <c r="D12" s="41"/>
      <c r="E12" s="41"/>
      <c r="F12" s="41"/>
      <c r="G12" s="41"/>
      <c r="H12" s="41"/>
      <c r="I12" s="41"/>
    </row>
    <row r="13" spans="1:9">
      <c r="A13" s="41"/>
      <c r="B13" s="41"/>
      <c r="C13" s="41"/>
      <c r="D13" s="41"/>
      <c r="E13" s="41"/>
      <c r="F13" s="41"/>
      <c r="G13" s="41"/>
      <c r="H13" s="41"/>
      <c r="I13" s="41"/>
    </row>
    <row r="14" spans="1:9">
      <c r="A14" s="41"/>
      <c r="B14" s="41"/>
      <c r="C14" s="41"/>
      <c r="D14" s="41"/>
      <c r="E14" s="41"/>
      <c r="F14" s="41"/>
      <c r="G14" s="41"/>
      <c r="H14" s="41"/>
      <c r="I14" s="41"/>
    </row>
    <row r="15" spans="1:9">
      <c r="A15" s="41"/>
      <c r="B15" s="41"/>
      <c r="C15" s="41"/>
      <c r="D15" s="41"/>
      <c r="E15" s="41"/>
      <c r="F15" s="41"/>
      <c r="G15" s="41"/>
      <c r="H15" s="41"/>
      <c r="I15" s="41"/>
    </row>
    <row r="16" spans="1:9">
      <c r="A16" s="41"/>
      <c r="B16" s="41"/>
      <c r="C16" s="41"/>
      <c r="D16" s="41"/>
      <c r="E16" s="41"/>
      <c r="F16" s="41"/>
      <c r="G16" s="41"/>
      <c r="H16" s="41"/>
      <c r="I16" s="41"/>
    </row>
    <row r="17" spans="1:9">
      <c r="A17" s="41"/>
      <c r="B17" s="41"/>
      <c r="C17" s="41"/>
      <c r="D17" s="41"/>
      <c r="E17" s="41"/>
      <c r="F17" s="41"/>
      <c r="G17" s="41"/>
      <c r="H17" s="41"/>
      <c r="I17" s="41"/>
    </row>
    <row r="18" spans="1:9">
      <c r="A18" s="41"/>
      <c r="B18" s="41"/>
      <c r="C18" s="41"/>
      <c r="D18" s="41"/>
      <c r="E18" s="41"/>
      <c r="F18" s="41"/>
      <c r="G18" s="41"/>
      <c r="H18" s="41"/>
      <c r="I18" s="41"/>
    </row>
    <row r="19" spans="1:9">
      <c r="A19" s="41"/>
      <c r="B19" s="41"/>
      <c r="C19" s="41"/>
      <c r="D19" s="41"/>
      <c r="E19" s="41"/>
      <c r="F19" s="41"/>
      <c r="G19" s="41"/>
      <c r="H19" s="41"/>
      <c r="I19" s="41"/>
    </row>
    <row r="20" spans="1:9">
      <c r="A20" s="41"/>
      <c r="B20" s="41"/>
      <c r="C20" s="41"/>
      <c r="D20" s="41"/>
      <c r="E20" s="41"/>
      <c r="F20" s="41"/>
      <c r="G20" s="41"/>
      <c r="H20" s="41"/>
      <c r="I20" s="41"/>
    </row>
    <row r="21" spans="1:9">
      <c r="A21" s="41"/>
      <c r="B21" s="41"/>
      <c r="C21" s="41"/>
      <c r="D21" s="41"/>
      <c r="E21" s="41"/>
      <c r="F21" s="41"/>
      <c r="G21" s="41"/>
      <c r="H21" s="41"/>
      <c r="I21" s="41"/>
    </row>
    <row r="22" spans="1:9">
      <c r="A22" s="41"/>
      <c r="B22" s="41"/>
      <c r="C22" s="41"/>
      <c r="D22" s="41"/>
      <c r="E22" s="41"/>
      <c r="F22" s="41"/>
      <c r="G22" s="41"/>
      <c r="H22" s="41"/>
      <c r="I22" s="41"/>
    </row>
    <row r="23" spans="1:9">
      <c r="A23" s="41"/>
      <c r="B23" s="41"/>
      <c r="C23" s="41"/>
      <c r="D23" s="41"/>
      <c r="E23" s="41"/>
      <c r="F23" s="41"/>
      <c r="G23" s="41"/>
      <c r="H23" s="41"/>
      <c r="I23" s="41"/>
    </row>
    <row r="24" spans="1:9" ht="16.5" thickBot="1">
      <c r="A24" s="41"/>
      <c r="B24" s="41"/>
      <c r="C24" s="41"/>
      <c r="D24" s="41"/>
      <c r="E24" s="41"/>
      <c r="F24" s="41"/>
      <c r="G24" s="41"/>
      <c r="H24" s="41"/>
      <c r="I24" s="41"/>
    </row>
    <row r="25" spans="1:9" ht="20.25">
      <c r="A25" s="41"/>
      <c r="B25" s="593" t="s">
        <v>516</v>
      </c>
      <c r="C25" s="594"/>
      <c r="D25" s="594"/>
      <c r="E25" s="594"/>
      <c r="F25" s="595"/>
      <c r="G25" s="23"/>
      <c r="H25" s="364"/>
      <c r="I25" s="364"/>
    </row>
    <row r="26" spans="1:9" ht="18.75" thickBot="1">
      <c r="A26" s="41"/>
      <c r="B26" s="365" t="s">
        <v>79</v>
      </c>
      <c r="C26" s="596" t="s">
        <v>80</v>
      </c>
      <c r="D26" s="596"/>
      <c r="E26" s="596"/>
      <c r="F26" s="597"/>
      <c r="G26" s="41"/>
      <c r="H26" s="41"/>
      <c r="I26" s="41"/>
    </row>
    <row r="27" spans="1:9" ht="16.5" thickBot="1">
      <c r="A27" s="41"/>
      <c r="B27" s="581"/>
      <c r="C27" s="582"/>
      <c r="D27" s="582"/>
      <c r="E27" s="582"/>
      <c r="F27" s="583"/>
      <c r="G27" s="23"/>
      <c r="H27" s="41"/>
      <c r="I27" s="41"/>
    </row>
    <row r="28" spans="1:9" ht="15" customHeight="1">
      <c r="A28" s="41"/>
      <c r="B28" s="584" t="s">
        <v>81</v>
      </c>
      <c r="C28" s="366" t="s">
        <v>82</v>
      </c>
      <c r="D28" s="367">
        <f>RCS</f>
        <v>0.18</v>
      </c>
      <c r="E28" s="368" t="s">
        <v>12</v>
      </c>
      <c r="F28" s="369" t="s">
        <v>83</v>
      </c>
      <c r="G28" s="41"/>
      <c r="H28" s="41"/>
      <c r="I28" s="41"/>
    </row>
    <row r="29" spans="1:9" ht="15" customHeight="1" thickBot="1">
      <c r="A29" s="41"/>
      <c r="B29" s="585"/>
      <c r="C29" s="370" t="s">
        <v>370</v>
      </c>
      <c r="D29" s="371">
        <f>PRcs</f>
        <v>0.36906960919759135</v>
      </c>
      <c r="E29" s="589" t="s">
        <v>9</v>
      </c>
      <c r="F29" s="590"/>
      <c r="G29" s="41"/>
      <c r="H29" s="41"/>
      <c r="I29" s="41"/>
    </row>
    <row r="30" spans="1:9" ht="16.5" thickBot="1">
      <c r="A30" s="41"/>
      <c r="B30" s="581"/>
      <c r="C30" s="582"/>
      <c r="D30" s="582"/>
      <c r="E30" s="582"/>
      <c r="F30" s="583"/>
      <c r="G30" s="41"/>
      <c r="H30" s="41"/>
      <c r="I30" s="41"/>
    </row>
    <row r="31" spans="1:9" ht="19.5" thickBot="1">
      <c r="A31" s="41"/>
      <c r="B31" s="372" t="s">
        <v>86</v>
      </c>
      <c r="C31" s="366" t="s">
        <v>82</v>
      </c>
      <c r="D31" s="368">
        <f>RFB</f>
        <v>22</v>
      </c>
      <c r="E31" s="368" t="s">
        <v>85</v>
      </c>
      <c r="F31" s="369" t="s">
        <v>83</v>
      </c>
      <c r="G31" s="41"/>
      <c r="H31" s="41"/>
      <c r="I31" s="41"/>
    </row>
    <row r="32" spans="1:9" ht="16.5" thickBot="1">
      <c r="A32" s="41"/>
      <c r="B32" s="581"/>
      <c r="C32" s="582"/>
      <c r="D32" s="582"/>
      <c r="E32" s="582"/>
      <c r="F32" s="583"/>
      <c r="G32" s="41"/>
      <c r="H32" s="41"/>
      <c r="I32" s="41"/>
    </row>
    <row r="33" spans="1:9" ht="19.5" thickBot="1">
      <c r="A33" s="41"/>
      <c r="B33" s="373" t="s">
        <v>508</v>
      </c>
      <c r="C33" s="366" t="s">
        <v>82</v>
      </c>
      <c r="D33" s="374">
        <f>RBLEED</f>
        <v>2.2000000000000002</v>
      </c>
      <c r="E33" s="375" t="s">
        <v>87</v>
      </c>
      <c r="F33" s="369"/>
      <c r="G33" s="41"/>
      <c r="H33" s="41"/>
      <c r="I33" s="41"/>
    </row>
    <row r="34" spans="1:9" ht="16.5" thickBot="1">
      <c r="A34" s="41"/>
      <c r="B34" s="581"/>
      <c r="C34" s="582"/>
      <c r="D34" s="582"/>
      <c r="E34" s="582"/>
      <c r="F34" s="583"/>
      <c r="G34" s="41"/>
      <c r="H34" s="41"/>
      <c r="I34" s="41"/>
    </row>
    <row r="35" spans="1:9" ht="19.5" thickBot="1">
      <c r="A35" s="41"/>
      <c r="B35" s="373" t="s">
        <v>88</v>
      </c>
      <c r="C35" s="366" t="s">
        <v>82</v>
      </c>
      <c r="D35" s="374">
        <f>RVS_1</f>
        <v>56</v>
      </c>
      <c r="E35" s="375" t="s">
        <v>85</v>
      </c>
      <c r="F35" s="369" t="s">
        <v>83</v>
      </c>
      <c r="G35" s="41"/>
      <c r="H35" s="41"/>
      <c r="I35" s="41"/>
    </row>
    <row r="36" spans="1:9" ht="16.5" thickBot="1">
      <c r="A36" s="41"/>
      <c r="B36" s="581"/>
      <c r="C36" s="582"/>
      <c r="D36" s="582"/>
      <c r="E36" s="582"/>
      <c r="F36" s="583"/>
      <c r="G36" s="41"/>
      <c r="H36" s="41"/>
      <c r="I36" s="41"/>
    </row>
    <row r="37" spans="1:9" ht="19.5" thickBot="1">
      <c r="A37" s="41"/>
      <c r="B37" s="372" t="s">
        <v>89</v>
      </c>
      <c r="C37" s="366" t="s">
        <v>82</v>
      </c>
      <c r="D37" s="368">
        <f>RVS_2</f>
        <v>20</v>
      </c>
      <c r="E37" s="368" t="s">
        <v>85</v>
      </c>
      <c r="F37" s="369" t="s">
        <v>83</v>
      </c>
      <c r="G37" s="41"/>
      <c r="H37" s="41"/>
      <c r="I37" s="41"/>
    </row>
    <row r="38" spans="1:9" ht="15.6" customHeight="1" thickBot="1">
      <c r="A38" s="41"/>
      <c r="B38" s="581"/>
      <c r="C38" s="582"/>
      <c r="D38" s="582"/>
      <c r="E38" s="582"/>
      <c r="F38" s="583"/>
      <c r="G38" s="41"/>
      <c r="H38" s="41"/>
      <c r="I38" s="41"/>
    </row>
    <row r="39" spans="1:9" ht="19.5" thickBot="1">
      <c r="A39" s="41"/>
      <c r="B39" s="373" t="s">
        <v>90</v>
      </c>
      <c r="C39" s="366" t="s">
        <v>82</v>
      </c>
      <c r="D39" s="374">
        <f>R_OPP</f>
        <v>1870</v>
      </c>
      <c r="E39" s="368" t="s">
        <v>12</v>
      </c>
      <c r="F39" s="369" t="s">
        <v>83</v>
      </c>
      <c r="G39" s="41"/>
      <c r="H39" s="41"/>
      <c r="I39" s="41"/>
    </row>
    <row r="40" spans="1:9" ht="16.5" thickBot="1">
      <c r="A40" s="41"/>
      <c r="B40" s="581"/>
      <c r="C40" s="582"/>
      <c r="D40" s="582"/>
      <c r="E40" s="582"/>
      <c r="F40" s="583"/>
      <c r="G40" s="41"/>
      <c r="H40" s="41"/>
      <c r="I40" s="41"/>
    </row>
    <row r="41" spans="1:9" ht="19.5" thickBot="1">
      <c r="A41" s="41"/>
      <c r="B41" s="373" t="s">
        <v>91</v>
      </c>
      <c r="C41" s="366" t="s">
        <v>82</v>
      </c>
      <c r="D41" s="374">
        <f>RDM</f>
        <v>150</v>
      </c>
      <c r="E41" s="375" t="s">
        <v>85</v>
      </c>
      <c r="F41" s="369" t="s">
        <v>83</v>
      </c>
      <c r="G41" s="41"/>
      <c r="H41" s="41"/>
      <c r="I41" s="41"/>
    </row>
    <row r="42" spans="1:9" ht="16.5" thickBot="1">
      <c r="A42" s="41"/>
      <c r="B42" s="581"/>
      <c r="C42" s="582"/>
      <c r="D42" s="582"/>
      <c r="E42" s="582"/>
      <c r="F42" s="583"/>
      <c r="G42" s="41"/>
      <c r="H42" s="41"/>
      <c r="I42" s="41"/>
    </row>
    <row r="43" spans="1:9" ht="19.5" thickBot="1">
      <c r="A43" s="41"/>
      <c r="B43" s="372" t="s">
        <v>92</v>
      </c>
      <c r="C43" s="366" t="s">
        <v>82</v>
      </c>
      <c r="D43" s="368">
        <f>RTZ</f>
        <v>280</v>
      </c>
      <c r="E43" s="368" t="s">
        <v>85</v>
      </c>
      <c r="F43" s="369" t="s">
        <v>83</v>
      </c>
      <c r="G43" s="41"/>
      <c r="H43" s="41"/>
      <c r="I43" s="41"/>
    </row>
    <row r="44" spans="1:9" ht="15.6" customHeight="1" thickBot="1">
      <c r="A44" s="41"/>
      <c r="B44" s="581"/>
      <c r="C44" s="582"/>
      <c r="D44" s="582"/>
      <c r="E44" s="582"/>
      <c r="F44" s="583"/>
      <c r="G44" s="41"/>
      <c r="H44" s="41"/>
      <c r="I44" s="41"/>
    </row>
    <row r="45" spans="1:9" ht="19.5" thickBot="1">
      <c r="A45" s="41"/>
      <c r="B45" s="373" t="s">
        <v>93</v>
      </c>
      <c r="C45" s="366" t="s">
        <v>82</v>
      </c>
      <c r="D45" s="374">
        <f>RBUR1</f>
        <v>196</v>
      </c>
      <c r="E45" s="375" t="s">
        <v>85</v>
      </c>
      <c r="F45" s="369" t="s">
        <v>83</v>
      </c>
      <c r="G45" s="41"/>
      <c r="H45" s="41"/>
      <c r="I45" s="41"/>
    </row>
    <row r="46" spans="1:9" ht="15" customHeight="1" thickBot="1">
      <c r="A46" s="41"/>
      <c r="B46" s="581"/>
      <c r="C46" s="582"/>
      <c r="D46" s="582"/>
      <c r="E46" s="582"/>
      <c r="F46" s="583"/>
      <c r="G46" s="41"/>
      <c r="H46" s="41"/>
      <c r="I46" s="41"/>
    </row>
    <row r="47" spans="1:9" ht="19.5" thickBot="1">
      <c r="A47" s="41"/>
      <c r="B47" s="373" t="s">
        <v>94</v>
      </c>
      <c r="C47" s="366" t="s">
        <v>82</v>
      </c>
      <c r="D47" s="374">
        <f>RBUR2</f>
        <v>47.5</v>
      </c>
      <c r="E47" s="375" t="s">
        <v>85</v>
      </c>
      <c r="F47" s="369" t="s">
        <v>83</v>
      </c>
      <c r="G47" s="41"/>
      <c r="H47" s="41"/>
      <c r="I47" s="41"/>
    </row>
    <row r="48" spans="1:9" ht="16.5" thickBot="1">
      <c r="A48" s="41"/>
      <c r="B48" s="581"/>
      <c r="C48" s="582"/>
      <c r="D48" s="582"/>
      <c r="E48" s="582"/>
      <c r="F48" s="583"/>
      <c r="G48" s="41"/>
      <c r="H48" s="41"/>
      <c r="I48" s="41"/>
    </row>
    <row r="49" spans="1:9" ht="19.5" thickBot="1">
      <c r="A49" s="41"/>
      <c r="B49" s="372" t="s">
        <v>95</v>
      </c>
      <c r="C49" s="366" t="s">
        <v>82</v>
      </c>
      <c r="D49" s="368">
        <f>RSWS</f>
        <v>121</v>
      </c>
      <c r="E49" s="368" t="s">
        <v>12</v>
      </c>
      <c r="F49" s="369"/>
      <c r="G49" s="41"/>
      <c r="H49" s="41"/>
      <c r="I49" s="41"/>
    </row>
    <row r="50" spans="1:9" ht="15.6" customHeight="1" thickBot="1">
      <c r="A50" s="41"/>
      <c r="B50" s="581"/>
      <c r="C50" s="582"/>
      <c r="D50" s="582"/>
      <c r="E50" s="582"/>
      <c r="F50" s="583"/>
      <c r="G50" s="41"/>
      <c r="H50" s="41"/>
      <c r="I50" s="41"/>
    </row>
    <row r="51" spans="1:9" ht="19.5" thickBot="1">
      <c r="A51" s="41"/>
      <c r="B51" s="373" t="s">
        <v>96</v>
      </c>
      <c r="C51" s="366" t="s">
        <v>82</v>
      </c>
      <c r="D51" s="374">
        <f>RHVG</f>
        <v>1</v>
      </c>
      <c r="E51" s="375" t="s">
        <v>87</v>
      </c>
      <c r="F51" s="369"/>
      <c r="G51" s="41"/>
      <c r="H51" s="41"/>
      <c r="I51" s="41"/>
    </row>
    <row r="52" spans="1:9" ht="16.5" thickBot="1">
      <c r="A52" s="41"/>
      <c r="B52" s="581"/>
      <c r="C52" s="582"/>
      <c r="D52" s="582"/>
      <c r="E52" s="582"/>
      <c r="F52" s="583"/>
      <c r="G52" s="41"/>
      <c r="H52" s="41"/>
      <c r="I52" s="41"/>
    </row>
    <row r="53" spans="1:9" ht="19.5" thickBot="1">
      <c r="A53" s="41"/>
      <c r="B53" s="373" t="s">
        <v>97</v>
      </c>
      <c r="C53" s="366" t="s">
        <v>82</v>
      </c>
      <c r="D53" s="374">
        <f>RDD2_</f>
        <v>10</v>
      </c>
      <c r="E53" s="368" t="s">
        <v>12</v>
      </c>
      <c r="F53" s="369"/>
      <c r="G53" s="41"/>
      <c r="H53" s="41"/>
      <c r="I53" s="41"/>
    </row>
    <row r="54" spans="1:9" ht="16.5" thickBot="1">
      <c r="A54" s="41"/>
      <c r="B54" s="581"/>
      <c r="C54" s="582"/>
      <c r="D54" s="582"/>
      <c r="E54" s="582"/>
      <c r="F54" s="583"/>
      <c r="G54" s="41"/>
      <c r="H54" s="41"/>
      <c r="I54" s="41"/>
    </row>
    <row r="55" spans="1:9" ht="19.5" thickBot="1">
      <c r="A55" s="41"/>
      <c r="B55" s="372" t="s">
        <v>98</v>
      </c>
      <c r="C55" s="366" t="s">
        <v>82</v>
      </c>
      <c r="D55" s="368">
        <f>RDD_1</f>
        <v>2.4900000000000002</v>
      </c>
      <c r="E55" s="368" t="s">
        <v>12</v>
      </c>
      <c r="F55" s="369"/>
      <c r="G55" s="41"/>
      <c r="H55" s="41"/>
      <c r="I55" s="41"/>
    </row>
    <row r="56" spans="1:9" ht="15.6" customHeight="1" thickBot="1">
      <c r="A56" s="41"/>
      <c r="B56" s="581"/>
      <c r="C56" s="582"/>
      <c r="D56" s="582"/>
      <c r="E56" s="582"/>
      <c r="F56" s="583"/>
      <c r="G56" s="41"/>
      <c r="H56" s="41"/>
      <c r="I56" s="41"/>
    </row>
    <row r="57" spans="1:9" ht="19.5" thickBot="1">
      <c r="A57" s="41"/>
      <c r="B57" s="373" t="s">
        <v>511</v>
      </c>
      <c r="C57" s="366" t="s">
        <v>82</v>
      </c>
      <c r="D57" s="374">
        <f>Rbias1</f>
        <v>2.7</v>
      </c>
      <c r="E57" s="375" t="s">
        <v>85</v>
      </c>
      <c r="F57" s="369" t="s">
        <v>83</v>
      </c>
      <c r="G57" s="41"/>
      <c r="H57" s="41"/>
      <c r="I57" s="41"/>
    </row>
    <row r="58" spans="1:9" ht="15" customHeight="1" thickBot="1">
      <c r="A58" s="41"/>
      <c r="B58" s="581"/>
      <c r="C58" s="582"/>
      <c r="D58" s="582"/>
      <c r="E58" s="582"/>
      <c r="F58" s="583"/>
      <c r="G58" s="41"/>
      <c r="H58" s="41"/>
      <c r="I58" s="41"/>
    </row>
    <row r="59" spans="1:9" ht="19.5" thickBot="1">
      <c r="A59" s="41"/>
      <c r="B59" s="373" t="s">
        <v>510</v>
      </c>
      <c r="C59" s="366" t="s">
        <v>82</v>
      </c>
      <c r="D59" s="374">
        <f>Rbias2</f>
        <v>8.3000000000000007</v>
      </c>
      <c r="E59" s="375" t="s">
        <v>85</v>
      </c>
      <c r="F59" s="369" t="s">
        <v>83</v>
      </c>
      <c r="G59" s="41"/>
      <c r="H59" s="41"/>
      <c r="I59" s="41"/>
    </row>
    <row r="60" spans="1:9" ht="16.5" thickBot="1">
      <c r="A60" s="41"/>
      <c r="B60" s="581"/>
      <c r="C60" s="582"/>
      <c r="D60" s="582"/>
      <c r="E60" s="582"/>
      <c r="F60" s="583"/>
      <c r="G60" s="41"/>
      <c r="H60" s="41"/>
      <c r="I60" s="41"/>
    </row>
    <row r="61" spans="1:9" ht="19.5" thickBot="1">
      <c r="A61" s="41"/>
      <c r="B61" s="372" t="s">
        <v>99</v>
      </c>
      <c r="C61" s="366" t="s">
        <v>82</v>
      </c>
      <c r="D61" s="368">
        <f>Rvo1_</f>
        <v>100</v>
      </c>
      <c r="E61" s="368" t="s">
        <v>85</v>
      </c>
      <c r="F61" s="369" t="s">
        <v>83</v>
      </c>
      <c r="G61" s="41"/>
      <c r="H61" s="41"/>
      <c r="I61" s="41"/>
    </row>
    <row r="62" spans="1:9" ht="16.5" thickBot="1">
      <c r="A62" s="41"/>
      <c r="B62" s="581"/>
      <c r="C62" s="582"/>
      <c r="D62" s="582"/>
      <c r="E62" s="582"/>
      <c r="F62" s="583"/>
      <c r="G62" s="41"/>
      <c r="H62" s="41"/>
      <c r="I62" s="41"/>
    </row>
    <row r="63" spans="1:9" ht="19.5" thickBot="1">
      <c r="A63" s="41"/>
      <c r="B63" s="373" t="s">
        <v>100</v>
      </c>
      <c r="C63" s="366" t="s">
        <v>82</v>
      </c>
      <c r="D63" s="374">
        <f>Rvo2_</f>
        <v>100</v>
      </c>
      <c r="E63" s="375" t="s">
        <v>85</v>
      </c>
      <c r="F63" s="369" t="s">
        <v>83</v>
      </c>
      <c r="G63" s="41"/>
      <c r="H63" s="41"/>
      <c r="I63" s="41"/>
    </row>
    <row r="64" spans="1:9" ht="16.5" thickBot="1">
      <c r="A64" s="41"/>
      <c r="B64" s="581"/>
      <c r="C64" s="582"/>
      <c r="D64" s="582"/>
      <c r="E64" s="582"/>
      <c r="F64" s="583"/>
      <c r="G64" s="41"/>
      <c r="H64" s="41"/>
      <c r="I64" s="41"/>
    </row>
    <row r="65" spans="1:9" ht="19.5" thickBot="1">
      <c r="A65" s="41"/>
      <c r="B65" s="373" t="s">
        <v>171</v>
      </c>
      <c r="C65" s="366" t="s">
        <v>82</v>
      </c>
      <c r="D65" s="374">
        <f>RCOMP</f>
        <v>1</v>
      </c>
      <c r="E65" s="375" t="s">
        <v>87</v>
      </c>
      <c r="F65" s="369"/>
      <c r="G65" s="41"/>
      <c r="H65" s="41"/>
      <c r="I65" s="41"/>
    </row>
    <row r="66" spans="1:9" ht="16.5" thickBot="1">
      <c r="A66" s="41"/>
      <c r="B66" s="581"/>
      <c r="C66" s="582"/>
      <c r="D66" s="582"/>
      <c r="E66" s="582"/>
      <c r="F66" s="583"/>
      <c r="G66" s="41"/>
      <c r="H66" s="41"/>
      <c r="I66" s="41"/>
    </row>
    <row r="67" spans="1:9" ht="19.5" thickBot="1">
      <c r="A67" s="41"/>
      <c r="B67" s="373" t="s">
        <v>509</v>
      </c>
      <c r="C67" s="366" t="s">
        <v>82</v>
      </c>
      <c r="D67" s="374">
        <f>Rdiff</f>
        <v>536</v>
      </c>
      <c r="E67" s="368" t="s">
        <v>12</v>
      </c>
      <c r="F67" s="369" t="s">
        <v>83</v>
      </c>
      <c r="G67" s="41"/>
      <c r="H67" s="41"/>
      <c r="I67" s="41"/>
    </row>
    <row r="68" spans="1:9" ht="16.5" thickBot="1">
      <c r="A68" s="41"/>
      <c r="B68" s="581"/>
      <c r="C68" s="582"/>
      <c r="D68" s="582"/>
      <c r="E68" s="582"/>
      <c r="F68" s="583"/>
      <c r="G68" s="23"/>
      <c r="H68" s="41"/>
      <c r="I68" s="41"/>
    </row>
    <row r="69" spans="1:9">
      <c r="A69" s="41"/>
      <c r="B69" s="584" t="s">
        <v>103</v>
      </c>
      <c r="C69" s="376" t="s">
        <v>84</v>
      </c>
      <c r="D69" s="586" t="s">
        <v>101</v>
      </c>
      <c r="E69" s="587"/>
      <c r="F69" s="588"/>
      <c r="G69" s="23"/>
      <c r="H69" s="41"/>
      <c r="I69" s="41"/>
    </row>
    <row r="70" spans="1:9">
      <c r="A70" s="41"/>
      <c r="B70" s="585"/>
      <c r="C70" s="370" t="s">
        <v>82</v>
      </c>
      <c r="D70" s="377">
        <f>CBULK</f>
        <v>94</v>
      </c>
      <c r="E70" s="377" t="s">
        <v>61</v>
      </c>
      <c r="F70" s="378"/>
      <c r="G70" s="41"/>
      <c r="H70" s="23"/>
      <c r="I70" s="41"/>
    </row>
    <row r="71" spans="1:9" ht="16.5" thickBot="1">
      <c r="A71" s="41"/>
      <c r="B71" s="585"/>
      <c r="C71" s="370" t="s">
        <v>102</v>
      </c>
      <c r="D71" s="377">
        <f>Vcin_rated</f>
        <v>400</v>
      </c>
      <c r="E71" s="589" t="s">
        <v>8</v>
      </c>
      <c r="F71" s="590"/>
      <c r="G71" s="41"/>
      <c r="H71" s="41"/>
      <c r="I71" s="41"/>
    </row>
    <row r="72" spans="1:9" ht="16.5" thickBot="1">
      <c r="A72" s="41"/>
      <c r="B72" s="581"/>
      <c r="C72" s="582"/>
      <c r="D72" s="582"/>
      <c r="E72" s="582"/>
      <c r="F72" s="583"/>
      <c r="G72" s="41"/>
      <c r="H72" s="41"/>
      <c r="I72" s="41"/>
    </row>
    <row r="73" spans="1:9">
      <c r="A73" s="41"/>
      <c r="B73" s="592" t="s">
        <v>517</v>
      </c>
      <c r="C73" s="376" t="s">
        <v>84</v>
      </c>
      <c r="D73" s="586" t="s">
        <v>101</v>
      </c>
      <c r="E73" s="587"/>
      <c r="F73" s="588"/>
      <c r="G73" s="23"/>
      <c r="H73" s="41"/>
      <c r="I73" s="41"/>
    </row>
    <row r="74" spans="1:9">
      <c r="A74" s="41"/>
      <c r="B74" s="585"/>
      <c r="C74" s="370" t="s">
        <v>82</v>
      </c>
      <c r="D74" s="377">
        <f>COUT</f>
        <v>470</v>
      </c>
      <c r="E74" s="377" t="s">
        <v>61</v>
      </c>
      <c r="F74" s="378"/>
      <c r="G74" s="379"/>
      <c r="H74" s="41"/>
      <c r="I74" s="41"/>
    </row>
    <row r="75" spans="1:9">
      <c r="A75" s="41"/>
      <c r="B75" s="585"/>
      <c r="C75" s="370" t="s">
        <v>102</v>
      </c>
      <c r="D75" s="377">
        <f>VOUT*1.25</f>
        <v>6.25</v>
      </c>
      <c r="E75" s="377" t="s">
        <v>8</v>
      </c>
      <c r="F75" s="378"/>
      <c r="G75" s="379"/>
      <c r="H75" s="41"/>
      <c r="I75" s="41"/>
    </row>
    <row r="76" spans="1:9" ht="16.5" thickBot="1">
      <c r="A76" s="41"/>
      <c r="B76" s="585"/>
      <c r="C76" s="370" t="s">
        <v>507</v>
      </c>
      <c r="D76" s="377">
        <f>RCO</f>
        <v>20</v>
      </c>
      <c r="E76" s="589" t="s">
        <v>506</v>
      </c>
      <c r="F76" s="590"/>
      <c r="G76" s="23"/>
      <c r="H76" s="41"/>
      <c r="I76" s="41"/>
    </row>
    <row r="77" spans="1:9" ht="16.5" thickBot="1">
      <c r="A77" s="41"/>
      <c r="B77" s="581"/>
      <c r="C77" s="582"/>
      <c r="D77" s="582"/>
      <c r="E77" s="582"/>
      <c r="F77" s="583"/>
      <c r="G77" s="41"/>
      <c r="H77" s="41"/>
      <c r="I77" s="41"/>
    </row>
    <row r="78" spans="1:9">
      <c r="A78" s="41"/>
      <c r="B78" s="584" t="s">
        <v>512</v>
      </c>
      <c r="C78" s="376" t="s">
        <v>84</v>
      </c>
      <c r="D78" s="586" t="s">
        <v>104</v>
      </c>
      <c r="E78" s="587"/>
      <c r="F78" s="588"/>
      <c r="G78" s="23"/>
      <c r="H78" s="41"/>
      <c r="I78" s="41"/>
    </row>
    <row r="79" spans="1:9">
      <c r="A79" s="41"/>
      <c r="B79" s="585"/>
      <c r="C79" s="370" t="s">
        <v>82</v>
      </c>
      <c r="D79" s="377">
        <f>Cclamp</f>
        <v>0.59399999999999997</v>
      </c>
      <c r="E79" s="377" t="s">
        <v>61</v>
      </c>
      <c r="F79" s="378"/>
      <c r="G79" s="41"/>
      <c r="H79" s="41"/>
      <c r="I79" s="41"/>
    </row>
    <row r="80" spans="1:9" ht="16.5" thickBot="1">
      <c r="A80" s="41"/>
      <c r="B80" s="585"/>
      <c r="C80" s="370" t="s">
        <v>102</v>
      </c>
      <c r="D80" s="377">
        <f>VOUT*NPS*2+50</f>
        <v>210</v>
      </c>
      <c r="E80" s="589" t="s">
        <v>8</v>
      </c>
      <c r="F80" s="590"/>
      <c r="G80" s="23"/>
      <c r="H80" s="41"/>
      <c r="I80" s="41"/>
    </row>
    <row r="81" spans="1:9" ht="16.5" thickBot="1">
      <c r="A81" s="41"/>
      <c r="B81" s="581"/>
      <c r="C81" s="582"/>
      <c r="D81" s="582"/>
      <c r="E81" s="582"/>
      <c r="F81" s="583"/>
      <c r="G81" s="41"/>
      <c r="H81" s="41"/>
      <c r="I81" s="41"/>
    </row>
    <row r="82" spans="1:9">
      <c r="A82" s="41"/>
      <c r="B82" s="584" t="s">
        <v>105</v>
      </c>
      <c r="C82" s="376" t="s">
        <v>84</v>
      </c>
      <c r="D82" s="586" t="s">
        <v>104</v>
      </c>
      <c r="E82" s="587"/>
      <c r="F82" s="588"/>
      <c r="G82" s="23"/>
      <c r="H82" s="41"/>
      <c r="I82" s="41"/>
    </row>
    <row r="83" spans="1:9">
      <c r="A83" s="41"/>
      <c r="B83" s="585"/>
      <c r="C83" s="370" t="s">
        <v>82</v>
      </c>
      <c r="D83" s="377">
        <f>CCS</f>
        <v>10</v>
      </c>
      <c r="E83" s="377" t="s">
        <v>106</v>
      </c>
      <c r="F83" s="378"/>
      <c r="G83" s="41"/>
      <c r="H83" s="41"/>
      <c r="I83" s="41"/>
    </row>
    <row r="84" spans="1:9" ht="16.5" thickBot="1">
      <c r="A84" s="41"/>
      <c r="B84" s="585"/>
      <c r="C84" s="370" t="s">
        <v>102</v>
      </c>
      <c r="D84" s="377">
        <v>50</v>
      </c>
      <c r="E84" s="589" t="s">
        <v>8</v>
      </c>
      <c r="F84" s="590"/>
      <c r="G84" s="41"/>
      <c r="H84" s="41"/>
      <c r="I84" s="41"/>
    </row>
    <row r="85" spans="1:9" ht="16.5" thickBot="1">
      <c r="A85" s="41"/>
      <c r="B85" s="581"/>
      <c r="C85" s="582"/>
      <c r="D85" s="582"/>
      <c r="E85" s="582"/>
      <c r="F85" s="583"/>
      <c r="G85" s="41"/>
      <c r="H85" s="41"/>
      <c r="I85" s="41"/>
    </row>
    <row r="86" spans="1:9">
      <c r="A86" s="41"/>
      <c r="B86" s="584" t="s">
        <v>107</v>
      </c>
      <c r="C86" s="376" t="s">
        <v>84</v>
      </c>
      <c r="D86" s="586" t="s">
        <v>104</v>
      </c>
      <c r="E86" s="587"/>
      <c r="F86" s="588"/>
      <c r="G86" s="23"/>
      <c r="H86" s="41"/>
      <c r="I86" s="41"/>
    </row>
    <row r="87" spans="1:9">
      <c r="A87" s="41"/>
      <c r="B87" s="585"/>
      <c r="C87" s="370" t="s">
        <v>82</v>
      </c>
      <c r="D87" s="377">
        <f>CSWS</f>
        <v>22</v>
      </c>
      <c r="E87" s="377" t="s">
        <v>106</v>
      </c>
      <c r="F87" s="378"/>
      <c r="G87" s="41"/>
      <c r="H87" s="41"/>
      <c r="I87" s="41"/>
    </row>
    <row r="88" spans="1:9" ht="16.5" thickBot="1">
      <c r="A88" s="41"/>
      <c r="B88" s="585"/>
      <c r="C88" s="370" t="s">
        <v>102</v>
      </c>
      <c r="D88" s="377">
        <v>50</v>
      </c>
      <c r="E88" s="589" t="s">
        <v>8</v>
      </c>
      <c r="F88" s="590"/>
      <c r="G88" s="41"/>
      <c r="H88" s="41"/>
      <c r="I88" s="41"/>
    </row>
    <row r="89" spans="1:9" ht="16.5" thickBot="1">
      <c r="A89" s="41"/>
      <c r="B89" s="581"/>
      <c r="C89" s="582"/>
      <c r="D89" s="582"/>
      <c r="E89" s="582"/>
      <c r="F89" s="583"/>
      <c r="G89" s="41"/>
      <c r="H89" s="41"/>
      <c r="I89" s="41"/>
    </row>
    <row r="90" spans="1:9">
      <c r="A90" s="41"/>
      <c r="B90" s="584" t="s">
        <v>122</v>
      </c>
      <c r="C90" s="376" t="s">
        <v>84</v>
      </c>
      <c r="D90" s="586" t="s">
        <v>104</v>
      </c>
      <c r="E90" s="587"/>
      <c r="F90" s="588"/>
      <c r="G90" s="23"/>
      <c r="H90" s="41"/>
      <c r="I90" s="41"/>
    </row>
    <row r="91" spans="1:9">
      <c r="A91" s="41"/>
      <c r="B91" s="585"/>
      <c r="C91" s="370" t="s">
        <v>82</v>
      </c>
      <c r="D91" s="377">
        <f>CBUR</f>
        <v>180</v>
      </c>
      <c r="E91" s="377" t="s">
        <v>15</v>
      </c>
      <c r="F91" s="378"/>
      <c r="G91" s="41"/>
      <c r="H91" s="41"/>
      <c r="I91" s="41"/>
    </row>
    <row r="92" spans="1:9" ht="16.5" thickBot="1">
      <c r="A92" s="41"/>
      <c r="B92" s="585"/>
      <c r="C92" s="370" t="s">
        <v>102</v>
      </c>
      <c r="D92" s="377">
        <v>50</v>
      </c>
      <c r="E92" s="589" t="s">
        <v>8</v>
      </c>
      <c r="F92" s="590"/>
      <c r="G92" s="23"/>
      <c r="H92" s="41"/>
      <c r="I92" s="41"/>
    </row>
    <row r="93" spans="1:9" ht="16.5" thickBot="1">
      <c r="A93" s="41"/>
      <c r="B93" s="581"/>
      <c r="C93" s="582"/>
      <c r="D93" s="582"/>
      <c r="E93" s="582"/>
      <c r="F93" s="583"/>
      <c r="G93" s="41"/>
      <c r="H93" s="41"/>
      <c r="I93" s="41"/>
    </row>
    <row r="94" spans="1:9">
      <c r="A94" s="41"/>
      <c r="B94" s="584" t="s">
        <v>108</v>
      </c>
      <c r="C94" s="376" t="s">
        <v>84</v>
      </c>
      <c r="D94" s="586" t="s">
        <v>104</v>
      </c>
      <c r="E94" s="587"/>
      <c r="F94" s="588"/>
      <c r="G94" s="23"/>
      <c r="H94" s="41"/>
      <c r="I94" s="41"/>
    </row>
    <row r="95" spans="1:9">
      <c r="A95" s="41"/>
      <c r="B95" s="585"/>
      <c r="C95" s="370" t="s">
        <v>82</v>
      </c>
      <c r="D95" s="377">
        <f>CHVG</f>
        <v>2.2000000000000002</v>
      </c>
      <c r="E95" s="377" t="s">
        <v>59</v>
      </c>
      <c r="F95" s="378"/>
      <c r="G95" s="41"/>
      <c r="H95" s="41"/>
      <c r="I95" s="41"/>
    </row>
    <row r="96" spans="1:9" ht="16.5" thickBot="1">
      <c r="A96" s="41"/>
      <c r="B96" s="585"/>
      <c r="C96" s="370" t="s">
        <v>102</v>
      </c>
      <c r="D96" s="377">
        <v>50</v>
      </c>
      <c r="E96" s="589" t="s">
        <v>8</v>
      </c>
      <c r="F96" s="590"/>
      <c r="G96" s="41"/>
      <c r="H96" s="41"/>
      <c r="I96" s="41"/>
    </row>
    <row r="97" spans="1:9" ht="16.5" thickBot="1">
      <c r="A97" s="41"/>
      <c r="B97" s="581"/>
      <c r="C97" s="582"/>
      <c r="D97" s="582"/>
      <c r="E97" s="582"/>
      <c r="F97" s="583"/>
      <c r="G97" s="41"/>
      <c r="H97" s="41"/>
      <c r="I97" s="41"/>
    </row>
    <row r="98" spans="1:9">
      <c r="A98" s="41"/>
      <c r="B98" s="584" t="s">
        <v>109</v>
      </c>
      <c r="C98" s="376" t="s">
        <v>84</v>
      </c>
      <c r="D98" s="586" t="s">
        <v>104</v>
      </c>
      <c r="E98" s="587"/>
      <c r="F98" s="588"/>
      <c r="G98" s="23"/>
      <c r="H98" s="41"/>
      <c r="I98" s="41"/>
    </row>
    <row r="99" spans="1:9">
      <c r="A99" s="41"/>
      <c r="B99" s="585"/>
      <c r="C99" s="370" t="s">
        <v>82</v>
      </c>
      <c r="D99" s="377">
        <f>CREF</f>
        <v>0.1</v>
      </c>
      <c r="E99" s="377" t="s">
        <v>61</v>
      </c>
      <c r="F99" s="378"/>
      <c r="G99" s="41"/>
      <c r="H99" s="41"/>
      <c r="I99" s="41"/>
    </row>
    <row r="100" spans="1:9" ht="16.5" thickBot="1">
      <c r="A100" s="41"/>
      <c r="B100" s="585"/>
      <c r="C100" s="370" t="s">
        <v>102</v>
      </c>
      <c r="D100" s="377">
        <v>25</v>
      </c>
      <c r="E100" s="589" t="s">
        <v>8</v>
      </c>
      <c r="F100" s="590"/>
      <c r="G100" s="41"/>
      <c r="H100" s="41"/>
      <c r="I100" s="41"/>
    </row>
    <row r="101" spans="1:9" ht="16.5" thickBot="1">
      <c r="A101" s="41"/>
      <c r="B101" s="581"/>
      <c r="C101" s="582"/>
      <c r="D101" s="582"/>
      <c r="E101" s="582"/>
      <c r="F101" s="583"/>
      <c r="G101" s="41"/>
      <c r="H101" s="41"/>
      <c r="I101" s="41"/>
    </row>
    <row r="102" spans="1:9">
      <c r="A102" s="41"/>
      <c r="B102" s="584" t="s">
        <v>513</v>
      </c>
      <c r="C102" s="376" t="s">
        <v>84</v>
      </c>
      <c r="D102" s="586" t="s">
        <v>104</v>
      </c>
      <c r="E102" s="587"/>
      <c r="F102" s="588"/>
      <c r="G102" s="23"/>
      <c r="H102" s="41"/>
      <c r="I102" s="41"/>
    </row>
    <row r="103" spans="1:9">
      <c r="A103" s="41"/>
      <c r="B103" s="585"/>
      <c r="C103" s="370" t="s">
        <v>82</v>
      </c>
      <c r="D103" s="377">
        <f>Cboot</f>
        <v>47</v>
      </c>
      <c r="E103" s="377" t="s">
        <v>59</v>
      </c>
      <c r="F103" s="378"/>
      <c r="G103" s="41"/>
      <c r="H103" s="41"/>
      <c r="I103" s="41"/>
    </row>
    <row r="104" spans="1:9" ht="16.5" thickBot="1">
      <c r="A104" s="41"/>
      <c r="B104" s="585"/>
      <c r="C104" s="370" t="s">
        <v>102</v>
      </c>
      <c r="D104" s="377">
        <v>50</v>
      </c>
      <c r="E104" s="589" t="s">
        <v>8</v>
      </c>
      <c r="F104" s="590"/>
      <c r="G104" s="23"/>
      <c r="H104" s="41"/>
      <c r="I104" s="41"/>
    </row>
    <row r="105" spans="1:9" ht="16.5" thickBot="1">
      <c r="A105" s="41"/>
      <c r="B105" s="581"/>
      <c r="C105" s="582"/>
      <c r="D105" s="582"/>
      <c r="E105" s="582"/>
      <c r="F105" s="583"/>
      <c r="G105" s="41"/>
      <c r="H105" s="41"/>
      <c r="I105" s="41"/>
    </row>
    <row r="106" spans="1:9">
      <c r="A106" s="41"/>
      <c r="B106" s="584" t="s">
        <v>110</v>
      </c>
      <c r="C106" s="376" t="s">
        <v>84</v>
      </c>
      <c r="D106" s="586" t="s">
        <v>104</v>
      </c>
      <c r="E106" s="587"/>
      <c r="F106" s="588"/>
      <c r="G106" s="23"/>
      <c r="H106" s="41"/>
      <c r="I106" s="41"/>
    </row>
    <row r="107" spans="1:9">
      <c r="A107" s="41"/>
      <c r="B107" s="585"/>
      <c r="C107" s="370" t="s">
        <v>82</v>
      </c>
      <c r="D107" s="377">
        <f>CDD2_</f>
        <v>1</v>
      </c>
      <c r="E107" s="377" t="s">
        <v>61</v>
      </c>
      <c r="F107" s="378"/>
      <c r="G107" s="41"/>
      <c r="H107" s="41"/>
      <c r="I107" s="41"/>
    </row>
    <row r="108" spans="1:9" ht="16.5" thickBot="1">
      <c r="A108" s="41"/>
      <c r="B108" s="585"/>
      <c r="C108" s="370" t="s">
        <v>102</v>
      </c>
      <c r="D108" s="377">
        <v>25</v>
      </c>
      <c r="E108" s="589" t="s">
        <v>8</v>
      </c>
      <c r="F108" s="590"/>
      <c r="G108" s="41"/>
      <c r="H108" s="41"/>
      <c r="I108" s="41"/>
    </row>
    <row r="109" spans="1:9" ht="16.5" thickBot="1">
      <c r="A109" s="41"/>
      <c r="B109" s="581"/>
      <c r="C109" s="582"/>
      <c r="D109" s="582"/>
      <c r="E109" s="582"/>
      <c r="F109" s="583"/>
      <c r="G109" s="41"/>
      <c r="H109" s="41"/>
      <c r="I109" s="41"/>
    </row>
    <row r="110" spans="1:9">
      <c r="A110" s="41"/>
      <c r="B110" s="584" t="s">
        <v>111</v>
      </c>
      <c r="C110" s="376" t="s">
        <v>84</v>
      </c>
      <c r="D110" s="586" t="s">
        <v>104</v>
      </c>
      <c r="E110" s="587"/>
      <c r="F110" s="588"/>
      <c r="G110" s="23"/>
      <c r="H110" s="41"/>
      <c r="I110" s="41"/>
    </row>
    <row r="111" spans="1:9">
      <c r="A111" s="41"/>
      <c r="B111" s="585"/>
      <c r="C111" s="370" t="s">
        <v>82</v>
      </c>
      <c r="D111" s="377">
        <f>CDD_1</f>
        <v>22</v>
      </c>
      <c r="E111" s="377" t="s">
        <v>61</v>
      </c>
      <c r="F111" s="378"/>
      <c r="G111" s="41"/>
      <c r="H111" s="41"/>
      <c r="I111" s="41"/>
    </row>
    <row r="112" spans="1:9" ht="16.5" thickBot="1">
      <c r="A112" s="41"/>
      <c r="B112" s="585"/>
      <c r="C112" s="370" t="s">
        <v>102</v>
      </c>
      <c r="D112" s="377">
        <v>35</v>
      </c>
      <c r="E112" s="589" t="s">
        <v>8</v>
      </c>
      <c r="F112" s="590"/>
      <c r="G112" s="23"/>
      <c r="H112" s="41"/>
      <c r="I112" s="41"/>
    </row>
    <row r="113" spans="1:9" ht="16.5" thickBot="1">
      <c r="A113" s="41"/>
      <c r="B113" s="581"/>
      <c r="C113" s="582"/>
      <c r="D113" s="582"/>
      <c r="E113" s="582"/>
      <c r="F113" s="583"/>
      <c r="G113" s="41"/>
      <c r="H113" s="41"/>
      <c r="I113" s="41"/>
    </row>
    <row r="114" spans="1:9">
      <c r="A114" s="41"/>
      <c r="B114" s="584" t="s">
        <v>514</v>
      </c>
      <c r="C114" s="376" t="s">
        <v>84</v>
      </c>
      <c r="D114" s="586" t="s">
        <v>104</v>
      </c>
      <c r="E114" s="587"/>
      <c r="F114" s="588"/>
      <c r="G114" s="23"/>
      <c r="H114" s="41"/>
      <c r="I114" s="41"/>
    </row>
    <row r="115" spans="1:9">
      <c r="A115" s="41"/>
      <c r="B115" s="585"/>
      <c r="C115" s="370" t="s">
        <v>82</v>
      </c>
      <c r="D115" s="377">
        <f>Cdiff</f>
        <v>4.7</v>
      </c>
      <c r="E115" s="377" t="s">
        <v>59</v>
      </c>
      <c r="F115" s="378"/>
      <c r="G115" s="41"/>
      <c r="H115" s="41"/>
      <c r="I115" s="41"/>
    </row>
    <row r="116" spans="1:9" ht="16.5" thickBot="1">
      <c r="A116" s="41"/>
      <c r="B116" s="585"/>
      <c r="C116" s="370" t="s">
        <v>102</v>
      </c>
      <c r="D116" s="377">
        <v>50</v>
      </c>
      <c r="E116" s="589" t="s">
        <v>8</v>
      </c>
      <c r="F116" s="590"/>
      <c r="G116" s="41"/>
      <c r="H116" s="41"/>
      <c r="I116" s="41"/>
    </row>
    <row r="117" spans="1:9" ht="16.5" thickBot="1">
      <c r="A117" s="41"/>
      <c r="B117" s="581"/>
      <c r="C117" s="582"/>
      <c r="D117" s="582"/>
      <c r="E117" s="582"/>
      <c r="F117" s="583"/>
      <c r="G117" s="41"/>
      <c r="H117" s="41"/>
      <c r="I117" s="41"/>
    </row>
    <row r="118" spans="1:9">
      <c r="A118" s="41"/>
      <c r="B118" s="584" t="s">
        <v>134</v>
      </c>
      <c r="C118" s="376" t="s">
        <v>84</v>
      </c>
      <c r="D118" s="586" t="s">
        <v>104</v>
      </c>
      <c r="E118" s="587"/>
      <c r="F118" s="588"/>
      <c r="G118" s="23"/>
      <c r="H118" s="41"/>
      <c r="I118" s="41"/>
    </row>
    <row r="119" spans="1:9">
      <c r="A119" s="41"/>
      <c r="B119" s="585"/>
      <c r="C119" s="370" t="s">
        <v>82</v>
      </c>
      <c r="D119" s="377">
        <f>CFB</f>
        <v>100</v>
      </c>
      <c r="E119" s="377" t="s">
        <v>127</v>
      </c>
      <c r="F119" s="378"/>
      <c r="G119" s="41"/>
      <c r="H119" s="41"/>
      <c r="I119" s="41"/>
    </row>
    <row r="120" spans="1:9" ht="16.5" thickBot="1">
      <c r="A120" s="41"/>
      <c r="B120" s="585"/>
      <c r="C120" s="370" t="s">
        <v>102</v>
      </c>
      <c r="D120" s="377">
        <v>50</v>
      </c>
      <c r="E120" s="589" t="s">
        <v>8</v>
      </c>
      <c r="F120" s="590"/>
      <c r="G120" s="41"/>
      <c r="H120" s="41"/>
      <c r="I120" s="41"/>
    </row>
    <row r="121" spans="1:9" ht="16.5" thickBot="1">
      <c r="A121" s="41"/>
      <c r="B121" s="581"/>
      <c r="C121" s="582"/>
      <c r="D121" s="582"/>
      <c r="E121" s="582"/>
      <c r="F121" s="583"/>
      <c r="G121" s="41"/>
      <c r="H121" s="41"/>
      <c r="I121" s="41"/>
    </row>
    <row r="122" spans="1:9">
      <c r="A122" s="41"/>
      <c r="B122" s="584" t="s">
        <v>515</v>
      </c>
      <c r="C122" s="376" t="s">
        <v>84</v>
      </c>
      <c r="D122" s="586" t="s">
        <v>104</v>
      </c>
      <c r="E122" s="587"/>
      <c r="F122" s="588"/>
      <c r="G122" s="23"/>
      <c r="H122" s="41"/>
      <c r="I122" s="41"/>
    </row>
    <row r="123" spans="1:9">
      <c r="A123" s="41"/>
      <c r="B123" s="585"/>
      <c r="C123" s="370" t="s">
        <v>82</v>
      </c>
      <c r="D123" s="377">
        <f>Cint</f>
        <v>10</v>
      </c>
      <c r="E123" s="377" t="s">
        <v>59</v>
      </c>
      <c r="F123" s="378"/>
      <c r="G123" s="41"/>
      <c r="H123" s="41"/>
      <c r="I123" s="41"/>
    </row>
    <row r="124" spans="1:9" ht="16.5" thickBot="1">
      <c r="A124" s="41"/>
      <c r="B124" s="585"/>
      <c r="C124" s="370" t="s">
        <v>102</v>
      </c>
      <c r="D124" s="377">
        <v>50</v>
      </c>
      <c r="E124" s="589" t="s">
        <v>8</v>
      </c>
      <c r="F124" s="590"/>
      <c r="G124" s="41"/>
      <c r="H124" s="41"/>
      <c r="I124" s="41"/>
    </row>
    <row r="125" spans="1:9" ht="16.5" thickBot="1">
      <c r="A125" s="41"/>
      <c r="B125" s="581"/>
      <c r="C125" s="582"/>
      <c r="D125" s="582"/>
      <c r="E125" s="582"/>
      <c r="F125" s="583"/>
      <c r="G125" s="41"/>
      <c r="H125" s="41"/>
      <c r="I125" s="41"/>
    </row>
    <row r="126" spans="1:9">
      <c r="A126" s="41"/>
      <c r="B126" s="584" t="s">
        <v>518</v>
      </c>
      <c r="C126" s="380" t="s">
        <v>112</v>
      </c>
      <c r="D126" s="381">
        <f>LM</f>
        <v>110</v>
      </c>
      <c r="E126" s="382" t="s">
        <v>23</v>
      </c>
      <c r="F126" s="383"/>
      <c r="G126" s="23"/>
      <c r="H126" s="41"/>
      <c r="I126" s="41"/>
    </row>
    <row r="127" spans="1:9">
      <c r="A127" s="41"/>
      <c r="B127" s="591"/>
      <c r="C127" s="380" t="s">
        <v>117</v>
      </c>
      <c r="D127" s="384">
        <f>LK_act</f>
        <v>2.5</v>
      </c>
      <c r="E127" s="382" t="s">
        <v>23</v>
      </c>
      <c r="F127" s="383"/>
      <c r="G127" s="41"/>
      <c r="H127" s="41"/>
      <c r="I127" s="41"/>
    </row>
    <row r="128" spans="1:9" ht="19.5">
      <c r="A128" s="41"/>
      <c r="B128" s="585"/>
      <c r="C128" s="380" t="s">
        <v>113</v>
      </c>
      <c r="D128" s="385">
        <f>NPS</f>
        <v>16</v>
      </c>
      <c r="E128" s="382"/>
      <c r="F128" s="383" t="s">
        <v>231</v>
      </c>
      <c r="G128" s="41"/>
      <c r="H128" s="41"/>
      <c r="I128" s="41"/>
    </row>
    <row r="129" spans="1:9" ht="19.5">
      <c r="A129" s="41"/>
      <c r="B129" s="585"/>
      <c r="C129" s="380" t="s">
        <v>209</v>
      </c>
      <c r="D129" s="385">
        <f>NA/NS</f>
        <v>3</v>
      </c>
      <c r="E129" s="382"/>
      <c r="F129" s="383" t="s">
        <v>372</v>
      </c>
      <c r="G129" s="41"/>
      <c r="H129" s="41"/>
      <c r="I129" s="41"/>
    </row>
    <row r="130" spans="1:9" ht="19.5">
      <c r="A130" s="41"/>
      <c r="B130" s="585"/>
      <c r="C130" s="380" t="s">
        <v>114</v>
      </c>
      <c r="D130" s="386">
        <f>NP</f>
        <v>32</v>
      </c>
      <c r="E130" s="382"/>
      <c r="F130" s="383" t="s">
        <v>232</v>
      </c>
      <c r="G130" s="41"/>
      <c r="H130" s="41"/>
      <c r="I130" s="41"/>
    </row>
    <row r="131" spans="1:9" ht="19.5">
      <c r="A131" s="41"/>
      <c r="B131" s="585"/>
      <c r="C131" s="380" t="s">
        <v>115</v>
      </c>
      <c r="D131" s="386">
        <f>NS</f>
        <v>2</v>
      </c>
      <c r="E131" s="382"/>
      <c r="F131" s="383" t="s">
        <v>233</v>
      </c>
      <c r="G131" s="23"/>
      <c r="H131" s="41"/>
      <c r="I131" s="41"/>
    </row>
    <row r="132" spans="1:9" ht="20.25" thickBot="1">
      <c r="A132" s="41"/>
      <c r="B132" s="585"/>
      <c r="C132" s="387" t="s">
        <v>116</v>
      </c>
      <c r="D132" s="386">
        <f>NA</f>
        <v>6</v>
      </c>
      <c r="E132" s="382"/>
      <c r="F132" s="383" t="s">
        <v>234</v>
      </c>
      <c r="G132" s="23"/>
      <c r="H132" s="41"/>
      <c r="I132" s="41"/>
    </row>
    <row r="133" spans="1:9" ht="16.5" thickBot="1">
      <c r="A133" s="41"/>
      <c r="B133" s="581"/>
      <c r="C133" s="582"/>
      <c r="D133" s="582"/>
      <c r="E133" s="582"/>
      <c r="F133" s="583"/>
      <c r="G133" s="23"/>
      <c r="H133" s="41"/>
      <c r="I133" s="41"/>
    </row>
    <row r="134" spans="1:9">
      <c r="A134" s="41"/>
      <c r="B134" s="23"/>
      <c r="C134" s="41"/>
      <c r="D134" s="41"/>
      <c r="E134" s="41"/>
      <c r="F134" s="41"/>
      <c r="G134" s="41"/>
      <c r="H134" s="41"/>
      <c r="I134" s="41"/>
    </row>
    <row r="135" spans="1:9">
      <c r="A135" s="41"/>
      <c r="B135" s="41"/>
      <c r="C135" s="23"/>
      <c r="D135" s="41"/>
      <c r="E135" s="41"/>
      <c r="F135" s="41"/>
      <c r="G135" s="41"/>
      <c r="H135" s="41"/>
      <c r="I135" s="41"/>
    </row>
  </sheetData>
  <sheetProtection password="E9DD" sheet="1" objects="1" scenarios="1"/>
  <mergeCells count="83">
    <mergeCell ref="B66:F66"/>
    <mergeCell ref="B25:F25"/>
    <mergeCell ref="C26:F26"/>
    <mergeCell ref="B27:F27"/>
    <mergeCell ref="E29:F29"/>
    <mergeCell ref="B28:B29"/>
    <mergeCell ref="B32:F32"/>
    <mergeCell ref="B30:F30"/>
    <mergeCell ref="B38:F38"/>
    <mergeCell ref="B40:F40"/>
    <mergeCell ref="B44:F44"/>
    <mergeCell ref="B42:F42"/>
    <mergeCell ref="B36:F36"/>
    <mergeCell ref="B73:B76"/>
    <mergeCell ref="D73:F73"/>
    <mergeCell ref="E76:F76"/>
    <mergeCell ref="B34:F34"/>
    <mergeCell ref="B46:F46"/>
    <mergeCell ref="B50:F50"/>
    <mergeCell ref="B60:F60"/>
    <mergeCell ref="B54:F54"/>
    <mergeCell ref="B48:F48"/>
    <mergeCell ref="B52:F52"/>
    <mergeCell ref="B56:F56"/>
    <mergeCell ref="B58:F58"/>
    <mergeCell ref="B62:F62"/>
    <mergeCell ref="B68:F68"/>
    <mergeCell ref="D69:F69"/>
    <mergeCell ref="B64:F64"/>
    <mergeCell ref="B69:B71"/>
    <mergeCell ref="E71:F71"/>
    <mergeCell ref="B97:F97"/>
    <mergeCell ref="B98:B100"/>
    <mergeCell ref="D98:F98"/>
    <mergeCell ref="E100:F100"/>
    <mergeCell ref="B77:F77"/>
    <mergeCell ref="B78:B80"/>
    <mergeCell ref="D78:F78"/>
    <mergeCell ref="E80:F80"/>
    <mergeCell ref="B81:F81"/>
    <mergeCell ref="B82:B84"/>
    <mergeCell ref="D82:F82"/>
    <mergeCell ref="E84:F84"/>
    <mergeCell ref="B85:F85"/>
    <mergeCell ref="B72:F72"/>
    <mergeCell ref="B109:F109"/>
    <mergeCell ref="B110:B112"/>
    <mergeCell ref="D110:F110"/>
    <mergeCell ref="E112:F112"/>
    <mergeCell ref="B86:B88"/>
    <mergeCell ref="D86:F86"/>
    <mergeCell ref="E88:F88"/>
    <mergeCell ref="B93:F93"/>
    <mergeCell ref="B94:B96"/>
    <mergeCell ref="D94:F94"/>
    <mergeCell ref="E96:F96"/>
    <mergeCell ref="B89:F89"/>
    <mergeCell ref="B90:B92"/>
    <mergeCell ref="D90:F90"/>
    <mergeCell ref="E92:F92"/>
    <mergeCell ref="B101:F101"/>
    <mergeCell ref="B102:B104"/>
    <mergeCell ref="D102:F102"/>
    <mergeCell ref="E104:F104"/>
    <mergeCell ref="B106:B108"/>
    <mergeCell ref="D106:F106"/>
    <mergeCell ref="E108:F108"/>
    <mergeCell ref="B105:F105"/>
    <mergeCell ref="B113:F113"/>
    <mergeCell ref="B133:F133"/>
    <mergeCell ref="B122:B124"/>
    <mergeCell ref="D122:F122"/>
    <mergeCell ref="E124:F124"/>
    <mergeCell ref="B125:F125"/>
    <mergeCell ref="B126:B132"/>
    <mergeCell ref="B114:B116"/>
    <mergeCell ref="D114:F114"/>
    <mergeCell ref="E116:F116"/>
    <mergeCell ref="B121:F121"/>
    <mergeCell ref="B117:F117"/>
    <mergeCell ref="B118:B120"/>
    <mergeCell ref="D118:F118"/>
    <mergeCell ref="E120:F120"/>
  </mergeCells>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05"/>
  <sheetViews>
    <sheetView zoomScale="90" zoomScaleNormal="90" workbookViewId="0">
      <selection activeCell="E25" sqref="E25:H25"/>
    </sheetView>
  </sheetViews>
  <sheetFormatPr defaultRowHeight="15.75"/>
  <cols>
    <col min="1" max="1" width="4.42578125" customWidth="1"/>
    <col min="2" max="2" width="9" customWidth="1"/>
    <col min="3" max="3" width="14.140625" bestFit="1" customWidth="1"/>
    <col min="4" max="4" width="11.42578125" customWidth="1"/>
    <col min="5" max="7" width="7.7109375" customWidth="1"/>
    <col min="9" max="9" width="10.28515625" bestFit="1" customWidth="1"/>
    <col min="15" max="15" width="10.28515625" bestFit="1" customWidth="1"/>
  </cols>
  <sheetData>
    <row r="1" spans="1:20">
      <c r="A1" s="41"/>
      <c r="B1" s="41"/>
      <c r="C1" s="41"/>
      <c r="D1" s="41"/>
      <c r="E1" s="41"/>
      <c r="F1" s="41"/>
      <c r="G1" s="41"/>
      <c r="H1" s="41"/>
      <c r="I1" s="41"/>
      <c r="J1" s="41"/>
      <c r="K1" s="41"/>
      <c r="L1" s="41"/>
      <c r="M1" s="41"/>
      <c r="N1" s="41"/>
      <c r="O1" s="41"/>
      <c r="P1" s="41"/>
      <c r="Q1" s="41"/>
      <c r="R1" s="41"/>
      <c r="S1" s="41"/>
      <c r="T1" s="41"/>
    </row>
    <row r="2" spans="1:20" ht="27.75">
      <c r="A2" s="41"/>
      <c r="B2" s="173" t="s">
        <v>303</v>
      </c>
      <c r="C2" s="41"/>
      <c r="D2" s="41"/>
      <c r="E2" s="41"/>
      <c r="F2" s="41"/>
      <c r="G2" s="41"/>
      <c r="H2" s="41"/>
      <c r="I2" s="41"/>
      <c r="J2" s="41"/>
      <c r="K2" s="41"/>
      <c r="L2" s="41"/>
      <c r="M2" s="41"/>
      <c r="N2" s="23"/>
      <c r="O2" s="41"/>
      <c r="P2" s="41"/>
      <c r="Q2" s="41"/>
      <c r="R2" s="152"/>
      <c r="S2" s="41"/>
      <c r="T2" s="41"/>
    </row>
    <row r="3" spans="1:20">
      <c r="A3" s="41"/>
      <c r="B3" s="41"/>
      <c r="C3" s="41"/>
      <c r="D3" s="41"/>
      <c r="E3" s="41"/>
      <c r="F3" s="41"/>
      <c r="G3" s="41"/>
      <c r="H3" s="41"/>
      <c r="I3" s="41"/>
      <c r="J3" s="41"/>
      <c r="K3" s="41"/>
      <c r="L3" s="41"/>
      <c r="M3" s="41"/>
      <c r="N3" s="41"/>
      <c r="O3" s="41"/>
      <c r="P3" s="41"/>
      <c r="Q3" s="41"/>
      <c r="R3" s="41"/>
      <c r="S3" s="41"/>
      <c r="T3" s="41"/>
    </row>
    <row r="4" spans="1:20">
      <c r="A4" s="41"/>
      <c r="B4" s="41"/>
      <c r="C4" s="41"/>
      <c r="D4" s="41"/>
      <c r="E4" s="41"/>
      <c r="F4" s="41"/>
      <c r="G4" s="41"/>
      <c r="H4" s="41"/>
      <c r="I4" s="41"/>
      <c r="J4" s="41"/>
      <c r="K4" s="41"/>
      <c r="L4" s="41"/>
      <c r="M4" s="41"/>
      <c r="N4" s="41"/>
      <c r="O4" s="41"/>
      <c r="P4" s="41"/>
      <c r="Q4" s="41"/>
      <c r="R4" s="41"/>
      <c r="S4" s="41"/>
      <c r="T4" s="41"/>
    </row>
    <row r="5" spans="1:20">
      <c r="A5" s="41"/>
      <c r="B5" s="41"/>
      <c r="C5" s="41"/>
      <c r="D5" s="41"/>
      <c r="E5" s="41"/>
      <c r="F5" s="41"/>
      <c r="G5" s="41"/>
      <c r="H5" s="41"/>
      <c r="I5" s="41"/>
      <c r="J5" s="41"/>
      <c r="K5" s="41"/>
      <c r="L5" s="41"/>
      <c r="M5" s="41"/>
      <c r="N5" s="41"/>
      <c r="O5" s="41"/>
      <c r="P5" s="41"/>
      <c r="Q5" s="41"/>
      <c r="R5" s="41"/>
      <c r="S5" s="41"/>
      <c r="T5" s="41"/>
    </row>
    <row r="6" spans="1:20">
      <c r="A6" s="41"/>
      <c r="B6" s="41"/>
      <c r="C6" s="41"/>
      <c r="D6" s="41"/>
      <c r="E6" s="41"/>
      <c r="F6" s="41"/>
      <c r="G6" s="41"/>
      <c r="H6" s="41"/>
      <c r="I6" s="41"/>
      <c r="J6" s="41"/>
      <c r="K6" s="41"/>
      <c r="L6" s="41"/>
      <c r="M6" s="41"/>
      <c r="N6" s="41"/>
      <c r="O6" s="41"/>
      <c r="P6" s="41"/>
      <c r="Q6" s="41"/>
      <c r="R6" s="41"/>
      <c r="S6" s="41"/>
      <c r="T6" s="41"/>
    </row>
    <row r="7" spans="1:20">
      <c r="A7" s="41"/>
      <c r="B7" s="41"/>
      <c r="C7" s="41"/>
      <c r="D7" s="41"/>
      <c r="E7" s="41"/>
      <c r="F7" s="41"/>
      <c r="G7" s="41"/>
      <c r="H7" s="41"/>
      <c r="I7" s="41"/>
      <c r="J7" s="41"/>
      <c r="K7" s="41"/>
      <c r="L7" s="41"/>
      <c r="M7" s="41"/>
      <c r="N7" s="41"/>
      <c r="O7" s="41"/>
      <c r="P7" s="41"/>
      <c r="Q7" s="41"/>
      <c r="R7" s="41"/>
      <c r="S7" s="41"/>
      <c r="T7" s="41"/>
    </row>
    <row r="8" spans="1:20">
      <c r="A8" s="41"/>
      <c r="B8" s="41"/>
      <c r="C8" s="41"/>
      <c r="D8" s="41"/>
      <c r="E8" s="41"/>
      <c r="F8" s="41"/>
      <c r="G8" s="41"/>
      <c r="H8" s="41"/>
      <c r="I8" s="41"/>
      <c r="J8" s="41"/>
      <c r="K8" s="41"/>
      <c r="L8" s="41"/>
      <c r="M8" s="41"/>
      <c r="N8" s="41"/>
      <c r="O8" s="41"/>
      <c r="P8" s="41"/>
      <c r="Q8" s="41"/>
      <c r="R8" s="41"/>
      <c r="S8" s="41"/>
      <c r="T8" s="41"/>
    </row>
    <row r="9" spans="1:20">
      <c r="A9" s="41"/>
      <c r="B9" s="41"/>
      <c r="C9" s="41"/>
      <c r="D9" s="41"/>
      <c r="E9" s="41"/>
      <c r="F9" s="41"/>
      <c r="G9" s="41"/>
      <c r="H9" s="41"/>
      <c r="I9" s="41"/>
      <c r="J9" s="41"/>
      <c r="K9" s="41"/>
      <c r="L9" s="41"/>
      <c r="M9" s="41"/>
      <c r="N9" s="41"/>
      <c r="O9" s="41"/>
      <c r="P9" s="41"/>
      <c r="Q9" s="41"/>
      <c r="R9" s="41"/>
      <c r="S9" s="41"/>
      <c r="T9" s="41"/>
    </row>
    <row r="10" spans="1:20">
      <c r="A10" s="41"/>
      <c r="B10" s="41"/>
      <c r="C10" s="41"/>
      <c r="D10" s="41"/>
      <c r="E10" s="41"/>
      <c r="F10" s="41"/>
      <c r="G10" s="41"/>
      <c r="H10" s="41"/>
      <c r="I10" s="41"/>
      <c r="J10" s="41"/>
      <c r="K10" s="41"/>
      <c r="L10" s="41"/>
      <c r="M10" s="41"/>
      <c r="N10" s="41"/>
      <c r="O10" s="41"/>
      <c r="P10" s="41"/>
      <c r="Q10" s="41"/>
      <c r="R10" s="41"/>
      <c r="S10" s="41"/>
      <c r="T10" s="41"/>
    </row>
    <row r="11" spans="1:20">
      <c r="A11" s="41"/>
      <c r="B11" s="41"/>
      <c r="C11" s="41"/>
      <c r="D11" s="41"/>
      <c r="E11" s="41"/>
      <c r="F11" s="41"/>
      <c r="G11" s="41"/>
      <c r="H11" s="41"/>
      <c r="I11" s="41"/>
      <c r="J11" s="41"/>
      <c r="K11" s="41"/>
      <c r="L11" s="41"/>
      <c r="M11" s="41"/>
      <c r="N11" s="41"/>
      <c r="O11" s="41"/>
      <c r="P11" s="41"/>
      <c r="Q11" s="41"/>
      <c r="R11" s="41"/>
      <c r="S11" s="41"/>
      <c r="T11" s="41"/>
    </row>
    <row r="12" spans="1:20">
      <c r="A12" s="41"/>
      <c r="B12" s="41"/>
      <c r="C12" s="41"/>
      <c r="D12" s="41"/>
      <c r="E12" s="41"/>
      <c r="F12" s="41"/>
      <c r="G12" s="41"/>
      <c r="H12" s="41"/>
      <c r="I12" s="41"/>
      <c r="J12" s="41"/>
      <c r="K12" s="41"/>
      <c r="L12" s="41"/>
      <c r="M12" s="41"/>
      <c r="N12" s="41"/>
      <c r="O12" s="41"/>
      <c r="P12" s="41"/>
      <c r="Q12" s="41"/>
      <c r="R12" s="41"/>
      <c r="S12" s="41"/>
      <c r="T12" s="41"/>
    </row>
    <row r="13" spans="1:20">
      <c r="A13" s="41"/>
      <c r="B13" s="41"/>
      <c r="C13" s="41"/>
      <c r="D13" s="41"/>
      <c r="E13" s="41"/>
      <c r="F13" s="41"/>
      <c r="G13" s="41"/>
      <c r="H13" s="41"/>
      <c r="I13" s="41"/>
      <c r="J13" s="41"/>
      <c r="K13" s="41"/>
      <c r="L13" s="41"/>
      <c r="M13" s="41"/>
      <c r="N13" s="41"/>
      <c r="O13" s="41"/>
      <c r="P13" s="41"/>
      <c r="Q13" s="41"/>
      <c r="R13" s="41"/>
      <c r="S13" s="41"/>
      <c r="T13" s="41"/>
    </row>
    <row r="14" spans="1:20">
      <c r="A14" s="41"/>
      <c r="B14" s="41"/>
      <c r="C14" s="41"/>
      <c r="D14" s="41"/>
      <c r="E14" s="41"/>
      <c r="F14" s="41"/>
      <c r="G14" s="41"/>
      <c r="H14" s="41"/>
      <c r="I14" s="41"/>
      <c r="J14" s="41"/>
      <c r="K14" s="41"/>
      <c r="L14" s="41"/>
      <c r="M14" s="41"/>
      <c r="N14" s="41"/>
      <c r="O14" s="41"/>
      <c r="P14" s="41"/>
      <c r="Q14" s="41"/>
      <c r="R14" s="41"/>
      <c r="S14" s="41"/>
      <c r="T14" s="41"/>
    </row>
    <row r="15" spans="1:20">
      <c r="A15" s="41"/>
      <c r="B15" s="41"/>
      <c r="C15" s="41"/>
      <c r="D15" s="41"/>
      <c r="E15" s="41"/>
      <c r="F15" s="41"/>
      <c r="G15" s="41"/>
      <c r="H15" s="41"/>
      <c r="I15" s="41"/>
      <c r="J15" s="41"/>
      <c r="K15" s="41"/>
      <c r="L15" s="41"/>
      <c r="M15" s="41"/>
      <c r="N15" s="41"/>
      <c r="O15" s="41"/>
      <c r="P15" s="41"/>
      <c r="Q15" s="41"/>
      <c r="R15" s="41"/>
      <c r="S15" s="41"/>
      <c r="T15" s="41"/>
    </row>
    <row r="16" spans="1:20">
      <c r="A16" s="41"/>
      <c r="B16" s="41"/>
      <c r="C16" s="41"/>
      <c r="D16" s="41"/>
      <c r="E16" s="41"/>
      <c r="F16" s="41"/>
      <c r="G16" s="41"/>
      <c r="H16" s="41"/>
      <c r="I16" s="41"/>
      <c r="J16" s="41"/>
      <c r="K16" s="41"/>
      <c r="L16" s="41"/>
      <c r="M16" s="41"/>
      <c r="N16" s="41"/>
      <c r="O16" s="41"/>
      <c r="P16" s="41"/>
      <c r="Q16" s="41"/>
      <c r="R16" s="41"/>
      <c r="S16" s="41"/>
      <c r="T16" s="41"/>
    </row>
    <row r="17" spans="1:20">
      <c r="A17" s="41"/>
      <c r="B17" s="41"/>
      <c r="C17" s="41"/>
      <c r="D17" s="41"/>
      <c r="E17" s="41"/>
      <c r="F17" s="41"/>
      <c r="G17" s="41"/>
      <c r="H17" s="41"/>
      <c r="I17" s="41"/>
      <c r="J17" s="41"/>
      <c r="K17" s="41"/>
      <c r="L17" s="41"/>
      <c r="M17" s="41"/>
      <c r="N17" s="41"/>
      <c r="O17" s="41"/>
      <c r="P17" s="41"/>
      <c r="Q17" s="41"/>
      <c r="R17" s="41"/>
      <c r="S17" s="41"/>
      <c r="T17" s="41"/>
    </row>
    <row r="18" spans="1:20">
      <c r="A18" s="41"/>
      <c r="B18" s="41"/>
      <c r="C18" s="41"/>
      <c r="D18" s="41"/>
      <c r="E18" s="41"/>
      <c r="F18" s="41"/>
      <c r="G18" s="41"/>
      <c r="H18" s="41"/>
      <c r="I18" s="41"/>
      <c r="J18" s="41"/>
      <c r="K18" s="41"/>
      <c r="L18" s="41"/>
      <c r="M18" s="41"/>
      <c r="N18" s="41"/>
      <c r="O18" s="41"/>
      <c r="P18" s="41"/>
      <c r="Q18" s="41"/>
      <c r="R18" s="41"/>
      <c r="S18" s="41"/>
      <c r="T18" s="41"/>
    </row>
    <row r="19" spans="1:20">
      <c r="A19" s="41"/>
      <c r="B19" s="41"/>
      <c r="C19" s="41"/>
      <c r="D19" s="41"/>
      <c r="E19" s="41"/>
      <c r="F19" s="41"/>
      <c r="G19" s="41"/>
      <c r="H19" s="41"/>
      <c r="I19" s="41"/>
      <c r="J19" s="41"/>
      <c r="K19" s="41"/>
      <c r="L19" s="41"/>
      <c r="M19" s="41"/>
      <c r="N19" s="41"/>
      <c r="O19" s="41"/>
      <c r="P19" s="41"/>
      <c r="Q19" s="41"/>
      <c r="R19" s="41"/>
      <c r="S19" s="41"/>
      <c r="T19" s="41"/>
    </row>
    <row r="20" spans="1:20">
      <c r="A20" s="41"/>
      <c r="B20" s="41"/>
      <c r="C20" s="41"/>
      <c r="D20" s="41"/>
      <c r="E20" s="41"/>
      <c r="F20" s="41"/>
      <c r="G20" s="41"/>
      <c r="H20" s="41"/>
      <c r="I20" s="41"/>
      <c r="J20" s="41"/>
      <c r="K20" s="41"/>
      <c r="L20" s="41"/>
      <c r="M20" s="41"/>
      <c r="N20" s="41"/>
      <c r="O20" s="41"/>
      <c r="P20" s="41"/>
      <c r="Q20" s="41"/>
      <c r="R20" s="41"/>
      <c r="S20" s="41"/>
      <c r="T20" s="41"/>
    </row>
    <row r="21" spans="1:20">
      <c r="A21" s="41"/>
      <c r="B21" s="41"/>
      <c r="C21" s="41"/>
      <c r="D21" s="41"/>
      <c r="E21" s="41"/>
      <c r="F21" s="41"/>
      <c r="G21" s="41"/>
      <c r="H21" s="41"/>
      <c r="I21" s="41"/>
      <c r="J21" s="41"/>
      <c r="K21" s="41"/>
      <c r="L21" s="41"/>
      <c r="M21" s="41"/>
      <c r="N21" s="41"/>
      <c r="O21" s="41"/>
      <c r="P21" s="41"/>
      <c r="Q21" s="41"/>
      <c r="R21" s="41"/>
      <c r="S21" s="41"/>
      <c r="T21" s="41"/>
    </row>
    <row r="22" spans="1:20">
      <c r="A22" s="41"/>
      <c r="B22" s="174"/>
      <c r="C22" s="174"/>
      <c r="D22" s="174"/>
      <c r="E22" s="174"/>
      <c r="F22" s="175"/>
      <c r="G22" s="175"/>
      <c r="H22" s="175"/>
      <c r="I22" s="175"/>
      <c r="J22" s="175"/>
      <c r="K22" s="41"/>
      <c r="L22" s="41"/>
      <c r="M22" s="41"/>
      <c r="N22" s="41"/>
      <c r="O22" s="41"/>
      <c r="P22" s="41"/>
      <c r="Q22" s="41"/>
      <c r="R22" s="41"/>
      <c r="S22" s="41"/>
      <c r="T22" s="41"/>
    </row>
    <row r="23" spans="1:20">
      <c r="A23" s="41"/>
      <c r="B23" s="174"/>
      <c r="C23" s="174"/>
      <c r="D23" s="174"/>
      <c r="E23" s="174"/>
      <c r="F23" s="175"/>
      <c r="G23" s="175"/>
      <c r="H23" s="175"/>
      <c r="I23" s="41"/>
      <c r="J23" s="175"/>
      <c r="K23" s="175"/>
      <c r="L23" s="41"/>
      <c r="M23" s="41"/>
      <c r="N23" s="41"/>
      <c r="O23" s="176" t="s">
        <v>719</v>
      </c>
      <c r="P23" s="41"/>
      <c r="Q23" s="41"/>
      <c r="R23" s="41"/>
      <c r="S23" s="41"/>
      <c r="T23" s="41"/>
    </row>
    <row r="24" spans="1:20" ht="17.25">
      <c r="A24" s="41"/>
      <c r="B24" s="177" t="s">
        <v>304</v>
      </c>
      <c r="C24" s="177"/>
      <c r="D24" s="177"/>
      <c r="E24" s="177"/>
      <c r="F24" s="175"/>
      <c r="G24" s="175"/>
      <c r="H24" s="41"/>
      <c r="I24" s="178"/>
      <c r="J24" s="41"/>
      <c r="K24" s="41"/>
      <c r="L24" s="41"/>
      <c r="M24" s="41"/>
      <c r="N24" s="41"/>
      <c r="O24" s="41"/>
      <c r="P24" s="41"/>
      <c r="Q24" s="41"/>
      <c r="R24" s="41"/>
      <c r="S24" s="41"/>
      <c r="T24" s="41"/>
    </row>
    <row r="25" spans="1:20" ht="18.75">
      <c r="A25" s="41"/>
      <c r="B25" s="598" t="s">
        <v>491</v>
      </c>
      <c r="C25" s="598"/>
      <c r="D25" s="598"/>
      <c r="E25" s="612" t="s">
        <v>176</v>
      </c>
      <c r="F25" s="613"/>
      <c r="G25" s="613"/>
      <c r="H25" s="614"/>
      <c r="I25" s="603"/>
      <c r="J25" s="603"/>
      <c r="K25" s="603"/>
      <c r="L25" s="603"/>
      <c r="M25" s="603"/>
      <c r="N25" s="603"/>
      <c r="O25" s="41"/>
      <c r="P25" s="41"/>
      <c r="Q25" s="41"/>
      <c r="R25" s="41"/>
      <c r="S25" s="41"/>
      <c r="T25" s="41"/>
    </row>
    <row r="26" spans="1:20" ht="18.75">
      <c r="A26" s="41"/>
      <c r="B26" s="598" t="s">
        <v>718</v>
      </c>
      <c r="C26" s="598"/>
      <c r="D26" s="598"/>
      <c r="E26" s="599">
        <v>-70</v>
      </c>
      <c r="F26" s="599"/>
      <c r="G26" s="599"/>
      <c r="H26" s="462" t="s">
        <v>135</v>
      </c>
      <c r="I26" s="600" t="s">
        <v>720</v>
      </c>
      <c r="J26" s="600"/>
      <c r="K26" s="600"/>
      <c r="L26" s="600"/>
      <c r="M26" s="600"/>
      <c r="N26" s="600"/>
      <c r="O26" s="41"/>
      <c r="P26" s="41"/>
      <c r="Q26" s="41"/>
      <c r="R26" s="41"/>
      <c r="S26" s="41"/>
      <c r="T26" s="41"/>
    </row>
    <row r="27" spans="1:20" ht="18.75">
      <c r="A27" s="175"/>
      <c r="B27" s="600" t="s">
        <v>305</v>
      </c>
      <c r="C27" s="600"/>
      <c r="D27" s="600"/>
      <c r="E27" s="601">
        <f>(((NPS^2)/(4*(3.1416^2)*LK_act*10^-6*(fsw_OPP_min*1000)^2))*10^6)/((100+Co1_dec)/100)</f>
        <v>1259.6576467660368</v>
      </c>
      <c r="F27" s="601"/>
      <c r="G27" s="601"/>
      <c r="H27" s="52" t="s">
        <v>61</v>
      </c>
      <c r="I27" s="600" t="s">
        <v>489</v>
      </c>
      <c r="J27" s="600"/>
      <c r="K27" s="600"/>
      <c r="L27" s="600"/>
      <c r="M27" s="600"/>
      <c r="N27" s="600"/>
      <c r="O27" s="41"/>
      <c r="P27" s="41"/>
      <c r="Q27" s="41"/>
      <c r="R27" s="41"/>
      <c r="S27" s="41"/>
      <c r="T27" s="41"/>
    </row>
    <row r="28" spans="1:20" ht="18.75">
      <c r="A28" s="175"/>
      <c r="B28" s="600" t="s">
        <v>306</v>
      </c>
      <c r="C28" s="600"/>
      <c r="D28" s="600"/>
      <c r="E28" s="599">
        <v>66</v>
      </c>
      <c r="F28" s="599"/>
      <c r="G28" s="599"/>
      <c r="H28" s="52" t="s">
        <v>61</v>
      </c>
      <c r="I28" s="600" t="s">
        <v>490</v>
      </c>
      <c r="J28" s="600"/>
      <c r="K28" s="600"/>
      <c r="L28" s="600"/>
      <c r="M28" s="600"/>
      <c r="N28" s="600"/>
      <c r="O28" s="41"/>
      <c r="P28" s="41"/>
      <c r="Q28" s="41"/>
      <c r="R28" s="41"/>
      <c r="S28" s="41"/>
      <c r="T28" s="41"/>
    </row>
    <row r="29" spans="1:20" ht="12" customHeight="1">
      <c r="A29" s="175"/>
      <c r="B29" s="179"/>
      <c r="C29" s="179"/>
      <c r="D29" s="179"/>
      <c r="E29" s="180"/>
      <c r="F29" s="180"/>
      <c r="G29" s="180"/>
      <c r="H29" s="180"/>
      <c r="I29" s="181"/>
      <c r="J29" s="182"/>
      <c r="K29" s="14"/>
      <c r="L29" s="14"/>
      <c r="M29" s="14"/>
      <c r="N29" s="41"/>
      <c r="O29" s="41"/>
      <c r="P29" s="41"/>
      <c r="Q29" s="41"/>
      <c r="R29" s="41"/>
      <c r="S29" s="41"/>
      <c r="T29" s="41"/>
    </row>
    <row r="30" spans="1:20" ht="18.75">
      <c r="A30" s="175"/>
      <c r="B30" s="603" t="s">
        <v>714</v>
      </c>
      <c r="C30" s="603"/>
      <c r="D30" s="603"/>
      <c r="E30" s="604">
        <f>(1/((2*3.1416*1000*fsw_OPP_min)^2*Co_1*(100+Co1_dec)/100*10^-6)-1/((2*3.1416*1000*fsw_OPP_min)^2*COUT*10^-6)-0.001*RCO/(2*3.1416*fsw_OPP_min*1000))*10^6*10</f>
        <v>1.401112366323332</v>
      </c>
      <c r="F30" s="604"/>
      <c r="G30" s="604"/>
      <c r="H30" s="53" t="s">
        <v>136</v>
      </c>
      <c r="I30" s="610"/>
      <c r="J30" s="610"/>
      <c r="K30" s="610"/>
      <c r="L30" s="610"/>
      <c r="M30" s="610"/>
      <c r="N30" s="610"/>
      <c r="O30" s="23"/>
      <c r="P30" s="176"/>
      <c r="Q30" s="41"/>
      <c r="R30" s="152"/>
      <c r="S30" s="41"/>
      <c r="T30" s="41"/>
    </row>
    <row r="31" spans="1:20" ht="18.75">
      <c r="A31" s="175"/>
      <c r="B31" s="603" t="s">
        <v>715</v>
      </c>
      <c r="C31" s="603"/>
      <c r="D31" s="603"/>
      <c r="E31" s="599">
        <v>1</v>
      </c>
      <c r="F31" s="599"/>
      <c r="G31" s="599"/>
      <c r="H31" s="53" t="s">
        <v>136</v>
      </c>
      <c r="I31" s="610"/>
      <c r="J31" s="610"/>
      <c r="K31" s="610"/>
      <c r="L31" s="610"/>
      <c r="M31" s="610"/>
      <c r="N31" s="610"/>
      <c r="O31" s="23"/>
      <c r="P31" s="41"/>
      <c r="Q31" s="41"/>
      <c r="R31" s="41"/>
      <c r="S31" s="41"/>
      <c r="T31" s="41"/>
    </row>
    <row r="32" spans="1:20" ht="12" customHeight="1">
      <c r="A32" s="175"/>
      <c r="B32" s="179"/>
      <c r="C32" s="179"/>
      <c r="D32" s="179"/>
      <c r="E32" s="180"/>
      <c r="F32" s="180"/>
      <c r="G32" s="180"/>
      <c r="H32" s="180"/>
      <c r="I32" s="182"/>
      <c r="J32" s="182"/>
      <c r="K32" s="14"/>
      <c r="L32" s="14"/>
      <c r="M32" s="14"/>
      <c r="N32" s="41"/>
      <c r="O32" s="41"/>
      <c r="P32" s="41"/>
      <c r="Q32" s="41"/>
      <c r="R32" s="41"/>
      <c r="S32" s="41"/>
      <c r="T32" s="41"/>
    </row>
    <row r="33" spans="1:20" ht="18.75">
      <c r="A33" s="175"/>
      <c r="B33" s="600" t="s">
        <v>235</v>
      </c>
      <c r="C33" s="600"/>
      <c r="D33" s="600"/>
      <c r="E33" s="602">
        <f>Lo*0.13</f>
        <v>0.13</v>
      </c>
      <c r="F33" s="602"/>
      <c r="G33" s="602"/>
      <c r="H33" s="52" t="s">
        <v>136</v>
      </c>
      <c r="I33" s="609" t="s">
        <v>716</v>
      </c>
      <c r="J33" s="609"/>
      <c r="K33" s="609"/>
      <c r="L33" s="609"/>
      <c r="M33" s="609"/>
      <c r="N33" s="609"/>
      <c r="O33" s="23"/>
      <c r="P33" s="152"/>
      <c r="Q33" s="41"/>
      <c r="R33" s="41"/>
      <c r="S33" s="41"/>
      <c r="T33" s="41"/>
    </row>
    <row r="34" spans="1:20" ht="18.75">
      <c r="A34" s="175"/>
      <c r="B34" s="600" t="s">
        <v>236</v>
      </c>
      <c r="C34" s="600"/>
      <c r="D34" s="600"/>
      <c r="E34" s="599">
        <v>0.68</v>
      </c>
      <c r="F34" s="599"/>
      <c r="G34" s="599"/>
      <c r="H34" s="52" t="s">
        <v>23</v>
      </c>
      <c r="I34" s="600" t="s">
        <v>520</v>
      </c>
      <c r="J34" s="600"/>
      <c r="K34" s="600"/>
      <c r="L34" s="600"/>
      <c r="M34" s="600"/>
      <c r="N34" s="600"/>
      <c r="O34" s="41"/>
      <c r="P34" s="41"/>
      <c r="Q34" s="41"/>
      <c r="R34" s="41"/>
      <c r="S34" s="41"/>
      <c r="T34" s="41"/>
    </row>
    <row r="35" spans="1:20" ht="21">
      <c r="A35" s="175"/>
      <c r="B35" s="600" t="s">
        <v>237</v>
      </c>
      <c r="C35" s="600"/>
      <c r="D35" s="600"/>
      <c r="E35" s="604">
        <f>SQRT(Lo/(Co_1*(100+Co1_dec)/100))</f>
        <v>0.22473328748774735</v>
      </c>
      <c r="F35" s="604"/>
      <c r="G35" s="604"/>
      <c r="H35" s="52" t="s">
        <v>36</v>
      </c>
      <c r="I35" s="609" t="s">
        <v>717</v>
      </c>
      <c r="J35" s="609"/>
      <c r="K35" s="609"/>
      <c r="L35" s="609"/>
      <c r="M35" s="609"/>
      <c r="N35" s="609"/>
      <c r="O35" s="41" t="s">
        <v>519</v>
      </c>
      <c r="P35" s="41"/>
      <c r="Q35" s="41"/>
      <c r="R35" s="152"/>
      <c r="S35" s="41"/>
      <c r="T35" s="41"/>
    </row>
    <row r="36" spans="1:20" ht="16.149999999999999" customHeight="1">
      <c r="A36" s="175"/>
      <c r="B36" s="600" t="s">
        <v>238</v>
      </c>
      <c r="C36" s="600"/>
      <c r="D36" s="600"/>
      <c r="E36" s="599">
        <v>0.67</v>
      </c>
      <c r="F36" s="599"/>
      <c r="G36" s="599"/>
      <c r="H36" s="52" t="s">
        <v>211</v>
      </c>
      <c r="I36" s="603"/>
      <c r="J36" s="603"/>
      <c r="K36" s="603"/>
      <c r="L36" s="603"/>
      <c r="M36" s="603"/>
      <c r="N36" s="603"/>
      <c r="O36" s="41"/>
      <c r="P36" s="41"/>
      <c r="Q36" s="152"/>
      <c r="R36" s="41"/>
      <c r="S36" s="41"/>
      <c r="T36" s="41"/>
    </row>
    <row r="37" spans="1:20">
      <c r="A37" s="175"/>
      <c r="B37" s="183"/>
      <c r="C37" s="183"/>
      <c r="D37" s="183"/>
      <c r="E37" s="41"/>
      <c r="F37" s="41"/>
      <c r="G37" s="41"/>
      <c r="H37" s="41"/>
      <c r="I37" s="175"/>
      <c r="J37" s="175"/>
      <c r="K37" s="175"/>
      <c r="L37" s="175"/>
      <c r="M37" s="175"/>
      <c r="N37" s="41"/>
      <c r="O37" s="41"/>
      <c r="P37" s="41"/>
      <c r="Q37" s="41"/>
      <c r="R37" s="41"/>
      <c r="S37" s="41"/>
      <c r="T37" s="41"/>
    </row>
    <row r="38" spans="1:20">
      <c r="A38" s="175"/>
      <c r="B38" s="183"/>
      <c r="C38" s="183"/>
      <c r="D38" s="183"/>
      <c r="E38" s="41"/>
      <c r="F38" s="41"/>
      <c r="G38" s="41"/>
      <c r="H38" s="41"/>
      <c r="I38" s="175"/>
      <c r="J38" s="175"/>
      <c r="K38" s="175"/>
      <c r="L38" s="175"/>
      <c r="M38" s="175"/>
      <c r="N38" s="41"/>
      <c r="O38" s="41"/>
      <c r="P38" s="41"/>
      <c r="Q38" s="41"/>
      <c r="R38" s="41"/>
      <c r="S38" s="41"/>
      <c r="T38" s="41"/>
    </row>
    <row r="39" spans="1:20" ht="18.75">
      <c r="A39" s="41"/>
      <c r="B39" s="184" t="s">
        <v>308</v>
      </c>
      <c r="C39" s="185"/>
      <c r="D39" s="41"/>
      <c r="E39" s="606" t="s">
        <v>167</v>
      </c>
      <c r="F39" s="606"/>
      <c r="G39" s="606"/>
      <c r="H39" s="105">
        <f>Lo*0.13</f>
        <v>0.13</v>
      </c>
      <c r="I39" s="105" t="s">
        <v>13</v>
      </c>
      <c r="J39" s="105"/>
      <c r="K39" s="186"/>
      <c r="L39" s="186"/>
      <c r="M39" s="41"/>
      <c r="N39" s="105"/>
      <c r="O39" s="105"/>
      <c r="P39" s="105"/>
      <c r="Q39" s="41"/>
      <c r="R39" s="41"/>
      <c r="S39" s="41"/>
      <c r="T39" s="41"/>
    </row>
    <row r="40" spans="1:20" ht="18.75" customHeight="1">
      <c r="A40" s="41"/>
      <c r="B40" s="119" t="s">
        <v>721</v>
      </c>
      <c r="C40" s="41"/>
      <c r="D40" s="41"/>
      <c r="E40" s="105" t="s">
        <v>722</v>
      </c>
      <c r="F40" s="105"/>
      <c r="G40" s="105"/>
      <c r="H40" s="105"/>
      <c r="I40" s="105"/>
      <c r="J40" s="105"/>
      <c r="K40" s="105"/>
      <c r="L40" s="105"/>
      <c r="M40" s="105"/>
      <c r="N40" s="105"/>
      <c r="O40" s="186"/>
      <c r="P40" s="105"/>
      <c r="Q40" s="41"/>
      <c r="R40" s="41"/>
      <c r="S40" s="41"/>
      <c r="T40" s="41"/>
    </row>
    <row r="41" spans="1:20">
      <c r="A41" s="41"/>
      <c r="B41" s="41"/>
      <c r="C41" s="41"/>
      <c r="D41" s="41"/>
      <c r="E41" s="41"/>
      <c r="F41" s="41"/>
      <c r="G41" s="41"/>
      <c r="H41" s="41"/>
      <c r="I41" s="41"/>
      <c r="J41" s="41"/>
      <c r="K41" s="41"/>
      <c r="L41" s="41"/>
      <c r="M41" s="41"/>
      <c r="N41" s="41"/>
      <c r="O41" s="23"/>
      <c r="P41" s="41"/>
      <c r="Q41" s="41"/>
      <c r="R41" s="41"/>
      <c r="S41" s="41"/>
      <c r="T41" s="41"/>
    </row>
    <row r="42" spans="1:20">
      <c r="A42" s="41"/>
      <c r="B42" s="41"/>
      <c r="C42" s="41"/>
      <c r="D42" s="41"/>
      <c r="E42" s="41"/>
      <c r="F42" s="41"/>
      <c r="G42" s="41"/>
      <c r="H42" s="41"/>
      <c r="I42" s="41"/>
      <c r="J42" s="41"/>
      <c r="K42" s="41"/>
      <c r="L42" s="41"/>
      <c r="M42" s="41"/>
      <c r="N42" s="41"/>
      <c r="O42" s="41"/>
      <c r="P42" s="41"/>
      <c r="Q42" s="41"/>
      <c r="R42" s="41"/>
      <c r="S42" s="41"/>
      <c r="T42" s="41"/>
    </row>
    <row r="43" spans="1:20">
      <c r="A43" s="41"/>
      <c r="B43" s="41"/>
      <c r="C43" s="41"/>
      <c r="D43" s="41"/>
      <c r="E43" s="41"/>
      <c r="F43" s="41"/>
      <c r="G43" s="41"/>
      <c r="H43" s="41"/>
      <c r="I43" s="41"/>
      <c r="J43" s="41"/>
      <c r="K43" s="41"/>
      <c r="L43" s="41"/>
      <c r="M43" s="41"/>
      <c r="N43" s="41"/>
      <c r="O43" s="41"/>
      <c r="P43" s="41"/>
      <c r="Q43" s="41"/>
      <c r="R43" s="41"/>
      <c r="S43" s="41"/>
      <c r="T43" s="41"/>
    </row>
    <row r="44" spans="1:20">
      <c r="A44" s="41"/>
      <c r="B44" s="41"/>
      <c r="C44" s="41"/>
      <c r="D44" s="41"/>
      <c r="E44" s="41"/>
      <c r="F44" s="41"/>
      <c r="G44" s="41"/>
      <c r="H44" s="41"/>
      <c r="I44" s="41"/>
      <c r="J44" s="41"/>
      <c r="K44" s="41"/>
      <c r="L44" s="41"/>
      <c r="M44" s="41"/>
      <c r="N44" s="41"/>
      <c r="O44" s="41"/>
      <c r="P44" s="41"/>
      <c r="Q44" s="41"/>
      <c r="R44" s="41"/>
      <c r="S44" s="41"/>
      <c r="T44" s="41"/>
    </row>
    <row r="45" spans="1:20">
      <c r="A45" s="41"/>
      <c r="B45" s="41"/>
      <c r="C45" s="41"/>
      <c r="D45" s="41"/>
      <c r="E45" s="41"/>
      <c r="F45" s="41"/>
      <c r="G45" s="41"/>
      <c r="H45" s="41"/>
      <c r="I45" s="41"/>
      <c r="J45" s="41"/>
      <c r="K45" s="41"/>
      <c r="L45" s="41"/>
      <c r="M45" s="41"/>
      <c r="N45" s="41"/>
      <c r="O45" s="41"/>
      <c r="P45" s="41"/>
      <c r="Q45" s="41"/>
      <c r="R45" s="41"/>
      <c r="S45" s="41"/>
      <c r="T45" s="41"/>
    </row>
    <row r="46" spans="1:20">
      <c r="A46" s="41"/>
      <c r="B46" s="41"/>
      <c r="C46" s="41"/>
      <c r="D46" s="41"/>
      <c r="E46" s="41"/>
      <c r="F46" s="41"/>
      <c r="G46" s="41"/>
      <c r="H46" s="41"/>
      <c r="I46" s="41"/>
      <c r="J46" s="41"/>
      <c r="K46" s="41"/>
      <c r="L46" s="41"/>
      <c r="M46" s="41"/>
      <c r="N46" s="41"/>
      <c r="O46" s="41"/>
      <c r="P46" s="41"/>
      <c r="Q46" s="41"/>
      <c r="R46" s="41"/>
      <c r="S46" s="41"/>
      <c r="T46" s="41"/>
    </row>
    <row r="47" spans="1:20">
      <c r="A47" s="41"/>
      <c r="B47" s="41"/>
      <c r="C47" s="41"/>
      <c r="D47" s="41"/>
      <c r="E47" s="41"/>
      <c r="F47" s="41"/>
      <c r="G47" s="41"/>
      <c r="H47" s="41"/>
      <c r="I47" s="41"/>
      <c r="J47" s="41"/>
      <c r="K47" s="41"/>
      <c r="L47" s="41"/>
      <c r="M47" s="41"/>
      <c r="N47" s="41"/>
      <c r="O47" s="41"/>
      <c r="P47" s="41"/>
      <c r="Q47" s="41"/>
      <c r="R47" s="41"/>
      <c r="S47" s="41"/>
      <c r="T47" s="41"/>
    </row>
    <row r="48" spans="1:20">
      <c r="A48" s="41"/>
      <c r="B48" s="41"/>
      <c r="C48" s="41"/>
      <c r="D48" s="41"/>
      <c r="E48" s="41"/>
      <c r="F48" s="41"/>
      <c r="G48" s="41"/>
      <c r="H48" s="41"/>
      <c r="I48" s="41"/>
      <c r="J48" s="41"/>
      <c r="K48" s="41"/>
      <c r="L48" s="41"/>
      <c r="M48" s="41"/>
      <c r="N48" s="41"/>
      <c r="O48" s="41"/>
      <c r="P48" s="41"/>
      <c r="Q48" s="41"/>
      <c r="R48" s="41"/>
      <c r="S48" s="41"/>
      <c r="T48" s="41"/>
    </row>
    <row r="49" spans="1:20">
      <c r="A49" s="41"/>
      <c r="B49" s="41"/>
      <c r="C49" s="41"/>
      <c r="D49" s="41"/>
      <c r="E49" s="41"/>
      <c r="F49" s="41"/>
      <c r="G49" s="41"/>
      <c r="H49" s="41"/>
      <c r="I49" s="41"/>
      <c r="J49" s="41"/>
      <c r="K49" s="41"/>
      <c r="L49" s="41"/>
      <c r="M49" s="41"/>
      <c r="N49" s="41"/>
      <c r="O49" s="41"/>
      <c r="P49" s="41"/>
      <c r="Q49" s="41"/>
      <c r="R49" s="41"/>
      <c r="S49" s="41"/>
      <c r="T49" s="41"/>
    </row>
    <row r="50" spans="1:20">
      <c r="A50" s="41"/>
      <c r="B50" s="41"/>
      <c r="C50" s="41"/>
      <c r="D50" s="41"/>
      <c r="E50" s="41"/>
      <c r="F50" s="41"/>
      <c r="G50" s="41"/>
      <c r="H50" s="41"/>
      <c r="I50" s="41"/>
      <c r="J50" s="41"/>
      <c r="K50" s="41"/>
      <c r="L50" s="41"/>
      <c r="M50" s="41"/>
      <c r="N50" s="41"/>
      <c r="O50" s="41"/>
      <c r="P50" s="41"/>
      <c r="Q50" s="41"/>
      <c r="R50" s="41"/>
      <c r="S50" s="41"/>
      <c r="T50" s="41"/>
    </row>
    <row r="51" spans="1:20">
      <c r="A51" s="41"/>
      <c r="B51" s="41"/>
      <c r="C51" s="41"/>
      <c r="D51" s="41"/>
      <c r="E51" s="41"/>
      <c r="F51" s="41"/>
      <c r="G51" s="41"/>
      <c r="H51" s="41"/>
      <c r="I51" s="41"/>
      <c r="J51" s="41"/>
      <c r="K51" s="41"/>
      <c r="L51" s="41"/>
      <c r="M51" s="41"/>
      <c r="N51" s="41"/>
      <c r="O51" s="41"/>
      <c r="P51" s="41"/>
      <c r="Q51" s="41"/>
      <c r="R51" s="41"/>
      <c r="S51" s="41"/>
      <c r="T51" s="41"/>
    </row>
    <row r="52" spans="1:20">
      <c r="A52" s="41"/>
      <c r="B52" s="41"/>
      <c r="C52" s="41"/>
      <c r="D52" s="41"/>
      <c r="E52" s="41"/>
      <c r="F52" s="41"/>
      <c r="G52" s="41"/>
      <c r="H52" s="41"/>
      <c r="I52" s="41"/>
      <c r="J52" s="41"/>
      <c r="K52" s="41"/>
      <c r="L52" s="41"/>
      <c r="M52" s="41"/>
      <c r="N52" s="41"/>
      <c r="O52" s="41"/>
      <c r="P52" s="41"/>
      <c r="Q52" s="41"/>
      <c r="R52" s="41"/>
      <c r="S52" s="41"/>
      <c r="T52" s="41"/>
    </row>
    <row r="53" spans="1:20">
      <c r="A53" s="41"/>
      <c r="B53" s="41"/>
      <c r="C53" s="41"/>
      <c r="D53" s="41"/>
      <c r="E53" s="41"/>
      <c r="F53" s="41"/>
      <c r="G53" s="41"/>
      <c r="H53" s="41"/>
      <c r="I53" s="41"/>
      <c r="J53" s="41"/>
      <c r="K53" s="41"/>
      <c r="L53" s="41"/>
      <c r="M53" s="41"/>
      <c r="N53" s="41"/>
      <c r="O53" s="41"/>
      <c r="P53" s="41"/>
      <c r="Q53" s="41"/>
      <c r="R53" s="41"/>
      <c r="S53" s="41"/>
      <c r="T53" s="41"/>
    </row>
    <row r="54" spans="1:20">
      <c r="A54" s="41"/>
      <c r="B54" s="105"/>
      <c r="C54" s="105"/>
      <c r="D54" s="105"/>
      <c r="E54" s="105"/>
      <c r="F54" s="105"/>
      <c r="G54" s="105"/>
      <c r="H54" s="105"/>
      <c r="I54" s="105"/>
      <c r="J54" s="105"/>
      <c r="K54" s="105"/>
      <c r="L54" s="105"/>
      <c r="M54" s="105"/>
      <c r="N54" s="105"/>
      <c r="O54" s="41"/>
      <c r="P54" s="41"/>
      <c r="Q54" s="41"/>
      <c r="R54" s="41"/>
      <c r="S54" s="41"/>
      <c r="T54" s="41"/>
    </row>
    <row r="55" spans="1:20" ht="18.75">
      <c r="A55" s="41"/>
      <c r="B55" s="105"/>
      <c r="C55" s="105"/>
      <c r="D55" s="105"/>
      <c r="E55" s="105" t="s">
        <v>307</v>
      </c>
      <c r="F55" s="105"/>
      <c r="G55" s="105"/>
      <c r="H55" s="105"/>
      <c r="I55" s="105"/>
      <c r="J55" s="105"/>
      <c r="K55" s="105"/>
      <c r="L55" s="105"/>
      <c r="M55" s="105"/>
      <c r="N55" s="105"/>
      <c r="O55" s="41"/>
      <c r="P55" s="41"/>
      <c r="Q55" s="41"/>
      <c r="R55" s="41"/>
      <c r="S55" s="41"/>
      <c r="T55" s="41"/>
    </row>
    <row r="56" spans="1:20">
      <c r="A56" s="41"/>
      <c r="B56" s="105"/>
      <c r="C56" s="105"/>
      <c r="D56" s="105"/>
      <c r="E56" s="105"/>
      <c r="F56" s="105"/>
      <c r="G56" s="105"/>
      <c r="H56" s="105"/>
      <c r="I56" s="105"/>
      <c r="J56" s="105"/>
      <c r="K56" s="105"/>
      <c r="L56" s="105"/>
      <c r="M56" s="105"/>
      <c r="N56" s="105"/>
      <c r="O56" s="41"/>
      <c r="P56" s="41"/>
      <c r="Q56" s="41"/>
      <c r="R56" s="41"/>
      <c r="S56" s="41"/>
      <c r="T56" s="41"/>
    </row>
    <row r="57" spans="1:20">
      <c r="A57" s="41"/>
      <c r="B57" s="105"/>
      <c r="C57" s="105"/>
      <c r="D57" s="105"/>
      <c r="E57" s="105"/>
      <c r="F57" s="105"/>
      <c r="G57" s="105"/>
      <c r="H57" s="105"/>
      <c r="I57" s="105"/>
      <c r="J57" s="105"/>
      <c r="K57" s="105"/>
      <c r="L57" s="105"/>
      <c r="M57" s="105"/>
      <c r="N57" s="105"/>
      <c r="O57" s="41"/>
      <c r="P57" s="41"/>
      <c r="Q57" s="41"/>
      <c r="R57" s="41"/>
      <c r="S57" s="41"/>
      <c r="T57" s="41"/>
    </row>
    <row r="58" spans="1:20" ht="16.5">
      <c r="A58" s="41"/>
      <c r="B58" s="184" t="s">
        <v>723</v>
      </c>
      <c r="C58" s="171"/>
      <c r="D58" s="105"/>
      <c r="E58" s="105"/>
      <c r="F58" s="105"/>
      <c r="G58" s="105"/>
      <c r="H58" s="105"/>
      <c r="I58" s="105"/>
      <c r="J58" s="105"/>
      <c r="K58" s="105"/>
      <c r="L58" s="105"/>
      <c r="M58" s="105"/>
      <c r="N58" s="105"/>
      <c r="O58" s="41"/>
      <c r="P58" s="41"/>
      <c r="Q58" s="41"/>
      <c r="R58" s="41"/>
      <c r="S58" s="41"/>
      <c r="T58" s="41"/>
    </row>
    <row r="59" spans="1:20" ht="18.75">
      <c r="A59" s="41"/>
      <c r="B59" s="187" t="s">
        <v>724</v>
      </c>
      <c r="C59" s="187"/>
      <c r="D59" s="187"/>
      <c r="E59" s="187"/>
      <c r="F59" s="187"/>
      <c r="G59" s="187"/>
      <c r="H59" s="187"/>
      <c r="I59" s="187"/>
      <c r="J59" s="105"/>
      <c r="K59" s="105"/>
      <c r="L59" s="105"/>
      <c r="M59" s="105"/>
      <c r="N59" s="105"/>
      <c r="O59" s="41"/>
      <c r="P59" s="41"/>
      <c r="Q59" s="41"/>
      <c r="R59" s="41"/>
      <c r="S59" s="41"/>
      <c r="T59" s="41"/>
    </row>
    <row r="60" spans="1:20" ht="18.75">
      <c r="A60" s="41"/>
      <c r="B60" s="187" t="s">
        <v>725</v>
      </c>
      <c r="C60" s="187"/>
      <c r="D60" s="187"/>
      <c r="E60" s="187"/>
      <c r="F60" s="105"/>
      <c r="G60" s="105"/>
      <c r="H60" s="105"/>
      <c r="I60" s="186"/>
      <c r="J60" s="186"/>
      <c r="K60" s="186"/>
      <c r="L60" s="105"/>
      <c r="M60" s="105"/>
      <c r="N60" s="105"/>
      <c r="O60" s="41"/>
      <c r="P60" s="41"/>
      <c r="Q60" s="41"/>
      <c r="R60" s="41"/>
      <c r="S60" s="41"/>
      <c r="T60" s="41"/>
    </row>
    <row r="61" spans="1:20">
      <c r="A61" s="41"/>
      <c r="B61" s="105"/>
      <c r="C61" s="105"/>
      <c r="D61" s="105"/>
      <c r="E61" s="105"/>
      <c r="F61" s="105"/>
      <c r="G61" s="105"/>
      <c r="H61" s="105"/>
      <c r="I61" s="105"/>
      <c r="J61" s="105"/>
      <c r="K61" s="105"/>
      <c r="L61" s="105"/>
      <c r="M61" s="105"/>
      <c r="N61" s="105"/>
      <c r="O61" s="41"/>
      <c r="P61" s="41"/>
      <c r="Q61" s="41"/>
      <c r="R61" s="41"/>
      <c r="S61" s="41"/>
      <c r="T61" s="41"/>
    </row>
    <row r="62" spans="1:20" ht="18.75">
      <c r="A62" s="41"/>
      <c r="B62" s="105"/>
      <c r="C62" s="105"/>
      <c r="D62" s="105"/>
      <c r="E62" s="105"/>
      <c r="F62" s="105"/>
      <c r="G62" s="105"/>
      <c r="H62" s="611" t="s">
        <v>309</v>
      </c>
      <c r="I62" s="611"/>
      <c r="J62" s="105"/>
      <c r="K62" s="105"/>
      <c r="L62" s="105"/>
      <c r="M62" s="105"/>
      <c r="N62" s="105"/>
      <c r="O62" s="41"/>
      <c r="P62" s="41"/>
      <c r="Q62" s="41"/>
      <c r="R62" s="41"/>
      <c r="S62" s="41"/>
      <c r="T62" s="41"/>
    </row>
    <row r="63" spans="1:20">
      <c r="A63" s="41"/>
      <c r="B63" s="41"/>
      <c r="C63" s="41"/>
      <c r="D63" s="41"/>
      <c r="E63" s="41"/>
      <c r="F63" s="41"/>
      <c r="G63" s="41"/>
      <c r="H63" s="41"/>
      <c r="I63" s="41"/>
      <c r="J63" s="41"/>
      <c r="K63" s="41"/>
      <c r="L63" s="41"/>
      <c r="M63" s="41"/>
      <c r="N63" s="41"/>
      <c r="O63" s="41"/>
      <c r="P63" s="41"/>
      <c r="Q63" s="41"/>
      <c r="R63" s="41"/>
      <c r="S63" s="41"/>
      <c r="T63" s="41"/>
    </row>
    <row r="64" spans="1:20">
      <c r="A64" s="41"/>
      <c r="B64" s="41"/>
      <c r="C64" s="41"/>
      <c r="D64" s="41"/>
      <c r="E64" s="41"/>
      <c r="F64" s="41"/>
      <c r="G64" s="41"/>
      <c r="H64" s="41"/>
      <c r="I64" s="41"/>
      <c r="J64" s="41"/>
      <c r="K64" s="41"/>
      <c r="L64" s="41"/>
      <c r="M64" s="41"/>
      <c r="N64" s="41"/>
      <c r="O64" s="41"/>
      <c r="P64" s="41"/>
      <c r="Q64" s="41"/>
      <c r="R64" s="41"/>
      <c r="S64" s="41"/>
      <c r="T64" s="41"/>
    </row>
    <row r="65" spans="1:20">
      <c r="A65" s="41"/>
      <c r="B65" s="41"/>
      <c r="C65" s="41"/>
      <c r="D65" s="41"/>
      <c r="E65" s="41"/>
      <c r="F65" s="41"/>
      <c r="G65" s="41"/>
      <c r="H65" s="41"/>
      <c r="I65" s="41"/>
      <c r="J65" s="41"/>
      <c r="K65" s="41"/>
      <c r="L65" s="41"/>
      <c r="M65" s="41"/>
      <c r="N65" s="41"/>
      <c r="O65" s="41"/>
      <c r="P65" s="41"/>
      <c r="Q65" s="41"/>
      <c r="R65" s="41"/>
      <c r="S65" s="41"/>
      <c r="T65" s="41"/>
    </row>
    <row r="66" spans="1:20">
      <c r="A66" s="41"/>
      <c r="B66" s="41"/>
      <c r="C66" s="41"/>
      <c r="D66" s="41"/>
      <c r="E66" s="41"/>
      <c r="F66" s="41"/>
      <c r="G66" s="41"/>
      <c r="H66" s="41"/>
      <c r="I66" s="41"/>
      <c r="J66" s="41"/>
      <c r="K66" s="41"/>
      <c r="L66" s="41"/>
      <c r="M66" s="41"/>
      <c r="N66" s="41"/>
      <c r="O66" s="41"/>
      <c r="P66" s="41"/>
      <c r="Q66" s="41"/>
      <c r="R66" s="41"/>
      <c r="S66" s="41"/>
      <c r="T66" s="41"/>
    </row>
    <row r="67" spans="1:20">
      <c r="A67" s="41"/>
      <c r="B67" s="41"/>
      <c r="C67" s="41"/>
      <c r="D67" s="41"/>
      <c r="E67" s="41"/>
      <c r="F67" s="41"/>
      <c r="G67" s="41"/>
      <c r="H67" s="41"/>
      <c r="I67" s="41"/>
      <c r="J67" s="41"/>
      <c r="K67" s="41"/>
      <c r="L67" s="41"/>
      <c r="M67" s="41"/>
      <c r="N67" s="41"/>
      <c r="O67" s="41"/>
      <c r="P67" s="41"/>
      <c r="Q67" s="41"/>
      <c r="R67" s="41"/>
      <c r="S67" s="41"/>
      <c r="T67" s="41"/>
    </row>
    <row r="68" spans="1:20">
      <c r="A68" s="41"/>
      <c r="B68" s="41"/>
      <c r="C68" s="41"/>
      <c r="D68" s="41"/>
      <c r="E68" s="41"/>
      <c r="F68" s="41"/>
      <c r="G68" s="41"/>
      <c r="H68" s="41"/>
      <c r="I68" s="41"/>
      <c r="J68" s="41"/>
      <c r="K68" s="41"/>
      <c r="L68" s="41"/>
      <c r="M68" s="41"/>
      <c r="N68" s="41"/>
      <c r="O68" s="41"/>
      <c r="P68" s="41"/>
      <c r="Q68" s="41"/>
      <c r="R68" s="41"/>
      <c r="S68" s="41"/>
      <c r="T68" s="41"/>
    </row>
    <row r="69" spans="1:20">
      <c r="A69" s="41"/>
      <c r="B69" s="41"/>
      <c r="C69" s="41"/>
      <c r="D69" s="41"/>
      <c r="E69" s="41"/>
      <c r="F69" s="41"/>
      <c r="G69" s="41"/>
      <c r="H69" s="41"/>
      <c r="I69" s="41"/>
      <c r="J69" s="41"/>
      <c r="K69" s="41"/>
      <c r="L69" s="41"/>
      <c r="M69" s="41"/>
      <c r="N69" s="41"/>
      <c r="O69" s="41"/>
      <c r="P69" s="41"/>
      <c r="Q69" s="41"/>
      <c r="R69" s="41"/>
      <c r="S69" s="41"/>
      <c r="T69" s="41"/>
    </row>
    <row r="70" spans="1:20">
      <c r="A70" s="41"/>
      <c r="B70" s="41"/>
      <c r="C70" s="41"/>
      <c r="D70" s="41"/>
      <c r="E70" s="41"/>
      <c r="F70" s="41"/>
      <c r="G70" s="41"/>
      <c r="H70" s="41"/>
      <c r="I70" s="41"/>
      <c r="J70" s="41"/>
      <c r="K70" s="41"/>
      <c r="L70" s="41"/>
      <c r="M70" s="41"/>
      <c r="N70" s="41"/>
      <c r="O70" s="41"/>
      <c r="P70" s="41"/>
      <c r="Q70" s="41"/>
      <c r="R70" s="41"/>
      <c r="S70" s="41"/>
      <c r="T70" s="41"/>
    </row>
    <row r="71" spans="1:20">
      <c r="A71" s="41"/>
      <c r="B71" s="41"/>
      <c r="C71" s="41"/>
      <c r="D71" s="41"/>
      <c r="E71" s="41"/>
      <c r="F71" s="41"/>
      <c r="G71" s="41"/>
      <c r="H71" s="41"/>
      <c r="I71" s="41"/>
      <c r="J71" s="41"/>
      <c r="K71" s="41"/>
      <c r="L71" s="41"/>
      <c r="M71" s="41"/>
      <c r="N71" s="41"/>
      <c r="O71" s="41"/>
      <c r="P71" s="41"/>
      <c r="Q71" s="41"/>
      <c r="R71" s="41"/>
      <c r="S71" s="41"/>
      <c r="T71" s="41"/>
    </row>
    <row r="72" spans="1:20">
      <c r="A72" s="41"/>
      <c r="B72" s="41"/>
      <c r="C72" s="41"/>
      <c r="D72" s="41"/>
      <c r="E72" s="41"/>
      <c r="F72" s="41"/>
      <c r="G72" s="41"/>
      <c r="H72" s="41"/>
      <c r="I72" s="41"/>
      <c r="J72" s="41"/>
      <c r="K72" s="41"/>
      <c r="L72" s="41"/>
      <c r="M72" s="41"/>
      <c r="N72" s="41"/>
      <c r="O72" s="41"/>
      <c r="P72" s="41"/>
      <c r="Q72" s="41"/>
      <c r="R72" s="41"/>
      <c r="S72" s="41"/>
      <c r="T72" s="41"/>
    </row>
    <row r="73" spans="1:20">
      <c r="A73" s="41"/>
      <c r="B73" s="41"/>
      <c r="C73" s="41"/>
      <c r="D73" s="41"/>
      <c r="E73" s="41"/>
      <c r="F73" s="41"/>
      <c r="G73" s="41"/>
      <c r="H73" s="41"/>
      <c r="I73" s="41"/>
      <c r="J73" s="41"/>
      <c r="K73" s="41"/>
      <c r="L73" s="41"/>
      <c r="M73" s="41"/>
      <c r="N73" s="41"/>
      <c r="O73" s="41"/>
      <c r="P73" s="41"/>
      <c r="Q73" s="41"/>
      <c r="R73" s="41"/>
      <c r="S73" s="41"/>
      <c r="T73" s="41"/>
    </row>
    <row r="74" spans="1:20">
      <c r="A74" s="41"/>
      <c r="B74" s="41"/>
      <c r="C74" s="41"/>
      <c r="D74" s="41"/>
      <c r="E74" s="41"/>
      <c r="F74" s="41"/>
      <c r="G74" s="41"/>
      <c r="H74" s="41"/>
      <c r="I74" s="41"/>
      <c r="J74" s="41"/>
      <c r="K74" s="41"/>
      <c r="L74" s="41"/>
      <c r="M74" s="41"/>
      <c r="N74" s="41"/>
      <c r="O74" s="41"/>
      <c r="P74" s="41"/>
      <c r="Q74" s="41"/>
      <c r="R74" s="41"/>
      <c r="S74" s="41"/>
      <c r="T74" s="41"/>
    </row>
    <row r="75" spans="1:20">
      <c r="A75" s="41"/>
      <c r="B75" s="41"/>
      <c r="C75" s="41"/>
      <c r="D75" s="41"/>
      <c r="E75" s="41"/>
      <c r="F75" s="41"/>
      <c r="G75" s="41"/>
      <c r="H75" s="41"/>
      <c r="I75" s="41"/>
      <c r="J75" s="41"/>
      <c r="K75" s="41"/>
      <c r="L75" s="41"/>
      <c r="M75" s="41"/>
      <c r="N75" s="41"/>
      <c r="O75" s="41"/>
      <c r="P75" s="41"/>
      <c r="Q75" s="41"/>
      <c r="R75" s="41"/>
      <c r="S75" s="41"/>
      <c r="T75" s="41"/>
    </row>
    <row r="76" spans="1:20">
      <c r="A76" s="185"/>
      <c r="B76" s="185"/>
      <c r="C76" s="185"/>
      <c r="D76" s="185"/>
      <c r="E76" s="185"/>
      <c r="F76" s="41"/>
      <c r="G76" s="41"/>
      <c r="H76" s="41"/>
      <c r="I76" s="41"/>
      <c r="J76" s="41"/>
      <c r="K76" s="41"/>
      <c r="L76" s="41"/>
      <c r="M76" s="41"/>
      <c r="N76" s="41"/>
      <c r="O76" s="41"/>
      <c r="P76" s="41"/>
      <c r="Q76" s="41"/>
      <c r="R76" s="41"/>
      <c r="S76" s="41"/>
      <c r="T76" s="41"/>
    </row>
    <row r="77" spans="1:20">
      <c r="A77" s="185"/>
      <c r="B77" s="605" t="s">
        <v>239</v>
      </c>
      <c r="C77" s="605"/>
      <c r="D77" s="605"/>
      <c r="E77" s="185"/>
      <c r="F77" s="41"/>
      <c r="G77" s="41"/>
      <c r="H77" s="41"/>
      <c r="I77" s="41"/>
      <c r="J77" s="41"/>
      <c r="K77" s="41"/>
      <c r="L77" s="41"/>
      <c r="M77" s="41"/>
      <c r="N77" s="41"/>
      <c r="O77" s="41"/>
      <c r="P77" s="41"/>
      <c r="Q77" s="41"/>
      <c r="R77" s="41"/>
      <c r="S77" s="41"/>
      <c r="T77" s="41"/>
    </row>
    <row r="78" spans="1:20" ht="54" customHeight="1">
      <c r="A78" s="185"/>
      <c r="B78" s="188"/>
      <c r="C78" s="176" t="s">
        <v>240</v>
      </c>
      <c r="D78" s="185"/>
      <c r="E78" s="185"/>
      <c r="F78" s="41"/>
      <c r="G78" s="41"/>
      <c r="H78" s="41"/>
      <c r="I78" s="41"/>
      <c r="J78" s="153"/>
      <c r="K78" s="41"/>
      <c r="L78" s="189"/>
      <c r="M78" s="607" t="s">
        <v>310</v>
      </c>
      <c r="N78" s="607"/>
      <c r="O78" s="607"/>
      <c r="P78" s="607"/>
      <c r="Q78" s="607"/>
      <c r="R78" s="41"/>
      <c r="S78" s="41"/>
      <c r="T78" s="41"/>
    </row>
    <row r="79" spans="1:20">
      <c r="A79" s="41"/>
      <c r="B79" s="41"/>
      <c r="C79" s="41"/>
      <c r="D79" s="41"/>
      <c r="E79" s="41"/>
      <c r="F79" s="41"/>
      <c r="G79" s="41"/>
      <c r="H79" s="41"/>
      <c r="I79" s="41"/>
      <c r="J79" s="41"/>
      <c r="K79" s="153"/>
      <c r="L79" s="153"/>
      <c r="M79" s="153"/>
      <c r="N79" s="153"/>
      <c r="O79" s="153"/>
      <c r="P79" s="41"/>
      <c r="Q79" s="41"/>
      <c r="R79" s="41"/>
      <c r="S79" s="41"/>
      <c r="T79" s="41"/>
    </row>
    <row r="80" spans="1:20">
      <c r="A80" s="41"/>
      <c r="B80" s="41"/>
      <c r="C80" s="41"/>
      <c r="D80" s="41"/>
      <c r="E80" s="41"/>
      <c r="F80" s="41"/>
      <c r="G80" s="41"/>
      <c r="H80" s="41"/>
      <c r="I80" s="41"/>
      <c r="J80" s="41"/>
      <c r="K80" s="153"/>
      <c r="L80" s="153"/>
      <c r="M80" s="153"/>
      <c r="N80" s="153"/>
      <c r="O80" s="153"/>
      <c r="P80" s="41"/>
      <c r="Q80" s="41"/>
      <c r="R80" s="41"/>
      <c r="S80" s="41"/>
      <c r="T80" s="41"/>
    </row>
    <row r="81" spans="1:20" ht="60.6" customHeight="1">
      <c r="A81" s="41"/>
      <c r="B81" s="41"/>
      <c r="C81" s="41"/>
      <c r="D81" s="41"/>
      <c r="E81" s="41"/>
      <c r="F81" s="41"/>
      <c r="G81" s="41"/>
      <c r="H81" s="41"/>
      <c r="I81" s="41"/>
      <c r="J81" s="41"/>
      <c r="K81" s="41"/>
      <c r="L81" s="190"/>
      <c r="M81" s="608" t="s">
        <v>313</v>
      </c>
      <c r="N81" s="608"/>
      <c r="O81" s="608"/>
      <c r="P81" s="608"/>
      <c r="Q81" s="608"/>
      <c r="R81" s="191"/>
      <c r="S81" s="41"/>
      <c r="T81" s="41"/>
    </row>
    <row r="82" spans="1:20">
      <c r="A82" s="41"/>
      <c r="B82" s="41"/>
      <c r="C82" s="41"/>
      <c r="D82" s="41"/>
      <c r="E82" s="41"/>
      <c r="F82" s="41"/>
      <c r="G82" s="41"/>
      <c r="H82" s="41"/>
      <c r="I82" s="41"/>
      <c r="J82" s="41"/>
      <c r="K82" s="41"/>
      <c r="L82" s="153"/>
      <c r="M82" s="153"/>
      <c r="N82" s="153"/>
      <c r="O82" s="41"/>
      <c r="P82" s="41"/>
      <c r="Q82" s="41"/>
      <c r="R82" s="41"/>
      <c r="S82" s="41"/>
      <c r="T82" s="41"/>
    </row>
    <row r="83" spans="1:20">
      <c r="A83" s="41"/>
      <c r="B83" s="41"/>
      <c r="C83" s="41"/>
      <c r="D83" s="41"/>
      <c r="E83" s="41"/>
      <c r="F83" s="41"/>
      <c r="G83" s="41"/>
      <c r="H83" s="41"/>
      <c r="I83" s="41"/>
      <c r="J83" s="41"/>
      <c r="K83" s="41"/>
      <c r="L83" s="153"/>
      <c r="M83" s="153"/>
      <c r="N83" s="153"/>
      <c r="O83" s="41"/>
      <c r="P83" s="41"/>
      <c r="Q83" s="41"/>
      <c r="R83" s="41"/>
      <c r="S83" s="41"/>
      <c r="T83" s="41"/>
    </row>
    <row r="84" spans="1:20">
      <c r="A84" s="41"/>
      <c r="B84" s="41"/>
      <c r="C84" s="41"/>
      <c r="D84" s="41"/>
      <c r="E84" s="41"/>
      <c r="F84" s="41"/>
      <c r="G84" s="41"/>
      <c r="H84" s="41"/>
      <c r="I84" s="41"/>
      <c r="J84" s="41"/>
      <c r="K84" s="41"/>
      <c r="L84" s="153"/>
      <c r="M84" s="153"/>
      <c r="N84" s="153"/>
      <c r="O84" s="41"/>
      <c r="P84" s="41"/>
      <c r="Q84" s="41"/>
      <c r="R84" s="41"/>
      <c r="S84" s="41"/>
      <c r="T84" s="41"/>
    </row>
    <row r="85" spans="1:20">
      <c r="A85" s="41"/>
      <c r="B85" s="41"/>
      <c r="C85" s="41"/>
      <c r="D85" s="41"/>
      <c r="E85" s="41"/>
      <c r="F85" s="41"/>
      <c r="G85" s="41"/>
      <c r="H85" s="41"/>
      <c r="I85" s="41"/>
      <c r="J85" s="41"/>
      <c r="K85" s="153"/>
      <c r="L85" s="153"/>
      <c r="M85" s="153"/>
      <c r="N85" s="153"/>
      <c r="O85" s="153"/>
      <c r="P85" s="41"/>
      <c r="Q85" s="41"/>
      <c r="R85" s="41"/>
      <c r="S85" s="41"/>
      <c r="T85" s="41"/>
    </row>
    <row r="86" spans="1:20" ht="18.75">
      <c r="A86" s="41"/>
      <c r="B86" s="41"/>
      <c r="C86" s="41"/>
      <c r="D86" s="41"/>
      <c r="E86" s="41"/>
      <c r="F86" s="105" t="s">
        <v>173</v>
      </c>
      <c r="G86" s="41"/>
      <c r="H86" s="41"/>
      <c r="I86" s="41"/>
      <c r="J86" s="41"/>
      <c r="K86" s="41"/>
      <c r="L86" s="41"/>
      <c r="M86" s="41"/>
      <c r="N86" s="41"/>
      <c r="O86" s="153"/>
      <c r="P86" s="41"/>
      <c r="Q86" s="41"/>
      <c r="R86" s="41"/>
      <c r="S86" s="41"/>
      <c r="T86" s="41"/>
    </row>
    <row r="87" spans="1:20">
      <c r="A87" s="41"/>
      <c r="B87" s="41"/>
      <c r="C87" s="41"/>
      <c r="D87" s="41"/>
      <c r="E87" s="41"/>
      <c r="F87" s="41"/>
      <c r="G87" s="41"/>
      <c r="H87" s="41"/>
      <c r="I87" s="41"/>
      <c r="J87" s="41"/>
      <c r="K87" s="41"/>
      <c r="L87" s="41"/>
      <c r="M87" s="41"/>
      <c r="N87" s="41"/>
      <c r="O87" s="41"/>
      <c r="P87" s="41"/>
      <c r="Q87" s="41"/>
      <c r="R87" s="41"/>
      <c r="S87" s="41"/>
      <c r="T87" s="41"/>
    </row>
    <row r="88" spans="1:20">
      <c r="A88" s="41"/>
      <c r="B88" s="41"/>
      <c r="C88" s="41"/>
      <c r="D88" s="41"/>
      <c r="E88" s="41"/>
      <c r="F88" s="41"/>
      <c r="G88" s="41"/>
      <c r="H88" s="41"/>
      <c r="I88" s="41"/>
      <c r="J88" s="41"/>
      <c r="K88" s="41"/>
      <c r="L88" s="41"/>
      <c r="M88" s="41"/>
      <c r="N88" s="41"/>
      <c r="O88" s="41"/>
      <c r="P88" s="41"/>
      <c r="Q88" s="41"/>
      <c r="R88" s="41"/>
      <c r="S88" s="41"/>
      <c r="T88" s="41"/>
    </row>
    <row r="89" spans="1:20">
      <c r="A89" s="41"/>
      <c r="B89" s="41"/>
      <c r="C89" s="41"/>
      <c r="D89" s="41"/>
      <c r="E89" s="41"/>
      <c r="F89" s="41"/>
      <c r="G89" s="41"/>
      <c r="H89" s="41"/>
      <c r="I89" s="41"/>
      <c r="J89" s="41"/>
      <c r="K89" s="41"/>
      <c r="L89" s="41"/>
      <c r="M89" s="41"/>
      <c r="N89" s="41"/>
      <c r="O89" s="41"/>
      <c r="P89" s="41"/>
      <c r="Q89" s="41"/>
      <c r="R89" s="41"/>
      <c r="S89" s="41"/>
      <c r="T89" s="41"/>
    </row>
    <row r="90" spans="1:20">
      <c r="A90" s="41"/>
      <c r="B90" s="41"/>
      <c r="C90" s="41"/>
      <c r="D90" s="41"/>
      <c r="E90" s="41"/>
      <c r="F90" s="41"/>
      <c r="G90" s="41"/>
      <c r="H90" s="41"/>
      <c r="I90" s="41"/>
      <c r="J90" s="41"/>
      <c r="K90" s="41"/>
      <c r="L90" s="41"/>
      <c r="M90" s="41"/>
      <c r="N90" s="41"/>
      <c r="O90" s="41"/>
      <c r="P90" s="41"/>
      <c r="Q90" s="41"/>
      <c r="R90" s="41"/>
      <c r="S90" s="41"/>
      <c r="T90" s="41"/>
    </row>
    <row r="91" spans="1:20">
      <c r="A91" s="41"/>
      <c r="B91" s="41"/>
      <c r="C91" s="41"/>
      <c r="D91" s="41"/>
      <c r="E91" s="41"/>
      <c r="F91" s="41"/>
      <c r="G91" s="41"/>
      <c r="H91" s="41"/>
      <c r="I91" s="41"/>
      <c r="J91" s="41"/>
      <c r="K91" s="41"/>
      <c r="L91" s="41"/>
      <c r="M91" s="41"/>
      <c r="N91" s="41"/>
      <c r="O91" s="41"/>
      <c r="P91" s="41"/>
      <c r="Q91" s="41"/>
      <c r="R91" s="41"/>
      <c r="S91" s="41"/>
      <c r="T91" s="41"/>
    </row>
    <row r="92" spans="1:20">
      <c r="A92" s="41"/>
      <c r="B92" s="41"/>
      <c r="C92" s="41"/>
      <c r="D92" s="41"/>
      <c r="E92" s="41"/>
      <c r="F92" s="41"/>
      <c r="G92" s="41"/>
      <c r="H92" s="41"/>
      <c r="I92" s="41"/>
      <c r="J92" s="41"/>
      <c r="K92" s="41"/>
      <c r="L92" s="41"/>
      <c r="M92" s="41"/>
      <c r="N92" s="41"/>
      <c r="O92" s="41"/>
      <c r="P92" s="41"/>
      <c r="Q92" s="41"/>
      <c r="R92" s="41"/>
      <c r="S92" s="41"/>
      <c r="T92" s="41"/>
    </row>
    <row r="93" spans="1:20">
      <c r="A93" s="41"/>
      <c r="B93" s="41"/>
      <c r="C93" s="41"/>
      <c r="D93" s="41"/>
      <c r="E93" s="41"/>
      <c r="F93" s="41"/>
      <c r="G93" s="41"/>
      <c r="H93" s="41"/>
      <c r="I93" s="41"/>
      <c r="J93" s="41"/>
      <c r="K93" s="41"/>
      <c r="L93" s="41"/>
      <c r="M93" s="41"/>
      <c r="N93" s="41"/>
      <c r="O93" s="41"/>
      <c r="P93" s="41"/>
      <c r="Q93" s="41"/>
      <c r="R93" s="41"/>
      <c r="S93" s="41"/>
      <c r="T93" s="41"/>
    </row>
    <row r="94" spans="1:20">
      <c r="A94" s="41"/>
      <c r="B94" s="41"/>
      <c r="C94" s="41"/>
      <c r="D94" s="41"/>
      <c r="E94" s="41"/>
      <c r="F94" s="41"/>
      <c r="G94" s="41"/>
      <c r="H94" s="41"/>
      <c r="I94" s="41"/>
      <c r="J94" s="41"/>
      <c r="K94" s="41"/>
      <c r="L94" s="41"/>
      <c r="M94" s="41"/>
      <c r="N94" s="41"/>
      <c r="O94" s="41"/>
      <c r="P94" s="41"/>
      <c r="Q94" s="41"/>
      <c r="R94" s="41"/>
      <c r="S94" s="41"/>
      <c r="T94" s="41"/>
    </row>
    <row r="95" spans="1:20">
      <c r="A95" s="41"/>
      <c r="B95" s="41"/>
      <c r="C95" s="41"/>
      <c r="D95" s="41"/>
      <c r="E95" s="41"/>
      <c r="F95" s="41"/>
      <c r="G95" s="41"/>
      <c r="H95" s="41"/>
      <c r="I95" s="41"/>
      <c r="J95" s="41"/>
      <c r="K95" s="41"/>
      <c r="L95" s="41"/>
      <c r="M95" s="41"/>
      <c r="N95" s="41"/>
      <c r="O95" s="41"/>
      <c r="P95" s="41"/>
      <c r="Q95" s="41"/>
      <c r="R95" s="41"/>
      <c r="S95" s="41"/>
      <c r="T95" s="41"/>
    </row>
    <row r="96" spans="1:20">
      <c r="A96" s="41"/>
      <c r="B96" s="41"/>
      <c r="C96" s="41"/>
      <c r="D96" s="41"/>
      <c r="E96" s="41"/>
      <c r="F96" s="41"/>
      <c r="G96" s="41"/>
      <c r="H96" s="41"/>
      <c r="I96" s="41"/>
      <c r="J96" s="41"/>
      <c r="K96" s="41"/>
      <c r="L96" s="41"/>
      <c r="M96" s="41"/>
      <c r="N96" s="41"/>
      <c r="O96" s="41"/>
      <c r="P96" s="41"/>
      <c r="Q96" s="41"/>
      <c r="R96" s="41"/>
      <c r="S96" s="41"/>
      <c r="T96" s="41"/>
    </row>
    <row r="97" spans="1:20">
      <c r="A97" s="41"/>
      <c r="B97" s="41"/>
      <c r="C97" s="41"/>
      <c r="D97" s="41"/>
      <c r="E97" s="41"/>
      <c r="F97" s="41"/>
      <c r="G97" s="41"/>
      <c r="H97" s="41"/>
      <c r="I97" s="41"/>
      <c r="J97" s="41"/>
      <c r="K97" s="41"/>
      <c r="L97" s="41"/>
      <c r="M97" s="41"/>
      <c r="N97" s="41"/>
      <c r="O97" s="41"/>
      <c r="P97" s="41"/>
      <c r="Q97" s="41"/>
      <c r="R97" s="41"/>
      <c r="S97" s="41"/>
      <c r="T97" s="41"/>
    </row>
    <row r="98" spans="1:20">
      <c r="A98" s="41"/>
      <c r="B98" s="41"/>
      <c r="C98" s="41"/>
      <c r="D98" s="41"/>
      <c r="E98" s="41"/>
      <c r="F98" s="41"/>
      <c r="G98" s="41"/>
      <c r="H98" s="41"/>
      <c r="I98" s="41"/>
      <c r="J98" s="41"/>
      <c r="K98" s="41"/>
      <c r="L98" s="41"/>
      <c r="M98" s="41"/>
      <c r="N98" s="41"/>
      <c r="O98" s="41"/>
      <c r="P98" s="41"/>
      <c r="Q98" s="41"/>
      <c r="R98" s="41"/>
      <c r="S98" s="41"/>
      <c r="T98" s="41"/>
    </row>
    <row r="99" spans="1:20">
      <c r="A99" s="41"/>
      <c r="B99" s="41"/>
      <c r="C99" s="41"/>
      <c r="D99" s="41"/>
      <c r="E99" s="41"/>
      <c r="F99" s="41"/>
      <c r="G99" s="41"/>
      <c r="H99" s="41"/>
      <c r="I99" s="41"/>
      <c r="J99" s="41"/>
      <c r="K99" s="41"/>
      <c r="L99" s="41"/>
      <c r="M99" s="41"/>
      <c r="N99" s="41"/>
      <c r="O99" s="41"/>
      <c r="P99" s="41"/>
      <c r="Q99" s="41"/>
      <c r="R99" s="41"/>
      <c r="S99" s="41"/>
      <c r="T99" s="41"/>
    </row>
    <row r="100" spans="1:20">
      <c r="A100" s="41"/>
      <c r="B100" s="41"/>
      <c r="C100" s="41"/>
      <c r="D100" s="41"/>
      <c r="E100" s="41"/>
      <c r="F100" s="41"/>
      <c r="G100" s="41"/>
      <c r="H100" s="41"/>
      <c r="I100" s="41"/>
      <c r="J100" s="41"/>
      <c r="K100" s="41"/>
      <c r="L100" s="41"/>
      <c r="M100" s="41"/>
      <c r="N100" s="41"/>
      <c r="O100" s="41"/>
      <c r="P100" s="41"/>
      <c r="Q100" s="41"/>
      <c r="R100" s="41"/>
      <c r="S100" s="41"/>
      <c r="T100" s="41"/>
    </row>
    <row r="101" spans="1:20">
      <c r="A101" s="41"/>
      <c r="B101" s="41"/>
      <c r="C101" s="41"/>
      <c r="D101" s="41"/>
      <c r="E101" s="41"/>
      <c r="F101" s="41"/>
      <c r="G101" s="41"/>
      <c r="H101" s="41"/>
      <c r="I101" s="41"/>
      <c r="J101" s="41"/>
      <c r="K101" s="41"/>
      <c r="L101" s="41"/>
      <c r="M101" s="41"/>
      <c r="N101" s="41"/>
      <c r="O101" s="41"/>
      <c r="P101" s="41"/>
      <c r="Q101" s="41"/>
      <c r="R101" s="41"/>
      <c r="S101" s="41"/>
      <c r="T101" s="41"/>
    </row>
    <row r="102" spans="1:20" ht="19.5">
      <c r="A102" s="41"/>
      <c r="B102" s="41"/>
      <c r="C102" s="41"/>
      <c r="D102" s="192" t="s">
        <v>311</v>
      </c>
      <c r="E102" s="41"/>
      <c r="F102" s="41"/>
      <c r="G102" s="41"/>
      <c r="H102" s="41"/>
      <c r="I102" s="41"/>
      <c r="J102" s="41"/>
      <c r="K102" s="41"/>
      <c r="L102" s="193" t="s">
        <v>312</v>
      </c>
      <c r="M102" s="41"/>
      <c r="N102" s="41"/>
      <c r="O102" s="41"/>
      <c r="P102" s="41"/>
      <c r="Q102" s="41"/>
      <c r="R102" s="41"/>
      <c r="S102" s="41"/>
      <c r="T102" s="41"/>
    </row>
    <row r="103" spans="1:20" ht="19.5">
      <c r="A103" s="41"/>
      <c r="B103" s="41"/>
      <c r="C103" s="41"/>
      <c r="D103" s="192"/>
      <c r="E103" s="192"/>
      <c r="F103" s="192"/>
      <c r="G103" s="41"/>
      <c r="H103" s="41"/>
      <c r="I103" s="41"/>
      <c r="J103" s="41"/>
      <c r="K103" s="193"/>
      <c r="L103" s="193"/>
      <c r="M103" s="193"/>
      <c r="N103" s="41"/>
      <c r="O103" s="41"/>
      <c r="P103" s="41"/>
      <c r="Q103" s="41"/>
      <c r="R103" s="41"/>
      <c r="S103" s="41"/>
      <c r="T103" s="41"/>
    </row>
    <row r="104" spans="1:20">
      <c r="A104" s="41"/>
      <c r="B104" s="41"/>
      <c r="C104" s="41"/>
      <c r="D104" s="41"/>
      <c r="E104" s="41"/>
      <c r="F104" s="41"/>
      <c r="G104" s="41"/>
      <c r="H104" s="41"/>
      <c r="I104" s="41"/>
      <c r="J104" s="41"/>
      <c r="K104" s="41"/>
      <c r="L104" s="41"/>
      <c r="M104" s="41"/>
      <c r="N104" s="41"/>
      <c r="O104" s="41"/>
      <c r="P104" s="41"/>
      <c r="Q104" s="41"/>
      <c r="R104" s="41"/>
      <c r="S104" s="41"/>
      <c r="T104" s="41"/>
    </row>
    <row r="105" spans="1:20">
      <c r="A105" s="41"/>
      <c r="B105" s="41"/>
      <c r="C105" s="41"/>
      <c r="D105" s="41"/>
      <c r="E105" s="41"/>
      <c r="F105" s="41"/>
      <c r="G105" s="41"/>
      <c r="H105" s="41"/>
      <c r="I105" s="41"/>
      <c r="J105" s="41"/>
      <c r="K105" s="41"/>
      <c r="L105" s="41"/>
      <c r="M105" s="41"/>
      <c r="N105" s="41"/>
      <c r="O105" s="41"/>
      <c r="P105" s="41"/>
      <c r="Q105" s="41"/>
      <c r="R105" s="41"/>
      <c r="S105" s="41"/>
      <c r="T105" s="41"/>
    </row>
  </sheetData>
  <sheetProtection password="E9DD" sheet="1" objects="1" scenarios="1" selectLockedCells="1"/>
  <mergeCells count="35">
    <mergeCell ref="I25:N25"/>
    <mergeCell ref="M78:Q78"/>
    <mergeCell ref="M81:Q81"/>
    <mergeCell ref="I33:N33"/>
    <mergeCell ref="I34:N34"/>
    <mergeCell ref="I35:N35"/>
    <mergeCell ref="I36:N36"/>
    <mergeCell ref="I30:N30"/>
    <mergeCell ref="I31:N31"/>
    <mergeCell ref="H62:I62"/>
    <mergeCell ref="E25:H25"/>
    <mergeCell ref="I27:N27"/>
    <mergeCell ref="I28:N28"/>
    <mergeCell ref="I26:N26"/>
    <mergeCell ref="B77:D77"/>
    <mergeCell ref="B35:D35"/>
    <mergeCell ref="E35:G35"/>
    <mergeCell ref="B36:D36"/>
    <mergeCell ref="E36:G36"/>
    <mergeCell ref="E39:G39"/>
    <mergeCell ref="B34:D34"/>
    <mergeCell ref="E34:G34"/>
    <mergeCell ref="B28:D28"/>
    <mergeCell ref="E28:G28"/>
    <mergeCell ref="B33:D33"/>
    <mergeCell ref="E33:G33"/>
    <mergeCell ref="B31:D31"/>
    <mergeCell ref="E31:G31"/>
    <mergeCell ref="B30:D30"/>
    <mergeCell ref="E30:G30"/>
    <mergeCell ref="B25:D25"/>
    <mergeCell ref="B26:D26"/>
    <mergeCell ref="E26:G26"/>
    <mergeCell ref="B27:D27"/>
    <mergeCell ref="E27:G27"/>
  </mergeCells>
  <phoneticPr fontId="2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8"/>
  <sheetViews>
    <sheetView zoomScaleNormal="100" workbookViewId="0">
      <selection activeCell="C6" sqref="C6"/>
    </sheetView>
  </sheetViews>
  <sheetFormatPr defaultRowHeight="15.75"/>
  <cols>
    <col min="1" max="1" width="3.85546875" customWidth="1"/>
    <col min="3" max="3" width="9.140625" customWidth="1"/>
    <col min="4" max="4" width="3.42578125" customWidth="1"/>
    <col min="6" max="6" width="9.140625" bestFit="1" customWidth="1"/>
    <col min="7" max="7" width="3.42578125" customWidth="1"/>
    <col min="12" max="12" width="15.5703125" customWidth="1"/>
  </cols>
  <sheetData>
    <row r="1" spans="1:20">
      <c r="A1" s="41"/>
      <c r="B1" s="41"/>
      <c r="C1" s="41"/>
      <c r="D1" s="41"/>
      <c r="E1" s="41"/>
      <c r="F1" s="41"/>
      <c r="G1" s="41"/>
      <c r="H1" s="41"/>
      <c r="I1" s="41"/>
      <c r="J1" s="41"/>
      <c r="K1" s="41"/>
      <c r="L1" s="41"/>
      <c r="M1" s="41"/>
      <c r="N1" s="41"/>
    </row>
    <row r="2" spans="1:20" ht="30">
      <c r="A2" s="41"/>
      <c r="B2" s="151" t="s">
        <v>272</v>
      </c>
      <c r="C2" s="41"/>
      <c r="D2" s="41"/>
      <c r="E2" s="41"/>
      <c r="F2" s="41"/>
      <c r="G2" s="41"/>
      <c r="H2" s="41"/>
      <c r="I2" s="41"/>
      <c r="J2" s="41"/>
      <c r="K2" s="41"/>
      <c r="L2" s="41"/>
      <c r="M2" s="152"/>
      <c r="N2" s="152"/>
      <c r="T2" s="24"/>
    </row>
    <row r="3" spans="1:20" ht="30">
      <c r="A3" s="41"/>
      <c r="B3" s="41"/>
      <c r="C3" s="41"/>
      <c r="D3" s="151" t="s">
        <v>273</v>
      </c>
      <c r="E3" s="153"/>
      <c r="F3" s="154"/>
      <c r="G3" s="41"/>
      <c r="H3" s="41"/>
      <c r="I3" s="41"/>
      <c r="J3" s="154"/>
      <c r="K3" s="154"/>
      <c r="L3" s="154"/>
      <c r="M3" s="41"/>
      <c r="N3" s="41"/>
    </row>
    <row r="4" spans="1:20" ht="19.5">
      <c r="A4" s="90"/>
      <c r="B4" s="90"/>
      <c r="C4" s="96"/>
      <c r="D4" s="90"/>
      <c r="E4" s="90"/>
      <c r="F4" s="90"/>
      <c r="G4" s="90"/>
      <c r="H4" s="90"/>
      <c r="I4" s="90"/>
      <c r="J4" s="90"/>
      <c r="K4" s="90"/>
      <c r="L4" s="90"/>
      <c r="M4" s="41"/>
      <c r="N4" s="41"/>
    </row>
    <row r="5" spans="1:20" ht="18.75">
      <c r="A5" s="41"/>
      <c r="B5" s="155" t="s">
        <v>314</v>
      </c>
      <c r="C5" s="40">
        <f>NA</f>
        <v>6</v>
      </c>
      <c r="D5" s="156" t="s">
        <v>216</v>
      </c>
      <c r="E5" s="157"/>
      <c r="F5" s="620" t="s">
        <v>487</v>
      </c>
      <c r="G5" s="621"/>
      <c r="H5" s="621"/>
      <c r="I5" s="90"/>
      <c r="J5" s="90"/>
      <c r="K5" s="90"/>
      <c r="L5" s="90"/>
      <c r="M5" s="41"/>
      <c r="N5" s="33"/>
      <c r="O5" s="24"/>
    </row>
    <row r="6" spans="1:20" ht="18.75">
      <c r="A6" s="41"/>
      <c r="B6" s="155" t="s">
        <v>315</v>
      </c>
      <c r="C6" s="30">
        <v>13</v>
      </c>
      <c r="D6" s="158" t="s">
        <v>217</v>
      </c>
      <c r="E6" s="159"/>
      <c r="F6" s="160"/>
      <c r="G6" s="153"/>
      <c r="H6" s="153"/>
      <c r="I6" s="90"/>
      <c r="J6" s="161"/>
      <c r="K6" s="90"/>
      <c r="L6" s="90"/>
      <c r="M6" s="41"/>
      <c r="N6" s="41"/>
    </row>
    <row r="7" spans="1:20" ht="18.75">
      <c r="A7" s="41"/>
      <c r="B7" s="155" t="s">
        <v>222</v>
      </c>
      <c r="C7" s="162">
        <f>NS</f>
        <v>2</v>
      </c>
      <c r="D7" s="163" t="s">
        <v>217</v>
      </c>
      <c r="E7" s="164"/>
      <c r="F7" s="160"/>
      <c r="G7" s="160"/>
      <c r="H7" s="153"/>
      <c r="I7" s="90"/>
      <c r="J7" s="90"/>
      <c r="K7" s="90"/>
      <c r="L7" s="90"/>
      <c r="M7" s="41"/>
      <c r="N7" s="41"/>
    </row>
    <row r="8" spans="1:20" ht="18.75">
      <c r="A8" s="41"/>
      <c r="B8" s="155" t="s">
        <v>316</v>
      </c>
      <c r="C8" s="165">
        <f>RBUR1</f>
        <v>196</v>
      </c>
      <c r="D8" s="166" t="s">
        <v>210</v>
      </c>
      <c r="E8" s="160"/>
      <c r="F8" s="160"/>
      <c r="G8" s="160"/>
      <c r="H8" s="153"/>
      <c r="I8" s="167" t="s">
        <v>323</v>
      </c>
      <c r="J8" s="153"/>
      <c r="K8" s="153"/>
      <c r="L8" s="153"/>
      <c r="M8" s="41"/>
      <c r="N8" s="41"/>
    </row>
    <row r="9" spans="1:20" ht="18.75">
      <c r="A9" s="41"/>
      <c r="B9" s="155" t="s">
        <v>317</v>
      </c>
      <c r="C9" s="30">
        <v>20</v>
      </c>
      <c r="D9" s="168" t="s">
        <v>178</v>
      </c>
      <c r="E9" s="155" t="s">
        <v>319</v>
      </c>
      <c r="F9" s="31">
        <v>0.97499999999999998</v>
      </c>
      <c r="G9" s="168" t="s">
        <v>178</v>
      </c>
      <c r="H9" s="615" t="s">
        <v>321</v>
      </c>
      <c r="I9" s="615"/>
      <c r="J9" s="615"/>
      <c r="K9" s="616" t="s">
        <v>324</v>
      </c>
      <c r="L9" s="617"/>
      <c r="M9" s="41"/>
      <c r="N9" s="41"/>
    </row>
    <row r="10" spans="1:20" ht="18.75">
      <c r="A10" s="41"/>
      <c r="B10" s="155" t="s">
        <v>318</v>
      </c>
      <c r="C10" s="30">
        <v>5</v>
      </c>
      <c r="D10" s="168" t="s">
        <v>178</v>
      </c>
      <c r="E10" s="155" t="s">
        <v>320</v>
      </c>
      <c r="F10" s="31">
        <v>0.84199999999999997</v>
      </c>
      <c r="G10" s="168" t="s">
        <v>178</v>
      </c>
      <c r="H10" s="615" t="s">
        <v>322</v>
      </c>
      <c r="I10" s="615"/>
      <c r="J10" s="615"/>
      <c r="K10" s="618"/>
      <c r="L10" s="619"/>
      <c r="M10" s="41"/>
      <c r="N10" s="41"/>
    </row>
    <row r="11" spans="1:20">
      <c r="A11" s="41"/>
      <c r="B11" s="160"/>
      <c r="C11" s="160"/>
      <c r="D11" s="160"/>
      <c r="E11" s="160"/>
      <c r="F11" s="160"/>
      <c r="G11" s="160"/>
      <c r="H11" s="153"/>
      <c r="I11" s="153"/>
      <c r="J11" s="153"/>
      <c r="K11" s="153"/>
      <c r="L11" s="153"/>
      <c r="M11" s="41"/>
      <c r="N11" s="41"/>
    </row>
    <row r="12" spans="1:20" ht="18.75">
      <c r="A12" s="41"/>
      <c r="B12" s="169" t="s">
        <v>325</v>
      </c>
      <c r="C12" s="172">
        <f>(Na1_+Na2_)*C8*(Vbur2*Vomax-Vbur1*Vomin)/-(5*NS_*(Vbur1-Vbur2)+(Na1_+Na2_)*(5*(Vomin-Vomax)+(Vbur2*Vomax-Vbur1*Vomin)))</f>
        <v>37.245136186770424</v>
      </c>
      <c r="D12" s="160" t="s">
        <v>210</v>
      </c>
      <c r="E12" s="160"/>
      <c r="F12" s="160"/>
      <c r="G12" s="160"/>
      <c r="H12" s="153"/>
      <c r="I12" s="153"/>
      <c r="J12" s="153"/>
      <c r="K12" s="153"/>
      <c r="L12" s="153"/>
      <c r="M12" s="41"/>
      <c r="N12" s="41"/>
    </row>
    <row r="13" spans="1:20" ht="18.75">
      <c r="A13" s="41"/>
      <c r="B13" s="169" t="s">
        <v>326</v>
      </c>
      <c r="C13" s="172">
        <f>(Na1_+Na2_)*C8*(Vbur2*Vomax-Vbur1*Vomin)/(5*NS_*(Vbur1-Vbur2))/1000</f>
        <v>33.501999999999995</v>
      </c>
      <c r="D13" s="160" t="s">
        <v>244</v>
      </c>
      <c r="E13" s="160"/>
      <c r="F13" s="160"/>
      <c r="G13" s="160"/>
      <c r="H13" s="153"/>
      <c r="I13" s="153"/>
      <c r="J13" s="153"/>
      <c r="K13" s="153"/>
      <c r="L13" s="153"/>
      <c r="M13" s="41"/>
      <c r="N13" s="41"/>
    </row>
    <row r="14" spans="1:20">
      <c r="A14" s="41"/>
      <c r="B14" s="41"/>
      <c r="C14" s="41"/>
      <c r="D14" s="41"/>
      <c r="E14" s="41"/>
      <c r="F14" s="41"/>
      <c r="G14" s="41"/>
      <c r="H14" s="170"/>
      <c r="I14" s="41"/>
      <c r="J14" s="41"/>
      <c r="K14" s="41"/>
      <c r="L14" s="41"/>
      <c r="M14" s="41"/>
      <c r="N14" s="41"/>
    </row>
    <row r="15" spans="1:20" ht="18.75">
      <c r="A15" s="41"/>
      <c r="B15" s="171" t="s">
        <v>488</v>
      </c>
      <c r="C15" s="171"/>
      <c r="D15" s="105"/>
      <c r="E15" s="105"/>
      <c r="F15" s="105"/>
      <c r="G15" s="105"/>
      <c r="H15" s="41"/>
      <c r="I15" s="41"/>
      <c r="J15" s="41"/>
      <c r="K15" s="41"/>
      <c r="L15" s="41"/>
      <c r="M15" s="41"/>
      <c r="N15" s="41"/>
    </row>
    <row r="16" spans="1:20" ht="18.75">
      <c r="A16" s="41"/>
      <c r="B16" s="105" t="s">
        <v>327</v>
      </c>
      <c r="C16" s="105"/>
      <c r="D16" s="105"/>
      <c r="E16" s="105"/>
      <c r="F16" s="105"/>
      <c r="G16" s="105"/>
      <c r="H16" s="41"/>
      <c r="I16" s="41"/>
      <c r="J16" s="41"/>
      <c r="K16" s="41"/>
      <c r="L16" s="41"/>
      <c r="M16" s="41"/>
      <c r="N16" s="41"/>
    </row>
    <row r="17" spans="1:14" ht="18.75">
      <c r="A17" s="41"/>
      <c r="B17" s="105" t="s">
        <v>486</v>
      </c>
      <c r="C17" s="105"/>
      <c r="D17" s="105"/>
      <c r="E17" s="105"/>
      <c r="F17" s="105"/>
      <c r="G17" s="105"/>
      <c r="H17" s="41"/>
      <c r="I17" s="41"/>
      <c r="J17" s="41"/>
      <c r="K17" s="41"/>
      <c r="L17" s="41"/>
      <c r="M17" s="41"/>
      <c r="N17" s="41"/>
    </row>
    <row r="18" spans="1:14">
      <c r="A18" s="41"/>
      <c r="B18" s="41"/>
      <c r="C18" s="41"/>
      <c r="D18" s="41"/>
      <c r="E18" s="41"/>
      <c r="F18" s="41"/>
      <c r="G18" s="41"/>
      <c r="H18" s="41"/>
      <c r="I18" s="41"/>
      <c r="J18" s="41"/>
      <c r="K18" s="41"/>
      <c r="L18" s="41"/>
      <c r="M18" s="41"/>
      <c r="N18" s="41"/>
    </row>
    <row r="19" spans="1:14">
      <c r="A19" s="41"/>
      <c r="B19" s="95"/>
      <c r="C19" s="95"/>
      <c r="D19" s="95"/>
      <c r="E19" s="95"/>
      <c r="F19" s="41"/>
      <c r="G19" s="41"/>
      <c r="H19" s="41"/>
      <c r="I19" s="41"/>
      <c r="J19" s="41"/>
      <c r="K19" s="41"/>
      <c r="L19" s="41"/>
      <c r="M19" s="41"/>
      <c r="N19" s="41"/>
    </row>
    <row r="20" spans="1:14">
      <c r="A20" s="41"/>
      <c r="B20" s="41"/>
      <c r="C20" s="23"/>
      <c r="D20" s="41"/>
      <c r="E20" s="41"/>
      <c r="F20" s="41"/>
      <c r="G20" s="41"/>
      <c r="H20" s="152"/>
      <c r="I20" s="41"/>
      <c r="J20" s="41"/>
      <c r="K20" s="41"/>
      <c r="L20" s="41"/>
      <c r="M20" s="41"/>
      <c r="N20" s="41"/>
    </row>
    <row r="21" spans="1:14">
      <c r="A21" s="41"/>
      <c r="B21" s="41"/>
      <c r="C21" s="23"/>
      <c r="D21" s="41"/>
      <c r="E21" s="41"/>
      <c r="F21" s="41"/>
      <c r="G21" s="41"/>
      <c r="H21" s="152"/>
      <c r="I21" s="41"/>
      <c r="J21" s="41"/>
      <c r="K21" s="41"/>
      <c r="L21" s="41"/>
      <c r="M21" s="41"/>
      <c r="N21" s="41"/>
    </row>
    <row r="22" spans="1:14">
      <c r="A22" s="41"/>
      <c r="B22" s="41"/>
      <c r="C22" s="23"/>
      <c r="D22" s="41"/>
      <c r="E22" s="41"/>
      <c r="F22" s="41"/>
      <c r="G22" s="41"/>
      <c r="H22" s="152"/>
      <c r="I22" s="41"/>
      <c r="J22" s="41"/>
      <c r="K22" s="41"/>
      <c r="L22" s="41"/>
      <c r="M22" s="41"/>
      <c r="N22" s="41"/>
    </row>
    <row r="23" spans="1:14">
      <c r="A23" s="41"/>
      <c r="B23" s="41"/>
      <c r="C23" s="23"/>
      <c r="D23" s="41"/>
      <c r="E23" s="41"/>
      <c r="F23" s="41"/>
      <c r="G23" s="41"/>
      <c r="H23" s="41"/>
      <c r="I23" s="41"/>
      <c r="J23" s="41"/>
      <c r="K23" s="152"/>
      <c r="L23" s="41"/>
      <c r="M23" s="41"/>
      <c r="N23" s="41"/>
    </row>
    <row r="28" spans="1:14">
      <c r="H28" s="25"/>
    </row>
  </sheetData>
  <sheetProtection password="E9DD" sheet="1" objects="1" scenarios="1" selectLockedCells="1"/>
  <mergeCells count="4">
    <mergeCell ref="H9:J9"/>
    <mergeCell ref="H10:J10"/>
    <mergeCell ref="K9:L10"/>
    <mergeCell ref="F5:H5"/>
  </mergeCells>
  <phoneticPr fontId="2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234"/>
  <sheetViews>
    <sheetView zoomScale="90" zoomScaleNormal="90" workbookViewId="0"/>
  </sheetViews>
  <sheetFormatPr defaultRowHeight="15.75"/>
  <cols>
    <col min="1" max="1" width="5.28515625" customWidth="1"/>
    <col min="2" max="2" width="64.7109375" customWidth="1"/>
    <col min="3" max="3" width="16.7109375" style="25" customWidth="1"/>
    <col min="4" max="4" width="13.5703125" customWidth="1"/>
    <col min="5" max="5" width="5.7109375" customWidth="1"/>
    <col min="6" max="6" width="25.7109375" customWidth="1"/>
    <col min="7" max="7" width="9.7109375" customWidth="1"/>
    <col min="18" max="18" width="14.85546875" customWidth="1"/>
  </cols>
  <sheetData>
    <row r="1" spans="1:23" ht="20.25" thickBot="1">
      <c r="A1" s="90"/>
      <c r="B1" s="90"/>
      <c r="C1" s="120"/>
      <c r="D1" s="90"/>
      <c r="E1" s="90"/>
      <c r="F1" s="90"/>
      <c r="G1" s="65"/>
      <c r="H1" s="65"/>
      <c r="I1" s="65"/>
      <c r="J1" s="66"/>
      <c r="K1" s="66"/>
      <c r="L1" s="66"/>
      <c r="M1" s="66"/>
      <c r="N1" s="66"/>
      <c r="O1" s="66"/>
      <c r="P1" s="66"/>
      <c r="Q1" s="66"/>
      <c r="R1" s="66"/>
      <c r="S1" s="66"/>
      <c r="T1" s="70"/>
      <c r="U1" s="65"/>
      <c r="V1" s="65"/>
      <c r="W1" s="65"/>
    </row>
    <row r="2" spans="1:23">
      <c r="A2" s="41"/>
      <c r="B2" s="622" t="s">
        <v>52</v>
      </c>
      <c r="C2" s="623"/>
      <c r="D2" s="623"/>
      <c r="E2" s="623"/>
      <c r="F2" s="624"/>
      <c r="G2" s="71"/>
      <c r="H2" s="71"/>
      <c r="I2" s="65"/>
      <c r="J2" s="66"/>
      <c r="K2" s="66"/>
      <c r="L2" s="66"/>
      <c r="M2" s="66"/>
      <c r="N2" s="66"/>
      <c r="O2" s="66"/>
      <c r="P2" s="66"/>
      <c r="Q2" s="66"/>
      <c r="R2" s="66"/>
      <c r="S2" s="66"/>
      <c r="T2" s="66"/>
      <c r="U2" s="65"/>
      <c r="V2" s="65"/>
      <c r="W2" s="65"/>
    </row>
    <row r="3" spans="1:23" ht="18.75">
      <c r="A3" s="13"/>
      <c r="B3" s="10" t="s">
        <v>708</v>
      </c>
      <c r="C3" s="16" t="s">
        <v>709</v>
      </c>
      <c r="D3" s="121">
        <f>SQRT(LK_act/Cclamp)*(ID_SR_max*0.9)/NPS</f>
        <v>46.159309117249776</v>
      </c>
      <c r="E3" s="101" t="s">
        <v>14</v>
      </c>
      <c r="F3" s="102"/>
      <c r="G3" s="71"/>
      <c r="H3" s="71"/>
      <c r="I3" s="65"/>
      <c r="J3" s="66"/>
      <c r="K3" s="66"/>
      <c r="L3" s="66"/>
      <c r="M3" s="66"/>
      <c r="N3" s="66"/>
      <c r="O3" s="66"/>
      <c r="P3" s="66"/>
      <c r="Q3" s="66"/>
      <c r="R3" s="66"/>
      <c r="S3" s="66"/>
      <c r="T3" s="66"/>
      <c r="U3" s="65"/>
      <c r="V3" s="65"/>
      <c r="W3" s="65"/>
    </row>
    <row r="4" spans="1:23" ht="18.75">
      <c r="A4" s="13"/>
      <c r="B4" s="10" t="s">
        <v>710</v>
      </c>
      <c r="C4" s="16" t="s">
        <v>711</v>
      </c>
      <c r="D4" s="121">
        <f>SQRT(LK_act/Cclamp)*(IQH_max*0.9)</f>
        <v>83.086756411049592</v>
      </c>
      <c r="E4" s="101" t="s">
        <v>14</v>
      </c>
      <c r="F4" s="102"/>
      <c r="G4" s="71"/>
      <c r="H4" s="71"/>
      <c r="I4" s="65"/>
      <c r="J4" s="66"/>
      <c r="K4" s="66"/>
      <c r="L4" s="66"/>
      <c r="M4" s="66"/>
      <c r="N4" s="66"/>
      <c r="O4" s="66"/>
      <c r="P4" s="66"/>
      <c r="Q4" s="66"/>
      <c r="R4" s="66"/>
      <c r="S4" s="66"/>
      <c r="T4" s="66"/>
      <c r="U4" s="65"/>
      <c r="V4" s="65"/>
      <c r="W4" s="65"/>
    </row>
    <row r="5" spans="1:23" ht="19.5" thickBot="1">
      <c r="A5" s="13"/>
      <c r="B5" s="3" t="s">
        <v>712</v>
      </c>
      <c r="C5" s="17" t="s">
        <v>713</v>
      </c>
      <c r="D5" s="122">
        <f>MIN(Vclamp_max_SR,Vclamp_max_QH)</f>
        <v>46.159309117249776</v>
      </c>
      <c r="E5" s="109" t="s">
        <v>14</v>
      </c>
      <c r="F5" s="108"/>
      <c r="G5" s="71"/>
      <c r="H5" s="65"/>
      <c r="I5" s="65"/>
      <c r="J5" s="66"/>
      <c r="K5" s="66"/>
      <c r="L5" s="66"/>
      <c r="M5" s="66"/>
      <c r="N5" s="66"/>
      <c r="O5" s="66"/>
      <c r="P5" s="66"/>
      <c r="Q5" s="66"/>
      <c r="R5" s="66"/>
      <c r="S5" s="66"/>
      <c r="T5" s="66"/>
      <c r="U5" s="65"/>
      <c r="V5" s="65"/>
      <c r="W5" s="65"/>
    </row>
    <row r="6" spans="1:23" ht="16.5" thickBot="1">
      <c r="A6" s="41"/>
      <c r="B6" s="42"/>
      <c r="C6" s="123"/>
      <c r="D6" s="42"/>
      <c r="E6" s="42"/>
      <c r="F6" s="42"/>
      <c r="G6" s="71"/>
      <c r="H6" s="71"/>
      <c r="I6" s="65"/>
      <c r="J6" s="66"/>
      <c r="K6" s="66"/>
      <c r="L6" s="66"/>
      <c r="M6" s="66"/>
      <c r="N6" s="66"/>
      <c r="O6" s="66"/>
      <c r="P6" s="66"/>
      <c r="Q6" s="66"/>
      <c r="R6" s="72"/>
      <c r="S6" s="66"/>
      <c r="T6" s="66"/>
      <c r="U6" s="65"/>
      <c r="V6" s="65"/>
      <c r="W6" s="65"/>
    </row>
    <row r="7" spans="1:23" ht="21">
      <c r="A7" s="41"/>
      <c r="B7" s="55" t="s">
        <v>1030</v>
      </c>
      <c r="C7" s="124"/>
      <c r="D7" s="56" t="s">
        <v>525</v>
      </c>
      <c r="E7" s="56"/>
      <c r="F7" s="57"/>
      <c r="G7" s="73"/>
      <c r="H7" s="71"/>
      <c r="I7" s="65"/>
      <c r="J7" s="66"/>
      <c r="K7" s="66"/>
      <c r="L7" s="66"/>
      <c r="M7" s="66"/>
      <c r="N7" s="66"/>
      <c r="O7" s="66"/>
      <c r="P7" s="66"/>
      <c r="Q7" s="66"/>
      <c r="R7" s="66"/>
      <c r="S7" s="66"/>
      <c r="T7" s="66"/>
      <c r="U7" s="65"/>
      <c r="V7" s="65"/>
      <c r="W7" s="65"/>
    </row>
    <row r="8" spans="1:23" ht="19.5">
      <c r="A8" s="41"/>
      <c r="B8" s="2" t="s">
        <v>698</v>
      </c>
      <c r="C8" s="15" t="s">
        <v>699</v>
      </c>
      <c r="D8" s="125">
        <f>IF(Vin_type="AC",(NPS*(VOUT+Vf_SR))/(VINPUT_Brownin*1.414+NPS*(VOUT+Vf_SR)),(NPS*(VOUT+Vf_SR))/(VINPUT_Brownin+NPS*(VOUT+Vf_SR)))</f>
        <v>0.41425020712510358</v>
      </c>
      <c r="E8" s="53"/>
      <c r="F8" s="126"/>
      <c r="G8" s="71"/>
      <c r="H8" s="74"/>
      <c r="I8" s="65"/>
      <c r="J8" s="66"/>
      <c r="K8" s="66"/>
      <c r="L8" s="66"/>
      <c r="M8" s="66"/>
      <c r="N8" s="66"/>
      <c r="O8" s="66"/>
      <c r="P8" s="66"/>
      <c r="Q8" s="66"/>
      <c r="R8" s="66"/>
      <c r="S8" s="66"/>
      <c r="T8" s="66"/>
      <c r="U8" s="65"/>
      <c r="V8" s="65"/>
      <c r="W8" s="65"/>
    </row>
    <row r="9" spans="1:23" ht="19.5">
      <c r="A9" s="41"/>
      <c r="B9" s="127" t="s">
        <v>700</v>
      </c>
      <c r="C9" s="128" t="s">
        <v>701</v>
      </c>
      <c r="D9" s="129">
        <f>IF(Vin_type="AC",PO_FL*OPP*0.01/(ηXFMR*1.414*VINPUT_Brownin),PO_FL*OPP*0.01/(ηXFMR*VINPUT_Brownin))</f>
        <v>0.50646805752003765</v>
      </c>
      <c r="E9" s="130" t="s">
        <v>25</v>
      </c>
      <c r="F9" s="126"/>
      <c r="G9" s="71"/>
      <c r="H9" s="74"/>
      <c r="I9" s="65"/>
      <c r="J9" s="66"/>
      <c r="K9" s="66"/>
      <c r="L9" s="66"/>
      <c r="M9" s="66"/>
      <c r="N9" s="66"/>
      <c r="O9" s="66"/>
      <c r="P9" s="66"/>
      <c r="Q9" s="66"/>
      <c r="R9" s="66"/>
      <c r="S9" s="66"/>
      <c r="T9" s="66"/>
      <c r="U9" s="65"/>
      <c r="V9" s="65"/>
      <c r="W9" s="65"/>
    </row>
    <row r="10" spans="1:23" ht="19.5">
      <c r="A10" s="41"/>
      <c r="B10" s="2" t="s">
        <v>702</v>
      </c>
      <c r="C10" s="15" t="s">
        <v>703</v>
      </c>
      <c r="D10" s="131">
        <f>IF(Vin_type="AC",-SQRT(CSWN_T_vbi*(10^-12)/(LM*(10^-6)))*1.414*VINPUT_Brownin,-SQRT(CSWN_T_vbi*(10^-12)/(LM*(10^-6)))*VINPUT_Brownin)</f>
        <v>-0.42591332878103899</v>
      </c>
      <c r="E10" s="132" t="s">
        <v>25</v>
      </c>
      <c r="F10" s="133"/>
      <c r="G10" s="71"/>
      <c r="H10" s="74"/>
      <c r="I10" s="65"/>
      <c r="J10" s="66"/>
      <c r="K10" s="66"/>
      <c r="L10" s="66"/>
      <c r="M10" s="66"/>
      <c r="N10" s="66"/>
      <c r="O10" s="66"/>
      <c r="P10" s="66"/>
      <c r="Q10" s="66"/>
      <c r="R10" s="66"/>
      <c r="S10" s="66"/>
      <c r="T10" s="66"/>
      <c r="U10" s="65"/>
      <c r="V10" s="65"/>
      <c r="W10" s="65"/>
    </row>
    <row r="11" spans="1:23" ht="19.5">
      <c r="A11" s="41"/>
      <c r="B11" s="2" t="s">
        <v>704</v>
      </c>
      <c r="C11" s="15" t="s">
        <v>705</v>
      </c>
      <c r="D11" s="131">
        <f>IF(Vin_type="AC",(1.414*VINPUT_Brownin*DOPP_run^2)/(2*(LM*10^-6)*IIN_OPP_run-DOPP_run*(LM*10^-6)*(IM_nega_run)+DOPP_run*1.414*VINPUT_Brownin*(IF(VINPUT_Brownin&gt;NPS*(VOUT+Vf_SR),3.1416-ACOS(NPS*(VOUT+Vf_SR)/VINPUT_Brownin),3.1416-ACOS(VINPUT_Brownin/(NPS*(VOUT+Vf_SR)))))*SQRT((LM*10^-6)*(CSWN_T_vbi*10^-12)))/1000,(VINPUT_Brownin*DOPP_run^2)/(2*(LM*10^-6)*IIN_OPP_run-DOPP_run*(LM*10^-6)*(IM_nega_run)+DOPP_run*VINPUT_Brownin*(IF(VINPUT_Brownin&gt;NPS*(VOUT+Vf_SR),3.1416-ACOS(NPS*(VOUT+Vf_SR)/VINPUT_Brownin),3.1416-ACOS(VINPUT_Brownin/(NPS*(VOUT+Vf_SR)))))*SQRT((LM*10^-6)*(CSWN_T_vbi*10^-12)))/1000)</f>
        <v>101.207074623124</v>
      </c>
      <c r="E11" s="132" t="s">
        <v>10</v>
      </c>
      <c r="F11" s="134"/>
      <c r="G11" s="71"/>
      <c r="H11" s="74"/>
      <c r="I11" s="65"/>
      <c r="J11" s="66"/>
      <c r="K11" s="66"/>
      <c r="L11" s="66"/>
      <c r="M11" s="66"/>
      <c r="N11" s="66"/>
      <c r="O11" s="75"/>
      <c r="P11" s="66"/>
      <c r="Q11" s="67"/>
      <c r="R11" s="58"/>
      <c r="S11" s="66"/>
      <c r="T11" s="66"/>
      <c r="U11" s="65"/>
      <c r="V11" s="65"/>
      <c r="W11" s="65"/>
    </row>
    <row r="12" spans="1:23" ht="19.5" thickBot="1">
      <c r="A12" s="41"/>
      <c r="B12" s="3" t="s">
        <v>706</v>
      </c>
      <c r="C12" s="17" t="s">
        <v>707</v>
      </c>
      <c r="D12" s="122">
        <f>SQRT(IM_nega_run^2+2*(PO_FL*OPP*0.01/ηXFMR)*(1/(fsw_OPP_run*1000*LM*10^-6)))</f>
        <v>3.2363299472315328</v>
      </c>
      <c r="E12" s="54" t="s">
        <v>25</v>
      </c>
      <c r="F12" s="135"/>
      <c r="G12" s="71"/>
      <c r="H12" s="76"/>
      <c r="I12" s="65"/>
      <c r="J12" s="66"/>
      <c r="K12" s="66"/>
      <c r="L12" s="66"/>
      <c r="M12" s="66"/>
      <c r="N12" s="66"/>
      <c r="O12" s="66"/>
      <c r="P12" s="66"/>
      <c r="Q12" s="66"/>
      <c r="R12" s="66"/>
      <c r="S12" s="66"/>
      <c r="T12" s="66"/>
      <c r="U12" s="65"/>
      <c r="V12" s="65"/>
      <c r="W12" s="65"/>
    </row>
    <row r="13" spans="1:23" ht="16.5" thickBot="1">
      <c r="A13" s="41"/>
      <c r="B13" s="42"/>
      <c r="C13" s="123"/>
      <c r="D13" s="42"/>
      <c r="E13" s="42"/>
      <c r="F13" s="42"/>
      <c r="G13" s="71"/>
      <c r="H13" s="71"/>
      <c r="I13" s="65"/>
      <c r="J13" s="66"/>
      <c r="K13" s="66"/>
      <c r="L13" s="66"/>
      <c r="M13" s="66"/>
      <c r="N13" s="66"/>
      <c r="O13" s="66"/>
      <c r="P13" s="66"/>
      <c r="Q13" s="66"/>
      <c r="R13" s="66"/>
      <c r="S13" s="66"/>
      <c r="T13" s="66"/>
      <c r="U13" s="65"/>
      <c r="V13" s="65"/>
      <c r="W13" s="65"/>
    </row>
    <row r="14" spans="1:23" ht="21">
      <c r="A14" s="41"/>
      <c r="B14" s="55" t="s">
        <v>39</v>
      </c>
      <c r="C14" s="18"/>
      <c r="D14" s="56" t="s">
        <v>526</v>
      </c>
      <c r="E14" s="56"/>
      <c r="F14" s="57"/>
      <c r="G14" s="73"/>
      <c r="H14" s="71"/>
      <c r="I14" s="65"/>
      <c r="J14" s="66"/>
      <c r="K14" s="66"/>
      <c r="L14" s="66"/>
      <c r="M14" s="66"/>
      <c r="N14" s="66"/>
      <c r="O14" s="66"/>
      <c r="P14" s="66"/>
      <c r="Q14" s="66"/>
      <c r="R14" s="66"/>
      <c r="S14" s="66"/>
      <c r="T14" s="66"/>
      <c r="U14" s="65"/>
      <c r="V14" s="65"/>
      <c r="W14" s="65"/>
    </row>
    <row r="15" spans="1:23" ht="19.5">
      <c r="A15" s="41"/>
      <c r="B15" s="100" t="s">
        <v>681</v>
      </c>
      <c r="C15" s="15" t="s">
        <v>682</v>
      </c>
      <c r="D15" s="131">
        <f>IF(Vin_type="AC",-SQRT(CSWN_T_vmin*(10^-12)/(LM*(10^-6)))*NPS*VOUT,-SQRT(CSWN_T_vmin*(10^-12)/(LM*(10^-6)))*NPS*VOUT)</f>
        <v>-0.31069789965251587</v>
      </c>
      <c r="E15" s="136" t="s">
        <v>25</v>
      </c>
      <c r="F15" s="126"/>
      <c r="G15" s="69"/>
      <c r="H15" s="74"/>
      <c r="I15" s="65"/>
      <c r="J15" s="66"/>
      <c r="K15" s="66"/>
      <c r="L15" s="66"/>
      <c r="M15" s="66"/>
      <c r="N15" s="66"/>
      <c r="O15" s="66"/>
      <c r="P15" s="77"/>
      <c r="Q15" s="66"/>
      <c r="R15" s="66"/>
      <c r="S15" s="66"/>
      <c r="T15" s="66"/>
      <c r="U15" s="65"/>
      <c r="V15" s="65"/>
      <c r="W15" s="65"/>
    </row>
    <row r="16" spans="1:23" ht="19.5">
      <c r="A16" s="41"/>
      <c r="B16" s="2" t="s">
        <v>683</v>
      </c>
      <c r="C16" s="15" t="s">
        <v>684</v>
      </c>
      <c r="D16" s="131">
        <f>SQRT(IM_nega_OPP_min^2+2*(PO_FL*OPP*0.01/ηXFMR)*(1/(fsw_OPP_min*1000*LM*10^-6)))</f>
        <v>3.5594598749818136</v>
      </c>
      <c r="E16" s="136" t="s">
        <v>25</v>
      </c>
      <c r="F16" s="126"/>
      <c r="G16" s="71"/>
      <c r="H16" s="74"/>
      <c r="I16" s="65"/>
      <c r="J16" s="66"/>
      <c r="K16" s="66"/>
      <c r="L16" s="66"/>
      <c r="M16" s="66"/>
      <c r="N16" s="66"/>
      <c r="O16" s="66"/>
      <c r="P16" s="66"/>
      <c r="Q16" s="66"/>
      <c r="R16" s="66"/>
      <c r="S16" s="66"/>
      <c r="T16" s="66"/>
      <c r="U16" s="65"/>
      <c r="V16" s="65"/>
      <c r="W16" s="65"/>
    </row>
    <row r="17" spans="1:23" ht="19.5">
      <c r="A17" s="41"/>
      <c r="B17" s="2" t="s">
        <v>685</v>
      </c>
      <c r="C17" s="15" t="s">
        <v>686</v>
      </c>
      <c r="D17" s="131">
        <f>IF(Vin_type="AC",(VBulk_min_tgt*DOPP_min^2)/(2*(LM*10^-6)*IIN_OPP_min-DOPP_min*(LM*10^-6)*(IM_nega_OPP_min)+DOPP_min*VBulk_min_tgt*(IF(VBulk_min_tgt&gt;NPS*(VOUT+Vf_SR),3.1416-ACOS(NPS*(VOUT+Vf_SR)/VBulk_min_tgt),3.1416-ACOS(VBulk_min_tgt/(NPS*(VOUT+Vf_SR)))))*SQRT((LM*10^-6)*(CSWN_T_vmin*10^-12)))/1000,(VBulk_min_tgt*DOPP_min^2)/(2*(LM*10^-6)*IIN_OPP_min-DOPP_min*(LM*10^-6)*(IM_nega_OPP_min)+DOPP_min*VBulk_min_tgt*(IF(VBulk_min_tgt&gt;NPS*(VOUT+Vf_SR),3.1416-ACOS(NPS*(VOUT+Vf_SR)/VBulk_min_tgt),3.1416-ACOS(VBulk_min_tgt/(NPS*(VOUT+Vf_SR)))))*SQRT((LM*10^-6)*(CSWN_T_vmin*10^-12)))/1000)</f>
        <v>82.848033303412365</v>
      </c>
      <c r="E17" s="136" t="s">
        <v>10</v>
      </c>
      <c r="F17" s="126"/>
      <c r="G17" s="71"/>
      <c r="H17" s="65"/>
      <c r="I17" s="74"/>
      <c r="J17" s="66"/>
      <c r="K17" s="66"/>
      <c r="L17" s="66"/>
      <c r="M17" s="66"/>
      <c r="N17" s="75"/>
      <c r="O17" s="66"/>
      <c r="P17" s="66"/>
      <c r="Q17" s="66"/>
      <c r="R17" s="66"/>
      <c r="S17" s="66"/>
      <c r="T17" s="66"/>
      <c r="U17" s="65"/>
      <c r="V17" s="65"/>
      <c r="W17" s="65"/>
    </row>
    <row r="18" spans="1:23" ht="19.5">
      <c r="A18" s="41"/>
      <c r="B18" s="2" t="s">
        <v>687</v>
      </c>
      <c r="C18" s="15" t="s">
        <v>688</v>
      </c>
      <c r="D18" s="125">
        <f>IF(Vin_type="AC",PO_FL*OPP*0.01/(ηXFMR*VBulk_min_tgt),PO_FL*OPP*0.01/(ηXFMR*VBulk_min_tgt))</f>
        <v>0.81845238095238093</v>
      </c>
      <c r="E18" s="50" t="s">
        <v>25</v>
      </c>
      <c r="F18" s="126"/>
      <c r="G18" s="71"/>
      <c r="H18" s="74"/>
      <c r="I18" s="65"/>
      <c r="J18" s="66"/>
      <c r="K18" s="59"/>
      <c r="L18" s="66"/>
      <c r="M18" s="66"/>
      <c r="N18" s="66"/>
      <c r="O18" s="72"/>
      <c r="P18" s="66"/>
      <c r="Q18" s="66"/>
      <c r="R18" s="66"/>
      <c r="S18" s="66"/>
      <c r="T18" s="66"/>
      <c r="U18" s="65"/>
      <c r="V18" s="65"/>
      <c r="W18" s="65"/>
    </row>
    <row r="19" spans="1:23" ht="19.5">
      <c r="A19" s="41"/>
      <c r="B19" s="10" t="s">
        <v>689</v>
      </c>
      <c r="C19" s="15" t="s">
        <v>690</v>
      </c>
      <c r="D19" s="125">
        <f>IF(Vin_type="AC",(NPS*(VOUT+Vf_SR))/(VBulk_min_tgt+NPS*(VOUT+Vf_SR)),(NPS*(VOUT+Vf_SR))/(VBulk_min_tgt+NPS*(VOUT+Vf_SR)))</f>
        <v>0.53333333333333333</v>
      </c>
      <c r="E19" s="110"/>
      <c r="F19" s="137"/>
      <c r="G19" s="71"/>
      <c r="H19" s="74"/>
      <c r="I19" s="65"/>
      <c r="J19" s="66"/>
      <c r="K19" s="66"/>
      <c r="L19" s="66"/>
      <c r="M19" s="66"/>
      <c r="N19" s="66"/>
      <c r="O19" s="66"/>
      <c r="P19" s="66"/>
      <c r="Q19" s="67"/>
      <c r="R19" s="58"/>
      <c r="S19" s="66"/>
      <c r="T19" s="66"/>
      <c r="U19" s="65"/>
      <c r="V19" s="65"/>
      <c r="W19" s="65"/>
    </row>
    <row r="20" spans="1:23" ht="19.5">
      <c r="A20" s="41"/>
      <c r="B20" s="10" t="s">
        <v>691</v>
      </c>
      <c r="C20" s="15" t="s">
        <v>692</v>
      </c>
      <c r="D20" s="125">
        <f>IF(Vin_type="AC",ipk_OPP_min*LM/(VBulk_min_tgt),ipk_OPP_min*LM/(VBulk_min_tgt))</f>
        <v>5.5934369463999927</v>
      </c>
      <c r="E20" s="50" t="s">
        <v>28</v>
      </c>
      <c r="F20" s="126"/>
      <c r="G20" s="71"/>
      <c r="H20" s="74"/>
      <c r="I20" s="65"/>
      <c r="J20" s="66"/>
      <c r="K20" s="66"/>
      <c r="L20" s="66"/>
      <c r="M20" s="66"/>
      <c r="N20" s="66"/>
      <c r="O20" s="66"/>
      <c r="P20" s="66"/>
      <c r="Q20" s="66"/>
      <c r="R20" s="66"/>
      <c r="S20" s="66"/>
      <c r="T20" s="66"/>
      <c r="U20" s="65"/>
      <c r="V20" s="65"/>
      <c r="W20" s="65"/>
    </row>
    <row r="21" spans="1:23" ht="19.5">
      <c r="A21" s="41"/>
      <c r="B21" s="10" t="s">
        <v>369</v>
      </c>
      <c r="C21" s="15" t="s">
        <v>693</v>
      </c>
      <c r="D21" s="125">
        <f>(Vxl*CSW_0toVx*(10^-12)/ipk_OPP_min)/(10^-9)</f>
        <v>33.95549233452661</v>
      </c>
      <c r="E21" s="50" t="s">
        <v>277</v>
      </c>
      <c r="F21" s="126"/>
      <c r="G21" s="71"/>
      <c r="H21" s="74"/>
      <c r="I21" s="65"/>
      <c r="J21" s="66"/>
      <c r="K21" s="66"/>
      <c r="L21" s="66"/>
      <c r="M21" s="66"/>
      <c r="N21" s="66"/>
      <c r="O21" s="66"/>
      <c r="P21" s="66"/>
      <c r="Q21" s="66"/>
      <c r="R21" s="66"/>
      <c r="S21" s="66"/>
      <c r="T21" s="66"/>
      <c r="U21" s="65"/>
      <c r="V21" s="65"/>
      <c r="W21" s="65"/>
    </row>
    <row r="22" spans="1:23" ht="18.75">
      <c r="A22" s="41"/>
      <c r="B22" s="10" t="s">
        <v>694</v>
      </c>
      <c r="C22" s="16" t="s">
        <v>695</v>
      </c>
      <c r="D22" s="121">
        <f>COSS_QL_bg + COSS_QH_sm + CTr+CBootD_T + (COSS_SR_H)/NPS^2 + (CDaux_H)/(NP/NA)^2</f>
        <v>5035.9671875000004</v>
      </c>
      <c r="E22" s="110" t="s">
        <v>42</v>
      </c>
      <c r="F22" s="112"/>
      <c r="G22" s="71"/>
      <c r="H22" s="65"/>
      <c r="I22" s="65"/>
      <c r="J22" s="66"/>
      <c r="K22" s="66"/>
      <c r="L22" s="66"/>
      <c r="M22" s="66"/>
      <c r="N22" s="66"/>
      <c r="O22" s="66"/>
      <c r="P22" s="66"/>
      <c r="Q22" s="66"/>
      <c r="R22" s="66"/>
      <c r="S22" s="66"/>
      <c r="T22" s="66"/>
      <c r="U22" s="65"/>
      <c r="V22" s="65"/>
      <c r="W22" s="65"/>
    </row>
    <row r="23" spans="1:23" ht="20.25" thickBot="1">
      <c r="A23" s="41"/>
      <c r="B23" s="3" t="s">
        <v>696</v>
      </c>
      <c r="C23" s="17" t="s">
        <v>697</v>
      </c>
      <c r="D23" s="122">
        <f>TD_CS_filter + tD_CS + TD_LDr + TD_Ql_Coss_vmin</f>
        <v>173.95549233452661</v>
      </c>
      <c r="E23" s="19" t="s">
        <v>44</v>
      </c>
      <c r="F23" s="135"/>
      <c r="G23" s="78"/>
      <c r="H23" s="74"/>
      <c r="I23" s="65"/>
      <c r="J23" s="59"/>
      <c r="K23" s="66"/>
      <c r="L23" s="66"/>
      <c r="M23" s="66"/>
      <c r="N23" s="66"/>
      <c r="O23" s="66"/>
      <c r="P23" s="66"/>
      <c r="Q23" s="66"/>
      <c r="R23" s="66"/>
      <c r="S23" s="66"/>
      <c r="T23" s="66"/>
      <c r="U23" s="65"/>
      <c r="V23" s="65"/>
      <c r="W23" s="65"/>
    </row>
    <row r="24" spans="1:23" ht="16.5" thickBot="1">
      <c r="A24" s="41"/>
      <c r="B24" s="42"/>
      <c r="C24" s="123"/>
      <c r="D24" s="42"/>
      <c r="E24" s="42"/>
      <c r="F24" s="42"/>
      <c r="G24" s="71"/>
      <c r="H24" s="65"/>
      <c r="I24" s="65"/>
      <c r="J24" s="66"/>
      <c r="K24" s="66"/>
      <c r="L24" s="66"/>
      <c r="M24" s="66"/>
      <c r="N24" s="66"/>
      <c r="O24" s="66"/>
      <c r="P24" s="66"/>
      <c r="Q24" s="66"/>
      <c r="R24" s="66"/>
      <c r="S24" s="66"/>
      <c r="T24" s="66"/>
      <c r="U24" s="65"/>
      <c r="V24" s="65"/>
      <c r="W24" s="65"/>
    </row>
    <row r="25" spans="1:23" ht="21">
      <c r="A25" s="41"/>
      <c r="B25" s="55" t="s">
        <v>45</v>
      </c>
      <c r="C25" s="18"/>
      <c r="D25" s="56" t="s">
        <v>527</v>
      </c>
      <c r="E25" s="56"/>
      <c r="F25" s="57"/>
      <c r="G25" s="73"/>
      <c r="H25" s="65"/>
      <c r="I25" s="65"/>
      <c r="J25" s="66"/>
      <c r="K25" s="66"/>
      <c r="L25" s="66"/>
      <c r="M25" s="66"/>
      <c r="N25" s="66"/>
      <c r="O25" s="66"/>
      <c r="P25" s="66"/>
      <c r="Q25" s="66"/>
      <c r="R25" s="66"/>
      <c r="S25" s="66"/>
      <c r="T25" s="66"/>
      <c r="U25" s="65"/>
      <c r="V25" s="65"/>
      <c r="W25" s="65"/>
    </row>
    <row r="26" spans="1:23" ht="21">
      <c r="A26" s="41"/>
      <c r="B26" s="10" t="s">
        <v>368</v>
      </c>
      <c r="C26" s="15" t="s">
        <v>660</v>
      </c>
      <c r="D26" s="125">
        <f>(Vxl*CSW_0toVx*(10^-12)/ipk_OPP_max)/(10^-9)</f>
        <v>40.523504057602125</v>
      </c>
      <c r="E26" s="53" t="s">
        <v>277</v>
      </c>
      <c r="F26" s="138"/>
      <c r="G26" s="73"/>
      <c r="H26" s="65"/>
      <c r="I26" s="65"/>
      <c r="J26" s="66"/>
      <c r="K26" s="66"/>
      <c r="L26" s="66"/>
      <c r="M26" s="66"/>
      <c r="N26" s="66"/>
      <c r="O26" s="66"/>
      <c r="P26" s="66"/>
      <c r="Q26" s="66"/>
      <c r="R26" s="66"/>
      <c r="S26" s="66"/>
      <c r="T26" s="66"/>
      <c r="U26" s="65"/>
      <c r="V26" s="65"/>
      <c r="W26" s="65"/>
    </row>
    <row r="27" spans="1:23" ht="21">
      <c r="A27" s="41"/>
      <c r="B27" s="2" t="s">
        <v>661</v>
      </c>
      <c r="C27" s="107" t="s">
        <v>662</v>
      </c>
      <c r="D27" s="125">
        <f>TD_CS_filter+tD_CS+TD_LDr+TD_Ql_Coss_vmax</f>
        <v>180.52350405760211</v>
      </c>
      <c r="E27" s="53" t="s">
        <v>277</v>
      </c>
      <c r="F27" s="138"/>
      <c r="G27" s="73"/>
      <c r="H27" s="65"/>
      <c r="I27" s="65"/>
      <c r="J27" s="66"/>
      <c r="K27" s="66"/>
      <c r="L27" s="66"/>
      <c r="M27" s="66"/>
      <c r="N27" s="66"/>
      <c r="O27" s="66"/>
      <c r="P27" s="66"/>
      <c r="Q27" s="66"/>
      <c r="R27" s="66"/>
      <c r="S27" s="66"/>
      <c r="T27" s="66"/>
      <c r="U27" s="65"/>
      <c r="V27" s="65"/>
      <c r="W27" s="65"/>
    </row>
    <row r="28" spans="1:23" ht="19.5">
      <c r="A28" s="41"/>
      <c r="B28" s="127" t="s">
        <v>663</v>
      </c>
      <c r="C28" s="128" t="s">
        <v>664</v>
      </c>
      <c r="D28" s="139">
        <f>IF(Vin_type="AC",-SQRT(CSWN_T_vmax*(10^-12)/(LM*(10^-6)))*1.414*VINPUT_max,-SQRT(CSWN_T_vmax*(10^-12)/(LM*(10^-6)))*VINPUT_max)</f>
        <v>-0.98052245796341764</v>
      </c>
      <c r="E28" s="140" t="s">
        <v>25</v>
      </c>
      <c r="F28" s="126"/>
      <c r="G28" s="71"/>
      <c r="H28" s="74"/>
      <c r="I28" s="65"/>
      <c r="J28" s="66"/>
      <c r="K28" s="72"/>
      <c r="L28" s="66"/>
      <c r="M28" s="66"/>
      <c r="N28" s="66"/>
      <c r="O28" s="66"/>
      <c r="P28" s="66"/>
      <c r="Q28" s="66"/>
      <c r="R28" s="66"/>
      <c r="S28" s="66"/>
      <c r="T28" s="66"/>
      <c r="U28" s="65"/>
      <c r="V28" s="65"/>
      <c r="W28" s="65"/>
    </row>
    <row r="29" spans="1:23" ht="19.5">
      <c r="A29" s="41"/>
      <c r="B29" s="2" t="s">
        <v>665</v>
      </c>
      <c r="C29" s="15" t="s">
        <v>666</v>
      </c>
      <c r="D29" s="131">
        <f>IF(Vin_type="AC",(1.414*VINPUT_max*DOPP_max^2)/(2*(LM*10^-6)*IIN_OPP_max-DOPP_max*(LM*10^-6)*(IM_nega_max)+DOPP_max*1.414*VINPUT_max*(IF(VINPUT_max&gt;NPS*(VOUT+Vf_SR),3.1416-ACOS(NPS*(VOUT+Vf_SR)/VINPUT_max),3.1416-ACOS(VINPUT_max/(NPS*(VOUT+Vf_SR)))))*SQRT((LM*10^-6)*(CSWN_T_vmax*10^-12)))/1000,(VINPUT_max*DOPP_max^2)/(2*(LM*10^-6)*IIN_OPP_max-DOPP_max*(LM*10^-6)*(IM_nega_max)+DOPP_max*VINPUT_max*(IF(VINPUT_max&gt;NPS*(VOUT+Vf_SR),3.1416-ACOS(NPS*(VOUT+Vf_SR)/VINPUT_max),3.1416-ACOS(VINPUT_max/(NPS*(VOUT+Vf_SR)))))*SQRT((LM*10^-6)*(CSWN_T_vmax*10^-12)))/1000)</f>
        <v>131.28890678883997</v>
      </c>
      <c r="E29" s="136" t="s">
        <v>10</v>
      </c>
      <c r="F29" s="126"/>
      <c r="G29" s="71"/>
      <c r="H29" s="74"/>
      <c r="I29" s="65"/>
      <c r="J29" s="66"/>
      <c r="K29" s="66"/>
      <c r="L29" s="68"/>
      <c r="M29" s="66"/>
      <c r="N29" s="66"/>
      <c r="O29" s="66"/>
      <c r="P29" s="66"/>
      <c r="Q29" s="66"/>
      <c r="R29" s="66"/>
      <c r="S29" s="66"/>
      <c r="T29" s="66"/>
      <c r="U29" s="65"/>
      <c r="V29" s="65"/>
      <c r="W29" s="65"/>
    </row>
    <row r="30" spans="1:23" ht="19.5">
      <c r="A30" s="41"/>
      <c r="B30" s="2" t="s">
        <v>667</v>
      </c>
      <c r="C30" s="15" t="s">
        <v>668</v>
      </c>
      <c r="D30" s="125">
        <f>SQRT(IM_nega_max^2+2*(PO_FL*OPP*0.01/ηXFMR)*(1/(fsw_OPP_max*1000*LM*10^-6)))</f>
        <v>2.9825459399611405</v>
      </c>
      <c r="E30" s="50" t="s">
        <v>25</v>
      </c>
      <c r="F30" s="126"/>
      <c r="G30" s="71"/>
      <c r="H30" s="74"/>
      <c r="I30" s="65"/>
      <c r="J30" s="66"/>
      <c r="K30" s="66"/>
      <c r="L30" s="66"/>
      <c r="M30" s="66"/>
      <c r="N30" s="66"/>
      <c r="O30" s="75"/>
      <c r="P30" s="72"/>
      <c r="Q30" s="67"/>
      <c r="R30" s="58"/>
      <c r="S30" s="66"/>
      <c r="T30" s="66"/>
      <c r="U30" s="65"/>
      <c r="V30" s="65"/>
      <c r="W30" s="65"/>
    </row>
    <row r="31" spans="1:23" ht="19.5">
      <c r="A31" s="41"/>
      <c r="B31" s="10" t="s">
        <v>669</v>
      </c>
      <c r="C31" s="15" t="s">
        <v>670</v>
      </c>
      <c r="D31" s="125">
        <f>IF(Vin_type="AC",(NPS*(VOUT+Vf_SR))/(1.414*VINPUT_max+NPS*(VOUT+Vf_SR)),(NPS*(VOUT+Vf_SR))/(VINPUT_max+NPS*(VOUT+Vf_SR)))</f>
        <v>0.17648512230418975</v>
      </c>
      <c r="E31" s="50"/>
      <c r="F31" s="137"/>
      <c r="G31" s="71"/>
      <c r="H31" s="74"/>
      <c r="I31" s="65"/>
      <c r="J31" s="66"/>
      <c r="K31" s="66"/>
      <c r="L31" s="66"/>
      <c r="M31" s="66"/>
      <c r="N31" s="66"/>
      <c r="O31" s="66"/>
      <c r="P31" s="66"/>
      <c r="Q31" s="66"/>
      <c r="R31" s="66"/>
      <c r="S31" s="66"/>
      <c r="T31" s="66"/>
      <c r="U31" s="65"/>
      <c r="V31" s="65"/>
      <c r="W31" s="65"/>
    </row>
    <row r="32" spans="1:23" ht="19.5">
      <c r="A32" s="41"/>
      <c r="B32" s="2" t="s">
        <v>671</v>
      </c>
      <c r="C32" s="15" t="s">
        <v>672</v>
      </c>
      <c r="D32" s="125">
        <f>IF(Vin_type="AC",PO_FL*OPP*0.01/(ηXFMR*1.414*VINPUT_max),PO_FL*OPP*0.01/(ηXFMR*VINPUT_max))</f>
        <v>0.15347516894546598</v>
      </c>
      <c r="E32" s="50" t="s">
        <v>25</v>
      </c>
      <c r="F32" s="126"/>
      <c r="G32" s="71"/>
      <c r="H32" s="74"/>
      <c r="I32" s="65"/>
      <c r="J32" s="66"/>
      <c r="K32" s="66"/>
      <c r="L32" s="66"/>
      <c r="M32" s="66"/>
      <c r="N32" s="66"/>
      <c r="O32" s="66"/>
      <c r="P32" s="66"/>
      <c r="Q32" s="66"/>
      <c r="R32" s="66"/>
      <c r="S32" s="66"/>
      <c r="T32" s="66"/>
      <c r="U32" s="65"/>
      <c r="V32" s="65"/>
      <c r="W32" s="65"/>
    </row>
    <row r="33" spans="1:23" ht="18.75" customHeight="1">
      <c r="A33" s="41"/>
      <c r="B33" s="104" t="s">
        <v>673</v>
      </c>
      <c r="C33" s="15" t="s">
        <v>674</v>
      </c>
      <c r="D33" s="125">
        <f>IF(Vin_type="AC", 1.414*VINPUT_max*RCS*(tD_CST_vmax*10^-9)/(LM*10^-6), VINPUT_max*RCS*(tD_CST_vmax*10^-9)/(LM*10^-6))</f>
        <v>0.11027242140657814</v>
      </c>
      <c r="E33" s="110" t="s">
        <v>43</v>
      </c>
      <c r="F33" s="137"/>
      <c r="G33" s="71"/>
      <c r="H33" s="74"/>
      <c r="I33" s="65"/>
      <c r="J33" s="66"/>
      <c r="K33" s="66"/>
      <c r="L33" s="66"/>
      <c r="M33" s="66"/>
      <c r="N33" s="66"/>
      <c r="O33" s="66"/>
      <c r="P33" s="66"/>
      <c r="Q33" s="66"/>
      <c r="R33" s="66"/>
      <c r="S33" s="66"/>
      <c r="T33" s="66"/>
      <c r="U33" s="65"/>
      <c r="V33" s="65"/>
      <c r="W33" s="65"/>
    </row>
    <row r="34" spans="1:23" ht="19.5">
      <c r="A34" s="41"/>
      <c r="B34" s="10" t="s">
        <v>675</v>
      </c>
      <c r="C34" s="15" t="s">
        <v>676</v>
      </c>
      <c r="D34" s="125">
        <f>IF(Vin_type="AC",(((1.414*VINPUT_max-VR_pri_max-VLk_pri_max)*NA/NP-Vs_clamp)/(RVS_1*1000)-Vs_clamp/(RVS_2*1000))*10^3,(((VINPUT_max-VR_pri_max-VLk_pri_max)*NA/NP-Vs_clamp)/(RVS_1*1000)-Vs_clamp/(RVS_2*1000))*10^3)</f>
        <v>1.1989121906482874</v>
      </c>
      <c r="E34" s="50" t="s">
        <v>47</v>
      </c>
      <c r="F34" s="141"/>
      <c r="G34" s="71"/>
      <c r="H34" s="74"/>
      <c r="I34" s="65"/>
      <c r="J34" s="66"/>
      <c r="K34" s="66"/>
      <c r="L34" s="66"/>
      <c r="M34" s="66"/>
      <c r="N34" s="66"/>
      <c r="O34" s="66"/>
      <c r="P34" s="66"/>
      <c r="Q34" s="66"/>
      <c r="R34" s="66"/>
      <c r="S34" s="66"/>
      <c r="T34" s="66"/>
      <c r="U34" s="65"/>
      <c r="V34" s="65"/>
      <c r="W34" s="65"/>
    </row>
    <row r="35" spans="1:23" ht="19.5">
      <c r="A35" s="41"/>
      <c r="B35" s="10" t="s">
        <v>677</v>
      </c>
      <c r="C35" s="16" t="s">
        <v>678</v>
      </c>
      <c r="D35" s="121">
        <f>ipk_OPP_max*(Rpri_dc + RDSon_QL + RCS )</f>
        <v>1.6702257263782387</v>
      </c>
      <c r="E35" s="110" t="s">
        <v>43</v>
      </c>
      <c r="F35" s="137"/>
      <c r="G35" s="74"/>
      <c r="H35" s="65"/>
      <c r="I35" s="65"/>
      <c r="J35" s="66"/>
      <c r="K35" s="66"/>
      <c r="L35" s="66"/>
      <c r="M35" s="66"/>
      <c r="N35" s="66"/>
      <c r="O35" s="66"/>
      <c r="P35" s="66"/>
      <c r="Q35" s="66"/>
      <c r="R35" s="66"/>
      <c r="S35" s="66"/>
      <c r="T35" s="66"/>
      <c r="U35" s="65"/>
      <c r="V35" s="65"/>
      <c r="W35" s="65"/>
    </row>
    <row r="36" spans="1:23" ht="20.25" thickBot="1">
      <c r="A36" s="41"/>
      <c r="B36" s="3" t="s">
        <v>679</v>
      </c>
      <c r="C36" s="17" t="s">
        <v>680</v>
      </c>
      <c r="D36" s="122">
        <f>IF(Vin_type="AC",1.414*VINPUT_max/LM*LK_act,VINPUT_max/LM*LK_act)</f>
        <v>8.484</v>
      </c>
      <c r="E36" s="19" t="s">
        <v>43</v>
      </c>
      <c r="F36" s="142"/>
      <c r="G36" s="71"/>
      <c r="H36" s="74"/>
      <c r="I36" s="65"/>
      <c r="J36" s="66"/>
      <c r="K36" s="66"/>
      <c r="L36" s="66"/>
      <c r="M36" s="66"/>
      <c r="N36" s="66"/>
      <c r="O36" s="66"/>
      <c r="P36" s="66"/>
      <c r="Q36" s="66"/>
      <c r="R36" s="66"/>
      <c r="S36" s="66"/>
      <c r="T36" s="66"/>
      <c r="U36" s="65"/>
      <c r="V36" s="65"/>
      <c r="W36" s="65"/>
    </row>
    <row r="37" spans="1:23" ht="16.5" thickBot="1">
      <c r="A37" s="41"/>
      <c r="B37" s="42"/>
      <c r="C37" s="123"/>
      <c r="D37" s="42"/>
      <c r="E37" s="42"/>
      <c r="F37" s="42"/>
      <c r="G37" s="71"/>
      <c r="H37" s="71"/>
      <c r="I37" s="65"/>
      <c r="J37" s="66"/>
      <c r="K37" s="66"/>
      <c r="L37" s="66"/>
      <c r="M37" s="66"/>
      <c r="N37" s="66"/>
      <c r="O37" s="66"/>
      <c r="P37" s="66"/>
      <c r="Q37" s="66"/>
      <c r="R37" s="66"/>
      <c r="S37" s="66"/>
      <c r="T37" s="66"/>
      <c r="U37" s="65"/>
      <c r="V37" s="65"/>
      <c r="W37" s="65"/>
    </row>
    <row r="38" spans="1:23" ht="21">
      <c r="A38" s="41"/>
      <c r="B38" s="55" t="s">
        <v>54</v>
      </c>
      <c r="C38" s="18"/>
      <c r="D38" s="56" t="s">
        <v>528</v>
      </c>
      <c r="E38" s="56"/>
      <c r="F38" s="57"/>
      <c r="G38" s="73"/>
      <c r="H38" s="71"/>
      <c r="I38" s="65"/>
      <c r="J38" s="66"/>
      <c r="K38" s="66"/>
      <c r="L38" s="66"/>
      <c r="M38" s="66"/>
      <c r="N38" s="66"/>
      <c r="O38" s="66"/>
      <c r="P38" s="66"/>
      <c r="Q38" s="66"/>
      <c r="R38" s="66"/>
      <c r="S38" s="66"/>
      <c r="T38" s="66"/>
      <c r="U38" s="65"/>
      <c r="V38" s="65"/>
      <c r="W38" s="65"/>
    </row>
    <row r="39" spans="1:23" ht="19.5">
      <c r="A39" s="41"/>
      <c r="B39" s="100" t="s">
        <v>644</v>
      </c>
      <c r="C39" s="15" t="s">
        <v>645</v>
      </c>
      <c r="D39" s="125">
        <f>IF(Vin_type="AC",-SQRT(CSWN_T_vbur*(10^-12)/(LM*(10^-6)))*1.414*VINPUT_BUR,-SQRT(CSWN_T_vbur*(10^-12)/(LM*(10^-6)))*VINPUT_BUR)</f>
        <v>-0.89617855575952865</v>
      </c>
      <c r="E39" s="50" t="s">
        <v>25</v>
      </c>
      <c r="F39" s="126"/>
      <c r="G39" s="71"/>
      <c r="H39" s="74"/>
      <c r="I39" s="65"/>
      <c r="J39" s="66"/>
      <c r="K39" s="72"/>
      <c r="L39" s="66"/>
      <c r="M39" s="66"/>
      <c r="N39" s="66"/>
      <c r="O39" s="66"/>
      <c r="P39" s="66"/>
      <c r="Q39" s="66"/>
      <c r="R39" s="66"/>
      <c r="S39" s="66"/>
      <c r="T39" s="66"/>
      <c r="U39" s="65"/>
      <c r="V39" s="65"/>
      <c r="W39" s="65"/>
    </row>
    <row r="40" spans="1:23" ht="19.5">
      <c r="A40" s="41"/>
      <c r="B40" s="2" t="s">
        <v>646</v>
      </c>
      <c r="C40" s="15" t="s">
        <v>647</v>
      </c>
      <c r="D40" s="131">
        <f>IF(Vin_type="AC",(1.414*VINPUT_BUR*DBUR^2)/(2*(LM*10^-6)*IIN_BUR-DBUR*(LM*10^-6)*(IM_nega_BUR)+DBUR*1.414*VINPUT_BUR*(IF(VINPUT_BUR&gt;NPS*(VOUT+Vf_SR),3.1416-ACOS(NPS*(VOUT+Vf_SR)/VINPUT_BUR),3.1416-ACOS(VINPUT_BUR/(NPS*(VOUT+Vf_SR)))))*SQRT((LM*10^-6)*(CSWN_T_vbur*10^-12)))/1000,(VINPUT_BUR*DBUR^2)/(2*(LM*10^-6)*IIN_BUR-DBUR*(LM*10^-6)*(IM_nega_BUR)+DBUR*VINPUT_BUR*(IF(VINPUT_BUR&gt;NPS*(VOUT+Vf_SR),3.1416-ACOS(NPS*(VOUT+Vf_SR)/VINPUT_BUR),3.1416-ACOS(VINPUT_BUR/(NPS*(VOUT+Vf_SR)))))*SQRT((LM*10^-6)*(CSWN_T_vbur*10^-12)))/1000)</f>
        <v>162.33074362922818</v>
      </c>
      <c r="E40" s="50" t="s">
        <v>10</v>
      </c>
      <c r="F40" s="126"/>
      <c r="G40" s="71"/>
      <c r="H40" s="74"/>
      <c r="I40" s="65"/>
      <c r="J40" s="66"/>
      <c r="K40" s="66"/>
      <c r="L40" s="68"/>
      <c r="M40" s="70"/>
      <c r="N40" s="77"/>
      <c r="O40" s="66"/>
      <c r="P40" s="66"/>
      <c r="Q40" s="66"/>
      <c r="R40" s="66"/>
      <c r="S40" s="66"/>
      <c r="T40" s="66"/>
      <c r="U40" s="65"/>
      <c r="V40" s="65"/>
      <c r="W40" s="65"/>
    </row>
    <row r="41" spans="1:23" ht="19.5">
      <c r="A41" s="41"/>
      <c r="B41" s="2" t="s">
        <v>648</v>
      </c>
      <c r="C41" s="15" t="s">
        <v>649</v>
      </c>
      <c r="D41" s="125">
        <f>SQRT(IM_nega_BUR^2+2*(PO_FL*BUR*0.01/ηXFMR)*(1/(fsw_BUR*1000*LM*10^-6)))</f>
        <v>2.0744361107334073</v>
      </c>
      <c r="E41" s="50" t="s">
        <v>25</v>
      </c>
      <c r="F41" s="126"/>
      <c r="G41" s="71"/>
      <c r="H41" s="71"/>
      <c r="I41" s="65"/>
      <c r="J41" s="66"/>
      <c r="K41" s="66"/>
      <c r="L41" s="66"/>
      <c r="M41" s="75"/>
      <c r="N41" s="66"/>
      <c r="O41" s="66"/>
      <c r="P41" s="66"/>
      <c r="Q41" s="67"/>
      <c r="R41" s="58"/>
      <c r="S41" s="66"/>
      <c r="T41" s="66"/>
      <c r="U41" s="65"/>
      <c r="V41" s="65"/>
      <c r="W41" s="65"/>
    </row>
    <row r="42" spans="1:23" ht="19.5">
      <c r="A42" s="41"/>
      <c r="B42" s="10" t="s">
        <v>650</v>
      </c>
      <c r="C42" s="15" t="s">
        <v>651</v>
      </c>
      <c r="D42" s="125">
        <f>(Vxl*CSW_0toVx*(10^-12)/ipk_BUR)/(10^-9)</f>
        <v>58.263164565366814</v>
      </c>
      <c r="E42" s="50" t="s">
        <v>277</v>
      </c>
      <c r="F42" s="126"/>
      <c r="G42" s="65"/>
      <c r="H42" s="71"/>
      <c r="I42" s="65"/>
      <c r="J42" s="66"/>
      <c r="K42" s="66"/>
      <c r="L42" s="66"/>
      <c r="M42" s="75"/>
      <c r="N42" s="66"/>
      <c r="O42" s="66"/>
      <c r="P42" s="66"/>
      <c r="Q42" s="66"/>
      <c r="R42" s="66"/>
      <c r="S42" s="66"/>
      <c r="T42" s="66"/>
      <c r="U42" s="65"/>
      <c r="V42" s="65"/>
      <c r="W42" s="65"/>
    </row>
    <row r="43" spans="1:23" ht="19.5">
      <c r="A43" s="41"/>
      <c r="B43" s="10" t="s">
        <v>652</v>
      </c>
      <c r="C43" s="15" t="s">
        <v>653</v>
      </c>
      <c r="D43" s="125">
        <f>TD_CS_filter + tD_CS + TD_LDr + TD_Ql_Coss_BUR</f>
        <v>198.26316456536682</v>
      </c>
      <c r="E43" s="50" t="s">
        <v>277</v>
      </c>
      <c r="F43" s="126"/>
      <c r="G43" s="71"/>
      <c r="H43" s="71"/>
      <c r="I43" s="65"/>
      <c r="J43" s="66"/>
      <c r="K43" s="66"/>
      <c r="L43" s="66"/>
      <c r="M43" s="75"/>
      <c r="N43" s="66"/>
      <c r="O43" s="66"/>
      <c r="P43" s="66"/>
      <c r="Q43" s="66"/>
      <c r="R43" s="66"/>
      <c r="S43" s="66"/>
      <c r="T43" s="66"/>
      <c r="U43" s="65"/>
      <c r="V43" s="65"/>
      <c r="W43" s="65"/>
    </row>
    <row r="44" spans="1:23" ht="19.5">
      <c r="A44" s="41"/>
      <c r="B44" s="10" t="s">
        <v>654</v>
      </c>
      <c r="C44" s="128" t="s">
        <v>655</v>
      </c>
      <c r="D44" s="129">
        <f>IF(Vin_type="AC",(NPS*(VOUT+Vf_SR))/(1.414*VINPUT_BUR+NPS*(VOUT+Vf_SR)),(NPS*(VOUT+Vf_SR))/(VINPUT_BUR+NPS*(VOUT+Vf_SR)))</f>
        <v>0.19742362173634076</v>
      </c>
      <c r="E44" s="50"/>
      <c r="F44" s="137"/>
      <c r="G44" s="71"/>
      <c r="H44" s="74"/>
      <c r="I44" s="65"/>
      <c r="J44" s="66"/>
      <c r="K44" s="66"/>
      <c r="L44" s="66"/>
      <c r="M44" s="66"/>
      <c r="N44" s="66"/>
      <c r="O44" s="66"/>
      <c r="P44" s="66"/>
      <c r="Q44" s="66"/>
      <c r="R44" s="66"/>
      <c r="S44" s="66"/>
      <c r="T44" s="66"/>
      <c r="U44" s="65"/>
      <c r="V44" s="65"/>
      <c r="W44" s="65"/>
    </row>
    <row r="45" spans="1:23" ht="19.5">
      <c r="A45" s="41"/>
      <c r="B45" s="2" t="s">
        <v>656</v>
      </c>
      <c r="C45" s="15" t="s">
        <v>657</v>
      </c>
      <c r="D45" s="125">
        <f>IF(Vin_type="AC",PO_FL*BUR*0.01/(ηXFMR*1.414*VINPUT_BUR),PO_FL*BUR*0.01/(ηXFMR*VINPUT_BUR))</f>
        <v>9.6088801426726517E-2</v>
      </c>
      <c r="E45" s="50" t="s">
        <v>25</v>
      </c>
      <c r="F45" s="126"/>
      <c r="G45" s="71"/>
      <c r="H45" s="74"/>
      <c r="I45" s="65"/>
      <c r="J45" s="66"/>
      <c r="K45" s="66"/>
      <c r="L45" s="66"/>
      <c r="M45" s="66"/>
      <c r="N45" s="66"/>
      <c r="O45" s="66"/>
      <c r="P45" s="66"/>
      <c r="Q45" s="66"/>
      <c r="R45" s="66"/>
      <c r="S45" s="66"/>
      <c r="T45" s="66"/>
      <c r="U45" s="65"/>
      <c r="V45" s="65"/>
      <c r="W45" s="65"/>
    </row>
    <row r="46" spans="1:23" ht="20.25" thickBot="1">
      <c r="A46" s="41"/>
      <c r="B46" s="3" t="s">
        <v>658</v>
      </c>
      <c r="C46" s="17" t="s">
        <v>659</v>
      </c>
      <c r="D46" s="122">
        <f>IF(Vin_type="AC",(((1.414*VINPUT_BUR-VR_pri_max-VLk_pri_max)*NA/NP-Vs_clamp)/(RVS_1*1000)-Vs_clamp/(RVS_2*1000))*10^3,(((VINPUT_BUR-VR_pri_max-VLk_pri_max)*NA/NP-Vs_clamp)/(RVS_1*1000)-Vs_clamp/(RVS_2*1000))*10^3)</f>
        <v>1.037943440648287</v>
      </c>
      <c r="E46" s="109" t="s">
        <v>47</v>
      </c>
      <c r="F46" s="142"/>
      <c r="G46" s="71"/>
      <c r="H46" s="74"/>
      <c r="I46" s="65"/>
      <c r="J46" s="66"/>
      <c r="K46" s="66"/>
      <c r="L46" s="66"/>
      <c r="M46" s="66"/>
      <c r="N46" s="66"/>
      <c r="O46" s="66"/>
      <c r="P46" s="66"/>
      <c r="Q46" s="66"/>
      <c r="R46" s="66"/>
      <c r="S46" s="66"/>
      <c r="T46" s="66"/>
      <c r="U46" s="65"/>
      <c r="V46" s="65"/>
      <c r="W46" s="65"/>
    </row>
    <row r="47" spans="1:23" ht="16.5" thickBot="1">
      <c r="A47" s="41"/>
      <c r="B47" s="42"/>
      <c r="C47" s="123"/>
      <c r="D47" s="42"/>
      <c r="E47" s="42"/>
      <c r="F47" s="42"/>
      <c r="G47" s="71"/>
      <c r="H47" s="71"/>
      <c r="I47" s="65"/>
      <c r="J47" s="66"/>
      <c r="K47" s="66"/>
      <c r="L47" s="66"/>
      <c r="M47" s="66"/>
      <c r="N47" s="66"/>
      <c r="O47" s="66"/>
      <c r="P47" s="66"/>
      <c r="Q47" s="66"/>
      <c r="R47" s="66"/>
      <c r="S47" s="66"/>
      <c r="T47" s="66"/>
      <c r="U47" s="65"/>
      <c r="V47" s="65"/>
      <c r="W47" s="65"/>
    </row>
    <row r="48" spans="1:23" ht="21">
      <c r="A48" s="41"/>
      <c r="B48" s="55" t="s">
        <v>58</v>
      </c>
      <c r="C48" s="18"/>
      <c r="D48" s="56" t="s">
        <v>527</v>
      </c>
      <c r="E48" s="56"/>
      <c r="F48" s="57"/>
      <c r="G48" s="73"/>
      <c r="H48" s="71"/>
      <c r="I48" s="65"/>
      <c r="J48" s="66"/>
      <c r="K48" s="66"/>
      <c r="L48" s="66"/>
      <c r="M48" s="66"/>
      <c r="N48" s="66"/>
      <c r="O48" s="66"/>
      <c r="P48" s="66"/>
      <c r="Q48" s="66"/>
      <c r="R48" s="66"/>
      <c r="S48" s="66"/>
      <c r="T48" s="66"/>
      <c r="U48" s="65"/>
      <c r="V48" s="65"/>
      <c r="W48" s="65"/>
    </row>
    <row r="49" spans="1:23" ht="20.25" thickBot="1">
      <c r="A49" s="41"/>
      <c r="B49" s="3" t="s">
        <v>642</v>
      </c>
      <c r="C49" s="17" t="s">
        <v>643</v>
      </c>
      <c r="D49" s="122">
        <f>IF(Vin_type="AC",((CSWN_T_vmax*10^-12)*(1.414*VINPUT_max+NPS*VOUT)/ipk_BUR)*10^9,((CSWN_T_vmax*10^-12)*(VINPUT_max+NPS*VOUT)/ipk_BUR)*10^9)</f>
        <v>165.8375701696005</v>
      </c>
      <c r="E49" s="109" t="s">
        <v>133</v>
      </c>
      <c r="F49" s="108"/>
      <c r="G49" s="39"/>
      <c r="H49" s="74"/>
      <c r="I49" s="65"/>
      <c r="J49" s="66"/>
      <c r="K49" s="66"/>
      <c r="L49" s="68"/>
      <c r="M49" s="72"/>
      <c r="N49" s="66"/>
      <c r="O49" s="66"/>
      <c r="P49" s="66"/>
      <c r="Q49" s="66"/>
      <c r="R49" s="66"/>
      <c r="S49" s="66"/>
      <c r="T49" s="66"/>
      <c r="U49" s="65"/>
      <c r="V49" s="65"/>
      <c r="W49" s="65"/>
    </row>
    <row r="50" spans="1:23" ht="16.5" thickBot="1">
      <c r="A50" s="41"/>
      <c r="B50" s="42"/>
      <c r="C50" s="123"/>
      <c r="D50" s="42"/>
      <c r="E50" s="42"/>
      <c r="F50" s="42"/>
      <c r="G50" s="71"/>
      <c r="H50" s="71"/>
      <c r="I50" s="65"/>
      <c r="J50" s="66"/>
      <c r="K50" s="66"/>
      <c r="L50" s="66"/>
      <c r="M50" s="66"/>
      <c r="N50" s="66"/>
      <c r="O50" s="66"/>
      <c r="P50" s="66"/>
      <c r="Q50" s="66"/>
      <c r="R50" s="66"/>
      <c r="S50" s="66"/>
      <c r="T50" s="66"/>
      <c r="U50" s="65"/>
      <c r="V50" s="65"/>
      <c r="W50" s="65"/>
    </row>
    <row r="51" spans="1:23" ht="21">
      <c r="A51" s="41"/>
      <c r="B51" s="55" t="s">
        <v>62</v>
      </c>
      <c r="C51" s="18"/>
      <c r="D51" s="56" t="s">
        <v>525</v>
      </c>
      <c r="E51" s="143"/>
      <c r="F51" s="144"/>
      <c r="G51" s="73"/>
      <c r="H51" s="71"/>
      <c r="I51" s="65"/>
      <c r="J51" s="66"/>
      <c r="K51" s="66"/>
      <c r="L51" s="66"/>
      <c r="M51" s="66"/>
      <c r="N51" s="66"/>
      <c r="O51" s="66"/>
      <c r="P51" s="66"/>
      <c r="Q51" s="66"/>
      <c r="R51" s="66"/>
      <c r="S51" s="66"/>
      <c r="T51" s="66"/>
      <c r="U51" s="65"/>
      <c r="V51" s="65"/>
      <c r="W51" s="65"/>
    </row>
    <row r="52" spans="1:23" ht="18.75">
      <c r="A52" s="41"/>
      <c r="B52" s="2" t="s">
        <v>630</v>
      </c>
      <c r="C52" s="15" t="s">
        <v>631</v>
      </c>
      <c r="D52" s="125">
        <f>(RDSon_QL/(RDSon_QH+RDSon_QL))*((15-IVCC_qcc)/10^9)*10^9</f>
        <v>7.3</v>
      </c>
      <c r="E52" s="110" t="s">
        <v>70</v>
      </c>
      <c r="F52" s="111"/>
      <c r="G52" s="39"/>
      <c r="H52" s="71"/>
      <c r="I52" s="65"/>
      <c r="J52" s="66"/>
      <c r="K52" s="66"/>
      <c r="L52" s="66"/>
      <c r="M52" s="66"/>
      <c r="N52" s="66"/>
      <c r="O52" s="66"/>
      <c r="P52" s="66"/>
      <c r="Q52" s="66"/>
      <c r="R52" s="66"/>
      <c r="S52" s="66"/>
      <c r="T52" s="66"/>
      <c r="U52" s="65"/>
      <c r="V52" s="65"/>
      <c r="W52" s="65"/>
    </row>
    <row r="53" spans="1:23" ht="33">
      <c r="A53" s="41"/>
      <c r="B53" s="100" t="s">
        <v>632</v>
      </c>
      <c r="C53" s="15" t="s">
        <v>633</v>
      </c>
      <c r="D53" s="125">
        <f>IF(Vin_type="AC",-SQRT(CSWN_T_vbi*(10^-12)/(LM*(10^-6)))*1.414*VINPUT_Brownin,-SQRT(CSWN_T_vbi*(10^-12)/(LM*(10^-6)))*VINPUT_Brownin)</f>
        <v>-0.42591332878103899</v>
      </c>
      <c r="E53" s="50" t="s">
        <v>16</v>
      </c>
      <c r="F53" s="145"/>
      <c r="G53" s="71"/>
      <c r="H53" s="74"/>
      <c r="I53" s="65"/>
      <c r="J53" s="66"/>
      <c r="K53" s="66"/>
      <c r="L53" s="66"/>
      <c r="M53" s="59"/>
      <c r="N53" s="66"/>
      <c r="O53" s="66"/>
      <c r="P53" s="72"/>
      <c r="Q53" s="66"/>
      <c r="R53" s="66"/>
      <c r="S53" s="66"/>
      <c r="T53" s="66"/>
      <c r="U53" s="65"/>
      <c r="V53" s="65"/>
      <c r="W53" s="65"/>
    </row>
    <row r="54" spans="1:23" ht="19.5">
      <c r="A54" s="41"/>
      <c r="B54" s="100" t="s">
        <v>634</v>
      </c>
      <c r="C54" s="15" t="s">
        <v>635</v>
      </c>
      <c r="D54" s="131">
        <f>IF(Vin_type="AC",(1.414*VINPUT_Brownin*DBUR_min^2)/(2*(LM*10^-6)*IIN_BUR_min-DBUR_min*(LM*10^-6)*(IM_nega_BUR_min)+DBUR_min*1.414*VINPUT_Brownin*(IF(VINPUT_Brownin&gt;NPS*(VOUT+Vf_SR),3.1416-ACOS(NPS*(VOUT+Vf_SR)/VINPUT_Brownin),3.1416-ACOS(VINPUT_Brownin/(NPS*(VOUT+Vf_SR)))))*SQRT((LM*10^-6)*(CSWN_T_vbi*10^-12)))/1000,(VINPUT_Brownin*DBUR_min^2)/(2*(LM*10^-6)*IIN_BUR_min-DBUR_min*(LM*10^-6)*(IM_nega_BUR_min)+DBUR_min*VINPUT_Brownin*(IF(VINPUT_Brownin&gt;NPS*(VOUT+Vf_SR),3.1416-ACOS(NPS*(VOUT+Vf_SR)/VINPUT_Brownin),3.1416-ACOS(VINPUT_Brownin/(NPS*(VOUT+Vf_SR)))))*SQRT((LM*10^-6)*(CSWN_T_vbi*10^-12)))/1000)</f>
        <v>137.52030600848647</v>
      </c>
      <c r="E54" s="50" t="s">
        <v>10</v>
      </c>
      <c r="F54" s="126"/>
      <c r="G54" s="71"/>
      <c r="H54" s="74"/>
      <c r="I54" s="65"/>
      <c r="J54" s="66"/>
      <c r="K54" s="66"/>
      <c r="L54" s="66"/>
      <c r="M54" s="59"/>
      <c r="N54" s="66"/>
      <c r="O54" s="66"/>
      <c r="P54" s="66"/>
      <c r="Q54" s="66"/>
      <c r="R54" s="66"/>
      <c r="S54" s="66"/>
      <c r="T54" s="66"/>
      <c r="U54" s="65"/>
      <c r="V54" s="65"/>
      <c r="W54" s="65"/>
    </row>
    <row r="55" spans="1:23" ht="19.5">
      <c r="A55" s="41"/>
      <c r="B55" s="2" t="s">
        <v>636</v>
      </c>
      <c r="C55" s="15" t="s">
        <v>637</v>
      </c>
      <c r="D55" s="125">
        <f>SQRT(IM_nega_BUR^2+2*(PO_FL*BUR*0.01/ηXFMR)*(1/(fsw_BUR_min*1000*LM*10^-6)))</f>
        <v>2.2214313517822624</v>
      </c>
      <c r="E55" s="146" t="s">
        <v>16</v>
      </c>
      <c r="F55" s="145"/>
      <c r="G55" s="39"/>
      <c r="H55" s="71"/>
      <c r="I55" s="65"/>
      <c r="J55" s="66"/>
      <c r="K55" s="66"/>
      <c r="L55" s="66"/>
      <c r="M55" s="75"/>
      <c r="N55" s="66"/>
      <c r="O55" s="66"/>
      <c r="P55" s="66"/>
      <c r="Q55" s="67"/>
      <c r="R55" s="58"/>
      <c r="S55" s="66"/>
      <c r="T55" s="66"/>
      <c r="U55" s="65"/>
      <c r="V55" s="65"/>
      <c r="W55" s="65"/>
    </row>
    <row r="56" spans="1:23" ht="19.5">
      <c r="A56" s="41"/>
      <c r="B56" s="2" t="s">
        <v>638</v>
      </c>
      <c r="C56" s="15" t="s">
        <v>639</v>
      </c>
      <c r="D56" s="125">
        <f>IF(Vin_type="AC",(NPS*(VOUT+Vf_SR))/(1.414*VINPUT_Brownin+NPS*(VOUT+Vf_SR)),(NPS*(VOUT+Vf_SR))/(VINPUT_Brownin+NPS*(VOUT+Vf_SR)))</f>
        <v>0.41425020712510358</v>
      </c>
      <c r="E56" s="50"/>
      <c r="F56" s="137"/>
      <c r="G56" s="71"/>
      <c r="H56" s="74"/>
      <c r="I56" s="65"/>
      <c r="J56" s="66"/>
      <c r="K56" s="66"/>
      <c r="L56" s="66"/>
      <c r="M56" s="66"/>
      <c r="N56" s="66"/>
      <c r="O56" s="66"/>
      <c r="P56" s="66"/>
      <c r="Q56" s="66"/>
      <c r="R56" s="66"/>
      <c r="S56" s="66"/>
      <c r="T56" s="66"/>
      <c r="U56" s="65"/>
      <c r="V56" s="65"/>
      <c r="W56" s="65"/>
    </row>
    <row r="57" spans="1:23" ht="20.25" thickBot="1">
      <c r="A57" s="41"/>
      <c r="B57" s="3" t="s">
        <v>640</v>
      </c>
      <c r="C57" s="17" t="s">
        <v>641</v>
      </c>
      <c r="D57" s="122">
        <f>IF(Vin_type="AC",PO_FL*BUR*0.01/(ηXFMR*1.414*VINPUT_Brownin),PO_FL*BUR*0.01/(ηXFMR*VINPUT_Brownin))</f>
        <v>0.27625530410183874</v>
      </c>
      <c r="E57" s="109" t="s">
        <v>16</v>
      </c>
      <c r="F57" s="135"/>
      <c r="G57" s="71"/>
      <c r="H57" s="74"/>
      <c r="I57" s="65"/>
      <c r="J57" s="66"/>
      <c r="K57" s="66"/>
      <c r="L57" s="66"/>
      <c r="M57" s="66"/>
      <c r="N57" s="66"/>
      <c r="O57" s="66"/>
      <c r="P57" s="66"/>
      <c r="Q57" s="66"/>
      <c r="R57" s="66"/>
      <c r="S57" s="66"/>
      <c r="T57" s="66"/>
      <c r="U57" s="65"/>
      <c r="V57" s="65"/>
      <c r="W57" s="65"/>
    </row>
    <row r="58" spans="1:23" ht="16.5" thickBot="1">
      <c r="A58" s="41"/>
      <c r="B58" s="42"/>
      <c r="C58" s="123"/>
      <c r="D58" s="42"/>
      <c r="E58" s="42"/>
      <c r="F58" s="42"/>
      <c r="G58" s="71"/>
      <c r="H58" s="71"/>
      <c r="I58" s="65"/>
      <c r="J58" s="66"/>
      <c r="K58" s="66"/>
      <c r="L58" s="66"/>
      <c r="M58" s="66"/>
      <c r="N58" s="66"/>
      <c r="O58" s="66"/>
      <c r="P58" s="66"/>
      <c r="Q58" s="66"/>
      <c r="R58" s="66"/>
      <c r="S58" s="66"/>
      <c r="T58" s="66"/>
      <c r="U58" s="65"/>
      <c r="V58" s="65"/>
      <c r="W58" s="65"/>
    </row>
    <row r="59" spans="1:23" ht="21">
      <c r="A59" s="41"/>
      <c r="B59" s="55" t="s">
        <v>1029</v>
      </c>
      <c r="C59" s="147"/>
      <c r="D59" s="56" t="s">
        <v>530</v>
      </c>
      <c r="E59" s="56"/>
      <c r="F59" s="57"/>
      <c r="G59" s="73"/>
      <c r="H59" s="71"/>
      <c r="I59" s="65"/>
      <c r="J59" s="66"/>
      <c r="K59" s="66"/>
      <c r="L59" s="66"/>
      <c r="M59" s="66"/>
      <c r="N59" s="66"/>
      <c r="O59" s="66"/>
      <c r="P59" s="66"/>
      <c r="Q59" s="66"/>
      <c r="R59" s="66"/>
      <c r="S59" s="66"/>
      <c r="T59" s="66"/>
      <c r="U59" s="65"/>
      <c r="V59" s="65"/>
      <c r="W59" s="65"/>
    </row>
    <row r="60" spans="1:23" ht="33">
      <c r="A60" s="41"/>
      <c r="B60" s="100" t="s">
        <v>618</v>
      </c>
      <c r="C60" s="15" t="s">
        <v>619</v>
      </c>
      <c r="D60" s="125">
        <f>IF(Vin_type="AC",-SQRT(CSWN_T_vbi_30*(10^-12)/(LM*(10^-6)))*(1.414*VINPUT_Brownin+30),-SQRT(CSWN_T_vbi_30*(10^-12)/(LM*(10^-6)))*(VINPUT_Brownin+30))</f>
        <v>-0.4963644929919942</v>
      </c>
      <c r="E60" s="50" t="s">
        <v>25</v>
      </c>
      <c r="F60" s="126"/>
      <c r="G60" s="71"/>
      <c r="H60" s="74"/>
      <c r="I60" s="65"/>
      <c r="J60" s="66"/>
      <c r="K60" s="66"/>
      <c r="L60" s="66"/>
      <c r="M60" s="66"/>
      <c r="N60" s="66"/>
      <c r="O60" s="66"/>
      <c r="P60" s="66"/>
      <c r="Q60" s="66"/>
      <c r="R60" s="66"/>
      <c r="S60" s="66"/>
      <c r="T60" s="66"/>
      <c r="U60" s="65"/>
      <c r="V60" s="65"/>
      <c r="W60" s="65"/>
    </row>
    <row r="61" spans="1:23" ht="19.5">
      <c r="A61" s="41"/>
      <c r="B61" s="2" t="s">
        <v>620</v>
      </c>
      <c r="C61" s="15" t="s">
        <v>621</v>
      </c>
      <c r="D61" s="131">
        <f>IF(Vin_type="AC",((1.414*VINPUT_Brownin+30)*DOPP_start^2)/(2*(LM*10^-6)*IIN_OPP_start-DOPP_start*(LM*10^-6)*(IM_nega_start)+DOPP_start*(1.414*VINPUT_Brownin+30)*(IF((VINPUT_Brownin+30)&gt;NPS*(VOUT+Vf_SR),3.1416-ACOS(NPS*(VOUT+Vf_SR)/(VINPUT_Brownin+30)),3.1416-ACOS((VINPUT_Brownin+30)/(NPS*(VOUT+Vf_SR)))))*SQRT((LM*10^-6)*(CSWN_T_vbi_30*10^-12)))/1000,((VINPUT_Brownin+30)*DOPP_start^2)/(2*(LM*10^-6)*IIN_OPP_start-DOPP_start*(LM*10^-6)*(IM_nega_start)+DOPP_start*(VINPUT_Brownin+30)*(IF((VINPUT_Brownin+30)&gt;NPS*(VOUT+Vf_SR),3.1416-ACOS(NPS*(VOUT+Vf_SR)/(VINPUT_Brownin+30)),3.1416-ACOS((VINPUT_Brownin+30)/(NPS*(VOUT+Vf_SR)))))*SQRT((LM*10^-6)*(CSWN_T_vbi_30*10^-12)))/1000)</f>
        <v>68.929676192646809</v>
      </c>
      <c r="E61" s="50" t="s">
        <v>10</v>
      </c>
      <c r="F61" s="126"/>
      <c r="G61" s="71"/>
      <c r="H61" s="74"/>
      <c r="I61" s="65"/>
      <c r="J61" s="66"/>
      <c r="K61" s="66"/>
      <c r="L61" s="66"/>
      <c r="M61" s="66"/>
      <c r="N61" s="66"/>
      <c r="O61" s="66"/>
      <c r="P61" s="66"/>
      <c r="Q61" s="66"/>
      <c r="R61" s="66"/>
      <c r="S61" s="66"/>
      <c r="T61" s="66"/>
      <c r="U61" s="65"/>
      <c r="V61" s="65"/>
      <c r="W61" s="65"/>
    </row>
    <row r="62" spans="1:23" ht="19.5">
      <c r="A62" s="41"/>
      <c r="B62" s="2" t="s">
        <v>622</v>
      </c>
      <c r="C62" s="15" t="s">
        <v>623</v>
      </c>
      <c r="D62" s="125">
        <f>SQRT(IM_nega_start^2+2*(PO_FL*OPP*0.5*0.01*1.333/ηXFMR)*(1/(fsw_OPP_start*1000*LM*10^-6)))</f>
        <v>3.2122483165701619</v>
      </c>
      <c r="E62" s="50" t="s">
        <v>25</v>
      </c>
      <c r="F62" s="126"/>
      <c r="G62" s="71"/>
      <c r="H62" s="71"/>
      <c r="I62" s="65"/>
      <c r="J62" s="66"/>
      <c r="K62" s="59"/>
      <c r="L62" s="66"/>
      <c r="M62" s="66"/>
      <c r="N62" s="75"/>
      <c r="O62" s="66"/>
      <c r="P62" s="66"/>
      <c r="Q62" s="67"/>
      <c r="R62" s="58"/>
      <c r="S62" s="66"/>
      <c r="T62" s="66"/>
      <c r="U62" s="65"/>
      <c r="V62" s="65"/>
      <c r="W62" s="65"/>
    </row>
    <row r="63" spans="1:23" ht="19.5">
      <c r="A63" s="41"/>
      <c r="B63" s="2" t="s">
        <v>624</v>
      </c>
      <c r="C63" s="15" t="s">
        <v>625</v>
      </c>
      <c r="D63" s="125">
        <f>IF(Vin_type="AC",PO_FL*OPP*0.01*1.333*0.5/(ηXFMR*(1.414*VINPUT_Brownin+30)),PO_FL*OPP*0.01*1.333*0.5/(ηXFMR*(VINPUT_Brownin+30)))</f>
        <v>0.26680335266443078</v>
      </c>
      <c r="E63" s="50" t="s">
        <v>25</v>
      </c>
      <c r="F63" s="126"/>
      <c r="G63" s="71"/>
      <c r="H63" s="74"/>
      <c r="I63" s="65"/>
      <c r="J63" s="66"/>
      <c r="K63" s="77"/>
      <c r="L63" s="66"/>
      <c r="M63" s="66"/>
      <c r="N63" s="66"/>
      <c r="O63" s="66"/>
      <c r="P63" s="66"/>
      <c r="Q63" s="66"/>
      <c r="R63" s="66"/>
      <c r="S63" s="66"/>
      <c r="T63" s="66"/>
      <c r="U63" s="65"/>
      <c r="V63" s="65"/>
      <c r="W63" s="65"/>
    </row>
    <row r="64" spans="1:23" ht="19.5">
      <c r="A64" s="41"/>
      <c r="B64" s="10" t="s">
        <v>626</v>
      </c>
      <c r="C64" s="15" t="s">
        <v>627</v>
      </c>
      <c r="D64" s="125">
        <f>IF(Vin_type="AC",(NPS*(VOUT/2+Vf_SR))/((1.414*VINPUT_Brownin+30)+NPS*(VOUT/2+Vf_SR)),(NPS*(VOUT/2+Vf_SR))/((VINPUT_Brownin+30)+NPS*(VOUT/2+Vf_SR)))</f>
        <v>0.218435998252512</v>
      </c>
      <c r="E64" s="110"/>
      <c r="F64" s="137"/>
      <c r="G64" s="71"/>
      <c r="H64" s="74"/>
      <c r="I64" s="65"/>
      <c r="J64" s="66"/>
      <c r="K64" s="66"/>
      <c r="L64" s="66"/>
      <c r="M64" s="66"/>
      <c r="N64" s="66"/>
      <c r="O64" s="66"/>
      <c r="P64" s="66"/>
      <c r="Q64" s="66"/>
      <c r="R64" s="66"/>
      <c r="S64" s="66"/>
      <c r="T64" s="66"/>
      <c r="U64" s="65"/>
      <c r="V64" s="65"/>
      <c r="W64" s="65"/>
    </row>
    <row r="65" spans="1:23" ht="19.5" thickBot="1">
      <c r="A65" s="41"/>
      <c r="B65" s="3" t="s">
        <v>628</v>
      </c>
      <c r="C65" s="17" t="s">
        <v>629</v>
      </c>
      <c r="D65" s="122">
        <f>(((15-IVCC_qcc)*10^-3)/10^6)*fsw_OPP_start*1000*10^3</f>
        <v>1.0063732724126433</v>
      </c>
      <c r="E65" s="19" t="s">
        <v>66</v>
      </c>
      <c r="F65" s="113"/>
      <c r="G65" s="39"/>
      <c r="H65" s="71"/>
      <c r="I65" s="65"/>
      <c r="J65" s="66"/>
      <c r="K65" s="66"/>
      <c r="L65" s="66"/>
      <c r="M65" s="66"/>
      <c r="N65" s="66"/>
      <c r="O65" s="66"/>
      <c r="P65" s="66"/>
      <c r="Q65" s="66"/>
      <c r="R65" s="66"/>
      <c r="S65" s="66"/>
      <c r="T65" s="66"/>
      <c r="U65" s="65"/>
      <c r="V65" s="65"/>
      <c r="W65" s="65"/>
    </row>
    <row r="66" spans="1:23" ht="16.5" thickBot="1">
      <c r="A66" s="41"/>
      <c r="B66" s="42"/>
      <c r="C66" s="123"/>
      <c r="D66" s="42"/>
      <c r="E66" s="42"/>
      <c r="F66" s="42"/>
      <c r="G66" s="71"/>
      <c r="H66" s="71"/>
      <c r="I66" s="65"/>
      <c r="J66" s="66"/>
      <c r="K66" s="66"/>
      <c r="L66" s="66"/>
      <c r="M66" s="66"/>
      <c r="N66" s="66"/>
      <c r="O66" s="66"/>
      <c r="P66" s="66"/>
      <c r="Q66" s="66"/>
      <c r="R66" s="66"/>
      <c r="S66" s="66"/>
      <c r="T66" s="66"/>
      <c r="U66" s="65"/>
      <c r="V66" s="65"/>
      <c r="W66" s="65"/>
    </row>
    <row r="67" spans="1:23" ht="21">
      <c r="A67" s="41"/>
      <c r="B67" s="55" t="s">
        <v>67</v>
      </c>
      <c r="C67" s="18"/>
      <c r="D67" s="56" t="s">
        <v>525</v>
      </c>
      <c r="E67" s="56"/>
      <c r="F67" s="57"/>
      <c r="G67" s="73"/>
      <c r="H67" s="71"/>
      <c r="I67" s="65"/>
      <c r="J67" s="66"/>
      <c r="K67" s="66"/>
      <c r="L67" s="66"/>
      <c r="M67" s="66"/>
      <c r="N67" s="66"/>
      <c r="O67" s="66"/>
      <c r="P67" s="66"/>
      <c r="Q67" s="66"/>
      <c r="R67" s="66"/>
      <c r="S67" s="66"/>
      <c r="T67" s="66"/>
      <c r="U67" s="65"/>
      <c r="V67" s="65"/>
      <c r="W67" s="65"/>
    </row>
    <row r="68" spans="1:23" ht="19.5">
      <c r="A68" s="41"/>
      <c r="B68" s="2" t="s">
        <v>560</v>
      </c>
      <c r="C68" s="15" t="s">
        <v>561</v>
      </c>
      <c r="D68" s="131">
        <f>IF(Vin_type="AC",-SQRT(CSWN_T_vbi*(10^-12)/(LM*(10^-6)))*1.414*VINPUT_Brownin,-SQRT(CSWN_T_vbi*(10^-12)/(LM*(10^-6)))*VINPUT_Brownin)</f>
        <v>-0.42591332878103899</v>
      </c>
      <c r="E68" s="50" t="s">
        <v>16</v>
      </c>
      <c r="F68" s="126"/>
      <c r="G68" s="71"/>
      <c r="H68" s="74"/>
      <c r="I68" s="65"/>
      <c r="J68" s="66"/>
      <c r="K68" s="66"/>
      <c r="L68" s="66"/>
      <c r="M68" s="66"/>
      <c r="N68" s="66"/>
      <c r="O68" s="66"/>
      <c r="P68" s="66"/>
      <c r="Q68" s="66"/>
      <c r="R68" s="66"/>
      <c r="S68" s="66"/>
      <c r="T68" s="66"/>
      <c r="U68" s="65"/>
      <c r="V68" s="65"/>
      <c r="W68" s="65"/>
    </row>
    <row r="69" spans="1:23" ht="19.5">
      <c r="A69" s="41"/>
      <c r="B69" s="2" t="s">
        <v>562</v>
      </c>
      <c r="C69" s="15" t="s">
        <v>563</v>
      </c>
      <c r="D69" s="131">
        <f>IF(Vin_type="AC",(1.414*VINPUT_Brownin*Dmin^2)/(2*(LM*10^-6)*IIN_min-Dmin*(LM*10^-6)*(IM_nega_min)+Dmin*1.414*VINPUT_Brownin*(IF(VINPUT_Brownin&gt;NPS*(VOUT+Vf_SR),3.1416-ACOS(NPS*(VOUT+Vf_SR)/VINPUT_Brownin),3.1416-ACOS(VINPUT_Brownin/(NPS*(VOUT+Vf_SR)))))*SQRT((LM*10^-6)*(CSWN_T_vbi*10^-12))),(VINPUT_Brownin*Dmin^2)/(2*(LM*10^-6)*IIN_min-Dmin*(LM*10^-6)*(IM_nega_min)+Dmin*VINPUT_Brownin*(IF(VINPUT_Brownin&gt;NPS*(VOUT+Vf_SR),3.1416-ACOS(NPS*(VOUT+Vf_SR)/VINPUT_Brownin),3.1416-ACOS(VINPUT_Brownin/(NPS*(VOUT+Vf_SR)))))*SQRT((LM*10^-6)*(CSWN_T_vbi*10^-12))))</f>
        <v>106849.97643205129</v>
      </c>
      <c r="E69" s="50" t="s">
        <v>26</v>
      </c>
      <c r="F69" s="126"/>
      <c r="G69" s="71"/>
      <c r="H69" s="74"/>
      <c r="I69" s="65"/>
      <c r="J69" s="66"/>
      <c r="K69" s="66"/>
      <c r="L69" s="66"/>
      <c r="M69" s="66"/>
      <c r="N69" s="66"/>
      <c r="O69" s="66"/>
      <c r="P69" s="66"/>
      <c r="Q69" s="67"/>
      <c r="R69" s="58"/>
      <c r="S69" s="66"/>
      <c r="T69" s="66"/>
      <c r="U69" s="65"/>
      <c r="V69" s="65"/>
      <c r="W69" s="65"/>
    </row>
    <row r="70" spans="1:23" ht="19.5">
      <c r="A70" s="41"/>
      <c r="B70" s="2" t="s">
        <v>564</v>
      </c>
      <c r="C70" s="15" t="s">
        <v>565</v>
      </c>
      <c r="D70" s="125">
        <f>SQRT(IM_nega_min^2+2*(PO_FL/ηXFMR)*(1/(fsw_min*LM*10^-6)))</f>
        <v>3.0073264570938081</v>
      </c>
      <c r="E70" s="50" t="s">
        <v>16</v>
      </c>
      <c r="F70" s="126"/>
      <c r="G70" s="71"/>
      <c r="H70" s="74"/>
      <c r="I70" s="65"/>
      <c r="J70" s="75"/>
      <c r="K70" s="66"/>
      <c r="L70" s="79"/>
      <c r="M70" s="66"/>
      <c r="N70" s="66"/>
      <c r="O70" s="66"/>
      <c r="P70" s="66"/>
      <c r="Q70" s="66"/>
      <c r="R70" s="66"/>
      <c r="S70" s="66"/>
      <c r="T70" s="66"/>
      <c r="U70" s="65"/>
      <c r="V70" s="65"/>
      <c r="W70" s="65"/>
    </row>
    <row r="71" spans="1:23" ht="19.5">
      <c r="A71" s="41"/>
      <c r="B71" s="2" t="s">
        <v>566</v>
      </c>
      <c r="C71" s="15" t="s">
        <v>567</v>
      </c>
      <c r="D71" s="125">
        <f>IF(Vin_type="AC",PO_FL/(ηXFMR*1.414*VINPUT_Brownin),PO_FL/(ηXFMR*VINPUT_Brownin))</f>
        <v>0.46042550683639788</v>
      </c>
      <c r="E71" s="50" t="s">
        <v>16</v>
      </c>
      <c r="F71" s="126"/>
      <c r="G71" s="71"/>
      <c r="H71" s="74"/>
      <c r="I71" s="65"/>
      <c r="J71" s="66"/>
      <c r="K71" s="66"/>
      <c r="L71" s="59"/>
      <c r="M71" s="66"/>
      <c r="N71" s="66"/>
      <c r="O71" s="66"/>
      <c r="P71" s="66"/>
      <c r="Q71" s="66"/>
      <c r="R71" s="66"/>
      <c r="S71" s="66"/>
      <c r="T71" s="66"/>
      <c r="U71" s="65"/>
      <c r="V71" s="65"/>
      <c r="W71" s="65"/>
    </row>
    <row r="72" spans="1:23" ht="19.5">
      <c r="A72" s="41"/>
      <c r="B72" s="10" t="s">
        <v>568</v>
      </c>
      <c r="C72" s="15" t="s">
        <v>569</v>
      </c>
      <c r="D72" s="125">
        <f>IF(Vin_type="AC",(NPS*(VOUT+Vf_SR))/(1.414*VINPUT_Brownin+NPS*(VOUT+Vf_SR)),(NPS*(VOUT+Vf_SR))/(VINPUT_Brownin+NPS*(VOUT+Vf_SR)))</f>
        <v>0.41425020712510358</v>
      </c>
      <c r="E72" s="110"/>
      <c r="F72" s="137"/>
      <c r="G72" s="71"/>
      <c r="H72" s="74"/>
      <c r="I72" s="65"/>
      <c r="J72" s="66"/>
      <c r="K72" s="66"/>
      <c r="L72" s="66"/>
      <c r="M72" s="66"/>
      <c r="N72" s="66"/>
      <c r="O72" s="66"/>
      <c r="P72" s="66"/>
      <c r="Q72" s="66"/>
      <c r="R72" s="66"/>
      <c r="S72" s="66"/>
      <c r="T72" s="66"/>
      <c r="U72" s="65"/>
      <c r="V72" s="65"/>
      <c r="W72" s="65"/>
    </row>
    <row r="73" spans="1:23" ht="20.25" thickBot="1">
      <c r="A73" s="41"/>
      <c r="B73" s="117" t="s">
        <v>570</v>
      </c>
      <c r="C73" s="17" t="s">
        <v>571</v>
      </c>
      <c r="D73" s="122">
        <f>IF(Vin_type="AC",(NPS*1.414*VINPUT_Brownin/(2*RCS*(1.414*VINPUT_Brownin+NPS*VOUT)))/(0.8*(COUT*10^-6)*(((1.414*VINPUT_Brownin*NPS^2*(ipk_min+IM_nega_min))/(2*(1.414*VINPUT_Brownin+NPS*VOUT)^2)+IOUT/VOUT)*RCO*0.001+1)),(NPS*VINPUT_Brownin/(2*RCS*(VINPUT_Brownin+NPS*VOUT)))/(0.8*(COUT*10^-6)*(((VINPUT_Brownin*NPS^2*(ipk_min+IM_nega_min))/(2*(VINPUT_Brownin+NPS*VOUT)^2)+IOUT/VOUT)*RCO*0.001+1)))</f>
        <v>65315.751298202253</v>
      </c>
      <c r="E73" s="19"/>
      <c r="F73" s="142"/>
      <c r="G73" s="39"/>
      <c r="H73" s="74"/>
      <c r="I73" s="65"/>
      <c r="J73" s="66"/>
      <c r="K73" s="60"/>
      <c r="L73" s="66"/>
      <c r="M73" s="66"/>
      <c r="N73" s="66"/>
      <c r="O73" s="66"/>
      <c r="P73" s="66"/>
      <c r="Q73" s="66"/>
      <c r="R73" s="66"/>
      <c r="S73" s="66"/>
      <c r="T73" s="66"/>
      <c r="U73" s="65"/>
      <c r="V73" s="65"/>
      <c r="W73" s="65"/>
    </row>
    <row r="74" spans="1:23">
      <c r="A74" s="41"/>
      <c r="B74" s="41"/>
      <c r="C74" s="20"/>
      <c r="D74" s="41"/>
      <c r="E74" s="41"/>
      <c r="F74" s="41"/>
      <c r="G74" s="65"/>
      <c r="H74" s="65"/>
      <c r="I74" s="65"/>
      <c r="J74" s="66"/>
      <c r="K74" s="66"/>
      <c r="L74" s="66"/>
      <c r="M74" s="66"/>
      <c r="N74" s="66"/>
      <c r="O74" s="66"/>
      <c r="P74" s="66"/>
      <c r="Q74" s="66"/>
      <c r="R74" s="66"/>
      <c r="S74" s="66"/>
      <c r="T74" s="66"/>
      <c r="U74" s="65"/>
      <c r="V74" s="65"/>
      <c r="W74" s="65"/>
    </row>
    <row r="75" spans="1:23">
      <c r="A75" s="41"/>
      <c r="B75" s="41"/>
      <c r="C75" s="20"/>
      <c r="D75" s="41"/>
      <c r="E75" s="41"/>
      <c r="F75" s="41"/>
      <c r="G75" s="65"/>
      <c r="H75" s="65"/>
      <c r="I75" s="65"/>
      <c r="J75" s="66"/>
      <c r="K75" s="66"/>
      <c r="L75" s="66"/>
      <c r="M75" s="66"/>
      <c r="N75" s="66"/>
      <c r="O75" s="66"/>
      <c r="P75" s="66"/>
      <c r="Q75" s="66"/>
      <c r="R75" s="66"/>
      <c r="S75" s="66"/>
      <c r="T75" s="66"/>
      <c r="U75" s="65"/>
      <c r="V75" s="65"/>
      <c r="W75" s="65"/>
    </row>
    <row r="76" spans="1:23">
      <c r="A76" s="41"/>
      <c r="B76" s="41"/>
      <c r="C76" s="21" t="s">
        <v>494</v>
      </c>
      <c r="D76" s="148" t="s">
        <v>493</v>
      </c>
      <c r="E76" s="41"/>
      <c r="F76" s="41"/>
      <c r="G76" s="65"/>
      <c r="H76" s="65"/>
      <c r="I76" s="65"/>
      <c r="J76" s="66"/>
      <c r="K76" s="66"/>
      <c r="L76" s="66"/>
      <c r="M76" s="66"/>
      <c r="N76" s="66"/>
      <c r="O76" s="66"/>
      <c r="P76" s="66"/>
      <c r="Q76" s="66"/>
      <c r="R76" s="66"/>
      <c r="S76" s="66"/>
      <c r="T76" s="66"/>
      <c r="U76" s="65"/>
      <c r="V76" s="65"/>
      <c r="W76" s="65"/>
    </row>
    <row r="77" spans="1:23">
      <c r="A77" s="41"/>
      <c r="B77" s="41"/>
      <c r="C77" s="21" t="s">
        <v>137</v>
      </c>
      <c r="D77" s="149">
        <v>0</v>
      </c>
      <c r="E77" s="41"/>
      <c r="F77" s="41"/>
      <c r="G77" s="65"/>
      <c r="H77" s="65"/>
      <c r="I77" s="65"/>
      <c r="J77" s="65"/>
      <c r="K77" s="65"/>
      <c r="L77" s="65"/>
      <c r="M77" s="65"/>
      <c r="N77" s="65"/>
      <c r="O77" s="65"/>
      <c r="P77" s="65"/>
      <c r="Q77" s="65"/>
      <c r="R77" s="65"/>
      <c r="S77" s="65"/>
      <c r="T77" s="65"/>
      <c r="U77" s="65"/>
      <c r="V77" s="65"/>
      <c r="W77" s="65"/>
    </row>
    <row r="78" spans="1:23">
      <c r="A78" s="41"/>
      <c r="B78" s="41"/>
      <c r="C78" s="21" t="s">
        <v>179</v>
      </c>
      <c r="D78" s="150">
        <v>1</v>
      </c>
      <c r="E78" s="41"/>
      <c r="F78" s="41"/>
      <c r="G78" s="65"/>
      <c r="H78" s="65"/>
      <c r="I78" s="65"/>
      <c r="J78" s="65"/>
      <c r="K78" s="65"/>
      <c r="L78" s="65"/>
      <c r="M78" s="65"/>
      <c r="N78" s="65"/>
      <c r="O78" s="65"/>
      <c r="P78" s="65"/>
      <c r="Q78" s="65"/>
      <c r="R78" s="65"/>
      <c r="S78" s="65"/>
      <c r="T78" s="65"/>
      <c r="U78" s="65"/>
      <c r="V78" s="65"/>
      <c r="W78" s="65"/>
    </row>
    <row r="79" spans="1:23" ht="16.5" thickBot="1">
      <c r="A79" s="41"/>
      <c r="B79" s="41"/>
      <c r="C79" s="20"/>
      <c r="D79" s="41"/>
      <c r="E79" s="41"/>
      <c r="F79" s="41"/>
      <c r="G79" s="65"/>
      <c r="H79" s="65"/>
      <c r="I79" s="65"/>
      <c r="J79" s="65"/>
      <c r="K79" s="65"/>
      <c r="L79" s="65"/>
      <c r="M79" s="65"/>
      <c r="N79" s="65"/>
      <c r="O79" s="65"/>
      <c r="P79" s="65"/>
      <c r="Q79" s="65"/>
      <c r="R79" s="65"/>
      <c r="S79" s="65"/>
      <c r="T79" s="65"/>
      <c r="U79" s="65"/>
      <c r="V79" s="65"/>
      <c r="W79" s="65"/>
    </row>
    <row r="80" spans="1:23" ht="18">
      <c r="A80" s="41"/>
      <c r="B80" s="55" t="s">
        <v>492</v>
      </c>
      <c r="C80" s="18"/>
      <c r="D80" s="56" t="s">
        <v>529</v>
      </c>
      <c r="E80" s="56"/>
      <c r="F80" s="57"/>
      <c r="G80" s="65"/>
      <c r="H80" s="65"/>
      <c r="I80" s="65"/>
      <c r="J80" s="65"/>
      <c r="K80" s="65"/>
      <c r="L80" s="65"/>
      <c r="M80" s="65"/>
      <c r="N80" s="65"/>
      <c r="O80" s="65"/>
      <c r="P80" s="65"/>
      <c r="Q80" s="65"/>
      <c r="R80" s="65"/>
      <c r="S80" s="65"/>
      <c r="T80" s="65"/>
      <c r="U80" s="65"/>
      <c r="V80" s="65"/>
      <c r="W80" s="65"/>
    </row>
    <row r="81" spans="1:23" ht="18.75">
      <c r="A81" s="41"/>
      <c r="B81" s="2" t="s">
        <v>612</v>
      </c>
      <c r="C81" s="15" t="s">
        <v>613</v>
      </c>
      <c r="D81" s="125">
        <f>IF(Vin_type="AC", 106/(1.414*VINPUT_Brownin), 106/VINPUT_Brownin)</f>
        <v>0.93705799151343716</v>
      </c>
      <c r="E81" s="50"/>
      <c r="F81" s="126"/>
      <c r="G81" s="65"/>
      <c r="H81" s="65"/>
      <c r="I81" s="65"/>
      <c r="J81" s="65"/>
      <c r="K81" s="65"/>
      <c r="L81" s="65"/>
      <c r="M81" s="65"/>
      <c r="N81" s="65"/>
      <c r="O81" s="65"/>
      <c r="P81" s="65"/>
      <c r="Q81" s="65"/>
      <c r="R81" s="65"/>
      <c r="S81" s="65"/>
      <c r="T81" s="65"/>
      <c r="U81" s="65"/>
      <c r="V81" s="65"/>
      <c r="W81" s="65"/>
    </row>
    <row r="82" spans="1:23" ht="18.75">
      <c r="A82" s="41"/>
      <c r="B82" s="2" t="s">
        <v>614</v>
      </c>
      <c r="C82" s="15" t="s">
        <v>615</v>
      </c>
      <c r="D82" s="125">
        <f>IF(Vin_type="AC", (IF(Kvsl*1.414*VBulk_min_tgt&gt;290, VCST_OPP4, IF(Kvsl*1.414*VBulk_min_tgt&gt;130, 0.475-0.00003125*(Kvsl*1.414*VBulk_min_tgt-130), IF(Kvsl*1.414*VBulk_min_tgt&gt;70, VCST_OPP1-0.002083*(Kvsl*1.414*VBulk_min_tgt-70), VCST_OPP1)))),  (IF(Kvsl*VBulk_min_tgt&gt;290, VCST_OPP4, IF(Kvsl*VBulk_min_tgt&gt;130, 0.475-0.00003125*(Kvsl*VBulk_min_tgt-130), IF(Kvsl*VBulk_min_tgt&gt;70, VCST_OPP1-0.002083*(Kvsl*VBulk_min_tgt-70), VCST_OPP1)))))</f>
        <v>0.55261174999999996</v>
      </c>
      <c r="E82" s="50" t="s">
        <v>8</v>
      </c>
      <c r="F82" s="126" t="s">
        <v>558</v>
      </c>
      <c r="G82" s="39"/>
      <c r="H82" s="65"/>
      <c r="I82" s="65"/>
      <c r="J82" s="65"/>
      <c r="K82" s="65"/>
      <c r="L82" s="65"/>
      <c r="M82" s="65"/>
      <c r="N82" s="65"/>
      <c r="O82" s="65"/>
      <c r="P82" s="65"/>
      <c r="Q82" s="65"/>
      <c r="R82" s="65"/>
      <c r="S82" s="65"/>
      <c r="T82" s="65"/>
      <c r="U82" s="65"/>
      <c r="V82" s="65"/>
      <c r="W82" s="65"/>
    </row>
    <row r="83" spans="1:23" ht="18.75">
      <c r="A83" s="41"/>
      <c r="B83" s="2" t="s">
        <v>616</v>
      </c>
      <c r="C83" s="15" t="s">
        <v>617</v>
      </c>
      <c r="D83" s="125">
        <f>IF(Vin_type="AC", (IF(Kvsl*1.414*VINPUT_max&gt;290, VCST_OPP4, IF(Kvsl*1.414*VINPUT_max&gt;130, 0.475-0.00003125*(Kvsl*1.414*VINPUT_max-130), IF(Kvsl*1.414*VINPUT_max&gt;70, VCST_OPP1-0.002083*(Kvsl*1.414*VINPUT_max-70), VCST_OPP1)))),  (IF(Kvsl*VINPUT_max&gt;290, VCST_OPP4, IF(Kvsl*VINPUT_max&gt;130, 0.475-0.00003125*(Kvsl*VINPUT_max-130), IF(Kvsl*VINPUT_max&gt;70, VCST_OPP1-0.002083*(Kvsl*VINPUT_max-70), VCST_OPP1)))))</f>
        <v>0.42499999999999999</v>
      </c>
      <c r="E83" s="50" t="s">
        <v>8</v>
      </c>
      <c r="F83" s="126" t="s">
        <v>559</v>
      </c>
      <c r="G83" s="65"/>
      <c r="H83" s="65"/>
      <c r="I83" s="65"/>
      <c r="J83" s="65"/>
      <c r="K83" s="65"/>
      <c r="L83" s="65"/>
      <c r="M83" s="65"/>
      <c r="N83" s="65"/>
      <c r="O83" s="65"/>
      <c r="P83" s="65"/>
      <c r="Q83" s="65"/>
      <c r="R83" s="65"/>
      <c r="S83" s="65"/>
      <c r="T83" s="65"/>
      <c r="U83" s="65"/>
      <c r="V83" s="65"/>
      <c r="W83" s="65"/>
    </row>
    <row r="84" spans="1:23">
      <c r="A84" s="41"/>
      <c r="B84" s="2"/>
      <c r="C84" s="15"/>
      <c r="D84" s="125"/>
      <c r="E84" s="50"/>
      <c r="F84" s="126"/>
      <c r="G84" s="65"/>
      <c r="H84" s="65"/>
      <c r="I84" s="65"/>
      <c r="J84" s="65"/>
      <c r="K84" s="65"/>
      <c r="L84" s="65"/>
      <c r="M84" s="65"/>
      <c r="N84" s="65"/>
      <c r="O84" s="65"/>
      <c r="P84" s="65"/>
      <c r="Q84" s="65"/>
      <c r="R84" s="65"/>
      <c r="S84" s="65"/>
      <c r="T84" s="65"/>
      <c r="U84" s="65"/>
      <c r="V84" s="65"/>
      <c r="W84" s="65"/>
    </row>
    <row r="85" spans="1:23">
      <c r="A85" s="41"/>
      <c r="B85" s="10"/>
      <c r="C85" s="15"/>
      <c r="D85" s="125"/>
      <c r="E85" s="110"/>
      <c r="F85" s="137"/>
      <c r="G85" s="65"/>
      <c r="H85" s="65"/>
      <c r="I85" s="65"/>
      <c r="J85" s="65"/>
      <c r="K85" s="65"/>
      <c r="L85" s="65"/>
      <c r="M85" s="65"/>
      <c r="N85" s="65"/>
      <c r="O85" s="65"/>
      <c r="P85" s="65"/>
      <c r="Q85" s="65"/>
      <c r="R85" s="65"/>
      <c r="S85" s="65"/>
      <c r="T85" s="65"/>
      <c r="U85" s="65"/>
      <c r="V85" s="65"/>
      <c r="W85" s="65"/>
    </row>
    <row r="86" spans="1:23" ht="16.5" thickBot="1">
      <c r="A86" s="41"/>
      <c r="B86" s="117"/>
      <c r="C86" s="17"/>
      <c r="D86" s="122"/>
      <c r="E86" s="19"/>
      <c r="F86" s="142"/>
      <c r="G86" s="65"/>
      <c r="H86" s="65"/>
      <c r="I86" s="65"/>
      <c r="J86" s="65"/>
      <c r="K86" s="65"/>
      <c r="L86" s="65"/>
      <c r="M86" s="65"/>
      <c r="N86" s="65"/>
      <c r="O86" s="65"/>
      <c r="P86" s="65"/>
      <c r="Q86" s="65"/>
      <c r="R86" s="65"/>
      <c r="S86" s="65"/>
      <c r="T86" s="65"/>
      <c r="U86" s="65"/>
      <c r="V86" s="65"/>
      <c r="W86" s="65"/>
    </row>
    <row r="87" spans="1:23">
      <c r="A87" s="41"/>
      <c r="B87" s="41"/>
      <c r="C87" s="20"/>
      <c r="D87" s="41"/>
      <c r="E87" s="41"/>
      <c r="F87" s="41"/>
      <c r="G87" s="65"/>
      <c r="H87" s="65"/>
      <c r="I87" s="65"/>
      <c r="J87" s="65"/>
      <c r="K87" s="65"/>
      <c r="L87" s="65"/>
      <c r="M87" s="65"/>
      <c r="N87" s="65"/>
      <c r="O87" s="65"/>
      <c r="P87" s="65"/>
      <c r="Q87" s="65"/>
      <c r="R87" s="65"/>
      <c r="S87" s="65"/>
      <c r="T87" s="65"/>
      <c r="U87" s="65"/>
      <c r="V87" s="65"/>
      <c r="W87" s="65"/>
    </row>
    <row r="88" spans="1:23" ht="16.5" thickBot="1">
      <c r="A88" s="41"/>
      <c r="B88" s="41"/>
      <c r="C88" s="20"/>
      <c r="D88" s="41"/>
      <c r="E88" s="41"/>
      <c r="F88" s="41"/>
      <c r="G88" s="65"/>
      <c r="H88" s="65"/>
      <c r="I88" s="65"/>
      <c r="J88" s="65"/>
      <c r="K88" s="65"/>
      <c r="L88" s="65"/>
      <c r="M88" s="65"/>
      <c r="N88" s="65"/>
      <c r="O88" s="65"/>
      <c r="P88" s="65"/>
      <c r="Q88" s="65"/>
      <c r="R88" s="65"/>
      <c r="S88" s="65"/>
      <c r="T88" s="65"/>
      <c r="U88" s="65"/>
      <c r="V88" s="65"/>
      <c r="W88" s="65"/>
    </row>
    <row r="89" spans="1:23" ht="18">
      <c r="A89" s="41"/>
      <c r="B89" s="45" t="s">
        <v>78</v>
      </c>
      <c r="C89" s="46"/>
      <c r="D89" s="46" t="s">
        <v>526</v>
      </c>
      <c r="E89" s="46"/>
      <c r="F89" s="47"/>
      <c r="G89" s="65"/>
      <c r="H89" s="65"/>
      <c r="I89" s="65"/>
      <c r="J89" s="65"/>
      <c r="K89" s="65"/>
      <c r="L89" s="65"/>
      <c r="M89" s="65"/>
      <c r="N89" s="65"/>
      <c r="O89" s="65"/>
      <c r="P89" s="65"/>
      <c r="Q89" s="65"/>
      <c r="R89" s="65"/>
      <c r="S89" s="65"/>
      <c r="T89" s="65"/>
      <c r="U89" s="65"/>
      <c r="V89" s="65"/>
      <c r="W89" s="65"/>
    </row>
    <row r="90" spans="1:23" ht="18.75">
      <c r="A90" s="41"/>
      <c r="B90" s="2" t="s">
        <v>270</v>
      </c>
      <c r="C90" s="15" t="s">
        <v>604</v>
      </c>
      <c r="D90" s="61">
        <f>IF(Vin_type="AC",((COSS_QH_bg*Vxh*(10^-12)+COSS_QH_sm*(10^-12)*(VBulk_min_tgt+NPS*VOUT-Vxh))/(VBulk_min_tgt+VOUT*NPS))*10^12,((COSS_QH_bg*Vxh*(10^-12)+COSS_QH_sm*(10^-12)*(VBulk_min_tgt+NPS*VOUT-Vxh))/(VBulk_min_tgt+VOUT*NPS))*10^12)</f>
        <v>818.47999999999979</v>
      </c>
      <c r="E90" s="5" t="s">
        <v>290</v>
      </c>
      <c r="F90" s="7"/>
      <c r="G90" s="65"/>
      <c r="H90" s="65"/>
      <c r="I90" s="65"/>
      <c r="J90" s="65"/>
      <c r="K90" s="65"/>
      <c r="L90" s="65"/>
      <c r="M90" s="65"/>
      <c r="N90" s="65"/>
      <c r="O90" s="65"/>
      <c r="P90" s="65"/>
      <c r="Q90" s="65"/>
      <c r="R90" s="65"/>
      <c r="S90" s="65"/>
      <c r="T90" s="65"/>
      <c r="U90" s="65"/>
      <c r="V90" s="65"/>
      <c r="W90" s="65"/>
    </row>
    <row r="91" spans="1:23" ht="18.75">
      <c r="A91" s="41"/>
      <c r="B91" s="2" t="s">
        <v>271</v>
      </c>
      <c r="C91" s="15" t="s">
        <v>605</v>
      </c>
      <c r="D91" s="61">
        <f>IF(Vin_type="AC",((COSS_QL_bg*Vxl*(10^-12)+COSS_QL_sm*(10^-12)*(VBulk_min_tgt+NPS*VOUT-Vxl))/(VBulk_min_tgt+VOUT*NPS))*10^12,((COSS_QL_bg*Vxl*(10^-12)+COSS_QL_sm*(10^-12)*(VBulk_min_tgt+NPS*VOUT-Vxl))/(VBulk_min_tgt+VOUT*NPS))*10^12)</f>
        <v>818.47999999999979</v>
      </c>
      <c r="E91" s="5" t="s">
        <v>290</v>
      </c>
      <c r="F91" s="7"/>
      <c r="G91" s="65"/>
      <c r="H91" s="65"/>
      <c r="I91" s="65"/>
      <c r="J91" s="65"/>
      <c r="K91" s="65"/>
      <c r="L91" s="65"/>
      <c r="M91" s="65"/>
      <c r="N91" s="65"/>
      <c r="O91" s="65"/>
      <c r="P91" s="65"/>
      <c r="Q91" s="65"/>
      <c r="R91" s="65"/>
      <c r="S91" s="65"/>
      <c r="T91" s="65"/>
      <c r="U91" s="65"/>
      <c r="V91" s="65"/>
      <c r="W91" s="65"/>
    </row>
    <row r="92" spans="1:23" ht="18.75">
      <c r="A92" s="41"/>
      <c r="B92" s="2" t="s">
        <v>146</v>
      </c>
      <c r="C92" s="15" t="s">
        <v>606</v>
      </c>
      <c r="D92" s="61">
        <f>CTr</f>
        <v>3.1</v>
      </c>
      <c r="E92" s="5" t="s">
        <v>24</v>
      </c>
      <c r="F92" s="7"/>
      <c r="G92" s="65"/>
      <c r="H92" s="65"/>
      <c r="I92" s="65"/>
      <c r="J92" s="65"/>
      <c r="K92" s="65"/>
      <c r="L92" s="65"/>
      <c r="M92" s="65"/>
      <c r="N92" s="65"/>
      <c r="O92" s="65"/>
      <c r="P92" s="65"/>
      <c r="Q92" s="65"/>
      <c r="R92" s="65"/>
      <c r="S92" s="65"/>
      <c r="T92" s="65"/>
      <c r="U92" s="65"/>
      <c r="V92" s="65"/>
      <c r="W92" s="65"/>
    </row>
    <row r="93" spans="1:23" ht="18.75">
      <c r="A93" s="41"/>
      <c r="B93" s="2" t="s">
        <v>482</v>
      </c>
      <c r="C93" s="15" t="s">
        <v>607</v>
      </c>
      <c r="D93" s="8">
        <f>CBootD_T</f>
        <v>10</v>
      </c>
      <c r="E93" s="5" t="s">
        <v>30</v>
      </c>
      <c r="F93" s="7"/>
      <c r="G93" s="65"/>
      <c r="H93" s="65"/>
      <c r="I93" s="65"/>
      <c r="J93" s="65"/>
      <c r="K93" s="65"/>
      <c r="L93" s="65"/>
      <c r="M93" s="65"/>
      <c r="N93" s="65"/>
      <c r="O93" s="65"/>
      <c r="P93" s="65"/>
      <c r="Q93" s="65"/>
      <c r="R93" s="65"/>
      <c r="S93" s="65"/>
      <c r="T93" s="65"/>
      <c r="U93" s="65"/>
      <c r="V93" s="65"/>
      <c r="W93" s="65"/>
    </row>
    <row r="94" spans="1:23" ht="18.75">
      <c r="A94" s="41"/>
      <c r="B94" s="2" t="s">
        <v>147</v>
      </c>
      <c r="C94" s="15" t="s">
        <v>608</v>
      </c>
      <c r="D94" s="62">
        <f>COSS_Qs</f>
        <v>1.7</v>
      </c>
      <c r="E94" s="5" t="s">
        <v>15</v>
      </c>
      <c r="F94" s="51"/>
      <c r="G94" s="65"/>
      <c r="H94" s="65"/>
      <c r="I94" s="65"/>
      <c r="J94" s="65"/>
      <c r="K94" s="65"/>
      <c r="L94" s="65"/>
      <c r="M94" s="65"/>
      <c r="N94" s="65"/>
      <c r="O94" s="65"/>
      <c r="P94" s="65"/>
      <c r="Q94" s="65"/>
      <c r="R94" s="65"/>
      <c r="S94" s="65"/>
      <c r="T94" s="65"/>
      <c r="U94" s="65"/>
      <c r="V94" s="65"/>
      <c r="W94" s="65"/>
    </row>
    <row r="95" spans="1:23" ht="18.75">
      <c r="A95" s="41"/>
      <c r="B95" s="10" t="s">
        <v>531</v>
      </c>
      <c r="C95" s="16" t="s">
        <v>609</v>
      </c>
      <c r="D95" s="63">
        <f>IF(Vin_type="AC",(Coss_SR_bg*Vx_SR+Coss_SR_sm*(VOUT+VBulk_min_tgt/NPS-Vx_SR))/(VOUT+VBulk_min_tgt/NPS),(Coss_SR_bg*Vx_SR+Coss_SR_sm*(VOUT+VBulk_min_tgt/NPS-Vx_SR))/(VOUT+VBulk_min_tgt/NPS))</f>
        <v>1853.3333333333333</v>
      </c>
      <c r="E95" s="5" t="s">
        <v>24</v>
      </c>
      <c r="F95" s="51"/>
      <c r="G95" s="65"/>
      <c r="H95" s="65"/>
      <c r="I95" s="65"/>
      <c r="J95" s="65"/>
      <c r="K95" s="65"/>
      <c r="L95" s="65"/>
      <c r="M95" s="65"/>
      <c r="N95" s="65"/>
      <c r="O95" s="65"/>
      <c r="P95" s="65"/>
      <c r="Q95" s="65"/>
      <c r="R95" s="65"/>
      <c r="S95" s="65"/>
      <c r="T95" s="65"/>
      <c r="U95" s="65"/>
      <c r="V95" s="65"/>
      <c r="W95" s="65"/>
    </row>
    <row r="96" spans="1:23" ht="18.75">
      <c r="A96" s="41"/>
      <c r="B96" s="10" t="s">
        <v>532</v>
      </c>
      <c r="C96" s="16" t="s">
        <v>610</v>
      </c>
      <c r="D96" s="63">
        <f>CDaux_T</f>
        <v>4.68</v>
      </c>
      <c r="E96" s="5" t="s">
        <v>24</v>
      </c>
      <c r="F96" s="7"/>
      <c r="G96" s="65"/>
      <c r="H96" s="65"/>
      <c r="I96" s="65"/>
      <c r="J96" s="65"/>
      <c r="K96" s="65"/>
      <c r="L96" s="65"/>
      <c r="M96" s="65"/>
      <c r="N96" s="65"/>
      <c r="O96" s="65"/>
      <c r="P96" s="65"/>
      <c r="Q96" s="65"/>
      <c r="R96" s="65"/>
      <c r="S96" s="65"/>
      <c r="T96" s="65"/>
      <c r="U96" s="65"/>
      <c r="V96" s="65"/>
      <c r="W96" s="65"/>
    </row>
    <row r="97" spans="1:23" ht="19.5" thickBot="1">
      <c r="A97" s="41"/>
      <c r="B97" s="3" t="s">
        <v>483</v>
      </c>
      <c r="C97" s="17" t="s">
        <v>611</v>
      </c>
      <c r="D97" s="64">
        <f>COSS_QH_T_vmin + COSS_QL_T_vmin + CTr_vmin + CBootD_T_vmin + COSS_Qs_vmin + COSS_SR_vmin/(NP/NS)^2 + C_Daux_vmin/(NP/NA)^2</f>
        <v>1659.1641145833328</v>
      </c>
      <c r="E97" s="6" t="s">
        <v>24</v>
      </c>
      <c r="F97" s="9"/>
      <c r="G97" s="65"/>
      <c r="H97" s="65"/>
      <c r="I97" s="65"/>
      <c r="J97" s="65"/>
      <c r="K97" s="65"/>
      <c r="L97" s="65"/>
      <c r="M97" s="65"/>
      <c r="N97" s="65"/>
      <c r="O97" s="65"/>
      <c r="P97" s="65"/>
      <c r="Q97" s="65"/>
      <c r="R97" s="65"/>
      <c r="S97" s="65"/>
      <c r="T97" s="65"/>
      <c r="U97" s="65"/>
      <c r="V97" s="65"/>
      <c r="W97" s="65"/>
    </row>
    <row r="98" spans="1:23" ht="16.5" thickBot="1">
      <c r="A98" s="41"/>
      <c r="B98" s="41"/>
      <c r="C98" s="20"/>
      <c r="D98" s="41"/>
      <c r="E98" s="41"/>
      <c r="F98" s="41"/>
      <c r="G98" s="65"/>
      <c r="H98" s="65"/>
      <c r="I98" s="65"/>
      <c r="J98" s="65"/>
      <c r="K98" s="65"/>
      <c r="L98" s="65"/>
      <c r="M98" s="65"/>
      <c r="N98" s="65"/>
      <c r="O98" s="65"/>
      <c r="P98" s="65"/>
      <c r="Q98" s="65"/>
      <c r="R98" s="65"/>
      <c r="S98" s="65"/>
      <c r="T98" s="65"/>
      <c r="U98" s="65"/>
      <c r="V98" s="65"/>
      <c r="W98" s="65"/>
    </row>
    <row r="99" spans="1:23" ht="18">
      <c r="A99" s="41"/>
      <c r="B99" s="45" t="s">
        <v>78</v>
      </c>
      <c r="C99" s="46"/>
      <c r="D99" s="46" t="s">
        <v>525</v>
      </c>
      <c r="E99" s="46"/>
      <c r="F99" s="47"/>
      <c r="G99" s="65"/>
      <c r="H99" s="65"/>
      <c r="I99" s="65"/>
      <c r="J99" s="65"/>
      <c r="K99" s="65"/>
      <c r="L99" s="65"/>
      <c r="M99" s="65"/>
      <c r="N99" s="65"/>
      <c r="O99" s="65"/>
      <c r="P99" s="65"/>
      <c r="Q99" s="65"/>
      <c r="R99" s="65"/>
      <c r="S99" s="65"/>
      <c r="T99" s="65"/>
      <c r="U99" s="65"/>
      <c r="V99" s="65"/>
      <c r="W99" s="65"/>
    </row>
    <row r="100" spans="1:23" ht="18.75">
      <c r="A100" s="41"/>
      <c r="B100" s="2" t="s">
        <v>270</v>
      </c>
      <c r="C100" s="15" t="s">
        <v>596</v>
      </c>
      <c r="D100" s="61">
        <f>IF(Vin_type="AC",((COSS_QH_bg*Vxh*(10^-12)+COSS_QH_sm*(10^-12)*(VINPUT_Brownin+NPS*VOUT-Vxh))/(VINPUT_Brownin+VOUT*NPS))*10^12,((COSS_QH_bg*Vxh*(10^-12)+COSS_QH_sm*(10^-12)*(VINPUT_Brownin+NPS*VOUT-Vxh))/(VINPUT_Brownin+VOUT*NPS))*10^12)</f>
        <v>768.69999999999993</v>
      </c>
      <c r="E100" s="5" t="s">
        <v>290</v>
      </c>
      <c r="F100" s="7"/>
      <c r="G100" s="65"/>
      <c r="H100" s="65"/>
      <c r="I100" s="65"/>
      <c r="J100" s="65"/>
      <c r="K100" s="65"/>
      <c r="L100" s="65"/>
      <c r="M100" s="65"/>
      <c r="N100" s="65"/>
      <c r="O100" s="65"/>
      <c r="P100" s="65"/>
      <c r="Q100" s="65"/>
      <c r="R100" s="65"/>
      <c r="S100" s="65"/>
      <c r="T100" s="65"/>
      <c r="U100" s="65"/>
      <c r="V100" s="65"/>
      <c r="W100" s="65"/>
    </row>
    <row r="101" spans="1:23" ht="18.75">
      <c r="A101" s="41"/>
      <c r="B101" s="2" t="s">
        <v>271</v>
      </c>
      <c r="C101" s="15" t="s">
        <v>597</v>
      </c>
      <c r="D101" s="61">
        <f>IF(Vin_type="AC",((COSS_QL_bg*Vxl*(10^-12)+COSS_QL_sm*(10^-12)*(VINPUT_Brownin+NPS*VOUT-Vxl))/(VINPUT_Brownin+VOUT*NPS))*10^12,((COSS_QL_bg*Vxl*(10^-12)+COSS_QL_sm*(10^-12)*(VINPUT_Brownin+NPS*VOUT-Vxl))/(VINPUT_Brownin+VOUT*NPS))*10^12)</f>
        <v>768.69999999999993</v>
      </c>
      <c r="E101" s="5" t="s">
        <v>290</v>
      </c>
      <c r="F101" s="7"/>
      <c r="G101" s="65"/>
      <c r="H101" s="65"/>
      <c r="I101" s="65"/>
      <c r="J101" s="65"/>
      <c r="K101" s="65"/>
      <c r="L101" s="65"/>
      <c r="M101" s="65"/>
      <c r="N101" s="65"/>
      <c r="O101" s="65"/>
      <c r="P101" s="65"/>
      <c r="Q101" s="65"/>
      <c r="R101" s="65"/>
      <c r="S101" s="65"/>
      <c r="T101" s="65"/>
      <c r="U101" s="65"/>
      <c r="V101" s="65"/>
      <c r="W101" s="65"/>
    </row>
    <row r="102" spans="1:23" ht="18.75">
      <c r="A102" s="41"/>
      <c r="B102" s="2" t="s">
        <v>146</v>
      </c>
      <c r="C102" s="15" t="s">
        <v>598</v>
      </c>
      <c r="D102" s="61">
        <f>CTr</f>
        <v>3.1</v>
      </c>
      <c r="E102" s="5" t="s">
        <v>24</v>
      </c>
      <c r="F102" s="7"/>
      <c r="G102" s="65"/>
      <c r="H102" s="65"/>
      <c r="I102" s="65"/>
      <c r="J102" s="65"/>
      <c r="K102" s="65"/>
      <c r="L102" s="65"/>
      <c r="M102" s="65"/>
      <c r="N102" s="65"/>
      <c r="O102" s="65"/>
      <c r="P102" s="65"/>
      <c r="Q102" s="65"/>
      <c r="R102" s="65"/>
      <c r="S102" s="65"/>
      <c r="T102" s="65"/>
      <c r="U102" s="65"/>
      <c r="V102" s="65"/>
      <c r="W102" s="65"/>
    </row>
    <row r="103" spans="1:23" ht="18.75">
      <c r="A103" s="41"/>
      <c r="B103" s="2" t="s">
        <v>482</v>
      </c>
      <c r="C103" s="15" t="s">
        <v>599</v>
      </c>
      <c r="D103" s="8">
        <f>CBootD_T</f>
        <v>10</v>
      </c>
      <c r="E103" s="5" t="s">
        <v>30</v>
      </c>
      <c r="F103" s="7"/>
      <c r="G103" s="65"/>
      <c r="H103" s="65"/>
      <c r="I103" s="65"/>
      <c r="J103" s="65"/>
      <c r="K103" s="65"/>
      <c r="L103" s="65"/>
      <c r="M103" s="65"/>
      <c r="N103" s="65"/>
      <c r="O103" s="65"/>
      <c r="P103" s="65"/>
      <c r="Q103" s="65"/>
      <c r="R103" s="65"/>
      <c r="S103" s="65"/>
      <c r="T103" s="65"/>
      <c r="U103" s="65"/>
      <c r="V103" s="65"/>
      <c r="W103" s="65"/>
    </row>
    <row r="104" spans="1:23" ht="18.75">
      <c r="A104" s="41"/>
      <c r="B104" s="2" t="s">
        <v>147</v>
      </c>
      <c r="C104" s="15" t="s">
        <v>600</v>
      </c>
      <c r="D104" s="62">
        <f>COSS_Qs</f>
        <v>1.7</v>
      </c>
      <c r="E104" s="5" t="s">
        <v>15</v>
      </c>
      <c r="F104" s="51"/>
      <c r="G104" s="65"/>
      <c r="H104" s="65"/>
      <c r="I104" s="65"/>
      <c r="J104" s="65"/>
      <c r="K104" s="65"/>
      <c r="L104" s="65"/>
      <c r="M104" s="65"/>
      <c r="N104" s="65"/>
      <c r="O104" s="65"/>
      <c r="P104" s="65"/>
      <c r="Q104" s="65"/>
      <c r="R104" s="65"/>
      <c r="S104" s="65"/>
      <c r="T104" s="65"/>
      <c r="U104" s="65"/>
      <c r="V104" s="65"/>
      <c r="W104" s="65"/>
    </row>
    <row r="105" spans="1:23" ht="18.75">
      <c r="A105" s="41"/>
      <c r="B105" s="10" t="s">
        <v>531</v>
      </c>
      <c r="C105" s="16" t="s">
        <v>601</v>
      </c>
      <c r="D105" s="63">
        <f>IF(Vin_type="AC",(Coss_SR_bg*Vx_SR+Coss_SR_sm*(VOUT+VINPUT_Brownin/NPS-Vx_SR))/(VOUT+VINPUT_Brownin/NPS),(Coss_SR_bg*Vx_SR+Coss_SR_sm*(VOUT+VINPUT_Brownin/NPS-Vx_SR))/(VOUT+VINPUT_Brownin/NPS))</f>
        <v>1800</v>
      </c>
      <c r="E105" s="5" t="s">
        <v>24</v>
      </c>
      <c r="F105" s="51"/>
      <c r="G105" s="65"/>
      <c r="H105" s="65"/>
      <c r="I105" s="65"/>
      <c r="J105" s="65"/>
      <c r="K105" s="65"/>
      <c r="L105" s="65"/>
      <c r="M105" s="65"/>
      <c r="N105" s="65"/>
      <c r="O105" s="65"/>
      <c r="P105" s="65"/>
      <c r="Q105" s="65"/>
      <c r="R105" s="65"/>
      <c r="S105" s="65"/>
      <c r="T105" s="65"/>
      <c r="U105" s="65"/>
      <c r="V105" s="65"/>
      <c r="W105" s="65"/>
    </row>
    <row r="106" spans="1:23" ht="18.75">
      <c r="A106" s="41"/>
      <c r="B106" s="10" t="s">
        <v>532</v>
      </c>
      <c r="C106" s="16" t="s">
        <v>602</v>
      </c>
      <c r="D106" s="63">
        <f>CDaux_T</f>
        <v>4.68</v>
      </c>
      <c r="E106" s="5" t="s">
        <v>24</v>
      </c>
      <c r="F106" s="7"/>
      <c r="G106" s="65"/>
      <c r="H106" s="65"/>
      <c r="I106" s="65"/>
      <c r="J106" s="65"/>
      <c r="K106" s="65"/>
      <c r="L106" s="65"/>
      <c r="M106" s="65"/>
      <c r="N106" s="65"/>
      <c r="O106" s="65"/>
      <c r="P106" s="65"/>
      <c r="Q106" s="65"/>
      <c r="R106" s="65"/>
      <c r="S106" s="65"/>
      <c r="T106" s="65"/>
      <c r="U106" s="65"/>
      <c r="V106" s="65"/>
      <c r="W106" s="65"/>
    </row>
    <row r="107" spans="1:23" ht="19.5" thickBot="1">
      <c r="A107" s="41"/>
      <c r="B107" s="3" t="s">
        <v>483</v>
      </c>
      <c r="C107" s="17" t="s">
        <v>603</v>
      </c>
      <c r="D107" s="64">
        <f>COSS_QH_T_vbi + COSS_QL_T_vbi + CTr_vbi + CBootD_T_vbi + COSS_Qs_vbi + COSS_SR_vbi/(NP/NS)^2 + C_Daux_vbi/(NP/NA)^2</f>
        <v>1559.3957812499998</v>
      </c>
      <c r="E107" s="6" t="s">
        <v>24</v>
      </c>
      <c r="F107" s="9"/>
      <c r="G107" s="65"/>
      <c r="H107" s="65"/>
      <c r="I107" s="65"/>
      <c r="J107" s="65"/>
      <c r="K107" s="65"/>
      <c r="L107" s="65"/>
      <c r="M107" s="65"/>
      <c r="N107" s="65"/>
      <c r="O107" s="65"/>
      <c r="P107" s="65"/>
      <c r="Q107" s="65"/>
      <c r="R107" s="65"/>
      <c r="S107" s="65"/>
      <c r="T107" s="65"/>
      <c r="U107" s="65"/>
      <c r="V107" s="65"/>
      <c r="W107" s="65"/>
    </row>
    <row r="108" spans="1:23" ht="16.5" thickBot="1">
      <c r="A108" s="41"/>
      <c r="B108" s="41"/>
      <c r="C108" s="20"/>
      <c r="D108" s="41"/>
      <c r="E108" s="41"/>
      <c r="F108" s="41"/>
      <c r="G108" s="65"/>
      <c r="H108" s="65"/>
      <c r="I108" s="65"/>
      <c r="J108" s="65"/>
      <c r="K108" s="65"/>
      <c r="L108" s="65"/>
      <c r="M108" s="65"/>
      <c r="N108" s="65"/>
      <c r="O108" s="65"/>
      <c r="P108" s="65"/>
      <c r="Q108" s="65"/>
      <c r="R108" s="65"/>
      <c r="S108" s="65"/>
      <c r="T108" s="65"/>
      <c r="U108" s="65"/>
      <c r="V108" s="65"/>
      <c r="W108" s="65"/>
    </row>
    <row r="109" spans="1:23" ht="18">
      <c r="A109" s="41"/>
      <c r="B109" s="45" t="s">
        <v>78</v>
      </c>
      <c r="C109" s="46"/>
      <c r="D109" s="46" t="s">
        <v>530</v>
      </c>
      <c r="E109" s="46"/>
      <c r="F109" s="47"/>
      <c r="G109" s="65"/>
      <c r="H109" s="65"/>
      <c r="I109" s="65"/>
      <c r="J109" s="65"/>
      <c r="K109" s="65"/>
      <c r="L109" s="65"/>
      <c r="M109" s="65"/>
      <c r="N109" s="65"/>
      <c r="O109" s="65"/>
      <c r="P109" s="65"/>
      <c r="Q109" s="65"/>
      <c r="R109" s="65"/>
      <c r="S109" s="65"/>
      <c r="T109" s="65"/>
      <c r="U109" s="65"/>
      <c r="V109" s="65"/>
      <c r="W109" s="65"/>
    </row>
    <row r="110" spans="1:23" ht="18.75">
      <c r="A110" s="41"/>
      <c r="B110" s="2" t="s">
        <v>270</v>
      </c>
      <c r="C110" s="15" t="s">
        <v>588</v>
      </c>
      <c r="D110" s="61">
        <f>IF(Vin_type="AC",((COSS_QH_bg*Vxh*(10^-12)+COSS_QH_sm*(10^-12)*((VINPUT_Brownin+30)+NPS*VOUT-Vxh))/((VINPUT_Brownin+30)+VOUT*NPS))*10^12,((COSS_QH_bg*Vxh*(10^-12)+COSS_QH_sm*(10^-12)*((VINPUT_Brownin+30)+NPS*VOUT-Vxh))/((VINPUT_Brownin+30)+VOUT*NPS))*10^12)</f>
        <v>650.79999999999995</v>
      </c>
      <c r="E110" s="5" t="s">
        <v>290</v>
      </c>
      <c r="F110" s="7"/>
      <c r="G110" s="65"/>
      <c r="H110" s="65"/>
      <c r="I110" s="65"/>
      <c r="J110" s="65"/>
      <c r="K110" s="65"/>
      <c r="L110" s="65"/>
      <c r="M110" s="65"/>
      <c r="N110" s="65"/>
      <c r="O110" s="65"/>
      <c r="P110" s="65"/>
      <c r="Q110" s="65"/>
      <c r="R110" s="65"/>
      <c r="S110" s="65"/>
      <c r="T110" s="65"/>
      <c r="U110" s="65"/>
      <c r="V110" s="65"/>
      <c r="W110" s="65"/>
    </row>
    <row r="111" spans="1:23" ht="18.75">
      <c r="A111" s="41"/>
      <c r="B111" s="2" t="s">
        <v>271</v>
      </c>
      <c r="C111" s="15" t="s">
        <v>589</v>
      </c>
      <c r="D111" s="61">
        <f>IF(Vin_type="AC",((COSS_QL_bg*Vxl*(10^-12)+COSS_QL_sm*(10^-12)*((VINPUT_Brownin+30)+NPS*VOUT-Vxl))/((VINPUT_Brownin+30)+VOUT*NPS))*10^12,((COSS_QL_bg*Vxl*(10^-12)+COSS_QL_sm*(10^-12)*((VINPUT_Brownin+30)+NPS*VOUT-Vxl))/((VINPUT_Brownin+30)+VOUT*NPS))*10^12)</f>
        <v>650.79999999999995</v>
      </c>
      <c r="E111" s="5" t="s">
        <v>290</v>
      </c>
      <c r="F111" s="7"/>
      <c r="G111" s="65"/>
      <c r="H111" s="65"/>
      <c r="I111" s="65"/>
      <c r="J111" s="65"/>
      <c r="K111" s="65"/>
      <c r="L111" s="65"/>
      <c r="M111" s="65"/>
      <c r="N111" s="65"/>
      <c r="O111" s="65"/>
      <c r="P111" s="65"/>
      <c r="Q111" s="65"/>
      <c r="R111" s="65"/>
      <c r="S111" s="65"/>
      <c r="T111" s="65"/>
      <c r="U111" s="65"/>
      <c r="V111" s="65"/>
      <c r="W111" s="65"/>
    </row>
    <row r="112" spans="1:23" ht="18.75">
      <c r="A112" s="41"/>
      <c r="B112" s="2" t="s">
        <v>146</v>
      </c>
      <c r="C112" s="15" t="s">
        <v>590</v>
      </c>
      <c r="D112" s="61">
        <f>CTr</f>
        <v>3.1</v>
      </c>
      <c r="E112" s="5" t="s">
        <v>24</v>
      </c>
      <c r="F112" s="7"/>
      <c r="G112" s="65"/>
      <c r="H112" s="65"/>
      <c r="I112" s="65"/>
      <c r="J112" s="65"/>
      <c r="K112" s="65"/>
      <c r="L112" s="65"/>
      <c r="M112" s="65"/>
      <c r="N112" s="65"/>
      <c r="O112" s="65"/>
      <c r="P112" s="65"/>
      <c r="Q112" s="65"/>
      <c r="R112" s="65"/>
      <c r="S112" s="65"/>
      <c r="T112" s="65"/>
      <c r="U112" s="65"/>
      <c r="V112" s="65"/>
      <c r="W112" s="65"/>
    </row>
    <row r="113" spans="1:23" ht="18.75">
      <c r="A113" s="41"/>
      <c r="B113" s="2" t="s">
        <v>482</v>
      </c>
      <c r="C113" s="15" t="s">
        <v>591</v>
      </c>
      <c r="D113" s="8">
        <f>CBootD_T</f>
        <v>10</v>
      </c>
      <c r="E113" s="5" t="s">
        <v>30</v>
      </c>
      <c r="F113" s="7"/>
      <c r="G113" s="65"/>
      <c r="H113" s="65"/>
      <c r="I113" s="65"/>
      <c r="J113" s="65"/>
      <c r="K113" s="65"/>
      <c r="L113" s="65"/>
      <c r="M113" s="65"/>
      <c r="N113" s="65"/>
      <c r="O113" s="65"/>
      <c r="P113" s="65"/>
      <c r="Q113" s="65"/>
      <c r="R113" s="65"/>
      <c r="S113" s="65"/>
      <c r="T113" s="65"/>
      <c r="U113" s="65"/>
      <c r="V113" s="65"/>
      <c r="W113" s="65"/>
    </row>
    <row r="114" spans="1:23" ht="18.75">
      <c r="A114" s="41"/>
      <c r="B114" s="2" t="s">
        <v>147</v>
      </c>
      <c r="C114" s="15" t="s">
        <v>592</v>
      </c>
      <c r="D114" s="62">
        <f>COSS_Qs</f>
        <v>1.7</v>
      </c>
      <c r="E114" s="5" t="s">
        <v>15</v>
      </c>
      <c r="F114" s="51"/>
      <c r="G114" s="65"/>
      <c r="H114" s="65"/>
      <c r="I114" s="65"/>
      <c r="J114" s="65"/>
      <c r="K114" s="65"/>
      <c r="L114" s="65"/>
      <c r="M114" s="65"/>
      <c r="N114" s="65"/>
      <c r="O114" s="65"/>
      <c r="P114" s="65"/>
      <c r="Q114" s="65"/>
      <c r="R114" s="65"/>
      <c r="S114" s="65"/>
      <c r="T114" s="65"/>
      <c r="U114" s="65"/>
      <c r="V114" s="65"/>
      <c r="W114" s="65"/>
    </row>
    <row r="115" spans="1:23" ht="18.75">
      <c r="A115" s="41"/>
      <c r="B115" s="10" t="s">
        <v>531</v>
      </c>
      <c r="C115" s="16" t="s">
        <v>593</v>
      </c>
      <c r="D115" s="63">
        <f>IF(Vin_type="AC",(Coss_SR_bg*Vx_SR+Coss_SR_sm*(VOUT+(VINPUT_Brownin+30)/NPS-Vx_SR))/(VOUT+(VINPUT_Brownin+30)/NPS),(Coss_SR_bg*Vx_SR+Coss_SR_sm*(VOUT+(VINPUT_Brownin+30)/NPS-Vx_SR))/(VOUT+(VINPUT_Brownin+30)/NPS))</f>
        <v>1673.6842105263158</v>
      </c>
      <c r="E115" s="5" t="s">
        <v>24</v>
      </c>
      <c r="F115" s="51"/>
      <c r="G115" s="65"/>
      <c r="H115" s="65"/>
      <c r="I115" s="65"/>
      <c r="J115" s="65"/>
      <c r="K115" s="65"/>
      <c r="L115" s="65"/>
      <c r="M115" s="65"/>
      <c r="N115" s="65"/>
      <c r="O115" s="65"/>
      <c r="P115" s="65"/>
      <c r="Q115" s="65"/>
      <c r="R115" s="65"/>
      <c r="S115" s="65"/>
      <c r="T115" s="65"/>
      <c r="U115" s="65"/>
      <c r="V115" s="65"/>
      <c r="W115" s="65"/>
    </row>
    <row r="116" spans="1:23" ht="18.75">
      <c r="A116" s="41"/>
      <c r="B116" s="10" t="s">
        <v>532</v>
      </c>
      <c r="C116" s="16" t="s">
        <v>594</v>
      </c>
      <c r="D116" s="63">
        <f>CDaux_T</f>
        <v>4.68</v>
      </c>
      <c r="E116" s="5" t="s">
        <v>24</v>
      </c>
      <c r="F116" s="7"/>
      <c r="G116" s="65"/>
      <c r="H116" s="65"/>
      <c r="I116" s="65"/>
      <c r="J116" s="65"/>
      <c r="K116" s="65"/>
      <c r="L116" s="65"/>
      <c r="M116" s="65"/>
      <c r="N116" s="65"/>
      <c r="O116" s="65"/>
      <c r="P116" s="65"/>
      <c r="Q116" s="65"/>
      <c r="R116" s="65"/>
      <c r="S116" s="65"/>
      <c r="T116" s="65"/>
      <c r="U116" s="65"/>
      <c r="V116" s="65"/>
      <c r="W116" s="65"/>
    </row>
    <row r="117" spans="1:23" ht="19.5" thickBot="1">
      <c r="A117" s="41"/>
      <c r="B117" s="3" t="s">
        <v>483</v>
      </c>
      <c r="C117" s="17" t="s">
        <v>595</v>
      </c>
      <c r="D117" s="64">
        <f>COSS_QH_T_vbi_30 + COSS_QL_T_vbi_30 + CTr_vbi_30 + CBootD_T_vbi_30 + COSS_Qs_vbi_30 + COSS_SR_vbi_30/(NP/NS)^2 + C_Daux_vbi_30/(NP/NA)^2</f>
        <v>1323.1023601973682</v>
      </c>
      <c r="E117" s="6" t="s">
        <v>24</v>
      </c>
      <c r="F117" s="9"/>
      <c r="G117" s="65"/>
      <c r="H117" s="65"/>
      <c r="I117" s="65"/>
      <c r="J117" s="65"/>
      <c r="K117" s="65"/>
      <c r="L117" s="65"/>
      <c r="M117" s="65"/>
      <c r="N117" s="65"/>
      <c r="O117" s="65"/>
      <c r="P117" s="65"/>
      <c r="Q117" s="65"/>
      <c r="R117" s="65"/>
      <c r="S117" s="65"/>
      <c r="T117" s="65"/>
      <c r="U117" s="65"/>
      <c r="V117" s="65"/>
      <c r="W117" s="65"/>
    </row>
    <row r="118" spans="1:23" ht="16.5" thickBot="1">
      <c r="A118" s="41"/>
      <c r="B118" s="41"/>
      <c r="C118" s="20"/>
      <c r="D118" s="41"/>
      <c r="E118" s="41"/>
      <c r="F118" s="41"/>
      <c r="G118" s="65"/>
      <c r="H118" s="65"/>
      <c r="I118" s="65"/>
      <c r="J118" s="65"/>
      <c r="K118" s="65"/>
      <c r="L118" s="65"/>
      <c r="M118" s="65"/>
      <c r="N118" s="65"/>
      <c r="O118" s="65"/>
      <c r="P118" s="65"/>
      <c r="Q118" s="65"/>
      <c r="R118" s="65"/>
      <c r="S118" s="65"/>
      <c r="T118" s="65"/>
      <c r="U118" s="65"/>
      <c r="V118" s="65"/>
      <c r="W118" s="65"/>
    </row>
    <row r="119" spans="1:23" ht="18">
      <c r="A119" s="41"/>
      <c r="B119" s="45" t="s">
        <v>78</v>
      </c>
      <c r="C119" s="46"/>
      <c r="D119" s="46" t="s">
        <v>528</v>
      </c>
      <c r="E119" s="46"/>
      <c r="F119" s="47"/>
      <c r="G119" s="65"/>
      <c r="H119" s="65"/>
      <c r="I119" s="65"/>
      <c r="J119" s="65"/>
      <c r="K119" s="65"/>
      <c r="L119" s="65"/>
      <c r="M119" s="65"/>
      <c r="N119" s="65"/>
      <c r="O119" s="65"/>
      <c r="P119" s="65"/>
      <c r="Q119" s="65"/>
      <c r="R119" s="65"/>
      <c r="S119" s="65"/>
      <c r="T119" s="65"/>
      <c r="U119" s="65"/>
      <c r="V119" s="65"/>
      <c r="W119" s="65"/>
    </row>
    <row r="120" spans="1:23" ht="18.75">
      <c r="A120" s="41"/>
      <c r="B120" s="2" t="s">
        <v>270</v>
      </c>
      <c r="C120" s="15" t="s">
        <v>580</v>
      </c>
      <c r="D120" s="61">
        <f>IF(Vin_type="AC",((COSS_QH_bg*Vxh*(10^-12)+COSS_QH_sm*(10^-12)*(VINPUT_BUR+NPS*VOUT-Vxh))/(VINPUT_BUR+VOUT*NPS))*10^12,((COSS_QH_bg*Vxh*(10^-12)+COSS_QH_sm*(10^-12)*(VINPUT_BUR+NPS*VOUT-Vxh))/(VINPUT_BUR+VOUT*NPS))*10^12)</f>
        <v>407.3935483870967</v>
      </c>
      <c r="E120" s="5" t="s">
        <v>290</v>
      </c>
      <c r="F120" s="7"/>
      <c r="G120" s="65"/>
      <c r="H120" s="65"/>
      <c r="I120" s="65"/>
      <c r="J120" s="65"/>
      <c r="K120" s="65"/>
      <c r="L120" s="65"/>
      <c r="M120" s="65"/>
      <c r="N120" s="65"/>
      <c r="O120" s="65"/>
      <c r="P120" s="65"/>
      <c r="Q120" s="65"/>
      <c r="R120" s="65"/>
      <c r="S120" s="65"/>
      <c r="T120" s="65"/>
      <c r="U120" s="65"/>
      <c r="V120" s="65"/>
      <c r="W120" s="65"/>
    </row>
    <row r="121" spans="1:23" ht="18.75">
      <c r="A121" s="41"/>
      <c r="B121" s="2" t="s">
        <v>271</v>
      </c>
      <c r="C121" s="15" t="s">
        <v>581</v>
      </c>
      <c r="D121" s="61">
        <f>IF(Vin_type="AC",((COSS_QL_bg*Vxl*(10^-12)+COSS_QL_sm*(10^-12)*(VINPUT_BUR+NPS*VOUT-Vxl))/(VINPUT_BUR+VOUT*NPS))*10^12,((COSS_QL_bg*Vxl*(10^-12)+COSS_QL_sm*(10^-12)*(VINPUT_BUR+NPS*VOUT-Vxl))/(VINPUT_BUR+VOUT*NPS))*10^12)</f>
        <v>407.3935483870967</v>
      </c>
      <c r="E121" s="5" t="s">
        <v>290</v>
      </c>
      <c r="F121" s="7"/>
      <c r="G121" s="65"/>
      <c r="H121" s="65"/>
      <c r="I121" s="65"/>
      <c r="J121" s="65"/>
      <c r="K121" s="65"/>
      <c r="L121" s="65"/>
      <c r="M121" s="65"/>
      <c r="N121" s="65"/>
      <c r="O121" s="65"/>
      <c r="P121" s="65"/>
      <c r="Q121" s="65"/>
      <c r="R121" s="65"/>
      <c r="S121" s="65"/>
      <c r="T121" s="65"/>
      <c r="U121" s="65"/>
      <c r="V121" s="65"/>
      <c r="W121" s="65"/>
    </row>
    <row r="122" spans="1:23" ht="18.75">
      <c r="A122" s="41"/>
      <c r="B122" s="2" t="s">
        <v>146</v>
      </c>
      <c r="C122" s="15" t="s">
        <v>582</v>
      </c>
      <c r="D122" s="61">
        <f>CTr</f>
        <v>3.1</v>
      </c>
      <c r="E122" s="5" t="s">
        <v>24</v>
      </c>
      <c r="F122" s="7"/>
      <c r="G122" s="65"/>
      <c r="H122" s="65"/>
      <c r="I122" s="65"/>
      <c r="J122" s="65"/>
      <c r="K122" s="65"/>
      <c r="L122" s="65"/>
      <c r="M122" s="65"/>
      <c r="N122" s="65"/>
      <c r="O122" s="65"/>
      <c r="P122" s="65"/>
      <c r="Q122" s="65"/>
      <c r="R122" s="65"/>
      <c r="S122" s="65"/>
      <c r="T122" s="65"/>
      <c r="U122" s="65"/>
      <c r="V122" s="65"/>
      <c r="W122" s="65"/>
    </row>
    <row r="123" spans="1:23" ht="18.75">
      <c r="A123" s="41"/>
      <c r="B123" s="2" t="s">
        <v>482</v>
      </c>
      <c r="C123" s="15" t="s">
        <v>583</v>
      </c>
      <c r="D123" s="8">
        <f>CBootD_T</f>
        <v>10</v>
      </c>
      <c r="E123" s="5" t="s">
        <v>30</v>
      </c>
      <c r="F123" s="7"/>
      <c r="G123" s="65"/>
      <c r="H123" s="65"/>
      <c r="I123" s="65"/>
      <c r="J123" s="65"/>
      <c r="K123" s="65"/>
      <c r="L123" s="65"/>
      <c r="M123" s="65"/>
      <c r="N123" s="65"/>
      <c r="O123" s="65"/>
      <c r="P123" s="65"/>
      <c r="Q123" s="65"/>
      <c r="R123" s="65"/>
      <c r="S123" s="65"/>
      <c r="T123" s="65"/>
      <c r="U123" s="65"/>
      <c r="V123" s="65"/>
      <c r="W123" s="65"/>
    </row>
    <row r="124" spans="1:23" ht="18.75">
      <c r="A124" s="41"/>
      <c r="B124" s="2" t="s">
        <v>147</v>
      </c>
      <c r="C124" s="15" t="s">
        <v>584</v>
      </c>
      <c r="D124" s="62">
        <f>COSS_Qs</f>
        <v>1.7</v>
      </c>
      <c r="E124" s="5" t="s">
        <v>15</v>
      </c>
      <c r="F124" s="51"/>
      <c r="G124" s="65"/>
      <c r="H124" s="65"/>
      <c r="I124" s="65"/>
      <c r="J124" s="65"/>
      <c r="K124" s="65"/>
      <c r="L124" s="65"/>
      <c r="M124" s="65"/>
      <c r="N124" s="65"/>
      <c r="O124" s="65"/>
      <c r="P124" s="65"/>
      <c r="Q124" s="65"/>
      <c r="R124" s="65"/>
      <c r="S124" s="65"/>
      <c r="T124" s="65"/>
      <c r="U124" s="65"/>
      <c r="V124" s="65"/>
      <c r="W124" s="65"/>
    </row>
    <row r="125" spans="1:23" ht="18.75">
      <c r="A125" s="41"/>
      <c r="B125" s="10" t="s">
        <v>531</v>
      </c>
      <c r="C125" s="16" t="s">
        <v>585</v>
      </c>
      <c r="D125" s="63">
        <f>IF(Vin_type="AC",(Coss_SR_bg*Vx_SR+Coss_SR_sm*(VOUT+(VINPUT_BUR)/NPS-Vx_SR))/(VOUT+(VINPUT_BUR)/NPS),(Coss_SR_bg*Vx_SR+Coss_SR_sm*(VOUT+(VINPUT_BUR)/NPS-Vx_SR))/(VOUT+(VINPUT_BUR)/NPS))</f>
        <v>1412.9032258064517</v>
      </c>
      <c r="E125" s="5" t="s">
        <v>24</v>
      </c>
      <c r="F125" s="51"/>
      <c r="G125" s="65"/>
      <c r="H125" s="65"/>
      <c r="I125" s="65"/>
      <c r="J125" s="65"/>
      <c r="K125" s="65"/>
      <c r="L125" s="65"/>
      <c r="M125" s="65"/>
      <c r="N125" s="65"/>
      <c r="O125" s="65"/>
      <c r="P125" s="65"/>
      <c r="Q125" s="65"/>
      <c r="R125" s="65"/>
      <c r="S125" s="65"/>
      <c r="T125" s="65"/>
      <c r="U125" s="65"/>
      <c r="V125" s="65"/>
      <c r="W125" s="65"/>
    </row>
    <row r="126" spans="1:23" ht="18.75">
      <c r="A126" s="41"/>
      <c r="B126" s="10" t="s">
        <v>532</v>
      </c>
      <c r="C126" s="16" t="s">
        <v>586</v>
      </c>
      <c r="D126" s="63">
        <f>CDaux_T</f>
        <v>4.68</v>
      </c>
      <c r="E126" s="5" t="s">
        <v>24</v>
      </c>
      <c r="F126" s="7"/>
      <c r="G126" s="65"/>
      <c r="H126" s="65"/>
      <c r="I126" s="65"/>
      <c r="J126" s="65"/>
      <c r="K126" s="65"/>
      <c r="L126" s="65"/>
      <c r="M126" s="65"/>
      <c r="N126" s="65"/>
      <c r="O126" s="65"/>
      <c r="P126" s="65"/>
      <c r="Q126" s="65"/>
      <c r="R126" s="65"/>
      <c r="S126" s="65"/>
      <c r="T126" s="65"/>
      <c r="U126" s="65"/>
      <c r="V126" s="65"/>
      <c r="W126" s="65"/>
    </row>
    <row r="127" spans="1:23" ht="19.5" thickBot="1">
      <c r="A127" s="41"/>
      <c r="B127" s="3" t="s">
        <v>483</v>
      </c>
      <c r="C127" s="17" t="s">
        <v>587</v>
      </c>
      <c r="D127" s="64">
        <f>COSS_QH_T_vbur + COSS_QL_T_vbur + CTr_vbur + CBootD_T_vbur + COSS_Qs_vbur + COSS_SR_vbur/(NP/NS)^2 + C_Daux_vbur/(NP/NA)^2</f>
        <v>835.27078124999991</v>
      </c>
      <c r="E127" s="6" t="s">
        <v>24</v>
      </c>
      <c r="F127" s="9"/>
      <c r="G127" s="65"/>
      <c r="H127" s="65"/>
      <c r="I127" s="65"/>
      <c r="J127" s="65"/>
      <c r="K127" s="65"/>
      <c r="L127" s="65"/>
      <c r="M127" s="65"/>
      <c r="N127" s="65"/>
      <c r="O127" s="65"/>
      <c r="P127" s="65"/>
      <c r="Q127" s="65"/>
      <c r="R127" s="65"/>
      <c r="S127" s="65"/>
      <c r="T127" s="65"/>
      <c r="U127" s="65"/>
      <c r="V127" s="65"/>
      <c r="W127" s="65"/>
    </row>
    <row r="128" spans="1:23" ht="16.5" thickBot="1">
      <c r="A128" s="41"/>
      <c r="B128" s="41"/>
      <c r="C128" s="20"/>
      <c r="D128" s="41"/>
      <c r="E128" s="41"/>
      <c r="F128" s="41"/>
      <c r="G128" s="65"/>
      <c r="H128" s="65"/>
      <c r="I128" s="65"/>
      <c r="J128" s="65"/>
      <c r="K128" s="65"/>
      <c r="L128" s="65"/>
      <c r="M128" s="65"/>
      <c r="N128" s="65"/>
      <c r="O128" s="65"/>
      <c r="P128" s="65"/>
      <c r="Q128" s="65"/>
      <c r="R128" s="65"/>
      <c r="S128" s="65"/>
      <c r="T128" s="65"/>
      <c r="U128" s="65"/>
      <c r="V128" s="65"/>
      <c r="W128" s="65"/>
    </row>
    <row r="129" spans="1:23" ht="18">
      <c r="A129" s="41"/>
      <c r="B129" s="45" t="s">
        <v>78</v>
      </c>
      <c r="C129" s="46"/>
      <c r="D129" s="46" t="s">
        <v>527</v>
      </c>
      <c r="E129" s="46"/>
      <c r="F129" s="47"/>
      <c r="G129" s="65"/>
      <c r="H129" s="65"/>
      <c r="I129" s="65"/>
      <c r="J129" s="65"/>
      <c r="K129" s="65"/>
      <c r="L129" s="65"/>
      <c r="M129" s="65"/>
      <c r="N129" s="65"/>
      <c r="O129" s="65"/>
      <c r="P129" s="65"/>
      <c r="Q129" s="65"/>
      <c r="R129" s="65"/>
      <c r="S129" s="65"/>
      <c r="T129" s="65"/>
      <c r="U129" s="65"/>
      <c r="V129" s="65"/>
      <c r="W129" s="65"/>
    </row>
    <row r="130" spans="1:23" ht="18.75">
      <c r="A130" s="41"/>
      <c r="B130" s="2" t="s">
        <v>270</v>
      </c>
      <c r="C130" s="15" t="s">
        <v>572</v>
      </c>
      <c r="D130" s="61">
        <f>IF(Vin_type="AC",((COSS_QH_bg*Vxh*(10^-12)+COSS_QH_sm*(10^-12)*(VINPUT_max+NPS*VOUT-Vxh))/(VINPUT_max+VOUT*NPS))*10^12,((COSS_QH_bg*Vxh*(10^-12)+COSS_QH_sm*(10^-12)*(VINPUT_max+NPS*VOUT-Vxh))/(VINPUT_max+VOUT*NPS))*10^12)</f>
        <v>369.30232558139528</v>
      </c>
      <c r="E130" s="5" t="s">
        <v>290</v>
      </c>
      <c r="F130" s="7"/>
      <c r="G130" s="65"/>
      <c r="H130" s="65"/>
      <c r="I130" s="65"/>
      <c r="J130" s="65"/>
      <c r="K130" s="65"/>
      <c r="L130" s="65"/>
      <c r="M130" s="65"/>
      <c r="N130" s="65"/>
      <c r="O130" s="65"/>
      <c r="P130" s="65"/>
      <c r="Q130" s="65"/>
      <c r="R130" s="65"/>
      <c r="S130" s="65"/>
      <c r="T130" s="65"/>
      <c r="U130" s="65"/>
      <c r="V130" s="65"/>
      <c r="W130" s="65"/>
    </row>
    <row r="131" spans="1:23" ht="18.75">
      <c r="A131" s="41"/>
      <c r="B131" s="2" t="s">
        <v>271</v>
      </c>
      <c r="C131" s="15" t="s">
        <v>573</v>
      </c>
      <c r="D131" s="61">
        <f>IF(Vin_type="AC",((COSS_QL_bg*Vxl*(10^-12)+COSS_QL_sm*(10^-12)*(VINPUT_max+NPS*VOUT-Vxl))/(VINPUT_max+VOUT*NPS))*10^12,((COSS_QL_bg*Vxl*(10^-12)+COSS_QL_sm*(10^-12)*(VINPUT_max+NPS*VOUT-Vxl))/(VINPUT_max+VOUT*NPS))*10^12)</f>
        <v>369.30232558139528</v>
      </c>
      <c r="E131" s="5" t="s">
        <v>290</v>
      </c>
      <c r="F131" s="7"/>
      <c r="G131" s="65"/>
      <c r="H131" s="65"/>
      <c r="I131" s="65"/>
      <c r="J131" s="65"/>
      <c r="K131" s="65"/>
      <c r="L131" s="65"/>
      <c r="M131" s="65"/>
      <c r="N131" s="65"/>
      <c r="O131" s="65"/>
      <c r="P131" s="65"/>
      <c r="Q131" s="65"/>
      <c r="R131" s="65"/>
      <c r="S131" s="65"/>
      <c r="T131" s="65"/>
      <c r="U131" s="65"/>
      <c r="V131" s="65"/>
      <c r="W131" s="65"/>
    </row>
    <row r="132" spans="1:23" ht="18.75">
      <c r="A132" s="41"/>
      <c r="B132" s="2" t="s">
        <v>146</v>
      </c>
      <c r="C132" s="15" t="s">
        <v>574</v>
      </c>
      <c r="D132" s="61">
        <f>CTr</f>
        <v>3.1</v>
      </c>
      <c r="E132" s="5" t="s">
        <v>24</v>
      </c>
      <c r="F132" s="7"/>
      <c r="G132" s="65"/>
      <c r="H132" s="65"/>
      <c r="I132" s="65"/>
      <c r="J132" s="65"/>
      <c r="K132" s="65"/>
      <c r="L132" s="65"/>
      <c r="M132" s="65"/>
      <c r="N132" s="65"/>
      <c r="O132" s="65"/>
      <c r="P132" s="65"/>
      <c r="Q132" s="65"/>
      <c r="R132" s="65"/>
      <c r="S132" s="65"/>
      <c r="T132" s="65"/>
      <c r="U132" s="65"/>
      <c r="V132" s="65"/>
      <c r="W132" s="65"/>
    </row>
    <row r="133" spans="1:23" ht="18.75">
      <c r="A133" s="41"/>
      <c r="B133" s="2" t="s">
        <v>482</v>
      </c>
      <c r="C133" s="15" t="s">
        <v>575</v>
      </c>
      <c r="D133" s="8">
        <f>CBootD_T</f>
        <v>10</v>
      </c>
      <c r="E133" s="5" t="s">
        <v>30</v>
      </c>
      <c r="F133" s="7"/>
      <c r="G133" s="65"/>
      <c r="H133" s="65"/>
      <c r="I133" s="65"/>
      <c r="J133" s="65"/>
      <c r="K133" s="65"/>
      <c r="L133" s="65"/>
      <c r="M133" s="65"/>
      <c r="N133" s="65"/>
      <c r="O133" s="65"/>
      <c r="P133" s="65"/>
      <c r="Q133" s="65"/>
      <c r="R133" s="65"/>
      <c r="S133" s="65"/>
      <c r="T133" s="65"/>
      <c r="U133" s="65"/>
      <c r="V133" s="65"/>
      <c r="W133" s="65"/>
    </row>
    <row r="134" spans="1:23" ht="18.75">
      <c r="A134" s="41"/>
      <c r="B134" s="2" t="s">
        <v>147</v>
      </c>
      <c r="C134" s="15" t="s">
        <v>576</v>
      </c>
      <c r="D134" s="62">
        <f>COSS_Qs</f>
        <v>1.7</v>
      </c>
      <c r="E134" s="5" t="s">
        <v>15</v>
      </c>
      <c r="F134" s="51"/>
      <c r="G134" s="65"/>
      <c r="H134" s="65"/>
      <c r="I134" s="65"/>
      <c r="J134" s="65"/>
      <c r="K134" s="65"/>
      <c r="L134" s="65"/>
      <c r="M134" s="65"/>
      <c r="N134" s="65"/>
      <c r="O134" s="65"/>
      <c r="P134" s="65"/>
      <c r="Q134" s="65"/>
      <c r="R134" s="65"/>
      <c r="S134" s="65"/>
      <c r="T134" s="65"/>
      <c r="U134" s="65"/>
      <c r="V134" s="65"/>
      <c r="W134" s="65"/>
    </row>
    <row r="135" spans="1:23" ht="18.75">
      <c r="A135" s="41"/>
      <c r="B135" s="10" t="s">
        <v>531</v>
      </c>
      <c r="C135" s="16" t="s">
        <v>577</v>
      </c>
      <c r="D135" s="63">
        <f>IF(Vin_type="AC",(Coss_SR_bg*Vx_SR+Coss_SR_sm*(VOUT+(VINPUT_max)/NPS-Vx_SR))/(VOUT+(VINPUT_max)/NPS),(Coss_SR_bg*Vx_SR+Coss_SR_sm*(VOUT+(VINPUT_max)/NPS-Vx_SR))/(VOUT+(VINPUT_max)/NPS))</f>
        <v>1372.0930232558139</v>
      </c>
      <c r="E135" s="5" t="s">
        <v>24</v>
      </c>
      <c r="F135" s="51"/>
      <c r="G135" s="65"/>
      <c r="H135" s="65"/>
      <c r="I135" s="65"/>
      <c r="J135" s="65"/>
      <c r="K135" s="65"/>
      <c r="L135" s="65"/>
      <c r="M135" s="65"/>
      <c r="N135" s="65"/>
      <c r="O135" s="65"/>
      <c r="P135" s="65"/>
      <c r="Q135" s="65"/>
      <c r="R135" s="65"/>
      <c r="S135" s="65"/>
      <c r="T135" s="65"/>
      <c r="U135" s="65"/>
      <c r="V135" s="65"/>
      <c r="W135" s="65"/>
    </row>
    <row r="136" spans="1:23" ht="18.75">
      <c r="A136" s="41"/>
      <c r="B136" s="10" t="s">
        <v>532</v>
      </c>
      <c r="C136" s="16" t="s">
        <v>578</v>
      </c>
      <c r="D136" s="63">
        <f>CDaux_T</f>
        <v>4.68</v>
      </c>
      <c r="E136" s="5" t="s">
        <v>24</v>
      </c>
      <c r="F136" s="7"/>
      <c r="G136" s="65"/>
      <c r="H136" s="65"/>
      <c r="I136" s="65"/>
      <c r="J136" s="65"/>
      <c r="K136" s="65"/>
      <c r="L136" s="65"/>
      <c r="M136" s="65"/>
      <c r="N136" s="65"/>
      <c r="O136" s="65"/>
      <c r="P136" s="65"/>
      <c r="Q136" s="65"/>
      <c r="R136" s="65"/>
      <c r="S136" s="65"/>
      <c r="T136" s="65"/>
      <c r="U136" s="65"/>
      <c r="V136" s="65"/>
      <c r="W136" s="65"/>
    </row>
    <row r="137" spans="1:23" ht="19.5" thickBot="1">
      <c r="A137" s="41"/>
      <c r="B137" s="3" t="s">
        <v>483</v>
      </c>
      <c r="C137" s="17" t="s">
        <v>579</v>
      </c>
      <c r="D137" s="64">
        <f>COSS_QH_T_vmax + COSS_QL_T_vmax + CTr_vmax + CBootD_T_vmax + COSS_Qs_vmax + COSS_SR_vmax/(NP/NS)^2 + C_Daux_vmax/(NP/NA)^2</f>
        <v>758.92892078488364</v>
      </c>
      <c r="E137" s="6" t="s">
        <v>24</v>
      </c>
      <c r="F137" s="9"/>
      <c r="G137" s="65"/>
      <c r="H137" s="65"/>
      <c r="I137" s="65"/>
      <c r="J137" s="65"/>
      <c r="K137" s="65"/>
      <c r="L137" s="65"/>
      <c r="M137" s="65"/>
      <c r="N137" s="65"/>
      <c r="O137" s="65"/>
      <c r="P137" s="65"/>
      <c r="Q137" s="65"/>
      <c r="R137" s="65"/>
      <c r="S137" s="65"/>
      <c r="T137" s="65"/>
      <c r="U137" s="65"/>
      <c r="V137" s="65"/>
      <c r="W137" s="65"/>
    </row>
    <row r="138" spans="1:23">
      <c r="A138" s="41"/>
      <c r="B138" s="41"/>
      <c r="C138" s="20"/>
      <c r="D138" s="41"/>
      <c r="E138" s="41"/>
      <c r="F138" s="41"/>
      <c r="G138" s="65"/>
      <c r="H138" s="65"/>
      <c r="I138" s="65"/>
      <c r="J138" s="65"/>
      <c r="K138" s="65"/>
      <c r="L138" s="65"/>
      <c r="M138" s="65"/>
      <c r="N138" s="65"/>
      <c r="O138" s="65"/>
      <c r="P138" s="65"/>
      <c r="Q138" s="65"/>
      <c r="R138" s="65"/>
      <c r="S138" s="65"/>
      <c r="T138" s="65"/>
      <c r="U138" s="65"/>
      <c r="V138" s="65"/>
      <c r="W138" s="65"/>
    </row>
    <row r="139" spans="1:23">
      <c r="A139" s="41"/>
      <c r="B139" s="41"/>
      <c r="C139" s="20"/>
      <c r="D139" s="41"/>
      <c r="E139" s="41"/>
      <c r="F139" s="41"/>
      <c r="G139" s="65"/>
      <c r="H139" s="65"/>
      <c r="I139" s="65"/>
      <c r="J139" s="65"/>
      <c r="K139" s="65"/>
      <c r="L139" s="65"/>
      <c r="M139" s="65"/>
      <c r="N139" s="65"/>
      <c r="O139" s="65"/>
      <c r="P139" s="65"/>
      <c r="Q139" s="65"/>
      <c r="R139" s="65"/>
      <c r="S139" s="65"/>
      <c r="T139" s="65"/>
      <c r="U139" s="65"/>
      <c r="V139" s="65"/>
      <c r="W139" s="65"/>
    </row>
    <row r="140" spans="1:23">
      <c r="A140" s="41"/>
      <c r="B140" s="41"/>
      <c r="C140" s="20"/>
      <c r="D140" s="41"/>
      <c r="E140" s="41"/>
      <c r="F140" s="41"/>
      <c r="G140" s="65"/>
      <c r="H140" s="65"/>
      <c r="I140" s="65"/>
      <c r="J140" s="65"/>
      <c r="K140" s="65"/>
      <c r="L140" s="65"/>
      <c r="M140" s="65"/>
      <c r="N140" s="65"/>
      <c r="O140" s="65"/>
      <c r="P140" s="65"/>
      <c r="Q140" s="65"/>
      <c r="R140" s="65"/>
      <c r="S140" s="65"/>
      <c r="T140" s="65"/>
      <c r="U140" s="65"/>
      <c r="V140" s="65"/>
      <c r="W140" s="65"/>
    </row>
    <row r="141" spans="1:23">
      <c r="A141" s="41"/>
      <c r="B141" s="41"/>
      <c r="C141" s="20"/>
      <c r="D141" s="41"/>
      <c r="E141" s="41"/>
      <c r="F141" s="41"/>
      <c r="G141" s="65"/>
      <c r="H141" s="65"/>
      <c r="I141" s="65"/>
      <c r="J141" s="65"/>
      <c r="K141" s="65"/>
      <c r="L141" s="65"/>
      <c r="M141" s="65"/>
      <c r="N141" s="65"/>
      <c r="O141" s="65"/>
      <c r="P141" s="65"/>
      <c r="Q141" s="65"/>
      <c r="R141" s="65"/>
      <c r="S141" s="65"/>
      <c r="T141" s="65"/>
      <c r="U141" s="65"/>
      <c r="V141" s="65"/>
      <c r="W141" s="65"/>
    </row>
    <row r="142" spans="1:23">
      <c r="G142" s="65"/>
      <c r="H142" s="65"/>
      <c r="I142" s="65"/>
      <c r="J142" s="65"/>
      <c r="K142" s="65"/>
      <c r="L142" s="65"/>
      <c r="M142" s="65"/>
      <c r="N142" s="65"/>
      <c r="O142" s="65"/>
      <c r="P142" s="65"/>
      <c r="Q142" s="65"/>
      <c r="R142" s="65"/>
      <c r="S142" s="65"/>
      <c r="T142" s="65"/>
      <c r="U142" s="65"/>
      <c r="V142" s="65"/>
      <c r="W142" s="65"/>
    </row>
    <row r="143" spans="1:23">
      <c r="G143" s="65"/>
      <c r="H143" s="65"/>
      <c r="I143" s="65"/>
      <c r="J143" s="65"/>
      <c r="K143" s="65"/>
      <c r="L143" s="65"/>
      <c r="M143" s="65"/>
      <c r="N143" s="65"/>
      <c r="O143" s="65"/>
      <c r="P143" s="65"/>
      <c r="Q143" s="65"/>
      <c r="R143" s="65"/>
      <c r="S143" s="65"/>
      <c r="T143" s="65"/>
      <c r="U143" s="65"/>
      <c r="V143" s="65"/>
      <c r="W143" s="65"/>
    </row>
    <row r="144" spans="1:23">
      <c r="G144" s="65"/>
      <c r="H144" s="65"/>
      <c r="I144" s="65"/>
      <c r="J144" s="65"/>
      <c r="K144" s="65"/>
      <c r="L144" s="65"/>
      <c r="M144" s="65"/>
      <c r="N144" s="65"/>
      <c r="O144" s="65"/>
      <c r="P144" s="65"/>
      <c r="Q144" s="65"/>
      <c r="R144" s="65"/>
      <c r="S144" s="65"/>
      <c r="T144" s="65"/>
      <c r="U144" s="65"/>
      <c r="V144" s="65"/>
      <c r="W144" s="65"/>
    </row>
    <row r="145" spans="7:23">
      <c r="G145" s="65"/>
      <c r="H145" s="65"/>
      <c r="I145" s="65"/>
      <c r="J145" s="65"/>
      <c r="K145" s="65"/>
      <c r="L145" s="65"/>
      <c r="M145" s="65"/>
      <c r="N145" s="65"/>
      <c r="O145" s="65"/>
      <c r="P145" s="65"/>
      <c r="Q145" s="65"/>
      <c r="R145" s="65"/>
      <c r="S145" s="65"/>
      <c r="T145" s="65"/>
      <c r="U145" s="65"/>
      <c r="V145" s="65"/>
      <c r="W145" s="65"/>
    </row>
    <row r="146" spans="7:23">
      <c r="G146" s="65"/>
      <c r="H146" s="65"/>
      <c r="I146" s="65"/>
      <c r="J146" s="65"/>
      <c r="K146" s="65"/>
      <c r="L146" s="65"/>
      <c r="M146" s="65"/>
      <c r="N146" s="65"/>
      <c r="O146" s="65"/>
      <c r="P146" s="65"/>
      <c r="Q146" s="65"/>
      <c r="R146" s="65"/>
      <c r="S146" s="65"/>
      <c r="T146" s="65"/>
      <c r="U146" s="65"/>
      <c r="V146" s="65"/>
      <c r="W146" s="65"/>
    </row>
    <row r="147" spans="7:23">
      <c r="G147" s="65"/>
      <c r="H147" s="65"/>
      <c r="I147" s="65"/>
      <c r="J147" s="65"/>
      <c r="K147" s="65"/>
      <c r="L147" s="65"/>
      <c r="M147" s="65"/>
      <c r="N147" s="65"/>
      <c r="O147" s="65"/>
      <c r="P147" s="65"/>
      <c r="Q147" s="65"/>
      <c r="R147" s="65"/>
      <c r="S147" s="65"/>
      <c r="T147" s="65"/>
      <c r="U147" s="65"/>
      <c r="V147" s="65"/>
      <c r="W147" s="65"/>
    </row>
    <row r="148" spans="7:23">
      <c r="G148" s="65"/>
      <c r="H148" s="65"/>
      <c r="I148" s="65"/>
      <c r="J148" s="65"/>
      <c r="K148" s="65"/>
      <c r="L148" s="65"/>
      <c r="M148" s="65"/>
      <c r="N148" s="65"/>
      <c r="O148" s="65"/>
      <c r="P148" s="65"/>
      <c r="Q148" s="65"/>
      <c r="R148" s="65"/>
      <c r="S148" s="65"/>
      <c r="T148" s="65"/>
      <c r="U148" s="65"/>
      <c r="V148" s="65"/>
      <c r="W148" s="65"/>
    </row>
    <row r="149" spans="7:23">
      <c r="G149" s="65"/>
      <c r="H149" s="65"/>
      <c r="I149" s="65"/>
      <c r="J149" s="65"/>
      <c r="K149" s="65"/>
      <c r="L149" s="65"/>
      <c r="M149" s="65"/>
      <c r="N149" s="65"/>
      <c r="O149" s="65"/>
      <c r="P149" s="65"/>
      <c r="Q149" s="65"/>
      <c r="R149" s="65"/>
      <c r="S149" s="65"/>
      <c r="T149" s="65"/>
      <c r="U149" s="65"/>
      <c r="V149" s="65"/>
      <c r="W149" s="65"/>
    </row>
    <row r="150" spans="7:23">
      <c r="G150" s="65"/>
      <c r="H150" s="65"/>
      <c r="I150" s="65"/>
      <c r="J150" s="65"/>
      <c r="K150" s="65"/>
      <c r="L150" s="65"/>
      <c r="M150" s="65"/>
      <c r="N150" s="65"/>
      <c r="O150" s="65"/>
      <c r="P150" s="65"/>
      <c r="Q150" s="65"/>
      <c r="R150" s="65"/>
      <c r="S150" s="65"/>
      <c r="T150" s="65"/>
      <c r="U150" s="65"/>
      <c r="V150" s="65"/>
      <c r="W150" s="65"/>
    </row>
    <row r="151" spans="7:23">
      <c r="G151" s="65"/>
      <c r="H151" s="65"/>
      <c r="I151" s="65"/>
      <c r="J151" s="65"/>
      <c r="K151" s="65"/>
      <c r="L151" s="65"/>
      <c r="M151" s="65"/>
      <c r="N151" s="65"/>
      <c r="O151" s="65"/>
      <c r="P151" s="65"/>
      <c r="Q151" s="65"/>
      <c r="R151" s="65"/>
      <c r="S151" s="65"/>
      <c r="T151" s="65"/>
      <c r="U151" s="65"/>
      <c r="V151" s="65"/>
      <c r="W151" s="65"/>
    </row>
    <row r="152" spans="7:23">
      <c r="G152" s="65"/>
      <c r="H152" s="65"/>
      <c r="I152" s="65"/>
      <c r="J152" s="65"/>
      <c r="K152" s="65"/>
      <c r="L152" s="65"/>
      <c r="M152" s="65"/>
      <c r="N152" s="65"/>
      <c r="O152" s="65"/>
      <c r="P152" s="65"/>
      <c r="Q152" s="65"/>
      <c r="R152" s="65"/>
      <c r="S152" s="65"/>
      <c r="T152" s="65"/>
      <c r="U152" s="65"/>
      <c r="V152" s="65"/>
      <c r="W152" s="65"/>
    </row>
    <row r="153" spans="7:23">
      <c r="G153" s="65"/>
      <c r="H153" s="65"/>
      <c r="I153" s="65"/>
      <c r="J153" s="65"/>
      <c r="K153" s="65"/>
      <c r="L153" s="65"/>
      <c r="M153" s="65"/>
      <c r="N153" s="65"/>
      <c r="O153" s="65"/>
      <c r="P153" s="65"/>
      <c r="Q153" s="65"/>
      <c r="R153" s="65"/>
      <c r="S153" s="65"/>
      <c r="T153" s="65"/>
      <c r="U153" s="65"/>
      <c r="V153" s="65"/>
      <c r="W153" s="65"/>
    </row>
    <row r="154" spans="7:23">
      <c r="G154" s="65"/>
      <c r="H154" s="65"/>
      <c r="I154" s="65"/>
      <c r="J154" s="65"/>
      <c r="K154" s="65"/>
      <c r="L154" s="65"/>
      <c r="M154" s="65"/>
      <c r="N154" s="65"/>
      <c r="O154" s="65"/>
      <c r="P154" s="65"/>
      <c r="Q154" s="65"/>
      <c r="R154" s="65"/>
      <c r="S154" s="65"/>
      <c r="T154" s="65"/>
      <c r="U154" s="65"/>
      <c r="V154" s="65"/>
      <c r="W154" s="65"/>
    </row>
    <row r="155" spans="7:23">
      <c r="G155" s="65"/>
      <c r="H155" s="65"/>
      <c r="I155" s="65"/>
      <c r="J155" s="65"/>
      <c r="K155" s="65"/>
      <c r="L155" s="65"/>
      <c r="M155" s="65"/>
      <c r="N155" s="65"/>
      <c r="O155" s="65"/>
      <c r="P155" s="65"/>
      <c r="Q155" s="65"/>
      <c r="R155" s="65"/>
      <c r="S155" s="65"/>
      <c r="T155" s="65"/>
      <c r="U155" s="65"/>
      <c r="V155" s="65"/>
      <c r="W155" s="65"/>
    </row>
    <row r="156" spans="7:23">
      <c r="G156" s="65"/>
      <c r="H156" s="65"/>
      <c r="I156" s="65"/>
      <c r="J156" s="65"/>
      <c r="K156" s="65"/>
      <c r="L156" s="65"/>
      <c r="M156" s="65"/>
      <c r="N156" s="65"/>
      <c r="O156" s="65"/>
      <c r="P156" s="65"/>
      <c r="Q156" s="65"/>
      <c r="R156" s="65"/>
      <c r="S156" s="65"/>
      <c r="T156" s="65"/>
      <c r="U156" s="65"/>
      <c r="V156" s="65"/>
      <c r="W156" s="65"/>
    </row>
    <row r="157" spans="7:23">
      <c r="G157" s="65"/>
      <c r="H157" s="65"/>
      <c r="I157" s="65"/>
      <c r="J157" s="65"/>
      <c r="K157" s="65"/>
      <c r="L157" s="65"/>
      <c r="M157" s="65"/>
      <c r="N157" s="65"/>
      <c r="O157" s="65"/>
      <c r="P157" s="65"/>
      <c r="Q157" s="65"/>
      <c r="R157" s="65"/>
      <c r="S157" s="65"/>
      <c r="T157" s="65"/>
      <c r="U157" s="65"/>
      <c r="V157" s="65"/>
      <c r="W157" s="65"/>
    </row>
    <row r="158" spans="7:23">
      <c r="G158" s="65"/>
      <c r="H158" s="65"/>
      <c r="I158" s="65"/>
      <c r="J158" s="65"/>
      <c r="K158" s="65"/>
      <c r="L158" s="65"/>
      <c r="M158" s="65"/>
      <c r="N158" s="65"/>
      <c r="O158" s="65"/>
      <c r="P158" s="65"/>
      <c r="Q158" s="65"/>
      <c r="R158" s="65"/>
      <c r="S158" s="65"/>
      <c r="T158" s="65"/>
      <c r="U158" s="65"/>
      <c r="V158" s="65"/>
      <c r="W158" s="65"/>
    </row>
    <row r="159" spans="7:23">
      <c r="G159" s="65"/>
      <c r="H159" s="65"/>
      <c r="I159" s="65"/>
      <c r="J159" s="65"/>
      <c r="K159" s="65"/>
      <c r="L159" s="65"/>
      <c r="M159" s="65"/>
      <c r="N159" s="65"/>
      <c r="O159" s="65"/>
      <c r="P159" s="65"/>
      <c r="Q159" s="65"/>
      <c r="R159" s="65"/>
      <c r="S159" s="65"/>
      <c r="T159" s="65"/>
      <c r="U159" s="65"/>
      <c r="V159" s="65"/>
      <c r="W159" s="65"/>
    </row>
    <row r="160" spans="7:23">
      <c r="G160" s="65"/>
      <c r="H160" s="65"/>
      <c r="I160" s="65"/>
      <c r="J160" s="65"/>
      <c r="K160" s="65"/>
      <c r="L160" s="65"/>
      <c r="M160" s="65"/>
      <c r="N160" s="65"/>
      <c r="O160" s="65"/>
      <c r="P160" s="65"/>
      <c r="Q160" s="65"/>
      <c r="R160" s="65"/>
      <c r="S160" s="65"/>
      <c r="T160" s="65"/>
      <c r="U160" s="65"/>
      <c r="V160" s="65"/>
      <c r="W160" s="65"/>
    </row>
    <row r="161" spans="7:23">
      <c r="G161" s="65"/>
      <c r="H161" s="65"/>
      <c r="I161" s="65"/>
      <c r="J161" s="65"/>
      <c r="K161" s="65"/>
      <c r="L161" s="65"/>
      <c r="M161" s="65"/>
      <c r="N161" s="65"/>
      <c r="O161" s="65"/>
      <c r="P161" s="65"/>
      <c r="Q161" s="65"/>
      <c r="R161" s="65"/>
      <c r="S161" s="65"/>
      <c r="T161" s="65"/>
      <c r="U161" s="65"/>
      <c r="V161" s="65"/>
      <c r="W161" s="65"/>
    </row>
    <row r="162" spans="7:23">
      <c r="G162" s="65"/>
      <c r="H162" s="65"/>
      <c r="I162" s="65"/>
      <c r="J162" s="65"/>
      <c r="K162" s="65"/>
      <c r="L162" s="65"/>
      <c r="M162" s="65"/>
      <c r="N162" s="65"/>
      <c r="O162" s="65"/>
      <c r="P162" s="65"/>
      <c r="Q162" s="65"/>
      <c r="R162" s="65"/>
      <c r="S162" s="65"/>
      <c r="T162" s="65"/>
      <c r="U162" s="65"/>
      <c r="V162" s="65"/>
      <c r="W162" s="65"/>
    </row>
    <row r="163" spans="7:23">
      <c r="G163" s="65"/>
      <c r="H163" s="65"/>
      <c r="I163" s="65"/>
      <c r="J163" s="65"/>
      <c r="K163" s="65"/>
      <c r="L163" s="65"/>
      <c r="M163" s="65"/>
      <c r="N163" s="65"/>
      <c r="O163" s="65"/>
      <c r="P163" s="65"/>
      <c r="Q163" s="65"/>
      <c r="R163" s="65"/>
      <c r="S163" s="65"/>
      <c r="T163" s="65"/>
      <c r="U163" s="65"/>
      <c r="V163" s="65"/>
      <c r="W163" s="65"/>
    </row>
    <row r="164" spans="7:23">
      <c r="G164" s="65"/>
      <c r="H164" s="65"/>
      <c r="I164" s="65"/>
      <c r="J164" s="65"/>
      <c r="K164" s="65"/>
      <c r="L164" s="65"/>
      <c r="M164" s="65"/>
      <c r="N164" s="65"/>
      <c r="O164" s="65"/>
      <c r="P164" s="65"/>
      <c r="Q164" s="65"/>
      <c r="R164" s="65"/>
      <c r="S164" s="65"/>
      <c r="T164" s="65"/>
      <c r="U164" s="65"/>
      <c r="V164" s="65"/>
      <c r="W164" s="65"/>
    </row>
    <row r="165" spans="7:23">
      <c r="G165" s="65"/>
      <c r="H165" s="65"/>
      <c r="I165" s="65"/>
      <c r="J165" s="65"/>
      <c r="K165" s="65"/>
      <c r="L165" s="65"/>
      <c r="M165" s="65"/>
      <c r="N165" s="65"/>
      <c r="O165" s="65"/>
      <c r="P165" s="65"/>
      <c r="Q165" s="65"/>
      <c r="R165" s="65"/>
      <c r="S165" s="65"/>
      <c r="T165" s="65"/>
      <c r="U165" s="65"/>
      <c r="V165" s="65"/>
      <c r="W165" s="65"/>
    </row>
    <row r="166" spans="7:23">
      <c r="G166" s="65"/>
      <c r="H166" s="65"/>
      <c r="I166" s="65"/>
      <c r="J166" s="65"/>
      <c r="K166" s="65"/>
      <c r="L166" s="65"/>
      <c r="M166" s="65"/>
      <c r="N166" s="65"/>
      <c r="O166" s="65"/>
      <c r="P166" s="65"/>
      <c r="Q166" s="65"/>
      <c r="R166" s="65"/>
      <c r="S166" s="65"/>
      <c r="T166" s="65"/>
      <c r="U166" s="65"/>
      <c r="V166" s="65"/>
      <c r="W166" s="65"/>
    </row>
    <row r="167" spans="7:23">
      <c r="G167" s="65"/>
      <c r="H167" s="65"/>
      <c r="I167" s="65"/>
      <c r="J167" s="65"/>
      <c r="K167" s="65"/>
      <c r="L167" s="65"/>
      <c r="M167" s="65"/>
      <c r="N167" s="65"/>
      <c r="O167" s="65"/>
      <c r="P167" s="65"/>
      <c r="Q167" s="65"/>
      <c r="R167" s="65"/>
      <c r="S167" s="65"/>
      <c r="T167" s="65"/>
      <c r="U167" s="65"/>
      <c r="V167" s="65"/>
      <c r="W167" s="65"/>
    </row>
    <row r="168" spans="7:23">
      <c r="G168" s="65"/>
      <c r="H168" s="65"/>
      <c r="I168" s="65"/>
      <c r="J168" s="65"/>
      <c r="K168" s="65"/>
      <c r="L168" s="65"/>
      <c r="M168" s="65"/>
      <c r="N168" s="65"/>
      <c r="O168" s="65"/>
      <c r="P168" s="65"/>
      <c r="Q168" s="65"/>
      <c r="R168" s="65"/>
      <c r="S168" s="65"/>
      <c r="T168" s="65"/>
      <c r="U168" s="65"/>
      <c r="V168" s="65"/>
      <c r="W168" s="65"/>
    </row>
    <row r="169" spans="7:23">
      <c r="G169" s="65"/>
      <c r="H169" s="65"/>
      <c r="I169" s="65"/>
      <c r="J169" s="65"/>
      <c r="K169" s="65"/>
      <c r="L169" s="65"/>
      <c r="M169" s="65"/>
      <c r="N169" s="65"/>
      <c r="O169" s="65"/>
      <c r="P169" s="65"/>
      <c r="Q169" s="65"/>
      <c r="R169" s="65"/>
      <c r="S169" s="65"/>
      <c r="T169" s="65"/>
      <c r="U169" s="65"/>
      <c r="V169" s="65"/>
      <c r="W169" s="65"/>
    </row>
    <row r="170" spans="7:23">
      <c r="G170" s="65"/>
      <c r="H170" s="65"/>
      <c r="I170" s="65"/>
      <c r="J170" s="65"/>
      <c r="K170" s="65"/>
      <c r="L170" s="65"/>
      <c r="M170" s="65"/>
      <c r="N170" s="65"/>
      <c r="O170" s="65"/>
      <c r="P170" s="65"/>
      <c r="Q170" s="65"/>
      <c r="R170" s="65"/>
      <c r="S170" s="65"/>
      <c r="T170" s="65"/>
      <c r="U170" s="65"/>
      <c r="V170" s="65"/>
      <c r="W170" s="65"/>
    </row>
    <row r="171" spans="7:23">
      <c r="G171" s="65"/>
      <c r="H171" s="65"/>
      <c r="I171" s="65"/>
      <c r="J171" s="65"/>
      <c r="K171" s="65"/>
      <c r="L171" s="65"/>
      <c r="M171" s="65"/>
      <c r="N171" s="65"/>
      <c r="O171" s="65"/>
      <c r="P171" s="65"/>
      <c r="Q171" s="65"/>
      <c r="R171" s="65"/>
      <c r="S171" s="65"/>
      <c r="T171" s="65"/>
      <c r="U171" s="65"/>
      <c r="V171" s="65"/>
      <c r="W171" s="65"/>
    </row>
    <row r="172" spans="7:23">
      <c r="G172" s="65"/>
      <c r="H172" s="65"/>
      <c r="I172" s="65"/>
      <c r="J172" s="65"/>
      <c r="K172" s="65"/>
      <c r="L172" s="65"/>
      <c r="M172" s="65"/>
      <c r="N172" s="65"/>
      <c r="O172" s="65"/>
      <c r="P172" s="65"/>
      <c r="Q172" s="65"/>
      <c r="R172" s="65"/>
      <c r="S172" s="65"/>
      <c r="T172" s="65"/>
      <c r="U172" s="65"/>
      <c r="V172" s="65"/>
      <c r="W172" s="65"/>
    </row>
    <row r="173" spans="7:23">
      <c r="G173" s="65"/>
      <c r="H173" s="65"/>
      <c r="I173" s="65"/>
      <c r="J173" s="65"/>
      <c r="K173" s="65"/>
      <c r="L173" s="65"/>
      <c r="M173" s="65"/>
      <c r="N173" s="65"/>
      <c r="O173" s="65"/>
      <c r="P173" s="65"/>
      <c r="Q173" s="65"/>
      <c r="R173" s="65"/>
      <c r="S173" s="65"/>
      <c r="T173" s="65"/>
      <c r="U173" s="65"/>
      <c r="V173" s="65"/>
      <c r="W173" s="65"/>
    </row>
    <row r="174" spans="7:23">
      <c r="G174" s="65"/>
      <c r="H174" s="65"/>
      <c r="I174" s="65"/>
      <c r="J174" s="65"/>
      <c r="K174" s="65"/>
      <c r="L174" s="65"/>
      <c r="M174" s="65"/>
      <c r="N174" s="65"/>
      <c r="O174" s="65"/>
      <c r="P174" s="65"/>
      <c r="Q174" s="65"/>
      <c r="R174" s="65"/>
      <c r="S174" s="65"/>
      <c r="T174" s="65"/>
      <c r="U174" s="65"/>
      <c r="V174" s="65"/>
      <c r="W174" s="65"/>
    </row>
    <row r="175" spans="7:23">
      <c r="G175" s="65"/>
      <c r="H175" s="65"/>
      <c r="I175" s="65"/>
      <c r="J175" s="65"/>
      <c r="K175" s="65"/>
      <c r="L175" s="65"/>
      <c r="M175" s="65"/>
      <c r="N175" s="65"/>
      <c r="O175" s="65"/>
      <c r="P175" s="65"/>
      <c r="Q175" s="65"/>
      <c r="R175" s="65"/>
      <c r="S175" s="65"/>
      <c r="T175" s="65"/>
      <c r="U175" s="65"/>
      <c r="V175" s="65"/>
      <c r="W175" s="65"/>
    </row>
    <row r="176" spans="7:23">
      <c r="G176" s="65"/>
      <c r="H176" s="65"/>
      <c r="I176" s="65"/>
      <c r="J176" s="65"/>
      <c r="K176" s="65"/>
      <c r="L176" s="65"/>
      <c r="M176" s="65"/>
      <c r="N176" s="65"/>
      <c r="O176" s="65"/>
      <c r="P176" s="65"/>
      <c r="Q176" s="65"/>
      <c r="R176" s="65"/>
      <c r="S176" s="65"/>
      <c r="T176" s="65"/>
      <c r="U176" s="65"/>
      <c r="V176" s="65"/>
      <c r="W176" s="65"/>
    </row>
    <row r="177" spans="7:23">
      <c r="G177" s="65"/>
      <c r="H177" s="65"/>
      <c r="I177" s="65"/>
      <c r="J177" s="65"/>
      <c r="K177" s="65"/>
      <c r="L177" s="65"/>
      <c r="M177" s="65"/>
      <c r="N177" s="65"/>
      <c r="O177" s="65"/>
      <c r="P177" s="65"/>
      <c r="Q177" s="65"/>
      <c r="R177" s="65"/>
      <c r="S177" s="65"/>
      <c r="T177" s="65"/>
      <c r="U177" s="65"/>
      <c r="V177" s="65"/>
      <c r="W177" s="65"/>
    </row>
    <row r="178" spans="7:23">
      <c r="G178" s="65"/>
      <c r="H178" s="65"/>
      <c r="I178" s="65"/>
      <c r="J178" s="65"/>
      <c r="K178" s="65"/>
      <c r="L178" s="65"/>
      <c r="M178" s="65"/>
      <c r="N178" s="65"/>
      <c r="O178" s="65"/>
      <c r="P178" s="65"/>
      <c r="Q178" s="65"/>
      <c r="R178" s="65"/>
      <c r="S178" s="65"/>
      <c r="T178" s="65"/>
      <c r="U178" s="65"/>
      <c r="V178" s="65"/>
      <c r="W178" s="65"/>
    </row>
    <row r="179" spans="7:23">
      <c r="G179" s="65"/>
      <c r="H179" s="65"/>
      <c r="I179" s="65"/>
      <c r="J179" s="65"/>
      <c r="K179" s="65"/>
      <c r="L179" s="65"/>
      <c r="M179" s="65"/>
      <c r="N179" s="65"/>
      <c r="O179" s="65"/>
      <c r="P179" s="65"/>
      <c r="Q179" s="65"/>
      <c r="R179" s="65"/>
      <c r="S179" s="65"/>
      <c r="T179" s="65"/>
      <c r="U179" s="65"/>
      <c r="V179" s="65"/>
      <c r="W179" s="65"/>
    </row>
    <row r="180" spans="7:23">
      <c r="G180" s="65"/>
      <c r="H180" s="65"/>
      <c r="I180" s="65"/>
      <c r="J180" s="65"/>
      <c r="K180" s="65"/>
      <c r="L180" s="65"/>
      <c r="M180" s="65"/>
      <c r="N180" s="65"/>
      <c r="O180" s="65"/>
      <c r="P180" s="65"/>
      <c r="Q180" s="65"/>
      <c r="R180" s="65"/>
      <c r="S180" s="65"/>
      <c r="T180" s="65"/>
      <c r="U180" s="65"/>
      <c r="V180" s="65"/>
      <c r="W180" s="65"/>
    </row>
    <row r="181" spans="7:23">
      <c r="G181" s="65"/>
      <c r="H181" s="65"/>
      <c r="I181" s="65"/>
      <c r="J181" s="65"/>
      <c r="K181" s="65"/>
      <c r="L181" s="65"/>
      <c r="M181" s="65"/>
      <c r="N181" s="65"/>
      <c r="O181" s="65"/>
      <c r="P181" s="65"/>
      <c r="Q181" s="65"/>
      <c r="R181" s="65"/>
      <c r="S181" s="65"/>
      <c r="T181" s="65"/>
      <c r="U181" s="65"/>
      <c r="V181" s="65"/>
      <c r="W181" s="65"/>
    </row>
    <row r="182" spans="7:23">
      <c r="G182" s="65"/>
      <c r="H182" s="65"/>
      <c r="I182" s="65"/>
      <c r="J182" s="65"/>
      <c r="K182" s="65"/>
      <c r="L182" s="65"/>
      <c r="M182" s="65"/>
      <c r="N182" s="65"/>
      <c r="O182" s="65"/>
      <c r="P182" s="65"/>
      <c r="Q182" s="65"/>
      <c r="R182" s="65"/>
      <c r="S182" s="65"/>
      <c r="T182" s="65"/>
      <c r="U182" s="65"/>
      <c r="V182" s="65"/>
      <c r="W182" s="65"/>
    </row>
    <row r="183" spans="7:23">
      <c r="G183" s="65"/>
      <c r="H183" s="65"/>
      <c r="I183" s="65"/>
      <c r="J183" s="65"/>
      <c r="K183" s="65"/>
      <c r="L183" s="65"/>
      <c r="M183" s="65"/>
      <c r="N183" s="65"/>
      <c r="O183" s="65"/>
      <c r="P183" s="65"/>
      <c r="Q183" s="65"/>
      <c r="R183" s="65"/>
      <c r="S183" s="65"/>
      <c r="T183" s="65"/>
      <c r="U183" s="65"/>
      <c r="V183" s="65"/>
      <c r="W183" s="65"/>
    </row>
    <row r="184" spans="7:23">
      <c r="G184" s="65"/>
      <c r="H184" s="65"/>
      <c r="I184" s="65"/>
      <c r="J184" s="65"/>
      <c r="K184" s="65"/>
      <c r="L184" s="65"/>
      <c r="M184" s="65"/>
      <c r="N184" s="65"/>
      <c r="O184" s="65"/>
      <c r="P184" s="65"/>
      <c r="Q184" s="65"/>
      <c r="R184" s="65"/>
      <c r="S184" s="65"/>
      <c r="T184" s="65"/>
      <c r="U184" s="65"/>
      <c r="V184" s="65"/>
      <c r="W184" s="65"/>
    </row>
    <row r="185" spans="7:23">
      <c r="G185" s="65"/>
      <c r="H185" s="65"/>
      <c r="I185" s="65"/>
      <c r="J185" s="65"/>
      <c r="K185" s="65"/>
      <c r="L185" s="65"/>
      <c r="M185" s="65"/>
      <c r="N185" s="65"/>
      <c r="O185" s="65"/>
      <c r="P185" s="65"/>
      <c r="Q185" s="65"/>
      <c r="R185" s="65"/>
      <c r="S185" s="65"/>
      <c r="T185" s="65"/>
      <c r="U185" s="65"/>
      <c r="V185" s="65"/>
      <c r="W185" s="65"/>
    </row>
    <row r="186" spans="7:23">
      <c r="G186" s="65"/>
      <c r="H186" s="65"/>
      <c r="I186" s="65"/>
      <c r="J186" s="65"/>
      <c r="K186" s="65"/>
      <c r="L186" s="65"/>
      <c r="M186" s="65"/>
      <c r="N186" s="65"/>
      <c r="O186" s="65"/>
      <c r="P186" s="65"/>
      <c r="Q186" s="65"/>
      <c r="R186" s="65"/>
      <c r="S186" s="65"/>
      <c r="T186" s="65"/>
      <c r="U186" s="65"/>
      <c r="V186" s="65"/>
      <c r="W186" s="65"/>
    </row>
    <row r="187" spans="7:23">
      <c r="G187" s="65"/>
      <c r="H187" s="65"/>
      <c r="I187" s="65"/>
      <c r="J187" s="65"/>
      <c r="K187" s="65"/>
      <c r="L187" s="65"/>
      <c r="M187" s="65"/>
      <c r="N187" s="65"/>
      <c r="O187" s="65"/>
      <c r="P187" s="65"/>
      <c r="Q187" s="65"/>
      <c r="R187" s="65"/>
      <c r="S187" s="65"/>
      <c r="T187" s="65"/>
      <c r="U187" s="65"/>
      <c r="V187" s="65"/>
      <c r="W187" s="65"/>
    </row>
    <row r="188" spans="7:23">
      <c r="G188" s="65"/>
      <c r="H188" s="65"/>
      <c r="I188" s="65"/>
      <c r="J188" s="65"/>
      <c r="K188" s="65"/>
      <c r="L188" s="65"/>
      <c r="M188" s="65"/>
      <c r="N188" s="65"/>
      <c r="O188" s="65"/>
      <c r="P188" s="65"/>
      <c r="Q188" s="65"/>
      <c r="R188" s="65"/>
      <c r="S188" s="65"/>
      <c r="T188" s="65"/>
      <c r="U188" s="65"/>
      <c r="V188" s="65"/>
      <c r="W188" s="65"/>
    </row>
    <row r="189" spans="7:23">
      <c r="G189" s="65"/>
      <c r="H189" s="65"/>
      <c r="I189" s="65"/>
      <c r="J189" s="65"/>
      <c r="K189" s="65"/>
      <c r="L189" s="65"/>
      <c r="M189" s="65"/>
      <c r="N189" s="65"/>
      <c r="O189" s="65"/>
      <c r="P189" s="65"/>
      <c r="Q189" s="65"/>
      <c r="R189" s="65"/>
      <c r="S189" s="65"/>
      <c r="T189" s="65"/>
      <c r="U189" s="65"/>
      <c r="V189" s="65"/>
      <c r="W189" s="65"/>
    </row>
    <row r="190" spans="7:23">
      <c r="G190" s="65"/>
      <c r="H190" s="65"/>
      <c r="I190" s="65"/>
      <c r="J190" s="65"/>
      <c r="K190" s="65"/>
      <c r="L190" s="65"/>
      <c r="M190" s="65"/>
      <c r="N190" s="65"/>
      <c r="O190" s="65"/>
      <c r="P190" s="65"/>
      <c r="Q190" s="65"/>
      <c r="R190" s="65"/>
      <c r="S190" s="65"/>
      <c r="T190" s="65"/>
      <c r="U190" s="65"/>
      <c r="V190" s="65"/>
      <c r="W190" s="65"/>
    </row>
    <row r="191" spans="7:23">
      <c r="G191" s="65"/>
      <c r="H191" s="65"/>
      <c r="I191" s="65"/>
      <c r="J191" s="65"/>
      <c r="K191" s="65"/>
      <c r="L191" s="65"/>
      <c r="M191" s="65"/>
      <c r="N191" s="65"/>
      <c r="O191" s="65"/>
      <c r="P191" s="65"/>
      <c r="Q191" s="65"/>
      <c r="R191" s="65"/>
      <c r="S191" s="65"/>
      <c r="T191" s="65"/>
      <c r="U191" s="65"/>
      <c r="V191" s="65"/>
      <c r="W191" s="65"/>
    </row>
    <row r="192" spans="7:23">
      <c r="G192" s="65"/>
      <c r="H192" s="65"/>
      <c r="I192" s="65"/>
      <c r="J192" s="65"/>
      <c r="K192" s="65"/>
      <c r="L192" s="65"/>
      <c r="M192" s="65"/>
      <c r="N192" s="65"/>
      <c r="O192" s="65"/>
      <c r="P192" s="65"/>
      <c r="Q192" s="65"/>
      <c r="R192" s="65"/>
      <c r="S192" s="65"/>
      <c r="T192" s="65"/>
      <c r="U192" s="65"/>
      <c r="V192" s="65"/>
      <c r="W192" s="65"/>
    </row>
    <row r="193" spans="7:23">
      <c r="G193" s="65"/>
      <c r="H193" s="65"/>
      <c r="I193" s="65"/>
      <c r="J193" s="65"/>
      <c r="K193" s="65"/>
      <c r="L193" s="65"/>
      <c r="M193" s="65"/>
      <c r="N193" s="65"/>
      <c r="O193" s="65"/>
      <c r="P193" s="65"/>
      <c r="Q193" s="65"/>
      <c r="R193" s="65"/>
      <c r="S193" s="65"/>
      <c r="T193" s="65"/>
      <c r="U193" s="65"/>
      <c r="V193" s="65"/>
      <c r="W193" s="65"/>
    </row>
    <row r="194" spans="7:23">
      <c r="G194" s="65"/>
      <c r="H194" s="65"/>
      <c r="I194" s="65"/>
      <c r="J194" s="65"/>
      <c r="K194" s="65"/>
      <c r="L194" s="65"/>
      <c r="M194" s="65"/>
      <c r="N194" s="65"/>
      <c r="O194" s="65"/>
      <c r="P194" s="65"/>
      <c r="Q194" s="65"/>
      <c r="R194" s="65"/>
      <c r="S194" s="65"/>
      <c r="T194" s="65"/>
      <c r="U194" s="65"/>
      <c r="V194" s="65"/>
      <c r="W194" s="65"/>
    </row>
    <row r="195" spans="7:23">
      <c r="G195" s="65"/>
      <c r="H195" s="65"/>
      <c r="I195" s="65"/>
      <c r="J195" s="65"/>
      <c r="K195" s="65"/>
      <c r="L195" s="65"/>
      <c r="M195" s="65"/>
      <c r="N195" s="65"/>
      <c r="O195" s="65"/>
      <c r="P195" s="65"/>
      <c r="Q195" s="65"/>
      <c r="R195" s="65"/>
      <c r="S195" s="65"/>
      <c r="T195" s="65"/>
      <c r="U195" s="65"/>
      <c r="V195" s="65"/>
      <c r="W195" s="65"/>
    </row>
    <row r="196" spans="7:23">
      <c r="G196" s="65"/>
      <c r="H196" s="65"/>
      <c r="I196" s="65"/>
      <c r="J196" s="65"/>
      <c r="K196" s="65"/>
      <c r="L196" s="65"/>
      <c r="M196" s="65"/>
      <c r="N196" s="65"/>
      <c r="O196" s="65"/>
      <c r="P196" s="65"/>
      <c r="Q196" s="65"/>
      <c r="R196" s="65"/>
      <c r="S196" s="65"/>
      <c r="T196" s="65"/>
      <c r="U196" s="65"/>
      <c r="V196" s="65"/>
      <c r="W196" s="65"/>
    </row>
    <row r="197" spans="7:23">
      <c r="G197" s="65"/>
      <c r="H197" s="65"/>
      <c r="I197" s="65"/>
      <c r="J197" s="65"/>
      <c r="K197" s="65"/>
      <c r="L197" s="65"/>
      <c r="M197" s="65"/>
      <c r="N197" s="65"/>
      <c r="O197" s="65"/>
      <c r="P197" s="65"/>
      <c r="Q197" s="65"/>
      <c r="R197" s="65"/>
      <c r="S197" s="65"/>
      <c r="T197" s="65"/>
      <c r="U197" s="65"/>
      <c r="V197" s="65"/>
      <c r="W197" s="65"/>
    </row>
    <row r="198" spans="7:23">
      <c r="G198" s="65"/>
      <c r="H198" s="65"/>
      <c r="I198" s="65"/>
      <c r="J198" s="65"/>
      <c r="K198" s="65"/>
      <c r="L198" s="65"/>
      <c r="M198" s="65"/>
      <c r="N198" s="65"/>
      <c r="O198" s="65"/>
      <c r="P198" s="65"/>
      <c r="Q198" s="65"/>
      <c r="R198" s="65"/>
      <c r="S198" s="65"/>
      <c r="T198" s="65"/>
      <c r="U198" s="65"/>
      <c r="V198" s="65"/>
      <c r="W198" s="65"/>
    </row>
    <row r="199" spans="7:23">
      <c r="G199" s="65"/>
      <c r="H199" s="65"/>
      <c r="I199" s="65"/>
      <c r="J199" s="65"/>
      <c r="K199" s="65"/>
      <c r="L199" s="65"/>
      <c r="M199" s="65"/>
      <c r="N199" s="65"/>
      <c r="O199" s="65"/>
      <c r="P199" s="65"/>
      <c r="Q199" s="65"/>
      <c r="R199" s="65"/>
      <c r="S199" s="65"/>
      <c r="T199" s="65"/>
      <c r="U199" s="65"/>
      <c r="V199" s="65"/>
      <c r="W199" s="65"/>
    </row>
    <row r="200" spans="7:23">
      <c r="G200" s="65"/>
      <c r="H200" s="65"/>
      <c r="I200" s="65"/>
      <c r="J200" s="65"/>
      <c r="K200" s="65"/>
      <c r="L200" s="65"/>
      <c r="M200" s="65"/>
      <c r="N200" s="65"/>
      <c r="O200" s="65"/>
      <c r="P200" s="65"/>
      <c r="Q200" s="65"/>
      <c r="R200" s="65"/>
      <c r="S200" s="65"/>
      <c r="T200" s="65"/>
      <c r="U200" s="65"/>
      <c r="V200" s="65"/>
      <c r="W200" s="65"/>
    </row>
    <row r="201" spans="7:23">
      <c r="G201" s="65"/>
      <c r="H201" s="65"/>
      <c r="I201" s="65"/>
      <c r="J201" s="65"/>
      <c r="K201" s="65"/>
      <c r="L201" s="65"/>
      <c r="M201" s="65"/>
      <c r="N201" s="65"/>
      <c r="O201" s="65"/>
      <c r="P201" s="65"/>
      <c r="Q201" s="65"/>
      <c r="R201" s="65"/>
      <c r="S201" s="65"/>
      <c r="T201" s="65"/>
      <c r="U201" s="65"/>
      <c r="V201" s="65"/>
      <c r="W201" s="65"/>
    </row>
    <row r="202" spans="7:23">
      <c r="G202" s="65"/>
      <c r="H202" s="65"/>
      <c r="I202" s="65"/>
      <c r="J202" s="65"/>
      <c r="K202" s="65"/>
      <c r="L202" s="65"/>
      <c r="M202" s="65"/>
      <c r="N202" s="65"/>
      <c r="O202" s="65"/>
      <c r="P202" s="65"/>
      <c r="Q202" s="65"/>
      <c r="R202" s="65"/>
      <c r="S202" s="65"/>
      <c r="T202" s="65"/>
      <c r="U202" s="65"/>
      <c r="V202" s="65"/>
      <c r="W202" s="65"/>
    </row>
    <row r="203" spans="7:23">
      <c r="G203" s="65"/>
      <c r="H203" s="65"/>
      <c r="I203" s="65"/>
      <c r="J203" s="65"/>
      <c r="K203" s="65"/>
      <c r="L203" s="65"/>
      <c r="M203" s="65"/>
      <c r="N203" s="65"/>
      <c r="O203" s="65"/>
      <c r="P203" s="65"/>
      <c r="Q203" s="65"/>
      <c r="R203" s="65"/>
      <c r="S203" s="65"/>
      <c r="T203" s="65"/>
      <c r="U203" s="65"/>
      <c r="V203" s="65"/>
      <c r="W203" s="65"/>
    </row>
    <row r="204" spans="7:23">
      <c r="G204" s="65"/>
      <c r="H204" s="65"/>
      <c r="I204" s="65"/>
      <c r="J204" s="65"/>
      <c r="K204" s="65"/>
      <c r="L204" s="65"/>
      <c r="M204" s="65"/>
      <c r="N204" s="65"/>
      <c r="O204" s="65"/>
      <c r="P204" s="65"/>
      <c r="Q204" s="65"/>
      <c r="R204" s="65"/>
      <c r="S204" s="65"/>
      <c r="T204" s="65"/>
      <c r="U204" s="65"/>
      <c r="V204" s="65"/>
      <c r="W204" s="65"/>
    </row>
    <row r="205" spans="7:23">
      <c r="G205" s="65"/>
      <c r="H205" s="65"/>
      <c r="I205" s="65"/>
      <c r="J205" s="65"/>
      <c r="K205" s="65"/>
      <c r="L205" s="65"/>
      <c r="M205" s="65"/>
      <c r="N205" s="65"/>
      <c r="O205" s="65"/>
      <c r="P205" s="65"/>
      <c r="Q205" s="65"/>
      <c r="R205" s="65"/>
      <c r="S205" s="65"/>
      <c r="T205" s="65"/>
      <c r="U205" s="65"/>
      <c r="V205" s="65"/>
      <c r="W205" s="65"/>
    </row>
    <row r="206" spans="7:23">
      <c r="G206" s="65"/>
      <c r="H206" s="65"/>
      <c r="I206" s="65"/>
      <c r="J206" s="65"/>
      <c r="K206" s="65"/>
      <c r="L206" s="65"/>
      <c r="M206" s="65"/>
      <c r="N206" s="65"/>
      <c r="O206" s="65"/>
      <c r="P206" s="65"/>
      <c r="Q206" s="65"/>
      <c r="R206" s="65"/>
      <c r="S206" s="65"/>
      <c r="T206" s="65"/>
      <c r="U206" s="65"/>
      <c r="V206" s="65"/>
      <c r="W206" s="65"/>
    </row>
    <row r="207" spans="7:23">
      <c r="G207" s="65"/>
      <c r="H207" s="65"/>
      <c r="I207" s="65"/>
      <c r="J207" s="65"/>
      <c r="K207" s="65"/>
      <c r="L207" s="65"/>
      <c r="M207" s="65"/>
      <c r="N207" s="65"/>
      <c r="O207" s="65"/>
      <c r="P207" s="65"/>
      <c r="Q207" s="65"/>
      <c r="R207" s="65"/>
      <c r="S207" s="65"/>
      <c r="T207" s="65"/>
      <c r="U207" s="65"/>
      <c r="V207" s="65"/>
      <c r="W207" s="65"/>
    </row>
    <row r="208" spans="7:23">
      <c r="G208" s="65"/>
      <c r="H208" s="65"/>
      <c r="I208" s="65"/>
      <c r="J208" s="65"/>
      <c r="K208" s="65"/>
      <c r="L208" s="65"/>
      <c r="M208" s="65"/>
      <c r="N208" s="65"/>
      <c r="O208" s="65"/>
      <c r="P208" s="65"/>
      <c r="Q208" s="65"/>
      <c r="R208" s="65"/>
      <c r="S208" s="65"/>
      <c r="T208" s="65"/>
      <c r="U208" s="65"/>
      <c r="V208" s="65"/>
      <c r="W208" s="65"/>
    </row>
    <row r="209" spans="7:23">
      <c r="G209" s="65"/>
      <c r="H209" s="65"/>
      <c r="I209" s="65"/>
      <c r="J209" s="65"/>
      <c r="K209" s="65"/>
      <c r="L209" s="65"/>
      <c r="M209" s="65"/>
      <c r="N209" s="65"/>
      <c r="O209" s="65"/>
      <c r="P209" s="65"/>
      <c r="Q209" s="65"/>
      <c r="R209" s="65"/>
      <c r="S209" s="65"/>
      <c r="T209" s="65"/>
      <c r="U209" s="65"/>
      <c r="V209" s="65"/>
      <c r="W209" s="65"/>
    </row>
    <row r="210" spans="7:23">
      <c r="G210" s="65"/>
      <c r="H210" s="65"/>
      <c r="I210" s="65"/>
      <c r="J210" s="65"/>
      <c r="K210" s="65"/>
      <c r="L210" s="65"/>
      <c r="M210" s="65"/>
      <c r="N210" s="65"/>
      <c r="O210" s="65"/>
      <c r="P210" s="65"/>
      <c r="Q210" s="65"/>
      <c r="R210" s="65"/>
      <c r="S210" s="65"/>
      <c r="T210" s="65"/>
      <c r="U210" s="65"/>
      <c r="V210" s="65"/>
      <c r="W210" s="65"/>
    </row>
    <row r="211" spans="7:23">
      <c r="G211" s="65"/>
      <c r="H211" s="65"/>
      <c r="I211" s="65"/>
      <c r="J211" s="65"/>
      <c r="K211" s="65"/>
      <c r="L211" s="65"/>
      <c r="M211" s="65"/>
      <c r="N211" s="65"/>
      <c r="O211" s="65"/>
      <c r="P211" s="65"/>
      <c r="Q211" s="65"/>
      <c r="R211" s="65"/>
      <c r="S211" s="65"/>
      <c r="T211" s="65"/>
      <c r="U211" s="65"/>
      <c r="V211" s="65"/>
      <c r="W211" s="65"/>
    </row>
    <row r="212" spans="7:23">
      <c r="G212" s="65"/>
      <c r="H212" s="65"/>
      <c r="I212" s="65"/>
      <c r="J212" s="65"/>
      <c r="K212" s="65"/>
      <c r="L212" s="65"/>
      <c r="M212" s="65"/>
      <c r="N212" s="65"/>
      <c r="O212" s="65"/>
      <c r="P212" s="65"/>
      <c r="Q212" s="65"/>
      <c r="R212" s="65"/>
      <c r="S212" s="65"/>
      <c r="T212" s="65"/>
      <c r="U212" s="65"/>
      <c r="V212" s="65"/>
      <c r="W212" s="65"/>
    </row>
    <row r="213" spans="7:23">
      <c r="G213" s="65"/>
      <c r="H213" s="65"/>
      <c r="I213" s="65"/>
      <c r="J213" s="65"/>
      <c r="K213" s="65"/>
      <c r="L213" s="65"/>
      <c r="M213" s="65"/>
      <c r="N213" s="65"/>
      <c r="O213" s="65"/>
      <c r="P213" s="65"/>
      <c r="Q213" s="65"/>
      <c r="R213" s="65"/>
      <c r="S213" s="65"/>
      <c r="T213" s="65"/>
      <c r="U213" s="65"/>
      <c r="V213" s="65"/>
      <c r="W213" s="65"/>
    </row>
    <row r="214" spans="7:23">
      <c r="G214" s="65"/>
      <c r="H214" s="65"/>
      <c r="I214" s="65"/>
      <c r="J214" s="65"/>
      <c r="K214" s="65"/>
      <c r="L214" s="65"/>
      <c r="M214" s="65"/>
      <c r="N214" s="65"/>
      <c r="O214" s="65"/>
      <c r="P214" s="65"/>
      <c r="Q214" s="65"/>
      <c r="R214" s="65"/>
      <c r="S214" s="65"/>
      <c r="T214" s="65"/>
      <c r="U214" s="65"/>
      <c r="V214" s="65"/>
      <c r="W214" s="65"/>
    </row>
    <row r="215" spans="7:23">
      <c r="G215" s="65"/>
      <c r="H215" s="65"/>
      <c r="I215" s="65"/>
      <c r="J215" s="65"/>
      <c r="K215" s="65"/>
      <c r="L215" s="65"/>
      <c r="M215" s="65"/>
      <c r="N215" s="65"/>
      <c r="O215" s="65"/>
      <c r="P215" s="65"/>
      <c r="Q215" s="65"/>
      <c r="R215" s="65"/>
      <c r="S215" s="65"/>
      <c r="T215" s="65"/>
      <c r="U215" s="65"/>
      <c r="V215" s="65"/>
      <c r="W215" s="65"/>
    </row>
    <row r="216" spans="7:23">
      <c r="G216" s="65"/>
      <c r="H216" s="65"/>
      <c r="I216" s="65"/>
      <c r="J216" s="65"/>
      <c r="K216" s="65"/>
      <c r="L216" s="65"/>
      <c r="M216" s="65"/>
      <c r="N216" s="65"/>
      <c r="O216" s="65"/>
      <c r="P216" s="65"/>
      <c r="Q216" s="65"/>
      <c r="R216" s="65"/>
      <c r="S216" s="65"/>
      <c r="T216" s="65"/>
      <c r="U216" s="65"/>
      <c r="V216" s="65"/>
      <c r="W216" s="65"/>
    </row>
    <row r="217" spans="7:23">
      <c r="G217" s="65"/>
      <c r="H217" s="65"/>
      <c r="I217" s="65"/>
      <c r="J217" s="65"/>
      <c r="K217" s="65"/>
      <c r="L217" s="65"/>
      <c r="M217" s="65"/>
      <c r="N217" s="65"/>
      <c r="O217" s="65"/>
      <c r="P217" s="65"/>
      <c r="Q217" s="65"/>
      <c r="R217" s="65"/>
      <c r="S217" s="65"/>
      <c r="T217" s="65"/>
      <c r="U217" s="65"/>
      <c r="V217" s="65"/>
      <c r="W217" s="65"/>
    </row>
    <row r="218" spans="7:23">
      <c r="G218" s="65"/>
      <c r="H218" s="65"/>
      <c r="I218" s="65"/>
      <c r="J218" s="65"/>
      <c r="K218" s="65"/>
      <c r="L218" s="65"/>
      <c r="M218" s="65"/>
      <c r="N218" s="65"/>
      <c r="O218" s="65"/>
      <c r="P218" s="65"/>
      <c r="Q218" s="65"/>
      <c r="R218" s="65"/>
      <c r="S218" s="65"/>
      <c r="T218" s="65"/>
      <c r="U218" s="65"/>
      <c r="V218" s="65"/>
      <c r="W218" s="65"/>
    </row>
    <row r="219" spans="7:23">
      <c r="G219" s="65"/>
      <c r="H219" s="65"/>
      <c r="I219" s="65"/>
      <c r="J219" s="65"/>
      <c r="K219" s="65"/>
      <c r="L219" s="65"/>
      <c r="M219" s="65"/>
      <c r="N219" s="65"/>
      <c r="O219" s="65"/>
      <c r="P219" s="65"/>
      <c r="Q219" s="65"/>
      <c r="R219" s="65"/>
      <c r="S219" s="65"/>
      <c r="T219" s="65"/>
      <c r="U219" s="65"/>
      <c r="V219" s="65"/>
      <c r="W219" s="65"/>
    </row>
    <row r="220" spans="7:23">
      <c r="G220" s="65"/>
      <c r="H220" s="65"/>
      <c r="I220" s="65"/>
      <c r="J220" s="65"/>
      <c r="K220" s="65"/>
      <c r="L220" s="65"/>
      <c r="M220" s="65"/>
      <c r="N220" s="65"/>
      <c r="O220" s="65"/>
      <c r="P220" s="65"/>
      <c r="Q220" s="65"/>
      <c r="R220" s="65"/>
      <c r="S220" s="65"/>
      <c r="T220" s="65"/>
      <c r="U220" s="65"/>
      <c r="V220" s="65"/>
      <c r="W220" s="65"/>
    </row>
    <row r="221" spans="7:23">
      <c r="G221" s="65"/>
      <c r="H221" s="65"/>
      <c r="I221" s="65"/>
      <c r="J221" s="65"/>
      <c r="K221" s="65"/>
      <c r="L221" s="65"/>
      <c r="M221" s="65"/>
      <c r="N221" s="65"/>
      <c r="O221" s="65"/>
      <c r="P221" s="65"/>
      <c r="Q221" s="65"/>
      <c r="R221" s="65"/>
      <c r="S221" s="65"/>
      <c r="T221" s="65"/>
      <c r="U221" s="65"/>
      <c r="V221" s="65"/>
      <c r="W221" s="65"/>
    </row>
    <row r="222" spans="7:23">
      <c r="G222" s="65"/>
      <c r="H222" s="65"/>
      <c r="I222" s="65"/>
      <c r="J222" s="65"/>
      <c r="K222" s="65"/>
      <c r="L222" s="65"/>
      <c r="M222" s="65"/>
      <c r="N222" s="65"/>
      <c r="O222" s="65"/>
      <c r="P222" s="65"/>
      <c r="Q222" s="65"/>
      <c r="R222" s="65"/>
      <c r="S222" s="65"/>
      <c r="T222" s="65"/>
      <c r="U222" s="65"/>
      <c r="V222" s="65"/>
      <c r="W222" s="65"/>
    </row>
    <row r="223" spans="7:23">
      <c r="G223" s="65"/>
      <c r="H223" s="65"/>
      <c r="I223" s="65"/>
      <c r="J223" s="65"/>
      <c r="K223" s="65"/>
      <c r="L223" s="65"/>
      <c r="M223" s="65"/>
      <c r="N223" s="65"/>
      <c r="O223" s="65"/>
      <c r="P223" s="65"/>
      <c r="Q223" s="65"/>
      <c r="R223" s="65"/>
      <c r="S223" s="65"/>
      <c r="T223" s="65"/>
      <c r="U223" s="65"/>
      <c r="V223" s="65"/>
      <c r="W223" s="65"/>
    </row>
    <row r="224" spans="7:23">
      <c r="G224" s="65"/>
      <c r="H224" s="65"/>
      <c r="I224" s="65"/>
      <c r="J224" s="65"/>
      <c r="K224" s="65"/>
      <c r="L224" s="65"/>
      <c r="M224" s="65"/>
      <c r="N224" s="65"/>
      <c r="O224" s="65"/>
      <c r="P224" s="65"/>
      <c r="Q224" s="65"/>
      <c r="R224" s="65"/>
      <c r="S224" s="65"/>
      <c r="T224" s="65"/>
      <c r="U224" s="65"/>
      <c r="V224" s="65"/>
      <c r="W224" s="65"/>
    </row>
    <row r="225" spans="7:23">
      <c r="G225" s="65"/>
      <c r="H225" s="65"/>
      <c r="I225" s="65"/>
      <c r="J225" s="65"/>
      <c r="K225" s="65"/>
      <c r="L225" s="65"/>
      <c r="M225" s="65"/>
      <c r="N225" s="65"/>
      <c r="O225" s="65"/>
      <c r="P225" s="65"/>
      <c r="Q225" s="65"/>
      <c r="R225" s="65"/>
      <c r="S225" s="65"/>
      <c r="T225" s="65"/>
      <c r="U225" s="65"/>
      <c r="V225" s="65"/>
      <c r="W225" s="65"/>
    </row>
    <row r="226" spans="7:23">
      <c r="G226" s="65"/>
      <c r="H226" s="65"/>
      <c r="I226" s="65"/>
      <c r="J226" s="65"/>
      <c r="K226" s="65"/>
      <c r="L226" s="65"/>
      <c r="M226" s="65"/>
      <c r="N226" s="65"/>
      <c r="O226" s="65"/>
      <c r="P226" s="65"/>
      <c r="Q226" s="65"/>
      <c r="R226" s="65"/>
      <c r="S226" s="65"/>
      <c r="T226" s="65"/>
      <c r="U226" s="65"/>
      <c r="V226" s="65"/>
      <c r="W226" s="65"/>
    </row>
    <row r="227" spans="7:23">
      <c r="G227" s="65"/>
      <c r="H227" s="65"/>
      <c r="I227" s="65"/>
      <c r="J227" s="65"/>
      <c r="K227" s="65"/>
      <c r="L227" s="65"/>
      <c r="M227" s="65"/>
      <c r="N227" s="65"/>
      <c r="O227" s="65"/>
      <c r="P227" s="65"/>
      <c r="Q227" s="65"/>
      <c r="R227" s="65"/>
      <c r="S227" s="65"/>
      <c r="T227" s="65"/>
      <c r="U227" s="65"/>
      <c r="V227" s="65"/>
      <c r="W227" s="65"/>
    </row>
    <row r="228" spans="7:23">
      <c r="G228" s="65"/>
      <c r="H228" s="65"/>
      <c r="I228" s="65"/>
      <c r="J228" s="65"/>
      <c r="K228" s="65"/>
      <c r="L228" s="65"/>
      <c r="M228" s="65"/>
      <c r="N228" s="65"/>
      <c r="O228" s="65"/>
      <c r="P228" s="65"/>
      <c r="Q228" s="65"/>
      <c r="R228" s="65"/>
      <c r="S228" s="65"/>
      <c r="T228" s="65"/>
      <c r="U228" s="65"/>
      <c r="V228" s="65"/>
      <c r="W228" s="65"/>
    </row>
    <row r="229" spans="7:23">
      <c r="G229" s="65"/>
      <c r="H229" s="65"/>
      <c r="I229" s="65"/>
      <c r="J229" s="65"/>
      <c r="K229" s="65"/>
      <c r="L229" s="65"/>
      <c r="M229" s="65"/>
      <c r="N229" s="65"/>
      <c r="O229" s="65"/>
      <c r="P229" s="65"/>
      <c r="Q229" s="65"/>
      <c r="R229" s="65"/>
      <c r="S229" s="65"/>
      <c r="T229" s="65"/>
      <c r="U229" s="65"/>
      <c r="V229" s="65"/>
      <c r="W229" s="65"/>
    </row>
    <row r="230" spans="7:23">
      <c r="G230" s="65"/>
      <c r="H230" s="65"/>
      <c r="I230" s="65"/>
      <c r="J230" s="65"/>
      <c r="K230" s="65"/>
      <c r="L230" s="65"/>
      <c r="M230" s="65"/>
      <c r="N230" s="65"/>
      <c r="O230" s="65"/>
      <c r="P230" s="65"/>
      <c r="Q230" s="65"/>
      <c r="R230" s="65"/>
      <c r="S230" s="65"/>
      <c r="T230" s="65"/>
      <c r="U230" s="65"/>
      <c r="V230" s="65"/>
      <c r="W230" s="65"/>
    </row>
    <row r="231" spans="7:23">
      <c r="G231" s="65"/>
      <c r="H231" s="65"/>
      <c r="I231" s="65"/>
      <c r="J231" s="65"/>
      <c r="K231" s="65"/>
      <c r="L231" s="65"/>
      <c r="M231" s="65"/>
      <c r="N231" s="65"/>
      <c r="O231" s="65"/>
      <c r="P231" s="65"/>
      <c r="Q231" s="65"/>
      <c r="R231" s="65"/>
      <c r="S231" s="65"/>
      <c r="T231" s="65"/>
      <c r="U231" s="65"/>
      <c r="V231" s="65"/>
      <c r="W231" s="65"/>
    </row>
    <row r="232" spans="7:23">
      <c r="G232" s="65"/>
      <c r="H232" s="65"/>
      <c r="I232" s="65"/>
      <c r="J232" s="65"/>
      <c r="K232" s="65"/>
      <c r="L232" s="65"/>
      <c r="M232" s="65"/>
      <c r="N232" s="65"/>
      <c r="O232" s="65"/>
      <c r="P232" s="65"/>
      <c r="Q232" s="65"/>
      <c r="R232" s="65"/>
      <c r="S232" s="65"/>
      <c r="T232" s="65"/>
      <c r="U232" s="65"/>
      <c r="V232" s="65"/>
      <c r="W232" s="65"/>
    </row>
    <row r="233" spans="7:23">
      <c r="G233" s="65"/>
      <c r="H233" s="65"/>
      <c r="I233" s="65"/>
      <c r="J233" s="65"/>
      <c r="K233" s="65"/>
      <c r="L233" s="65"/>
      <c r="M233" s="65"/>
      <c r="N233" s="65"/>
      <c r="O233" s="65"/>
      <c r="P233" s="65"/>
      <c r="Q233" s="65"/>
      <c r="R233" s="65"/>
      <c r="S233" s="65"/>
      <c r="T233" s="65"/>
      <c r="U233" s="65"/>
      <c r="V233" s="65"/>
      <c r="W233" s="65"/>
    </row>
    <row r="234" spans="7:23">
      <c r="G234" s="65"/>
      <c r="H234" s="65"/>
      <c r="I234" s="65"/>
      <c r="J234" s="65"/>
      <c r="K234" s="65"/>
      <c r="L234" s="65"/>
      <c r="M234" s="65"/>
      <c r="N234" s="65"/>
      <c r="O234" s="65"/>
      <c r="P234" s="65"/>
      <c r="Q234" s="65"/>
      <c r="R234" s="65"/>
      <c r="S234" s="65"/>
      <c r="T234" s="65"/>
      <c r="U234" s="65"/>
      <c r="V234" s="65"/>
      <c r="W234" s="65"/>
    </row>
  </sheetData>
  <sheetProtection password="E9DD" sheet="1" objects="1" scenarios="1" selectLockedCells="1"/>
  <autoFilter ref="D76:D78"/>
  <mergeCells count="1">
    <mergeCell ref="B2:F2"/>
  </mergeCells>
  <phoneticPr fontId="27"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346</vt:i4>
      </vt:variant>
    </vt:vector>
  </HeadingPairs>
  <TitlesOfParts>
    <vt:vector size="352" baseType="lpstr">
      <vt:lpstr>Input Here</vt:lpstr>
      <vt:lpstr>Calculation</vt:lpstr>
      <vt:lpstr>Schematic and Values</vt:lpstr>
      <vt:lpstr>Secondary Resonance and ARC</vt:lpstr>
      <vt:lpstr>Burst Mode for USB-PD</vt:lpstr>
      <vt:lpstr>Hide Calculate</vt:lpstr>
      <vt:lpstr>_∆V_MIN</vt:lpstr>
      <vt:lpstr>_∆VO_ABM</vt:lpstr>
      <vt:lpstr>BUR</vt:lpstr>
      <vt:lpstr>C_Daux_vbi</vt:lpstr>
      <vt:lpstr>C_Daux_vbi_30</vt:lpstr>
      <vt:lpstr>C_Daux_vbur</vt:lpstr>
      <vt:lpstr>C_Daux_vmax</vt:lpstr>
      <vt:lpstr>C_Daux_vmin</vt:lpstr>
      <vt:lpstr>Cboot</vt:lpstr>
      <vt:lpstr>CBootD_T</vt:lpstr>
      <vt:lpstr>CBootD_T_vbi</vt:lpstr>
      <vt:lpstr>CBootD_T_vbi_30</vt:lpstr>
      <vt:lpstr>CBootD_T_vbur</vt:lpstr>
      <vt:lpstr>CBootD_T_vmax</vt:lpstr>
      <vt:lpstr>CBootD_T_vmin</vt:lpstr>
      <vt:lpstr>CBULK</vt:lpstr>
      <vt:lpstr>CBULK_act</vt:lpstr>
      <vt:lpstr>CBULK_rec</vt:lpstr>
      <vt:lpstr>CBUR</vt:lpstr>
      <vt:lpstr>CBUR_act</vt:lpstr>
      <vt:lpstr>CBUR_max</vt:lpstr>
      <vt:lpstr>Cclamp</vt:lpstr>
      <vt:lpstr>Cclamp_act</vt:lpstr>
      <vt:lpstr>Cclamp_eff</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COSS_QH_T_vbi</vt:lpstr>
      <vt:lpstr>COSS_QH_T_vbi_30</vt:lpstr>
      <vt:lpstr>COSS_QH_T_vbur</vt:lpstr>
      <vt:lpstr>COSS_QH_T_vmax</vt:lpstr>
      <vt:lpstr>COSS_QH_T_vmin</vt:lpstr>
      <vt:lpstr>COSS_QL_bg</vt:lpstr>
      <vt:lpstr>COSS_QL_sm</vt:lpstr>
      <vt:lpstr>Coss_QL_T</vt:lpstr>
      <vt:lpstr>COSS_QL_T_vbi</vt:lpstr>
      <vt:lpstr>COSS_QL_T_vbi_30</vt:lpstr>
      <vt:lpstr>COSS_QL_T_vbur</vt:lpstr>
      <vt:lpstr>COSS_QL_T_vmax</vt:lpstr>
      <vt:lpstr>COSS_QL_T_vmin</vt:lpstr>
      <vt:lpstr>COSS_Qs</vt:lpstr>
      <vt:lpstr>COSS_Qs_vbi</vt:lpstr>
      <vt:lpstr>COSS_Qs_vbi_30</vt:lpstr>
      <vt:lpstr>COSS_Qs_vbur</vt:lpstr>
      <vt:lpstr>COSS_Qs_vmax</vt:lpstr>
      <vt:lpstr>COSS_Qs_vmin</vt:lpstr>
      <vt:lpstr>Coss_SR_bg</vt:lpstr>
      <vt:lpstr>COSS_SR_H</vt:lpstr>
      <vt:lpstr>Coss_SR_sm</vt:lpstr>
      <vt:lpstr>Coss_SR_T</vt:lpstr>
      <vt:lpstr>COSS_SR_vbi</vt:lpstr>
      <vt:lpstr>COSS_SR_vbi_30</vt:lpstr>
      <vt:lpstr>COSS_SR_vbur</vt:lpstr>
      <vt:lpstr>COSS_SR_vmax</vt:lpstr>
      <vt:lpstr>COSS_SR_vmin</vt:lpstr>
      <vt:lpstr>COUT</vt:lpstr>
      <vt:lpstr>COUT_act</vt:lpstr>
      <vt:lpstr>COUT_rec</vt:lpstr>
      <vt:lpstr>CREF</vt:lpstr>
      <vt:lpstr>CREF_act</vt:lpstr>
      <vt:lpstr>CREF_rec</vt:lpstr>
      <vt:lpstr>Crfl_Daux_vbi</vt:lpstr>
      <vt:lpstr>Crfl_Daux_vbi_30</vt:lpstr>
      <vt:lpstr>Crfl_Daux_vbur</vt:lpstr>
      <vt:lpstr>Crfl_Daux_vmin</vt:lpstr>
      <vt:lpstr>Crfl_sr_vbi</vt:lpstr>
      <vt:lpstr>Crfl_sr_vbi_30</vt:lpstr>
      <vt:lpstr>Crfl_sr_vbur</vt:lpstr>
      <vt:lpstr>Crfl_sr_vmin</vt:lpstr>
      <vt:lpstr>CSW_0toVx</vt:lpstr>
      <vt:lpstr>CSWN_T</vt:lpstr>
      <vt:lpstr>CSWN_T_vbi</vt:lpstr>
      <vt:lpstr>CSWN_T_vbi_30</vt:lpstr>
      <vt:lpstr>CSWN_T_vbur</vt:lpstr>
      <vt:lpstr>CSWN_T_vmax</vt:lpstr>
      <vt:lpstr>CSWN_T_vmin</vt:lpstr>
      <vt:lpstr>CSWS</vt:lpstr>
      <vt:lpstr>CSWS_act</vt:lpstr>
      <vt:lpstr>CSWS_rec</vt:lpstr>
      <vt:lpstr>CTr</vt:lpstr>
      <vt:lpstr>CTr_vbi</vt:lpstr>
      <vt:lpstr>CTr_vbi_30</vt:lpstr>
      <vt:lpstr>CTr_vbur</vt:lpstr>
      <vt:lpstr>CTr_vmax</vt:lpstr>
      <vt:lpstr>CTr_vmin</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IOUT_OPP</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Kvsl</vt:lpstr>
      <vt:lpstr>LK_act</vt:lpstr>
      <vt:lpstr>LM</vt:lpstr>
      <vt:lpstr>LM_act</vt:lpstr>
      <vt:lpstr>LM_rec</vt:lpstr>
      <vt:lpstr>Lo</vt:lpstr>
      <vt:lpstr>LQs</vt:lpstr>
      <vt:lpstr>NA</vt:lpstr>
      <vt:lpstr>NA_max</vt:lpstr>
      <vt:lpstr>NA_min</vt:lpstr>
      <vt:lpstr>Na1_</vt:lpstr>
      <vt:lpstr>Na2_</vt:lpstr>
      <vt:lpstr>NP</vt:lpstr>
      <vt:lpstr>NPS</vt:lpstr>
      <vt:lpstr>NPS_min</vt:lpstr>
      <vt:lpstr>NS</vt:lpstr>
      <vt:lpstr>NS_</vt:lpstr>
      <vt:lpstr>NS_rec</vt:lpstr>
      <vt:lpstr>NSS</vt:lpstr>
      <vt:lpstr>OPP</vt:lpstr>
      <vt:lpstr>OVP</vt:lpstr>
      <vt:lpstr>OVP_tgt</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tD_CST_BUR</vt:lpstr>
      <vt:lpstr>tD_CST_vmax</vt:lpstr>
      <vt:lpstr>tD_CST_vmin</vt:lpstr>
      <vt:lpstr>TD_HDr</vt:lpstr>
      <vt:lpstr>TD_LDr</vt:lpstr>
      <vt:lpstr>TD_Ql_Coss_BUR</vt:lpstr>
      <vt:lpstr>TD_Ql_Coss_vmax</vt:lpstr>
      <vt:lpstr>TD_Ql_Coss_vmin</vt:lpstr>
      <vt:lpstr>tD_RUN_PWML</vt:lpstr>
      <vt:lpstr>TFDR</vt:lpstr>
      <vt:lpstr>THVG</vt:lpstr>
      <vt:lpstr>Trise_max</vt:lpstr>
      <vt:lpstr>TSS_max</vt:lpstr>
      <vt:lpstr>TZ_min</vt:lpstr>
      <vt:lpstr>VBulk_min_tgt</vt:lpstr>
      <vt:lpstr>Vbur1</vt:lpstr>
      <vt:lpstr>Vbur2</vt:lpstr>
      <vt:lpstr>VCE_sat_opto</vt:lpstr>
      <vt:lpstr>Vcin_rated</vt:lpstr>
      <vt:lpstr>Vclamp_max</vt:lpstr>
      <vt:lpstr>Vclamp_max_QH</vt:lpstr>
      <vt:lpstr>Vclamp_max_SR</vt:lpstr>
      <vt:lpstr>VCST_BUR</vt:lpstr>
      <vt:lpstr>VCST_max</vt:lpstr>
      <vt:lpstr>VCST_OPP_adj_Rcs</vt:lpstr>
      <vt:lpstr>VCST_OPP_adj_Ropp</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VIN_min</vt:lpstr>
      <vt:lpstr>Vin_type</vt:lpstr>
      <vt:lpstr>VINPUT_Brownin</vt:lpstr>
      <vt:lpstr>VINPUT_Brownout</vt:lpstr>
      <vt:lpstr>VINPUT_BUR</vt:lpstr>
      <vt:lpstr>VINPUT_max</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ΔVCLAMP</vt:lpstr>
      <vt:lpstr>ΔVSPIKE_SR</vt:lpstr>
      <vt:lpstr>η_min</vt:lpstr>
      <vt:lpstr>ηXFMR</vt:lpstr>
    </vt:vector>
  </TitlesOfParts>
  <Company>Texas Instruments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Johnny</cp:lastModifiedBy>
  <cp:lastPrinted>2019-12-05T17:01:24Z</cp:lastPrinted>
  <dcterms:created xsi:type="dcterms:W3CDTF">2018-06-20T15:06:35Z</dcterms:created>
  <dcterms:modified xsi:type="dcterms:W3CDTF">2020-10-08T08:11:27Z</dcterms:modified>
</cp:coreProperties>
</file>