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defaultThemeVersion="124226"/>
  <mc:AlternateContent xmlns:mc="http://schemas.openxmlformats.org/markup-compatibility/2006">
    <mc:Choice Requires="x15">
      <x15ac:absPath xmlns:x15ac="http://schemas.microsoft.com/office/spreadsheetml/2010/11/ac" url="C:\Users\Robin Gangopadhya\Documents\ucc28782work\"/>
    </mc:Choice>
  </mc:AlternateContent>
  <xr:revisionPtr revIDLastSave="0" documentId="13_ncr:1_{A38D368B-0746-41D8-8DF6-A8B5CCCCD64F}" xr6:coauthVersionLast="47" xr6:coauthVersionMax="47" xr10:uidLastSave="{00000000-0000-0000-0000-000000000000}"/>
  <workbookProtection workbookAlgorithmName="SHA-512" workbookHashValue="bGaI7tPHStg5230j53+cqdS6RikYJP62MZpzMs2DBnm98gKMwpuoakxPuwIFVdnOvmu6fiXmpxnVoloIpMKYCg==" workbookSaltValue="9livb6OHG/aOa7l1EvBo9A==" workbookSpinCount="100000" lockStructure="1"/>
  <bookViews>
    <workbookView xWindow="-120" yWindow="-120" windowWidth="29040" windowHeight="15840" tabRatio="721" activeTab="1" xr2:uid="{00000000-000D-0000-FFFF-FFFF00000000}"/>
  </bookViews>
  <sheets>
    <sheet name="Begin Input Here" sheetId="1" r:id="rId1"/>
    <sheet name="Calculations" sheetId="2" r:id="rId2"/>
    <sheet name="Optimize BUR Pin" sheetId="8" r:id="rId3"/>
    <sheet name="Tune Secondary Resonance" sheetId="5" r:id="rId4"/>
    <sheet name="Schematic and Values" sheetId="4" r:id="rId5"/>
    <sheet name="Hidden" sheetId="6" state="hidden" r:id="rId6"/>
    <sheet name="Revision History" sheetId="9" r:id="rId7"/>
  </sheets>
  <definedNames>
    <definedName name="_∆V_MIN">Calculations!$D$42</definedName>
    <definedName name="_∆VO_ABM">Calculations!$D$37</definedName>
    <definedName name="_xlnm._FilterDatabase" localSheetId="0" hidden="1">'Begin Input Here'!$B$62:$G$68</definedName>
    <definedName name="_xlnm._FilterDatabase" localSheetId="5" hidden="1">Hidden!$D$76:$D$78</definedName>
    <definedName name="_R25">'Begin Input Here'!$D$130</definedName>
    <definedName name="B25_85">'Begin Input Here'!$D$132</definedName>
    <definedName name="BUR">'Begin Input Here'!$D$34</definedName>
    <definedName name="C_01_act">'Tune Secondary Resonance'!$E$10</definedName>
    <definedName name="C_Daux_vbi">Hidden!$D$106</definedName>
    <definedName name="C_Daux_vbi_30">Hidden!$D$116</definedName>
    <definedName name="C_Daux_vbur">Hidden!$D$126</definedName>
    <definedName name="C_Daux_vmax">Hidden!$D$136</definedName>
    <definedName name="C_Daux_vmin">Hidden!$D$96</definedName>
    <definedName name="C_P13">Calculations!$D$154</definedName>
    <definedName name="Cboot">Calculations!$D$162</definedName>
    <definedName name="CBootD_T">'Begin Input Here'!$D$67</definedName>
    <definedName name="CBootD_T_vbi">Hidden!$D$103</definedName>
    <definedName name="CBootD_T_vbi_30">Hidden!$D$113</definedName>
    <definedName name="CBootD_T_vbur">Hidden!$D$123</definedName>
    <definedName name="CBootD_T_vmax">Hidden!$D$133</definedName>
    <definedName name="CBootD_T_vmin">Hidden!$D$93</definedName>
    <definedName name="CBULK">'Begin Input Here'!$D$73</definedName>
    <definedName name="CBULK_act">'Begin Input Here'!$D$72</definedName>
    <definedName name="CBULK_rec">'Begin Input Here'!$D$71</definedName>
    <definedName name="CBUR">Calculations!$D$141</definedName>
    <definedName name="CBUR_act">Calculations!$D$140</definedName>
    <definedName name="CBUR_max">Calculations!$D$139</definedName>
    <definedName name="Cclamp">Calculations!$D$80</definedName>
    <definedName name="Cclamp_act">Calculations!$D$78</definedName>
    <definedName name="Cclamp_eff">Calculations!$D$79</definedName>
    <definedName name="Cclamp_rec">Calculations!$D$77</definedName>
    <definedName name="CCS">Calculations!$D$115</definedName>
    <definedName name="CCS_act">Calculations!$D$114</definedName>
    <definedName name="CCS_rec">Calculations!$D$113</definedName>
    <definedName name="CDaux_H">'Begin Input Here'!$D$123</definedName>
    <definedName name="CDaux_T">'Begin Input Here'!$D$122</definedName>
    <definedName name="CDD_1">Calculations!$D$175</definedName>
    <definedName name="CDD1_act">Calculations!$D$174</definedName>
    <definedName name="CDD1_rec">Calculations!$D$173</definedName>
    <definedName name="CDD2_">Calculations!$D$166</definedName>
    <definedName name="Cdiff">Calculations!$D$206</definedName>
    <definedName name="Cdiff_act">Calculations!$D$205</definedName>
    <definedName name="Cdiff_rec">Calculations!$D$204</definedName>
    <definedName name="CDz">'Begin Input Here'!#REF!</definedName>
    <definedName name="CFB">Calculations!$D$181</definedName>
    <definedName name="Cint">Calculations!$D$213</definedName>
    <definedName name="Cint_act">Calculations!$D$212</definedName>
    <definedName name="Cint_rec">Calculations!$D$211</definedName>
    <definedName name="Ciss_Qs">'Begin Input Here'!$D$117</definedName>
    <definedName name="Co_1">'Tune Secondary Resonance'!$E$11:$G$11</definedName>
    <definedName name="Co1_dec">'Tune Secondary Resonance'!$E$7</definedName>
    <definedName name="Co1_rec">'Tune Secondary Resonance'!$E$8</definedName>
    <definedName name="COSS_QH_bg">'Begin Input Here'!$D$48</definedName>
    <definedName name="COSS_QH_sm">'Begin Input Here'!$D$49</definedName>
    <definedName name="Coss_QH_T">'Begin Input Here'!$D$52</definedName>
    <definedName name="COSS_QH_T_vbi">Hidden!$D$100</definedName>
    <definedName name="COSS_QH_T_vbi_30">Hidden!$D$110</definedName>
    <definedName name="COSS_QH_T_vbur">Hidden!$D$120</definedName>
    <definedName name="COSS_QH_T_vmax">Hidden!$D$130</definedName>
    <definedName name="COSS_QH_T_vmin">Hidden!$D$90</definedName>
    <definedName name="COSS_QL_bg">'Begin Input Here'!$D$56</definedName>
    <definedName name="COSS_QL_sm">'Begin Input Here'!$D$57</definedName>
    <definedName name="Coss_QL_T">'Begin Input Here'!$D$60</definedName>
    <definedName name="COSS_QL_T_vbi">Hidden!$D$101</definedName>
    <definedName name="COSS_QL_T_vbi_30">Hidden!$D$111</definedName>
    <definedName name="COSS_QL_T_vbur">Hidden!$D$121</definedName>
    <definedName name="COSS_QL_T_vmax">Hidden!$D$131</definedName>
    <definedName name="COSS_QL_T_vmin">Hidden!$D$91</definedName>
    <definedName name="COSS_Qs">'Begin Input Here'!$D$114</definedName>
    <definedName name="COSS_Qs_vbi">Hidden!$D$104</definedName>
    <definedName name="COSS_Qs_vbi_30">Hidden!$D$114</definedName>
    <definedName name="COSS_Qs_vbur">Hidden!$D$124</definedName>
    <definedName name="COSS_Qs_vmax">Hidden!$D$134</definedName>
    <definedName name="COSS_Qs_vmin">Hidden!$D$94</definedName>
    <definedName name="Coss_SR_bg">'Begin Input Here'!$D$87</definedName>
    <definedName name="COSS_SR_H">'Begin Input Here'!$D$91</definedName>
    <definedName name="Coss_SR_sm">'Begin Input Here'!$D$88</definedName>
    <definedName name="Coss_SR_T">'Begin Input Here'!$D$90</definedName>
    <definedName name="COSS_SR_t_vmax">Hidden!#REF!</definedName>
    <definedName name="COSS_SR_vbi">Hidden!$D$105</definedName>
    <definedName name="COSS_SR_vbi_30">Hidden!$D$115</definedName>
    <definedName name="COSS_SR_vbur">Hidden!$D$125</definedName>
    <definedName name="COSS_SR_vmax">Hidden!$D$135</definedName>
    <definedName name="COSS_SR_vmin">Hidden!$D$95</definedName>
    <definedName name="COUT">'Begin Input Here'!$D$80</definedName>
    <definedName name="COUT_act">'Begin Input Here'!$D$79</definedName>
    <definedName name="COUT_rec">'Begin Input Here'!$D$78</definedName>
    <definedName name="CP13_act">Calculations!$D$153</definedName>
    <definedName name="CP13_rec">Calculations!$D$152</definedName>
    <definedName name="CREF">Calculations!$D$157</definedName>
    <definedName name="CREF_act">Calculations!$D$156</definedName>
    <definedName name="CREF_rec">Calculations!$D$155</definedName>
    <definedName name="Crfl_Daux_vbi">Hidden!$D$106</definedName>
    <definedName name="Crfl_Daux_vbi_30">Hidden!$D$116</definedName>
    <definedName name="Crfl_Daux_vbur">Hidden!$D$126</definedName>
    <definedName name="Crfl_Daux_vmin">Hidden!$D$96</definedName>
    <definedName name="Crfl_sr_vbi">Hidden!$D$105</definedName>
    <definedName name="Crfl_sr_vbi_30">Hidden!$D$115</definedName>
    <definedName name="Crfl_sr_vbur">Hidden!$D$125</definedName>
    <definedName name="Crfl_sr_vmin">Hidden!$D$95</definedName>
    <definedName name="CSW_0toVx">Hidden!$D$22</definedName>
    <definedName name="CSWN_T">Calculations!$D$73</definedName>
    <definedName name="CSWN_T_vbi">Hidden!$D$107</definedName>
    <definedName name="CSWN_T_vbi_30">Hidden!$D$117</definedName>
    <definedName name="CSWN_T_vbur">Hidden!$D$127</definedName>
    <definedName name="CSWN_T_vmax">Hidden!$D$137</definedName>
    <definedName name="CSWN_T_vmin">Hidden!$D$97</definedName>
    <definedName name="CSWS">Calculations!$D$146</definedName>
    <definedName name="CSWS_act">Calculations!$D$145</definedName>
    <definedName name="CSWS_rec">Calculations!$D$144</definedName>
    <definedName name="CTr">Calculations!$D$63</definedName>
    <definedName name="CTr_vbi">Hidden!$D$102</definedName>
    <definedName name="CTr_vbi_30">Hidden!$D$112</definedName>
    <definedName name="CTr_vbur">Hidden!$D$122</definedName>
    <definedName name="CTr_vmax">Hidden!$D$132</definedName>
    <definedName name="CTr_vmin">Hidden!$D$92</definedName>
    <definedName name="CTRmax">'Begin Input Here'!$D$101</definedName>
    <definedName name="CTRmin">'Begin Input Here'!$D$102</definedName>
    <definedName name="D_max">Calculations!$D$57</definedName>
    <definedName name="DBUR">Hidden!$D$44</definedName>
    <definedName name="DBUR_min">Hidden!$D$56</definedName>
    <definedName name="Dmin">Hidden!$D$72</definedName>
    <definedName name="DOPP_max">Hidden!$D$31</definedName>
    <definedName name="DOPP_min">Hidden!$D$19</definedName>
    <definedName name="DOPP_run">Hidden!$D$8</definedName>
    <definedName name="DOPP_start">Hidden!$D$64</definedName>
    <definedName name="Drea_CDD1">Calculations!$D$172</definedName>
    <definedName name="Drea_clamp">Calculations!$D$76</definedName>
    <definedName name="fBUR_LR">Calculations!$D$39</definedName>
    <definedName name="fBUR_standyby">'Begin Input Here'!$D$37</definedName>
    <definedName name="fBUR_UP">Calculations!$D$38</definedName>
    <definedName name="Fcr_min">'Begin Input Here'!$D$36</definedName>
    <definedName name="fLINE_min">'Begin Input Here'!$D$24</definedName>
    <definedName name="fp_opto">'Begin Input Here'!$D$100</definedName>
    <definedName name="fsw_BUR">Hidden!$D$40</definedName>
    <definedName name="fsw_BUR_min">Hidden!$D$54</definedName>
    <definedName name="fsw_min">Hidden!$D$69</definedName>
    <definedName name="fsw_OPP_max">Hidden!$D$29</definedName>
    <definedName name="fsw_OPP_min">Hidden!$D$17</definedName>
    <definedName name="fsw_OPP_run">Hidden!$D$11</definedName>
    <definedName name="fsw_OPP_start">Hidden!$D$61</definedName>
    <definedName name="fSWmin">'Begin Input Here'!$D$35</definedName>
    <definedName name="ID_SR_max">'Begin Input Here'!$D$93</definedName>
    <definedName name="IDaux_max">'Begin Input Here'!$D$125</definedName>
    <definedName name="IFB_max">Calculations!$D$36</definedName>
    <definedName name="IIN_BUR">Hidden!$D$45</definedName>
    <definedName name="IIN_BUR_min">Hidden!$D$57</definedName>
    <definedName name="IIN_min">Hidden!$D$71</definedName>
    <definedName name="IIN_OPP_max">Hidden!$D$32</definedName>
    <definedName name="IIN_OPP_min">Hidden!$D$18</definedName>
    <definedName name="IIN_OPP_run">Hidden!$D$9</definedName>
    <definedName name="IIN_OPP_start">Hidden!$D$63</definedName>
    <definedName name="IKA_min">'Begin Input Here'!$D$107</definedName>
    <definedName name="IM_nega_BUR">Hidden!$D$39</definedName>
    <definedName name="IM_nega_BUR_min">Hidden!$D$53</definedName>
    <definedName name="IM_nega_max">Hidden!$D$28</definedName>
    <definedName name="IM_nega_min">Hidden!$D$68</definedName>
    <definedName name="IM_nega_OPP_min">Hidden!$D$15</definedName>
    <definedName name="IM_nega_run">Hidden!$D$10</definedName>
    <definedName name="IM_nega_start">Hidden!$D$60</definedName>
    <definedName name="IOUT">'Begin Input Here'!$D$31</definedName>
    <definedName name="IOUT_OPP">'Begin Input Here'!$D$33</definedName>
    <definedName name="IP13_START">Calculations!$D$26</definedName>
    <definedName name="ipk_BUR">Hidden!$D$41</definedName>
    <definedName name="ipk_BUR_min">Hidden!$D$55</definedName>
    <definedName name="ipk_min">Hidden!$D$70</definedName>
    <definedName name="ipk_OPP_max">Hidden!$D$30</definedName>
    <definedName name="ipk_OPP_min">Hidden!$D$16</definedName>
    <definedName name="ipk_OPP_run">Hidden!$D$12</definedName>
    <definedName name="ipk_OPP_start">Hidden!$D$62</definedName>
    <definedName name="IQH_max">'Begin Input Here'!$D$51</definedName>
    <definedName name="IQL_max">'Begin Input Here'!$D$59</definedName>
    <definedName name="iQL_RMS">Calculations!$D$106</definedName>
    <definedName name="Iref_431">'Begin Input Here'!$D$109</definedName>
    <definedName name="Iref_431_max">'Begin Input Here'!$D$110</definedName>
    <definedName name="IRUN_VDD">Calculations!$D$23</definedName>
    <definedName name="IVCC_qcc">'Begin Input Here'!$D$68</definedName>
    <definedName name="IVCC_sw">Hidden!$D$65</definedName>
    <definedName name="iVSL_BUR">Hidden!$D$46</definedName>
    <definedName name="iVSL_max">Hidden!$D$34</definedName>
    <definedName name="IVSL_run">Calculations!$D$8</definedName>
    <definedName name="IVSL_run_max">Calculations!$D$7</definedName>
    <definedName name="IVSL_run_min">Calculations!$D$9</definedName>
    <definedName name="IVSL_stop">Calculations!$D$11</definedName>
    <definedName name="IVSL_stop_max">Calculations!$D$10</definedName>
    <definedName name="IVSL_stop_min">Calculations!$D$12</definedName>
    <definedName name="Iwait_VDD">Calculations!$D$24</definedName>
    <definedName name="KBtol">'Begin Input Here'!$D$133</definedName>
    <definedName name="KBUR_CST">Calculations!$D$21</definedName>
    <definedName name="KCTR_Temp">'Begin Input Here'!$D$103</definedName>
    <definedName name="Kder_HB">'Begin Input Here'!$D$40</definedName>
    <definedName name="Kder_SR">'Begin Input Here'!$D$84</definedName>
    <definedName name="KDM">Calculations!$D$20</definedName>
    <definedName name="KLC">Calculations!$D$19</definedName>
    <definedName name="KRES">Calculations!$D$41</definedName>
    <definedName name="KRtol">'Begin Input Here'!$D$131</definedName>
    <definedName name="KTZ">'Begin Input Here'!$D$44</definedName>
    <definedName name="KVC">Hidden!$D$73</definedName>
    <definedName name="Kvsl">Hidden!$D$81</definedName>
    <definedName name="kZmax">Hidden!#REF!</definedName>
    <definedName name="LK_act">Calculations!$D$61</definedName>
    <definedName name="LM">Calculations!$D$60</definedName>
    <definedName name="LM_act">Calculations!$D$59</definedName>
    <definedName name="LM_rec">Calculations!$D$58</definedName>
    <definedName name="Lo">'Tune Secondary Resonance'!$E$14</definedName>
    <definedName name="LQs">'Begin Input Here'!$D$116</definedName>
    <definedName name="NA">Calculations!$D$55</definedName>
    <definedName name="NA_act">Calculations!#REF!</definedName>
    <definedName name="NA_max">Calculations!$D$54</definedName>
    <definedName name="NA_min">Calculations!$D$53</definedName>
    <definedName name="Na1_">#REF!</definedName>
    <definedName name="Na2_">#REF!</definedName>
    <definedName name="NP">Calculations!$D$50</definedName>
    <definedName name="NPS">Calculations!$D$49</definedName>
    <definedName name="NPS_actual">Calculations!#REF!</definedName>
    <definedName name="NPS_min">Calculations!$D$47</definedName>
    <definedName name="NPS_recommended">Calculations!#REF!</definedName>
    <definedName name="NS">Calculations!$D$52</definedName>
    <definedName name="NS_">#REF!</definedName>
    <definedName name="NS_rec">Calculations!$D$51</definedName>
    <definedName name="NSS">Calculations!$D$52</definedName>
    <definedName name="NTC_pn">'Begin Input Here'!$C$129</definedName>
    <definedName name="NTHS0603N01N1003F">'Begin Input Here'!$C$129</definedName>
    <definedName name="OPP">'Begin Input Here'!$D$32</definedName>
    <definedName name="OVP">Calculations!$D$99</definedName>
    <definedName name="OVP_tgt">'Begin Input Here'!$D$29</definedName>
    <definedName name="PO_FL">'Begin Input Here'!$D$30</definedName>
    <definedName name="PRcs">Calculations!$D$107</definedName>
    <definedName name="Qg_Qh">Hidden!$D$52</definedName>
    <definedName name="R_OPP">Calculations!$D$112</definedName>
    <definedName name="R_OPP_act">Calculations!$D$111</definedName>
    <definedName name="R_OPP_rec">Calculations!$D$110</definedName>
    <definedName name="R_P13">Calculations!#REF!</definedName>
    <definedName name="Rbias1">Calculations!$D$190</definedName>
    <definedName name="Rbias1_max_ABM">Calculations!$D$187</definedName>
    <definedName name="Rbias1_max_SBP">Calculations!$D$186</definedName>
    <definedName name="Rbias2">Calculations!$D$184</definedName>
    <definedName name="Rbias2_act">Calculations!$D$183</definedName>
    <definedName name="Rbias2_rec">Calculations!$D$182</definedName>
    <definedName name="RBLEED">Calculations!$D$83</definedName>
    <definedName name="RBLEED_act">Calculations!$D$82</definedName>
    <definedName name="RBLEED_rec">Calculations!$D$81</definedName>
    <definedName name="RBLEED_rec1">Calculations!#REF!</definedName>
    <definedName name="RBOOT">Calculations!$D$164</definedName>
    <definedName name="RBOOT_rec">Calculations!$D$163</definedName>
    <definedName name="RBUR1">Calculations!$D$134</definedName>
    <definedName name="RBUR1_act">Calculations!$D$133</definedName>
    <definedName name="RBUR1_act2">'Optimize BUR Pin'!$C$24</definedName>
    <definedName name="RBUR1_rec">Calculations!$D$132</definedName>
    <definedName name="RBUR1_rec2">'Optimize BUR Pin'!$C$23</definedName>
    <definedName name="RBUR2">Calculations!$D$137</definedName>
    <definedName name="RBUR2_act">Calculations!$D$136</definedName>
    <definedName name="RBUR2_act2">'Optimize BUR Pin'!$C$26</definedName>
    <definedName name="RBUR2_rec">Calculations!$D$135</definedName>
    <definedName name="RBUR2_rec2">'Optimize BUR Pin'!$C$25</definedName>
    <definedName name="RCO">'Begin Input Here'!$D$76</definedName>
    <definedName name="RCS">Calculations!$D$105</definedName>
    <definedName name="RCS_act">Calculations!$D$104</definedName>
    <definedName name="RCS_rec">Calculations!$D$103</definedName>
    <definedName name="RDD_1">Calculations!#REF!</definedName>
    <definedName name="RDD1_act">Calculations!#REF!</definedName>
    <definedName name="RDD1_rec">Calculations!#REF!</definedName>
    <definedName name="Rdiff">Calculations!$D$209</definedName>
    <definedName name="Rdiff_act">Calculations!$D$208</definedName>
    <definedName name="Rdiff_rec">Calculations!$D$207</definedName>
    <definedName name="RDM">Calculations!$D$121</definedName>
    <definedName name="RDM_act">Calculations!$D$120</definedName>
    <definedName name="RDM_rec">Calculations!$D$119</definedName>
    <definedName name="RDSon_QH">'Begin Input Here'!$D$47</definedName>
    <definedName name="RDSon_QL">'Begin Input Here'!$D$55</definedName>
    <definedName name="RFB">Calculations!$D$180</definedName>
    <definedName name="RFB_act">Calculations!$D$179</definedName>
    <definedName name="RFB_int">Calculations!$D$35</definedName>
    <definedName name="RFB_max">Calculations!$D$178</definedName>
    <definedName name="RIPC">Calculations!$D$219</definedName>
    <definedName name="RIPC_act">Calculations!$D$218</definedName>
    <definedName name="RIPC_rec">Calculations!$D$217</definedName>
    <definedName name="RNTCR">Calculations!$D$31</definedName>
    <definedName name="RNTCR_max">Calculations!$D$30</definedName>
    <definedName name="RNTCR_min">Calculations!$D$32</definedName>
    <definedName name="RNTCTH">Calculations!$D$28</definedName>
    <definedName name="RNTCTH_max">Calculations!$D$27</definedName>
    <definedName name="RNTCTH_min">Calculations!$D$29</definedName>
    <definedName name="Rpri_dc">Calculations!$D$64</definedName>
    <definedName name="RSWS">Calculations!$D$149</definedName>
    <definedName name="RSWS_act">Calculations!$D$148</definedName>
    <definedName name="RSWS_rec">Calculations!$D$147</definedName>
    <definedName name="RTZ">Calculations!$D$127</definedName>
    <definedName name="RTZ_act">Calculations!$D$126</definedName>
    <definedName name="RTZ_rec">Calculations!$D$125</definedName>
    <definedName name="Rvo1_">Calculations!$D$199</definedName>
    <definedName name="Rvo1_act">Calculations!$D$198</definedName>
    <definedName name="Rvo1_rec">Calculations!$D$197</definedName>
    <definedName name="Rvo2_">Calculations!$D$196</definedName>
    <definedName name="Rvo2_act">Calculations!$D$195</definedName>
    <definedName name="Rvo2_rec">Calculations!$D$194</definedName>
    <definedName name="RVS_1">Calculations!$D$89</definedName>
    <definedName name="RVS_2">Calculations!$D$98</definedName>
    <definedName name="RVS1_act">Calculations!$D$87</definedName>
    <definedName name="RVS1_rec">Calculations!$D$86</definedName>
    <definedName name="RVS2_act">Calculations!$D$97</definedName>
    <definedName name="RVS2_rec">Calculations!$D$96</definedName>
    <definedName name="SET">'Begin Input Here'!$D$43</definedName>
    <definedName name="SETPIN">'Begin Input Here'!#REF!</definedName>
    <definedName name="solver_eng" localSheetId="1" hidden="1">1</definedName>
    <definedName name="solver_neg" localSheetId="1" hidden="1">1</definedName>
    <definedName name="solver_num" localSheetId="1" hidden="1">0</definedName>
    <definedName name="solver_opt" localSheetId="1" hidden="1">Hidden!#REF!</definedName>
    <definedName name="solver_typ" localSheetId="1" hidden="1">1</definedName>
    <definedName name="solver_val" localSheetId="1" hidden="1">0</definedName>
    <definedName name="solver_ver" localSheetId="1" hidden="1">3</definedName>
    <definedName name="T_on_min">Hidden!$D$20</definedName>
    <definedName name="tD_CS">Calculations!$D$14</definedName>
    <definedName name="TD_CS_filter">Calculations!$D$102</definedName>
    <definedName name="tD_CST_BUR">Hidden!$D$43</definedName>
    <definedName name="tD_CST_vmax">Hidden!$D$27</definedName>
    <definedName name="tD_CST_vmin">Hidden!$D$23</definedName>
    <definedName name="TD_HDr">'Begin Input Here'!$D$65</definedName>
    <definedName name="TD_LDr">'Begin Input Here'!$D$64</definedName>
    <definedName name="TD_Ql_Coss_BUR">Hidden!$D$42</definedName>
    <definedName name="TD_Ql_Coss_vmax">Hidden!$D$26</definedName>
    <definedName name="TD_Ql_Coss_vmin">Hidden!$D$21</definedName>
    <definedName name="tD_RUN_PWML">Calculations!$D$25</definedName>
    <definedName name="TFDR">Calculations!$D$40</definedName>
    <definedName name="TOTP_tgt">'Begin Input Here'!$D$128</definedName>
    <definedName name="TP13_">Calculations!$D$170</definedName>
    <definedName name="tres">Hidden!#REF!</definedName>
    <definedName name="Trise_max">Hidden!$D$49</definedName>
    <definedName name="TSS_max">Calculations!$D$171</definedName>
    <definedName name="tSW">Hidden!#REF!</definedName>
    <definedName name="tSW_off">Hidden!#REF!</definedName>
    <definedName name="tSW_on">Hidden!#REF!</definedName>
    <definedName name="tSWmax">Hidden!#REF!</definedName>
    <definedName name="TZ_min">Calculations!$D$124</definedName>
    <definedName name="V_P13">Calculations!$D$22</definedName>
    <definedName name="VBrownin">Calculations!$D$91</definedName>
    <definedName name="VBrownin_max">Calculations!$D$90</definedName>
    <definedName name="VBrownin_min">Calculations!$D$92</definedName>
    <definedName name="VBrownout">Calculations!$D$94</definedName>
    <definedName name="VBrownout_max">Calculations!$D$93</definedName>
    <definedName name="VBrownout_min">Calculations!$D$95</definedName>
    <definedName name="VBulk_min_tgt">'Begin Input Here'!$D$22</definedName>
    <definedName name="VBULK_min_tgt1">'Begin Input Here'!#REF!</definedName>
    <definedName name="VBUR">Calculations!$D$138</definedName>
    <definedName name="VBUR_tgt">Calculations!$D$131</definedName>
    <definedName name="VBUR2">'Optimize BUR Pin'!$C$28</definedName>
    <definedName name="VCbulk_rated">'Begin Input Here'!$D$74</definedName>
    <definedName name="VCE_sat_opto">'Begin Input Here'!$D$97</definedName>
    <definedName name="Vclamp_max">Hidden!$D$5</definedName>
    <definedName name="Vclamp_max_QH">Hidden!$D$4</definedName>
    <definedName name="Vclamp_max_SR">Hidden!$D$3</definedName>
    <definedName name="VCST_BUR">Calculations!$D$130</definedName>
    <definedName name="VCST_max">Calculations!$D$15</definedName>
    <definedName name="VCST_OPP_adj_Rcs">Hidden!$D$82</definedName>
    <definedName name="VCST_OPP_adj_Ropp">Hidden!$D$83</definedName>
    <definedName name="VCST_OPP1">Calculations!$D$16</definedName>
    <definedName name="VCST_OPP4">Calculations!$D$17</definedName>
    <definedName name="VD_LED">'Begin Input Here'!$D$98</definedName>
    <definedName name="VD_LED_off">'Begin Input Here'!$D$99</definedName>
    <definedName name="VDD">Calculations!$D$169</definedName>
    <definedName name="VDD_max">Calculations!$D$5</definedName>
    <definedName name="VDD_off">Calculations!$D$3</definedName>
    <definedName name="VDD_on">Calculations!$D$4</definedName>
    <definedName name="VDD_PCT">Calculations!$D$6</definedName>
    <definedName name="VDS_actual">'Begin Input Here'!$D$42</definedName>
    <definedName name="VDz">'Begin Input Here'!#REF!</definedName>
    <definedName name="Vf_BootD">'Begin Input Here'!$D$66</definedName>
    <definedName name="Vf_Daux">'Begin Input Here'!$D$124</definedName>
    <definedName name="Vf_SR">'Begin Input Here'!$D$92</definedName>
    <definedName name="VFB_max">Calculations!$D$34</definedName>
    <definedName name="Vgs_Qs">'Begin Input Here'!$D$115</definedName>
    <definedName name="Vhys_CS">Calculations!#REF!</definedName>
    <definedName name="VIN_min">'Begin Input Here'!$D$19</definedName>
    <definedName name="Vin_type">'Begin Input Here'!$D$16</definedName>
    <definedName name="VINPUT_Brownin">'Begin Input Here'!$D$20</definedName>
    <definedName name="VINPUT_Brownout">'Begin Input Here'!$D$21</definedName>
    <definedName name="VINPUT_BUR">'Begin Input Here'!$D$18</definedName>
    <definedName name="VINPUT_max">'Begin Input Here'!$D$17</definedName>
    <definedName name="VLk_pri_max">Hidden!$D$36</definedName>
    <definedName name="Vo_drop">'Begin Input Here'!$D$77</definedName>
    <definedName name="Voffset_CS_OPP">Hidden!$D$33</definedName>
    <definedName name="Vomax">#REF!</definedName>
    <definedName name="Vomin">#REF!</definedName>
    <definedName name="VOUT">'Begin Input Here'!$D$28</definedName>
    <definedName name="VOUT_low">Calculations!$D$185</definedName>
    <definedName name="VR_pri_max">Hidden!$D$35</definedName>
    <definedName name="VREF">Calculations!$D$33</definedName>
    <definedName name="Vref_431">'Begin Input Here'!$D$108</definedName>
    <definedName name="VRfl">Calculations!$D$56</definedName>
    <definedName name="Vs_clamp">Calculations!$D$18</definedName>
    <definedName name="VSR_actual">'Begin Input Here'!$D$86</definedName>
    <definedName name="Vth_Qs">'Begin Input Here'!$D$118</definedName>
    <definedName name="VVS_OVP">Calculations!$D$13</definedName>
    <definedName name="Vx_SR">'Begin Input Here'!$D$89</definedName>
    <definedName name="Vxh">'Begin Input Here'!$D$50</definedName>
    <definedName name="Vxl">'Begin Input Here'!$D$58</definedName>
    <definedName name="ΔVCLAMP">Calculations!$D$44</definedName>
    <definedName name="ΔVSPIKE_SR">Calculations!$D$43</definedName>
    <definedName name="η">Calculations!#REF!</definedName>
    <definedName name="η_min">'Begin Input Here'!$D$25</definedName>
    <definedName name="ηXFMR">Calculations!$D$62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2" i="6" l="1"/>
  <c r="D85" i="1"/>
  <c r="D48" i="2"/>
  <c r="D47" i="2"/>
  <c r="D187" i="2" l="1"/>
  <c r="D88" i="2" l="1"/>
  <c r="D41" i="1"/>
  <c r="F34" i="1" l="1"/>
  <c r="D20" i="2" l="1"/>
  <c r="E11" i="5" l="1"/>
  <c r="E18" i="5" s="1"/>
  <c r="D57" i="4"/>
  <c r="D213" i="2" l="1"/>
  <c r="D231" i="2" l="1"/>
  <c r="D230" i="2"/>
  <c r="D225" i="2"/>
  <c r="D224" i="2"/>
  <c r="D228" i="2"/>
  <c r="D227" i="2"/>
  <c r="C222" i="2"/>
  <c r="D134" i="1"/>
  <c r="D135" i="1"/>
  <c r="C16" i="8" l="1"/>
  <c r="C21" i="8"/>
  <c r="C13" i="8"/>
  <c r="C19" i="8"/>
  <c r="Q9" i="6"/>
  <c r="Q11" i="6" s="1"/>
  <c r="Q12" i="6" s="1"/>
  <c r="K9" i="6"/>
  <c r="K11" i="6" s="1"/>
  <c r="D144" i="2"/>
  <c r="D152" i="2"/>
  <c r="D133" i="2" l="1"/>
  <c r="D136" i="2"/>
  <c r="D155" i="2"/>
  <c r="D219" i="2" l="1"/>
  <c r="D29" i="4" s="1"/>
  <c r="C30" i="8"/>
  <c r="D110" i="4"/>
  <c r="C29" i="8" l="1"/>
  <c r="D112" i="2"/>
  <c r="D86" i="2" l="1"/>
  <c r="D71" i="1" l="1"/>
  <c r="D204" i="2" l="1"/>
  <c r="D79" i="2"/>
  <c r="E22" i="1" l="1"/>
  <c r="D98" i="2" l="1"/>
  <c r="D15" i="4" s="1"/>
  <c r="D81" i="6" l="1"/>
  <c r="D82" i="6" s="1"/>
  <c r="D83" i="6" l="1"/>
  <c r="D131" i="6"/>
  <c r="D130" i="6"/>
  <c r="D121" i="6"/>
  <c r="D120" i="6"/>
  <c r="D111" i="6"/>
  <c r="D110" i="6"/>
  <c r="D101" i="6"/>
  <c r="D100" i="6"/>
  <c r="D91" i="6"/>
  <c r="D90" i="6"/>
  <c r="D125" i="6"/>
  <c r="D135" i="6"/>
  <c r="D136" i="6"/>
  <c r="D126" i="6"/>
  <c r="D116" i="6"/>
  <c r="D115" i="6"/>
  <c r="D105" i="6"/>
  <c r="D95" i="6"/>
  <c r="D106" i="6"/>
  <c r="D96" i="6"/>
  <c r="D134" i="6"/>
  <c r="D133" i="6"/>
  <c r="D132" i="6"/>
  <c r="D124" i="6"/>
  <c r="D123" i="6"/>
  <c r="D122" i="6"/>
  <c r="D114" i="6"/>
  <c r="D113" i="6"/>
  <c r="D112" i="6"/>
  <c r="D104" i="6"/>
  <c r="D103" i="6"/>
  <c r="D102" i="6"/>
  <c r="D94" i="6"/>
  <c r="D93" i="6"/>
  <c r="D92" i="6"/>
  <c r="D54" i="4" l="1"/>
  <c r="D53" i="4"/>
  <c r="D134" i="2" l="1"/>
  <c r="D72" i="6" l="1"/>
  <c r="D71" i="6"/>
  <c r="D64" i="6"/>
  <c r="D63" i="6"/>
  <c r="D57" i="6"/>
  <c r="D56" i="6"/>
  <c r="D45" i="6"/>
  <c r="D44" i="6"/>
  <c r="D9" i="6"/>
  <c r="D31" i="6"/>
  <c r="D32" i="6"/>
  <c r="D57" i="2" l="1"/>
  <c r="D58" i="2" s="1"/>
  <c r="D80" i="2" l="1"/>
  <c r="D19" i="6"/>
  <c r="D18" i="6"/>
  <c r="D4" i="6" l="1"/>
  <c r="D3" i="6"/>
  <c r="D90" i="1"/>
  <c r="D52" i="1"/>
  <c r="D67" i="2" s="1"/>
  <c r="D60" i="1"/>
  <c r="D68" i="2" s="1"/>
  <c r="D74" i="1"/>
  <c r="D33" i="1"/>
  <c r="D31" i="1"/>
  <c r="D78" i="1" s="1"/>
  <c r="D8" i="6" l="1"/>
  <c r="E16" i="5"/>
  <c r="H42" i="5" s="1"/>
  <c r="D108" i="4"/>
  <c r="D106" i="4"/>
  <c r="D105" i="4"/>
  <c r="D97" i="4"/>
  <c r="D85" i="4"/>
  <c r="D81" i="4"/>
  <c r="D58" i="4"/>
  <c r="D35" i="4"/>
  <c r="D31" i="4"/>
  <c r="D101" i="4"/>
  <c r="D209" i="2"/>
  <c r="D206" i="2"/>
  <c r="D199" i="2"/>
  <c r="D211" i="2" s="1"/>
  <c r="D196" i="2"/>
  <c r="D41" i="4" s="1"/>
  <c r="D194" i="2"/>
  <c r="C193" i="2"/>
  <c r="D184" i="2"/>
  <c r="D182" i="2"/>
  <c r="D180" i="2"/>
  <c r="D9" i="4" s="1"/>
  <c r="D178" i="2"/>
  <c r="D175" i="2"/>
  <c r="D89" i="4" s="1"/>
  <c r="D165" i="2"/>
  <c r="D157" i="2"/>
  <c r="D77" i="4" s="1"/>
  <c r="D154" i="2"/>
  <c r="D170" i="2" s="1"/>
  <c r="D149" i="2"/>
  <c r="D27" i="4" s="1"/>
  <c r="D146" i="2"/>
  <c r="D141" i="2"/>
  <c r="D69" i="4" s="1"/>
  <c r="D23" i="4"/>
  <c r="D137" i="2"/>
  <c r="D127" i="2"/>
  <c r="D21" i="4" s="1"/>
  <c r="D121" i="2"/>
  <c r="D19" i="4" s="1"/>
  <c r="D115" i="2"/>
  <c r="D61" i="4" s="1"/>
  <c r="D113" i="2"/>
  <c r="D105" i="2"/>
  <c r="D89" i="2"/>
  <c r="D83" i="2"/>
  <c r="D11" i="4" s="1"/>
  <c r="D71" i="2"/>
  <c r="D70" i="2"/>
  <c r="D69" i="2"/>
  <c r="D60" i="2"/>
  <c r="D56" i="2"/>
  <c r="D51" i="2"/>
  <c r="D52" i="2" s="1"/>
  <c r="D53" i="2" s="1"/>
  <c r="D80" i="1"/>
  <c r="D52" i="4" s="1"/>
  <c r="D49" i="4"/>
  <c r="D73" i="1"/>
  <c r="D48" i="4" s="1"/>
  <c r="D44" i="1"/>
  <c r="E19" i="1"/>
  <c r="E18" i="1"/>
  <c r="E17" i="1"/>
  <c r="E20" i="1"/>
  <c r="E21" i="1"/>
  <c r="D21" i="1"/>
  <c r="D37" i="4" l="1"/>
  <c r="D186" i="2"/>
  <c r="D188" i="2" s="1"/>
  <c r="D93" i="2"/>
  <c r="D92" i="2"/>
  <c r="D94" i="2"/>
  <c r="D95" i="2"/>
  <c r="D91" i="2"/>
  <c r="D90" i="2"/>
  <c r="C28" i="8"/>
  <c r="D138" i="2" s="1"/>
  <c r="D139" i="2"/>
  <c r="D65" i="4"/>
  <c r="D147" i="2"/>
  <c r="D73" i="4"/>
  <c r="D77" i="2"/>
  <c r="D36" i="6"/>
  <c r="D54" i="2"/>
  <c r="D109" i="4"/>
  <c r="D207" i="2"/>
  <c r="D200" i="2"/>
  <c r="D197" i="2"/>
  <c r="D39" i="4"/>
  <c r="D6" i="4"/>
  <c r="D116" i="2"/>
  <c r="D171" i="2"/>
  <c r="D25" i="4"/>
  <c r="D163" i="2"/>
  <c r="D13" i="4"/>
  <c r="D17" i="4"/>
  <c r="D104" i="4"/>
  <c r="D5" i="6"/>
  <c r="D81" i="2" s="1"/>
  <c r="D99" i="2" l="1"/>
  <c r="D119" i="2"/>
  <c r="F120" i="2" s="1"/>
  <c r="D137" i="6"/>
  <c r="D127" i="6"/>
  <c r="D39" i="6" s="1"/>
  <c r="D40" i="6" s="1"/>
  <c r="D117" i="6"/>
  <c r="D60" i="6" s="1"/>
  <c r="D61" i="6" s="1"/>
  <c r="D107" i="6"/>
  <c r="D97" i="6"/>
  <c r="D15" i="6" s="1"/>
  <c r="D22" i="6"/>
  <c r="D107" i="4"/>
  <c r="D169" i="2"/>
  <c r="D96" i="2"/>
  <c r="D72" i="2"/>
  <c r="D73" i="2" s="1"/>
  <c r="D17" i="6" l="1"/>
  <c r="D10" i="6"/>
  <c r="D11" i="6" s="1"/>
  <c r="D53" i="6"/>
  <c r="D54" i="6" s="1"/>
  <c r="D68" i="6"/>
  <c r="D69" i="6" s="1"/>
  <c r="D28" i="6"/>
  <c r="D124" i="2"/>
  <c r="D160" i="2"/>
  <c r="E13" i="5" l="1"/>
  <c r="E8" i="5"/>
  <c r="E9" i="5"/>
  <c r="D55" i="6"/>
  <c r="D161" i="2" s="1"/>
  <c r="D12" i="6"/>
  <c r="D65" i="6"/>
  <c r="D173" i="2" s="1"/>
  <c r="D70" i="6"/>
  <c r="D73" i="6" s="1"/>
  <c r="D125" i="2"/>
  <c r="F126" i="2" s="1"/>
  <c r="D29" i="6"/>
  <c r="D30" i="6" s="1"/>
  <c r="D35" i="6" s="1"/>
  <c r="D41" i="6"/>
  <c r="D49" i="6" s="1"/>
  <c r="D34" i="6" l="1"/>
  <c r="D46" i="6"/>
  <c r="D42" i="6"/>
  <c r="D43" i="6" s="1"/>
  <c r="D16" i="6"/>
  <c r="D26" i="6"/>
  <c r="D189" i="2"/>
  <c r="F190" i="2" s="1"/>
  <c r="D62" i="6"/>
  <c r="D20" i="6" l="1"/>
  <c r="D106" i="2"/>
  <c r="D107" i="2" s="1"/>
  <c r="D7" i="4" s="1"/>
  <c r="D21" i="6"/>
  <c r="D27" i="6"/>
  <c r="D33" i="6" s="1"/>
  <c r="D110" i="2" s="1"/>
  <c r="D23" i="6" l="1"/>
  <c r="D103" i="2" s="1"/>
  <c r="D130" i="2" l="1"/>
  <c r="F131" i="2" s="1"/>
  <c r="D131" i="2" l="1"/>
  <c r="C17" i="8" s="1"/>
  <c r="C25" i="8" l="1"/>
  <c r="D135" i="2" s="1"/>
  <c r="C23" i="8"/>
  <c r="D132" i="2" s="1"/>
  <c r="C22" i="8"/>
</calcChain>
</file>

<file path=xl/sharedStrings.xml><?xml version="1.0" encoding="utf-8"?>
<sst xmlns="http://schemas.openxmlformats.org/spreadsheetml/2006/main" count="1766" uniqueCount="1182">
  <si>
    <t>DESIGN REQUIREMENTS</t>
  </si>
  <si>
    <t/>
  </si>
  <si>
    <t>Hz</t>
  </si>
  <si>
    <t>%</t>
    <phoneticPr fontId="32" type="noConversion"/>
  </si>
  <si>
    <t>OUTPUT SPECIFICATIONS</t>
  </si>
  <si>
    <t>A</t>
  </si>
  <si>
    <t>V</t>
  </si>
  <si>
    <t>W</t>
    <phoneticPr fontId="32" type="noConversion"/>
  </si>
  <si>
    <t>kHz</t>
    <phoneticPr fontId="32" type="noConversion"/>
  </si>
  <si>
    <t>For loop compensation</t>
    <phoneticPr fontId="32" type="noConversion"/>
  </si>
  <si>
    <t>Ω</t>
  </si>
  <si>
    <t>µH</t>
    <phoneticPr fontId="32" type="noConversion"/>
  </si>
  <si>
    <t>V</t>
    <phoneticPr fontId="32" type="noConversion"/>
  </si>
  <si>
    <t>pF</t>
    <phoneticPr fontId="32" type="noConversion"/>
  </si>
  <si>
    <t>A</t>
    <phoneticPr fontId="32" type="noConversion"/>
  </si>
  <si>
    <t>V</t>
    <phoneticPr fontId="32" type="noConversion"/>
  </si>
  <si>
    <t>A</t>
    <phoneticPr fontId="32" type="noConversion"/>
  </si>
  <si>
    <t>Optocoupler</t>
    <phoneticPr fontId="32" type="noConversion"/>
  </si>
  <si>
    <t>V</t>
    <phoneticPr fontId="32" type="noConversion"/>
  </si>
  <si>
    <t>nH</t>
    <phoneticPr fontId="32" type="noConversion"/>
  </si>
  <si>
    <t>µH</t>
  </si>
  <si>
    <t>pF</t>
    <phoneticPr fontId="32" type="noConversion"/>
  </si>
  <si>
    <t>A</t>
    <phoneticPr fontId="32" type="noConversion"/>
  </si>
  <si>
    <t>Hz</t>
    <phoneticPr fontId="32" type="noConversion"/>
  </si>
  <si>
    <t>µF</t>
    <phoneticPr fontId="32" type="noConversion"/>
  </si>
  <si>
    <t>µs</t>
    <phoneticPr fontId="32" type="noConversion"/>
  </si>
  <si>
    <t>µF</t>
    <phoneticPr fontId="32" type="noConversion"/>
  </si>
  <si>
    <t>pF</t>
    <phoneticPr fontId="32" type="noConversion"/>
  </si>
  <si>
    <t>Resistor Divider of VS Pin</t>
    <phoneticPr fontId="32" type="noConversion"/>
  </si>
  <si>
    <r>
      <t>R</t>
    </r>
    <r>
      <rPr>
        <vertAlign val="subscript"/>
        <sz val="11"/>
        <color theme="1"/>
        <rFont val="Arial"/>
        <family val="2"/>
      </rPr>
      <t>VS1_rec</t>
    </r>
    <r>
      <rPr>
        <sz val="11"/>
        <color theme="1"/>
        <rFont val="Arial"/>
        <family val="2"/>
      </rPr>
      <t xml:space="preserve"> =</t>
    </r>
    <phoneticPr fontId="32" type="noConversion"/>
  </si>
  <si>
    <r>
      <t>R</t>
    </r>
    <r>
      <rPr>
        <vertAlign val="subscript"/>
        <sz val="11"/>
        <color theme="1"/>
        <rFont val="Arial"/>
        <family val="2"/>
      </rPr>
      <t>VS1_act</t>
    </r>
    <r>
      <rPr>
        <sz val="11"/>
        <color theme="1"/>
        <rFont val="Arial"/>
        <family val="2"/>
      </rPr>
      <t xml:space="preserve"> =</t>
    </r>
    <phoneticPr fontId="32" type="noConversion"/>
  </si>
  <si>
    <t>Ω</t>
    <phoneticPr fontId="32" type="noConversion"/>
  </si>
  <si>
    <r>
      <t>R</t>
    </r>
    <r>
      <rPr>
        <vertAlign val="subscript"/>
        <sz val="11"/>
        <color theme="1"/>
        <rFont val="Arial"/>
        <family val="2"/>
      </rPr>
      <t>VS2_act</t>
    </r>
    <r>
      <rPr>
        <sz val="11"/>
        <color theme="1"/>
        <rFont val="Arial"/>
        <family val="2"/>
      </rPr>
      <t xml:space="preserve"> =</t>
    </r>
    <phoneticPr fontId="32" type="noConversion"/>
  </si>
  <si>
    <r>
      <t>R</t>
    </r>
    <r>
      <rPr>
        <vertAlign val="subscript"/>
        <sz val="11"/>
        <color theme="1"/>
        <rFont val="Arial"/>
        <family val="2"/>
      </rPr>
      <t>VS2</t>
    </r>
    <r>
      <rPr>
        <sz val="11"/>
        <color theme="1"/>
        <rFont val="Arial"/>
        <family val="2"/>
      </rPr>
      <t xml:space="preserve"> =</t>
    </r>
    <phoneticPr fontId="32" type="noConversion"/>
  </si>
  <si>
    <r>
      <t>Current Sense Resistor, R</t>
    </r>
    <r>
      <rPr>
        <b/>
        <i/>
        <vertAlign val="subscript"/>
        <sz val="12"/>
        <color theme="0"/>
        <rFont val="Arial"/>
        <family val="2"/>
      </rPr>
      <t>CS</t>
    </r>
    <phoneticPr fontId="32" type="noConversion"/>
  </si>
  <si>
    <t>ns</t>
    <phoneticPr fontId="32" type="noConversion"/>
  </si>
  <si>
    <t>ns</t>
    <phoneticPr fontId="32" type="noConversion"/>
  </si>
  <si>
    <t>pF</t>
    <phoneticPr fontId="32" type="noConversion"/>
  </si>
  <si>
    <t>V</t>
    <phoneticPr fontId="32" type="noConversion"/>
  </si>
  <si>
    <t>ns</t>
    <phoneticPr fontId="32" type="noConversion"/>
  </si>
  <si>
    <t>OPP Programming Resistor</t>
    <phoneticPr fontId="32" type="noConversion"/>
  </si>
  <si>
    <t>mA</t>
    <phoneticPr fontId="32" type="noConversion"/>
  </si>
  <si>
    <r>
      <t>R</t>
    </r>
    <r>
      <rPr>
        <vertAlign val="subscript"/>
        <sz val="11"/>
        <color theme="1"/>
        <rFont val="Arial"/>
        <family val="2"/>
      </rPr>
      <t>_OPP_act</t>
    </r>
    <r>
      <rPr>
        <sz val="11"/>
        <color theme="1"/>
        <rFont val="Arial"/>
        <family val="2"/>
      </rPr>
      <t xml:space="preserve"> =</t>
    </r>
    <phoneticPr fontId="32" type="noConversion"/>
  </si>
  <si>
    <r>
      <t>C</t>
    </r>
    <r>
      <rPr>
        <vertAlign val="subscript"/>
        <sz val="11"/>
        <color theme="1"/>
        <rFont val="Arial"/>
        <family val="2"/>
      </rPr>
      <t xml:space="preserve">CS_act </t>
    </r>
    <r>
      <rPr>
        <sz val="11"/>
        <color theme="1"/>
        <rFont val="Arial"/>
        <family val="2"/>
      </rPr>
      <t>=</t>
    </r>
    <phoneticPr fontId="32" type="noConversion"/>
  </si>
  <si>
    <t>RDM Pin Setting</t>
    <phoneticPr fontId="32" type="noConversion"/>
  </si>
  <si>
    <t>RTZ Pin Setting</t>
    <phoneticPr fontId="32" type="noConversion"/>
  </si>
  <si>
    <t>Clamp Capacitance</t>
    <phoneticPr fontId="32" type="noConversion"/>
  </si>
  <si>
    <t>ns</t>
    <phoneticPr fontId="32" type="noConversion"/>
  </si>
  <si>
    <t>BUR Pin Setting</t>
    <phoneticPr fontId="32" type="noConversion"/>
  </si>
  <si>
    <t>V</t>
    <phoneticPr fontId="32" type="noConversion"/>
  </si>
  <si>
    <t>Damping Network for Depletion FET</t>
    <phoneticPr fontId="32" type="noConversion"/>
  </si>
  <si>
    <t>pF</t>
    <phoneticPr fontId="32" type="noConversion"/>
  </si>
  <si>
    <t>Decoupling Cap of Internal Regulator</t>
    <phoneticPr fontId="32" type="noConversion"/>
  </si>
  <si>
    <t>nF</t>
    <phoneticPr fontId="32" type="noConversion"/>
  </si>
  <si>
    <t>µF</t>
  </si>
  <si>
    <t>VDD Supply for Driver</t>
    <phoneticPr fontId="32" type="noConversion"/>
  </si>
  <si>
    <t>AUX Power on Primary Side</t>
    <phoneticPr fontId="32" type="noConversion"/>
  </si>
  <si>
    <t>ms</t>
    <phoneticPr fontId="32" type="noConversion"/>
  </si>
  <si>
    <t>mA</t>
    <phoneticPr fontId="32" type="noConversion"/>
  </si>
  <si>
    <t>mA</t>
    <phoneticPr fontId="32" type="noConversion"/>
  </si>
  <si>
    <t>Optocoupler Feedback</t>
    <phoneticPr fontId="32" type="noConversion"/>
  </si>
  <si>
    <t>Ω</t>
    <phoneticPr fontId="32" type="noConversion"/>
  </si>
  <si>
    <t>nC</t>
    <phoneticPr fontId="32" type="noConversion"/>
  </si>
  <si>
    <t>V</t>
    <phoneticPr fontId="32" type="noConversion"/>
  </si>
  <si>
    <t>nA</t>
    <phoneticPr fontId="32" type="noConversion"/>
  </si>
  <si>
    <t>kΩ</t>
    <phoneticPr fontId="32" type="noConversion"/>
  </si>
  <si>
    <t>nF</t>
    <phoneticPr fontId="32" type="noConversion"/>
  </si>
  <si>
    <t>nF</t>
    <phoneticPr fontId="32" type="noConversion"/>
  </si>
  <si>
    <t>kΩ</t>
    <phoneticPr fontId="32" type="noConversion"/>
  </si>
  <si>
    <r>
      <t>Switching Node Capacitance, C</t>
    </r>
    <r>
      <rPr>
        <b/>
        <i/>
        <vertAlign val="subscript"/>
        <sz val="12"/>
        <color theme="0"/>
        <rFont val="Arial"/>
        <family val="2"/>
      </rPr>
      <t>SW</t>
    </r>
    <phoneticPr fontId="32" type="noConversion"/>
  </si>
  <si>
    <t>Reference Designator</t>
  </si>
  <si>
    <t>Description/Comments</t>
  </si>
  <si>
    <r>
      <t>R</t>
    </r>
    <r>
      <rPr>
        <b/>
        <vertAlign val="subscript"/>
        <sz val="12"/>
        <color rgb="FFFF0000"/>
        <rFont val="Arial"/>
        <family val="2"/>
      </rPr>
      <t>CS</t>
    </r>
  </si>
  <si>
    <t>Value:</t>
  </si>
  <si>
    <t>±1%</t>
  </si>
  <si>
    <t>Type:</t>
  </si>
  <si>
    <t>kΩ</t>
  </si>
  <si>
    <r>
      <t>R</t>
    </r>
    <r>
      <rPr>
        <b/>
        <vertAlign val="subscript"/>
        <sz val="12"/>
        <color rgb="FFFF0000"/>
        <rFont val="Arial"/>
        <family val="2"/>
      </rPr>
      <t>FB</t>
    </r>
    <phoneticPr fontId="32" type="noConversion"/>
  </si>
  <si>
    <r>
      <t>M</t>
    </r>
    <r>
      <rPr>
        <sz val="12"/>
        <color theme="1"/>
        <rFont val="Calibri"/>
        <family val="2"/>
      </rPr>
      <t>Ω</t>
    </r>
    <phoneticPr fontId="32" type="noConversion"/>
  </si>
  <si>
    <r>
      <t>R</t>
    </r>
    <r>
      <rPr>
        <b/>
        <vertAlign val="subscript"/>
        <sz val="12"/>
        <color rgb="FFFF0000"/>
        <rFont val="Arial"/>
        <family val="2"/>
      </rPr>
      <t>VS1</t>
    </r>
    <phoneticPr fontId="32" type="noConversion"/>
  </si>
  <si>
    <r>
      <t>R</t>
    </r>
    <r>
      <rPr>
        <b/>
        <vertAlign val="subscript"/>
        <sz val="12"/>
        <color rgb="FFFF0000"/>
        <rFont val="Arial"/>
        <family val="2"/>
      </rPr>
      <t>VS2</t>
    </r>
    <phoneticPr fontId="32" type="noConversion"/>
  </si>
  <si>
    <r>
      <t>R</t>
    </r>
    <r>
      <rPr>
        <b/>
        <vertAlign val="subscript"/>
        <sz val="12"/>
        <color rgb="FFFF0000"/>
        <rFont val="Arial"/>
        <family val="2"/>
      </rPr>
      <t>OPP</t>
    </r>
    <phoneticPr fontId="32" type="noConversion"/>
  </si>
  <si>
    <r>
      <t>R</t>
    </r>
    <r>
      <rPr>
        <b/>
        <vertAlign val="subscript"/>
        <sz val="12"/>
        <color rgb="FFFF0000"/>
        <rFont val="Arial"/>
        <family val="2"/>
      </rPr>
      <t>BUR1</t>
    </r>
    <phoneticPr fontId="32" type="noConversion"/>
  </si>
  <si>
    <r>
      <t>R</t>
    </r>
    <r>
      <rPr>
        <b/>
        <vertAlign val="subscript"/>
        <sz val="12"/>
        <color rgb="FFFF0000"/>
        <rFont val="Arial"/>
        <family val="2"/>
      </rPr>
      <t>BUR2</t>
    </r>
    <phoneticPr fontId="32" type="noConversion"/>
  </si>
  <si>
    <r>
      <t>R</t>
    </r>
    <r>
      <rPr>
        <b/>
        <vertAlign val="subscript"/>
        <sz val="12"/>
        <color rgb="FFFF0000"/>
        <rFont val="Arial"/>
        <family val="2"/>
      </rPr>
      <t>SWS</t>
    </r>
    <phoneticPr fontId="32" type="noConversion"/>
  </si>
  <si>
    <r>
      <t>R</t>
    </r>
    <r>
      <rPr>
        <b/>
        <vertAlign val="subscript"/>
        <sz val="12"/>
        <color rgb="FFFF0000"/>
        <rFont val="Arial"/>
        <family val="2"/>
      </rPr>
      <t>Vo1</t>
    </r>
    <phoneticPr fontId="32" type="noConversion"/>
  </si>
  <si>
    <r>
      <t>R</t>
    </r>
    <r>
      <rPr>
        <b/>
        <vertAlign val="subscript"/>
        <sz val="12"/>
        <color rgb="FFFF0000"/>
        <rFont val="Arial"/>
        <family val="2"/>
      </rPr>
      <t>Vo2</t>
    </r>
    <phoneticPr fontId="32" type="noConversion"/>
  </si>
  <si>
    <t>Aluminum Electrolytic</t>
  </si>
  <si>
    <t>Minimum Voltage Rating:</t>
  </si>
  <si>
    <r>
      <t>C</t>
    </r>
    <r>
      <rPr>
        <b/>
        <vertAlign val="subscript"/>
        <sz val="12"/>
        <color rgb="FFFF0000"/>
        <rFont val="Arial"/>
        <family val="2"/>
      </rPr>
      <t>BULK</t>
    </r>
    <phoneticPr fontId="32" type="noConversion"/>
  </si>
  <si>
    <t>Ceramic</t>
    <phoneticPr fontId="32" type="noConversion"/>
  </si>
  <si>
    <r>
      <t>C</t>
    </r>
    <r>
      <rPr>
        <b/>
        <vertAlign val="subscript"/>
        <sz val="12"/>
        <color rgb="FFFF0000"/>
        <rFont val="Arial"/>
        <family val="2"/>
      </rPr>
      <t>CS</t>
    </r>
    <phoneticPr fontId="32" type="noConversion"/>
  </si>
  <si>
    <t>pF</t>
    <phoneticPr fontId="32" type="noConversion"/>
  </si>
  <si>
    <r>
      <t>C</t>
    </r>
    <r>
      <rPr>
        <b/>
        <vertAlign val="subscript"/>
        <sz val="12"/>
        <color rgb="FFFF0000"/>
        <rFont val="Arial"/>
        <family val="2"/>
      </rPr>
      <t>SWS</t>
    </r>
    <phoneticPr fontId="32" type="noConversion"/>
  </si>
  <si>
    <r>
      <t>C</t>
    </r>
    <r>
      <rPr>
        <b/>
        <vertAlign val="subscript"/>
        <sz val="12"/>
        <color rgb="FFFF0000"/>
        <rFont val="Arial"/>
        <family val="2"/>
      </rPr>
      <t>REF</t>
    </r>
    <phoneticPr fontId="32" type="noConversion"/>
  </si>
  <si>
    <r>
      <t>C</t>
    </r>
    <r>
      <rPr>
        <b/>
        <vertAlign val="subscript"/>
        <sz val="12"/>
        <color rgb="FFFF0000"/>
        <rFont val="Arial"/>
        <family val="2"/>
      </rPr>
      <t>DD2</t>
    </r>
    <phoneticPr fontId="32" type="noConversion"/>
  </si>
  <si>
    <r>
      <t>C</t>
    </r>
    <r>
      <rPr>
        <b/>
        <vertAlign val="subscript"/>
        <sz val="12"/>
        <color rgb="FFFF0000"/>
        <rFont val="Arial"/>
        <family val="2"/>
      </rPr>
      <t>DD1</t>
    </r>
    <phoneticPr fontId="32" type="noConversion"/>
  </si>
  <si>
    <t>Primary Inductance:</t>
  </si>
  <si>
    <t>TI Literature Number:</t>
    <phoneticPr fontId="32" type="noConversion"/>
  </si>
  <si>
    <t>kΩ</t>
    <phoneticPr fontId="32" type="noConversion"/>
  </si>
  <si>
    <t>pF</t>
    <phoneticPr fontId="32" type="noConversion"/>
  </si>
  <si>
    <t>pF</t>
    <phoneticPr fontId="32" type="noConversion"/>
  </si>
  <si>
    <r>
      <t>C</t>
    </r>
    <r>
      <rPr>
        <b/>
        <vertAlign val="subscript"/>
        <sz val="12"/>
        <color rgb="FFFF0000"/>
        <rFont val="Arial"/>
        <family val="2"/>
      </rPr>
      <t>BUR</t>
    </r>
    <phoneticPr fontId="32" type="noConversion"/>
  </si>
  <si>
    <t>Disclaimer</t>
    <phoneticPr fontId="32" type="noConversion"/>
  </si>
  <si>
    <t>pF</t>
    <phoneticPr fontId="32" type="noConversion"/>
  </si>
  <si>
    <t>Hz</t>
    <phoneticPr fontId="32" type="noConversion"/>
  </si>
  <si>
    <t>A</t>
    <phoneticPr fontId="32" type="noConversion"/>
  </si>
  <si>
    <t>pF</t>
    <phoneticPr fontId="32" type="noConversion"/>
  </si>
  <si>
    <r>
      <t>C</t>
    </r>
    <r>
      <rPr>
        <vertAlign val="subscript"/>
        <sz val="11"/>
        <color theme="1"/>
        <rFont val="Arial"/>
        <family val="2"/>
      </rPr>
      <t xml:space="preserve">CS_max </t>
    </r>
    <r>
      <rPr>
        <sz val="11"/>
        <color theme="1"/>
        <rFont val="Arial"/>
        <family val="2"/>
      </rPr>
      <t>=</t>
    </r>
    <phoneticPr fontId="32" type="noConversion"/>
  </si>
  <si>
    <t>µF</t>
    <phoneticPr fontId="32" type="noConversion"/>
  </si>
  <si>
    <r>
      <t>R</t>
    </r>
    <r>
      <rPr>
        <vertAlign val="subscript"/>
        <sz val="11"/>
        <color theme="1"/>
        <rFont val="Arial"/>
        <family val="2"/>
      </rPr>
      <t>_OPP</t>
    </r>
    <r>
      <rPr>
        <sz val="11"/>
        <color theme="1"/>
        <rFont val="Arial"/>
        <family val="2"/>
      </rPr>
      <t xml:space="preserve"> =</t>
    </r>
    <phoneticPr fontId="32" type="noConversion"/>
  </si>
  <si>
    <t>ns</t>
    <phoneticPr fontId="32" type="noConversion"/>
  </si>
  <si>
    <r>
      <t>C</t>
    </r>
    <r>
      <rPr>
        <b/>
        <vertAlign val="subscript"/>
        <sz val="12"/>
        <color rgb="FFFF0000"/>
        <rFont val="Arial"/>
        <family val="2"/>
      </rPr>
      <t>FB</t>
    </r>
    <phoneticPr fontId="32" type="noConversion"/>
  </si>
  <si>
    <t>%</t>
    <phoneticPr fontId="32" type="noConversion"/>
  </si>
  <si>
    <t>µH</t>
    <phoneticPr fontId="32" type="noConversion"/>
  </si>
  <si>
    <t>AC</t>
    <phoneticPr fontId="32" type="noConversion"/>
  </si>
  <si>
    <t>V</t>
    <phoneticPr fontId="32" type="noConversion"/>
  </si>
  <si>
    <t>Offset to Power Cycle for Long Output Voltage Overshoot</t>
    <phoneticPr fontId="32" type="noConversion"/>
  </si>
  <si>
    <t>Primary Turns</t>
    <phoneticPr fontId="32" type="noConversion"/>
  </si>
  <si>
    <t>Magnetizing Inductance Used in Calculations</t>
    <phoneticPr fontId="32" type="noConversion"/>
  </si>
  <si>
    <t>Transformer Parasitic Capacitance</t>
    <phoneticPr fontId="32" type="noConversion"/>
  </si>
  <si>
    <t>Depletion FET Output Capacitance</t>
    <phoneticPr fontId="32" type="noConversion"/>
  </si>
  <si>
    <r>
      <rPr>
        <b/>
        <sz val="11"/>
        <color theme="1"/>
        <rFont val="Arial"/>
        <family val="2"/>
      </rPr>
      <t xml:space="preserve">Actual </t>
    </r>
    <r>
      <rPr>
        <sz val="11"/>
        <color theme="1"/>
        <rFont val="Arial"/>
        <family val="2"/>
      </rPr>
      <t>R</t>
    </r>
    <r>
      <rPr>
        <vertAlign val="subscript"/>
        <sz val="11"/>
        <color theme="1"/>
        <rFont val="Arial"/>
        <family val="2"/>
      </rPr>
      <t>VS1</t>
    </r>
    <phoneticPr fontId="32" type="noConversion"/>
  </si>
  <si>
    <r>
      <rPr>
        <b/>
        <sz val="11"/>
        <color theme="1"/>
        <rFont val="Arial"/>
        <family val="2"/>
      </rPr>
      <t>Actual</t>
    </r>
    <r>
      <rPr>
        <sz val="11"/>
        <color theme="1"/>
        <rFont val="Arial"/>
        <family val="2"/>
      </rPr>
      <t xml:space="preserve"> R</t>
    </r>
    <r>
      <rPr>
        <vertAlign val="subscript"/>
        <sz val="11"/>
        <color theme="1"/>
        <rFont val="Arial"/>
        <family val="2"/>
      </rPr>
      <t>VS2</t>
    </r>
    <r>
      <rPr>
        <sz val="11"/>
        <color theme="1"/>
        <rFont val="Arial"/>
        <family val="2"/>
      </rPr>
      <t/>
    </r>
    <phoneticPr fontId="32" type="noConversion"/>
  </si>
  <si>
    <r>
      <rPr>
        <b/>
        <sz val="11"/>
        <color theme="1"/>
        <rFont val="Arial"/>
        <family val="2"/>
      </rPr>
      <t>Actual</t>
    </r>
    <r>
      <rPr>
        <sz val="11"/>
        <color theme="1"/>
        <rFont val="Arial"/>
        <family val="2"/>
      </rPr>
      <t xml:space="preserve"> OPP Resistor</t>
    </r>
    <phoneticPr fontId="32" type="noConversion"/>
  </si>
  <si>
    <t>OPP Resistor Used in Calculations</t>
    <phoneticPr fontId="32" type="noConversion"/>
  </si>
  <si>
    <t>Transition Time for ZVS</t>
    <phoneticPr fontId="32" type="noConversion"/>
  </si>
  <si>
    <t>RTZ Resistor Used in Calculations</t>
    <phoneticPr fontId="32" type="noConversion"/>
  </si>
  <si>
    <t>Capacitance Used in Calculations</t>
    <phoneticPr fontId="32" type="noConversion"/>
  </si>
  <si>
    <t>Resistor Used in Calculations</t>
    <phoneticPr fontId="32" type="noConversion"/>
  </si>
  <si>
    <t>Typical Output Voltage</t>
    <phoneticPr fontId="32" type="noConversion"/>
  </si>
  <si>
    <t>%</t>
    <phoneticPr fontId="32" type="noConversion"/>
  </si>
  <si>
    <r>
      <t>C</t>
    </r>
    <r>
      <rPr>
        <vertAlign val="subscript"/>
        <sz val="11"/>
        <color theme="1"/>
        <rFont val="Arial"/>
        <family val="2"/>
      </rPr>
      <t xml:space="preserve">CS </t>
    </r>
    <r>
      <rPr>
        <sz val="11"/>
        <color theme="1"/>
        <rFont val="Arial"/>
        <family val="2"/>
      </rPr>
      <t>=</t>
    </r>
    <phoneticPr fontId="32" type="noConversion"/>
  </si>
  <si>
    <t>pF</t>
    <phoneticPr fontId="32" type="noConversion"/>
  </si>
  <si>
    <r>
      <t>T</t>
    </r>
    <r>
      <rPr>
        <vertAlign val="subscript"/>
        <sz val="11"/>
        <color theme="1"/>
        <rFont val="Arial"/>
        <family val="2"/>
      </rPr>
      <t>D_CS_filter_act</t>
    </r>
    <r>
      <rPr>
        <sz val="11"/>
        <color theme="1"/>
        <rFont val="Arial"/>
        <family val="2"/>
      </rPr>
      <t xml:space="preserve"> =</t>
    </r>
    <phoneticPr fontId="32" type="noConversion"/>
  </si>
  <si>
    <t>ns</t>
    <phoneticPr fontId="32" type="noConversion"/>
  </si>
  <si>
    <r>
      <t>L</t>
    </r>
    <r>
      <rPr>
        <vertAlign val="subscript"/>
        <sz val="11"/>
        <color theme="1"/>
        <rFont val="Arial"/>
        <family val="2"/>
      </rPr>
      <t>DAMP</t>
    </r>
    <r>
      <rPr>
        <sz val="11"/>
        <color theme="1"/>
        <rFont val="Arial"/>
        <family val="2"/>
      </rPr>
      <t xml:space="preserve"> no smaller than</t>
    </r>
    <phoneticPr fontId="32" type="noConversion"/>
  </si>
  <si>
    <t>V</t>
    <phoneticPr fontId="32" type="noConversion"/>
  </si>
  <si>
    <t>µF</t>
    <phoneticPr fontId="32" type="noConversion"/>
  </si>
  <si>
    <t>Ω</t>
    <phoneticPr fontId="32" type="noConversion"/>
  </si>
  <si>
    <t>%</t>
    <phoneticPr fontId="32" type="noConversion"/>
  </si>
  <si>
    <t>V</t>
    <phoneticPr fontId="32" type="noConversion"/>
  </si>
  <si>
    <t>Minimum Recommended Secondary Turns</t>
    <phoneticPr fontId="32" type="noConversion"/>
  </si>
  <si>
    <t>DC</t>
  </si>
  <si>
    <t>ns</t>
    <phoneticPr fontId="33" type="noConversion"/>
  </si>
  <si>
    <t>ds specs</t>
  </si>
  <si>
    <t>V</t>
    <phoneticPr fontId="33" type="noConversion"/>
  </si>
  <si>
    <t>A/A</t>
  </si>
  <si>
    <t>V/V</t>
  </si>
  <si>
    <t>V</t>
    <phoneticPr fontId="33" type="noConversion"/>
  </si>
  <si>
    <t>mA</t>
    <phoneticPr fontId="33" type="noConversion"/>
  </si>
  <si>
    <t>µs</t>
  </si>
  <si>
    <t>µA</t>
    <phoneticPr fontId="33" type="noConversion"/>
  </si>
  <si>
    <t>mV</t>
    <phoneticPr fontId="33" type="noConversion"/>
  </si>
  <si>
    <t>kHz</t>
    <phoneticPr fontId="33" type="noConversion"/>
  </si>
  <si>
    <t>kHz</t>
    <phoneticPr fontId="33" type="noConversion"/>
  </si>
  <si>
    <t>s</t>
    <phoneticPr fontId="33" type="noConversion"/>
  </si>
  <si>
    <t>ATL431</t>
  </si>
  <si>
    <t>at  80°C ambient</t>
  </si>
  <si>
    <t xml:space="preserve">nA             </t>
  </si>
  <si>
    <t>Input Voltage Type, AC or DC</t>
  </si>
  <si>
    <t>INPUT  SPECIFICATIONS</t>
  </si>
  <si>
    <t>BSS126</t>
  </si>
  <si>
    <t>CSFMT108-HF</t>
  </si>
  <si>
    <t>Voltage at which diode current is negligible</t>
  </si>
  <si>
    <t>µA</t>
  </si>
  <si>
    <t>Loop Stability in AAM</t>
  </si>
  <si>
    <t>kΩ</t>
  </si>
  <si>
    <t>Ω</t>
  </si>
  <si>
    <t>Voltage Above Reflected Output Voltage</t>
  </si>
  <si>
    <r>
      <t>N</t>
    </r>
    <r>
      <rPr>
        <vertAlign val="subscript"/>
        <sz val="12"/>
        <rFont val="Arial"/>
        <family val="2"/>
      </rPr>
      <t>PS_min</t>
    </r>
    <r>
      <rPr>
        <sz val="12"/>
        <rFont val="Arial"/>
        <family val="2"/>
      </rPr>
      <t xml:space="preserve"> =</t>
    </r>
  </si>
  <si>
    <r>
      <t>N</t>
    </r>
    <r>
      <rPr>
        <vertAlign val="subscript"/>
        <sz val="12"/>
        <rFont val="Arial"/>
        <family val="2"/>
      </rPr>
      <t>PS_max</t>
    </r>
    <r>
      <rPr>
        <sz val="12"/>
        <rFont val="Arial"/>
        <family val="2"/>
      </rPr>
      <t xml:space="preserve"> =</t>
    </r>
  </si>
  <si>
    <t xml:space="preserve">kΩ                </t>
  </si>
  <si>
    <r>
      <t>N</t>
    </r>
    <r>
      <rPr>
        <vertAlign val="subscript"/>
        <sz val="11"/>
        <rFont val="Arial"/>
        <family val="2"/>
      </rPr>
      <t xml:space="preserve">PS </t>
    </r>
    <r>
      <rPr>
        <sz val="11"/>
        <rFont val="Arial"/>
        <family val="2"/>
      </rPr>
      <t>=</t>
    </r>
  </si>
  <si>
    <r>
      <t>N</t>
    </r>
    <r>
      <rPr>
        <vertAlign val="subscript"/>
        <sz val="11"/>
        <rFont val="Arial"/>
        <family val="2"/>
      </rPr>
      <t>P</t>
    </r>
    <r>
      <rPr>
        <sz val="11"/>
        <rFont val="Arial"/>
        <family val="2"/>
      </rPr>
      <t xml:space="preserve"> =</t>
    </r>
  </si>
  <si>
    <r>
      <t>N</t>
    </r>
    <r>
      <rPr>
        <vertAlign val="subscript"/>
        <sz val="11"/>
        <rFont val="Arial"/>
        <family val="2"/>
      </rPr>
      <t>S_rec</t>
    </r>
    <r>
      <rPr>
        <sz val="11"/>
        <rFont val="Arial"/>
        <family val="2"/>
      </rPr>
      <t xml:space="preserve"> =</t>
    </r>
  </si>
  <si>
    <r>
      <t>N</t>
    </r>
    <r>
      <rPr>
        <vertAlign val="subscript"/>
        <sz val="11"/>
        <rFont val="Arial"/>
        <family val="2"/>
      </rPr>
      <t>S</t>
    </r>
    <r>
      <rPr>
        <sz val="11"/>
        <rFont val="Arial"/>
        <family val="2"/>
      </rPr>
      <t xml:space="preserve"> =</t>
    </r>
  </si>
  <si>
    <r>
      <t>N</t>
    </r>
    <r>
      <rPr>
        <vertAlign val="subscript"/>
        <sz val="11"/>
        <rFont val="Arial"/>
        <family val="2"/>
      </rPr>
      <t>A_min</t>
    </r>
    <r>
      <rPr>
        <sz val="11"/>
        <rFont val="Arial"/>
        <family val="2"/>
      </rPr>
      <t xml:space="preserve"> =</t>
    </r>
  </si>
  <si>
    <r>
      <t>N</t>
    </r>
    <r>
      <rPr>
        <vertAlign val="subscript"/>
        <sz val="11"/>
        <rFont val="Arial"/>
        <family val="2"/>
      </rPr>
      <t>A_max</t>
    </r>
    <r>
      <rPr>
        <sz val="11"/>
        <rFont val="Arial"/>
        <family val="2"/>
      </rPr>
      <t xml:space="preserve"> =</t>
    </r>
  </si>
  <si>
    <t>Auxiliary Winding Turns Used in Calculations</t>
  </si>
  <si>
    <r>
      <t>N</t>
    </r>
    <r>
      <rPr>
        <vertAlign val="subscript"/>
        <sz val="11"/>
        <rFont val="Arial"/>
        <family val="2"/>
      </rPr>
      <t>A</t>
    </r>
    <r>
      <rPr>
        <sz val="11"/>
        <rFont val="Arial"/>
        <family val="2"/>
      </rPr>
      <t xml:space="preserve"> =</t>
    </r>
  </si>
  <si>
    <r>
      <rPr>
        <b/>
        <sz val="11"/>
        <rFont val="Arial"/>
        <family val="2"/>
      </rPr>
      <t>Actual</t>
    </r>
    <r>
      <rPr>
        <sz val="11"/>
        <rFont val="Arial"/>
        <family val="2"/>
      </rPr>
      <t xml:space="preserve"> Magnetizing Inductance </t>
    </r>
  </si>
  <si>
    <r>
      <t>L</t>
    </r>
    <r>
      <rPr>
        <vertAlign val="subscript"/>
        <sz val="11"/>
        <rFont val="Arial"/>
        <family val="2"/>
      </rPr>
      <t>M</t>
    </r>
    <r>
      <rPr>
        <sz val="11"/>
        <rFont val="Arial"/>
        <family val="2"/>
      </rPr>
      <t xml:space="preserve"> =</t>
    </r>
  </si>
  <si>
    <r>
      <t>C</t>
    </r>
    <r>
      <rPr>
        <vertAlign val="subscript"/>
        <sz val="11"/>
        <rFont val="Arial"/>
        <family val="2"/>
      </rPr>
      <t>Tr</t>
    </r>
    <r>
      <rPr>
        <sz val="11"/>
        <rFont val="Arial"/>
        <family val="2"/>
      </rPr>
      <t xml:space="preserve"> =</t>
    </r>
  </si>
  <si>
    <r>
      <t>R</t>
    </r>
    <r>
      <rPr>
        <vertAlign val="subscript"/>
        <sz val="11"/>
        <rFont val="Arial"/>
        <family val="2"/>
      </rPr>
      <t>pri_dc</t>
    </r>
    <r>
      <rPr>
        <sz val="11"/>
        <rFont val="Arial"/>
        <family val="2"/>
      </rPr>
      <t xml:space="preserve"> =</t>
    </r>
  </si>
  <si>
    <r>
      <t>N</t>
    </r>
    <r>
      <rPr>
        <vertAlign val="subscript"/>
        <sz val="12"/>
        <rFont val="Arial"/>
        <family val="2"/>
      </rPr>
      <t>PS</t>
    </r>
    <r>
      <rPr>
        <sz val="12"/>
        <color theme="1"/>
        <rFont val="Arial"/>
        <family val="2"/>
      </rPr>
      <t/>
    </r>
  </si>
  <si>
    <r>
      <t>N</t>
    </r>
    <r>
      <rPr>
        <vertAlign val="subscript"/>
        <sz val="12"/>
        <rFont val="Arial"/>
        <family val="2"/>
      </rPr>
      <t>P</t>
    </r>
  </si>
  <si>
    <r>
      <t>N</t>
    </r>
    <r>
      <rPr>
        <vertAlign val="subscript"/>
        <sz val="12"/>
        <rFont val="Arial"/>
        <family val="2"/>
      </rPr>
      <t>S</t>
    </r>
  </si>
  <si>
    <r>
      <t>N</t>
    </r>
    <r>
      <rPr>
        <vertAlign val="subscript"/>
        <sz val="12"/>
        <rFont val="Arial"/>
        <family val="2"/>
      </rPr>
      <t>A</t>
    </r>
  </si>
  <si>
    <r>
      <t>Minimum L</t>
    </r>
    <r>
      <rPr>
        <vertAlign val="subscript"/>
        <sz val="11"/>
        <rFont val="Arial"/>
        <family val="2"/>
      </rPr>
      <t>DAMP</t>
    </r>
  </si>
  <si>
    <r>
      <t>L</t>
    </r>
    <r>
      <rPr>
        <vertAlign val="subscript"/>
        <sz val="11"/>
        <rFont val="Arial"/>
        <family val="2"/>
      </rPr>
      <t>DAMP</t>
    </r>
    <r>
      <rPr>
        <sz val="11"/>
        <rFont val="Arial"/>
        <family val="2"/>
      </rPr>
      <t xml:space="preserve"> Used in Calculations</t>
    </r>
  </si>
  <si>
    <r>
      <t>Minimum R</t>
    </r>
    <r>
      <rPr>
        <vertAlign val="subscript"/>
        <sz val="11"/>
        <rFont val="Arial"/>
        <family val="2"/>
      </rPr>
      <t>DAMP</t>
    </r>
  </si>
  <si>
    <r>
      <t>R</t>
    </r>
    <r>
      <rPr>
        <vertAlign val="subscript"/>
        <sz val="11"/>
        <rFont val="Arial"/>
        <family val="2"/>
      </rPr>
      <t>DAMP</t>
    </r>
    <r>
      <rPr>
        <sz val="11"/>
        <rFont val="Arial"/>
        <family val="2"/>
      </rPr>
      <t xml:space="preserve"> Used in Calculations</t>
    </r>
  </si>
  <si>
    <t xml:space="preserve">Ω            </t>
  </si>
  <si>
    <t>RDM Pin Coefficient</t>
  </si>
  <si>
    <t>MΩ</t>
  </si>
  <si>
    <t>Values</t>
  </si>
  <si>
    <t xml:space="preserve">Units </t>
  </si>
  <si>
    <t>This product is designed as an aid for customers of Texas Instruments.  No warranties, either expressed or implied, with respect to this software or its fitness for any particular purpose, are claimed by Texas Instruments or by the author.  The software is licensed solely on an "as is" basis.  The entire risk as to its quality and performance is with the customer.</t>
  </si>
  <si>
    <r>
      <t xml:space="preserve">All </t>
    </r>
    <r>
      <rPr>
        <b/>
        <sz val="14"/>
        <color theme="6" tint="-0.249977111117893"/>
        <rFont val="Arial"/>
        <family val="2"/>
      </rPr>
      <t>Green-Shaded</t>
    </r>
    <r>
      <rPr>
        <b/>
        <sz val="14"/>
        <color theme="1"/>
        <rFont val="Arial"/>
        <family val="2"/>
      </rPr>
      <t xml:space="preserve"> cells are USER INPUTS.</t>
    </r>
  </si>
  <si>
    <t>Target efficiency at maximum load, minimum line</t>
  </si>
  <si>
    <t>Power-level threshold to start OPP timer</t>
  </si>
  <si>
    <t>No-load frequency</t>
  </si>
  <si>
    <t>Input Cap and Output Cap Selection</t>
  </si>
  <si>
    <t>Typical VDD Turn-off Threshold</t>
  </si>
  <si>
    <t>VS Pin Over-Voltage Threshold</t>
  </si>
  <si>
    <t>VS Pin Negative-Clamp Level</t>
  </si>
  <si>
    <t>Line-Compensation Current Ratio</t>
  </si>
  <si>
    <t>Fault-Delay-Recovery Time</t>
  </si>
  <si>
    <t>Typical VDD Turn-on Threshold</t>
  </si>
  <si>
    <t>Transformer Parameters</t>
  </si>
  <si>
    <t>Minimum Primary-to-Secondary Turns Ratio</t>
  </si>
  <si>
    <t xml:space="preserve">Maximum Primary-to-Secondary Turns Ratio </t>
  </si>
  <si>
    <t>Primary-to-Secondary Turns Ratio Used in Calculations</t>
  </si>
  <si>
    <r>
      <rPr>
        <b/>
        <sz val="11"/>
        <rFont val="Arial"/>
        <family val="2"/>
      </rPr>
      <t>Minimum</t>
    </r>
    <r>
      <rPr>
        <sz val="11"/>
        <rFont val="Arial"/>
        <family val="2"/>
      </rPr>
      <t xml:space="preserve"> Auxiliary-Winding Turns</t>
    </r>
  </si>
  <si>
    <r>
      <rPr>
        <b/>
        <sz val="11"/>
        <rFont val="Arial"/>
        <family val="2"/>
      </rPr>
      <t>Maximum</t>
    </r>
    <r>
      <rPr>
        <sz val="11"/>
        <rFont val="Arial"/>
        <family val="2"/>
      </rPr>
      <t xml:space="preserve"> Auxiliary-Winding Turns</t>
    </r>
  </si>
  <si>
    <t>Maximum Duty-Cycle</t>
  </si>
  <si>
    <t>Time-Based Output Capacitance of QH</t>
  </si>
  <si>
    <t>Time-Based Output Capacitance of QL</t>
  </si>
  <si>
    <t>Ripple-Regulation in ABM</t>
  </si>
  <si>
    <t>Frequency Compensation Networks</t>
  </si>
  <si>
    <t>Voltage-Divider for Shunt Regulator</t>
  </si>
  <si>
    <t>ns</t>
  </si>
  <si>
    <t>Maximum Control FB Current (typ)</t>
  </si>
  <si>
    <t>VDD Supply Current, Wait-state</t>
  </si>
  <si>
    <t>Maximum Threshold on CS Pin</t>
  </si>
  <si>
    <t>Estimate spike voltage due to inductive ringing</t>
  </si>
  <si>
    <t>Highest RMS or DC input voltage, steady-state</t>
  </si>
  <si>
    <t>Burst threshold is normally set at high line</t>
  </si>
  <si>
    <t>Selected QH Part Number (for reference)</t>
  </si>
  <si>
    <t>Selected QL Part Number (for reference)</t>
  </si>
  <si>
    <t>Output Rectifier Part Number (for reference)</t>
  </si>
  <si>
    <t>Selected Part Number (for reference)</t>
  </si>
  <si>
    <t xml:space="preserve">pF  </t>
  </si>
  <si>
    <t>RMS or DC Brown-out voltage (result of Brown-in choice)</t>
  </si>
  <si>
    <r>
      <t>WHERE APPLICABLE, A RECOMMENDED VALUE IS CALCULATED THAT WILL BE THE BEST CHOICE TO MEET THE GIVEN SPECIFICATION(S).  
IT IS IN THE BEST INTEREST OF THE USER TO SPECIFY A STANDARD VALUE AS CLOSE AS POSSIBLE TO THE RECOMMENDED</t>
    </r>
    <r>
      <rPr>
        <sz val="11"/>
        <color rgb="FFFF00FF"/>
        <rFont val="Arial"/>
        <family val="2"/>
      </rPr>
      <t xml:space="preserve"> </t>
    </r>
    <r>
      <rPr>
        <sz val="11"/>
        <rFont val="Arial"/>
        <family val="2"/>
      </rPr>
      <t>VALUE.  
FOR ACCURATE RESULTS, THE USER MUST ENTER THE ACTUAL VALUE USED INTO THE APPROPRIATE CELL.</t>
    </r>
  </si>
  <si>
    <t>VCC current of driver without switching</t>
  </si>
  <si>
    <t>Half-Bridge Gate Driver Part Number (for reference)</t>
  </si>
  <si>
    <r>
      <t>Assume C</t>
    </r>
    <r>
      <rPr>
        <b/>
        <vertAlign val="subscript"/>
        <sz val="11"/>
        <color theme="1"/>
        <rFont val="Arial"/>
        <family val="2"/>
      </rPr>
      <t>CLAMP</t>
    </r>
    <r>
      <rPr>
        <b/>
        <sz val="11"/>
        <color theme="1"/>
        <rFont val="Arial"/>
        <family val="2"/>
      </rPr>
      <t xml:space="preserve"> &gt;&gt; C</t>
    </r>
    <r>
      <rPr>
        <b/>
        <vertAlign val="subscript"/>
        <sz val="11"/>
        <color theme="1"/>
        <rFont val="Arial"/>
        <family val="2"/>
      </rPr>
      <t xml:space="preserve">O1 </t>
    </r>
    <r>
      <rPr>
        <b/>
        <sz val="11"/>
        <color theme="1"/>
        <rFont val="Arial"/>
        <family val="2"/>
      </rPr>
      <t>/ N</t>
    </r>
    <r>
      <rPr>
        <b/>
        <vertAlign val="subscript"/>
        <sz val="11"/>
        <color theme="1"/>
        <rFont val="Arial"/>
        <family val="2"/>
      </rPr>
      <t>PS</t>
    </r>
    <r>
      <rPr>
        <b/>
        <vertAlign val="superscript"/>
        <sz val="11"/>
        <color theme="1"/>
        <rFont val="Arial"/>
        <family val="2"/>
      </rPr>
      <t>2</t>
    </r>
    <r>
      <rPr>
        <b/>
        <sz val="11"/>
        <color theme="1"/>
        <rFont val="Arial"/>
        <family val="2"/>
      </rPr>
      <t>, and clamp voltage is constant</t>
    </r>
  </si>
  <si>
    <r>
      <t>Higher Efficiency &lt;== Unstable V</t>
    </r>
    <r>
      <rPr>
        <vertAlign val="subscript"/>
        <sz val="11"/>
        <color theme="1"/>
        <rFont val="Arial"/>
        <family val="2"/>
      </rPr>
      <t xml:space="preserve">gs(SR) </t>
    </r>
    <r>
      <rPr>
        <sz val="11"/>
        <color theme="1"/>
        <rFont val="Arial"/>
        <family val="2"/>
      </rPr>
      <t>&lt;== Higher V</t>
    </r>
    <r>
      <rPr>
        <vertAlign val="subscript"/>
        <sz val="11"/>
        <color theme="1"/>
        <rFont val="Arial"/>
        <family val="2"/>
      </rPr>
      <t>Co1</t>
    </r>
    <r>
      <rPr>
        <sz val="11"/>
        <color theme="1"/>
        <rFont val="Arial"/>
        <family val="2"/>
      </rPr>
      <t xml:space="preserve"> ripple &lt;== Increase L</t>
    </r>
    <r>
      <rPr>
        <vertAlign val="subscript"/>
        <sz val="11"/>
        <color theme="1"/>
        <rFont val="Arial"/>
        <family val="2"/>
      </rPr>
      <t>DAMP</t>
    </r>
    <r>
      <rPr>
        <sz val="11"/>
        <color theme="1"/>
        <rFont val="Arial"/>
        <family val="2"/>
      </rPr>
      <t xml:space="preserve"> for weaker damping</t>
    </r>
  </si>
  <si>
    <r>
      <t>Increase C</t>
    </r>
    <r>
      <rPr>
        <vertAlign val="subscript"/>
        <sz val="11"/>
        <color theme="1"/>
        <rFont val="Arial"/>
        <family val="2"/>
      </rPr>
      <t>O1</t>
    </r>
  </si>
  <si>
    <t>ds recommendation</t>
  </si>
  <si>
    <t>Over-Power Threshold on CS Pin,  at Ivsl = -1.25mA</t>
  </si>
  <si>
    <r>
      <t>L</t>
    </r>
    <r>
      <rPr>
        <vertAlign val="subscript"/>
        <sz val="11"/>
        <rFont val="Arial"/>
        <family val="2"/>
      </rPr>
      <t xml:space="preserve">M_act </t>
    </r>
    <r>
      <rPr>
        <sz val="11"/>
        <rFont val="Arial"/>
        <family val="2"/>
      </rPr>
      <t>=</t>
    </r>
  </si>
  <si>
    <r>
      <rPr>
        <b/>
        <sz val="11"/>
        <rFont val="Arial"/>
        <family val="2"/>
      </rPr>
      <t>Actual</t>
    </r>
    <r>
      <rPr>
        <sz val="11"/>
        <rFont val="Arial"/>
        <family val="2"/>
      </rPr>
      <t xml:space="preserve"> Primary Leakage Inductance</t>
    </r>
  </si>
  <si>
    <t>Secondary Side Reflected to Primary Side</t>
  </si>
  <si>
    <t>Estimated Transformer Efficiency</t>
  </si>
  <si>
    <r>
      <rPr>
        <sz val="12"/>
        <rFont val="Arial"/>
        <family val="2"/>
      </rPr>
      <t>η</t>
    </r>
    <r>
      <rPr>
        <vertAlign val="subscript"/>
        <sz val="11"/>
        <rFont val="Arial"/>
        <family val="2"/>
      </rPr>
      <t>XFMR</t>
    </r>
    <r>
      <rPr>
        <sz val="11"/>
        <rFont val="Arial"/>
        <family val="2"/>
      </rPr>
      <t xml:space="preserve"> =</t>
    </r>
  </si>
  <si>
    <t>Transformer Primary Winding Capacitance</t>
  </si>
  <si>
    <t>DC Resistance of Primary Winding</t>
  </si>
  <si>
    <t>Derived from self-resonant frequency of primary winding</t>
  </si>
  <si>
    <t>Delay from RUN High to PWML High</t>
  </si>
  <si>
    <t>Regulated FB Pull-up Voltage</t>
  </si>
  <si>
    <t>Upper Threshold of Burst Frequency in ABM</t>
  </si>
  <si>
    <t>Lower Threshold of Burst Frequency in ABM</t>
  </si>
  <si>
    <t>Estimate maximum increase in clamp voltage during LPM</t>
  </si>
  <si>
    <t>Estimate portion of maximum switching period for ZVS resonance, at low-line</t>
  </si>
  <si>
    <t>Maximum Bias Resistor1 During SBP mode</t>
  </si>
  <si>
    <t>Maximum Bias Resistor1 During ABM mode</t>
  </si>
  <si>
    <t>Bias Resistor2 Used in Calculations</t>
  </si>
  <si>
    <t>Shunt Regulator Part Number (for reference)</t>
  </si>
  <si>
    <t>(This value not calculated at this time.)</t>
  </si>
  <si>
    <t>Calculated Resistance in Series with Source to SWS</t>
  </si>
  <si>
    <t>Output Voltage Reflected to Auxiliary Winding</t>
  </si>
  <si>
    <t>FB Pin Resistance Used in Calculations</t>
  </si>
  <si>
    <t>Turn-off Delay Time due to Coss of low-side MOSFET</t>
  </si>
  <si>
    <t>Turn-off Delay Time due to Coss of low-side MOSFET at min bulk</t>
  </si>
  <si>
    <t>Max Power Dissipation:</t>
  </si>
  <si>
    <t>Secondary-side Resonance in another tab</t>
  </si>
  <si>
    <r>
      <t>N</t>
    </r>
    <r>
      <rPr>
        <vertAlign val="subscript"/>
        <sz val="12"/>
        <rFont val="Arial"/>
        <family val="2"/>
      </rPr>
      <t>AS</t>
    </r>
    <r>
      <rPr>
        <sz val="12"/>
        <color theme="1"/>
        <rFont val="Arial"/>
        <family val="2"/>
      </rPr>
      <t/>
    </r>
  </si>
  <si>
    <t>OVP =</t>
  </si>
  <si>
    <t>OPP =</t>
  </si>
  <si>
    <t>BUR =</t>
  </si>
  <si>
    <t>SET =</t>
  </si>
  <si>
    <r>
      <t xml:space="preserve"> I</t>
    </r>
    <r>
      <rPr>
        <vertAlign val="subscript"/>
        <sz val="11"/>
        <color theme="1"/>
        <rFont val="Arial"/>
        <family val="2"/>
      </rPr>
      <t>ref_431_max</t>
    </r>
    <r>
      <rPr>
        <sz val="11"/>
        <color theme="1"/>
        <rFont val="Arial"/>
        <family val="2"/>
      </rPr>
      <t xml:space="preserve"> =</t>
    </r>
  </si>
  <si>
    <t>at rated reverse voltage</t>
  </si>
  <si>
    <t>Forward Rectified Current</t>
  </si>
  <si>
    <t>Forward Voltage</t>
  </si>
  <si>
    <t>Output Capacitance During High Voltage</t>
  </si>
  <si>
    <t>Time-Related Output Capacitance</t>
  </si>
  <si>
    <t>Output Capacitance</t>
  </si>
  <si>
    <t>Parasitic Inductance</t>
  </si>
  <si>
    <t>Maximum Input Capacitance</t>
  </si>
  <si>
    <t>Gate Threshold Voltage</t>
  </si>
  <si>
    <t>Minimum Cathode Current for Regulation</t>
  </si>
  <si>
    <t>Reference Voltage</t>
  </si>
  <si>
    <t>Collector-Emitter Saturation Voltage</t>
  </si>
  <si>
    <t>Cut-Off Frequency</t>
  </si>
  <si>
    <t>CTR During High Temperature</t>
  </si>
  <si>
    <t>Voltage Derating Coefficient for Rectifier</t>
  </si>
  <si>
    <t>MOSFET Rated Drain-to-Source Voltage</t>
  </si>
  <si>
    <t>Time-related output capacitance</t>
  </si>
  <si>
    <t>Output Capacitance at High Voltage</t>
  </si>
  <si>
    <t>Forward Voltage Drop of Output Rectifier</t>
  </si>
  <si>
    <t>Maximum Rectifier Current Rating</t>
  </si>
  <si>
    <t>Output Capacitance Used in Calculations</t>
  </si>
  <si>
    <t>Minimum Voltage Rating of Bulk Capacitor</t>
  </si>
  <si>
    <t>Input Bulk Capacitance Used in Calculations</t>
  </si>
  <si>
    <t>Quiescent Driver Bias Current</t>
  </si>
  <si>
    <t>High-Side Driver Delay</t>
  </si>
  <si>
    <t>Low-Side Driver Delay</t>
  </si>
  <si>
    <t>Actual MOSFET Rated Drain-to-Source Voltage</t>
  </si>
  <si>
    <t>Minimum Crossover Frequency</t>
  </si>
  <si>
    <t>Minimum Switching Frequency</t>
  </si>
  <si>
    <t>OPP-Threshold Output Current</t>
  </si>
  <si>
    <t>Full-Load Rated Output Current</t>
  </si>
  <si>
    <t>Rated Full-Load Output Power</t>
  </si>
  <si>
    <t>Minimum Overall Efficiency</t>
  </si>
  <si>
    <t>Minimum AC-Line Frequency</t>
  </si>
  <si>
    <t>Minimum Bulk Voltage Target</t>
  </si>
  <si>
    <t>Minimum Line Input Voltage</t>
  </si>
  <si>
    <t>Input Voltage for Burst Mode Setting</t>
  </si>
  <si>
    <t>Maximum Line Input Voltage</t>
  </si>
  <si>
    <t xml:space="preserve">Variables </t>
  </si>
  <si>
    <t>Estimated High-Line Stand-by Burst Frequency</t>
  </si>
  <si>
    <t>Shunt Regulator for Output Voltage</t>
  </si>
  <si>
    <t>Select standard rating with sufficient margin</t>
  </si>
  <si>
    <t>Drain Current Pulse Rating</t>
  </si>
  <si>
    <t>Time-Related Output Capacitance at Vbulk_min</t>
  </si>
  <si>
    <t xml:space="preserve">   High-side MOSFET (QH) Parameters:</t>
  </si>
  <si>
    <t xml:space="preserve">   Low-side MOSFET (QL) Parameters:</t>
  </si>
  <si>
    <t>High-Side Bootstrap Diode Forward Voltage</t>
  </si>
  <si>
    <t>High-Side Bootstrap Diode Parasitic Capacitance</t>
  </si>
  <si>
    <t xml:space="preserve">Minimum Required Drain-to-Source Voltage Rating </t>
  </si>
  <si>
    <t xml:space="preserve"> (QH can be different than QL)</t>
  </si>
  <si>
    <r>
      <t>Maximum RMS Current in R</t>
    </r>
    <r>
      <rPr>
        <vertAlign val="subscript"/>
        <sz val="11"/>
        <color theme="1"/>
        <rFont val="Arial"/>
        <family val="2"/>
      </rPr>
      <t>CS</t>
    </r>
    <r>
      <rPr>
        <sz val="11"/>
        <color theme="1"/>
        <rFont val="Arial"/>
        <family val="2"/>
      </rPr>
      <t xml:space="preserve"> Resistor</t>
    </r>
  </si>
  <si>
    <r>
      <t>Maximum Power Loss in R</t>
    </r>
    <r>
      <rPr>
        <vertAlign val="subscript"/>
        <sz val="11"/>
        <color theme="1"/>
        <rFont val="Arial"/>
        <family val="2"/>
      </rPr>
      <t>CS</t>
    </r>
    <r>
      <rPr>
        <sz val="11"/>
        <color theme="1"/>
        <rFont val="Arial"/>
        <family val="2"/>
      </rPr>
      <t/>
    </r>
  </si>
  <si>
    <r>
      <t>Current-Sense Resistor, R</t>
    </r>
    <r>
      <rPr>
        <b/>
        <i/>
        <vertAlign val="subscript"/>
        <sz val="12"/>
        <color theme="0"/>
        <rFont val="Arial"/>
        <family val="2"/>
      </rPr>
      <t>CS</t>
    </r>
  </si>
  <si>
    <r>
      <rPr>
        <b/>
        <sz val="11"/>
        <color theme="1"/>
        <rFont val="Arial"/>
        <family val="2"/>
      </rPr>
      <t>Actual</t>
    </r>
    <r>
      <rPr>
        <sz val="11"/>
        <color theme="1"/>
        <rFont val="Arial"/>
        <family val="2"/>
      </rPr>
      <t xml:space="preserve"> Current-Sense Resistor</t>
    </r>
  </si>
  <si>
    <t>Current-Sense Resistor Used in Calculations</t>
  </si>
  <si>
    <t>Actual Current-Sense Filter Delay</t>
  </si>
  <si>
    <r>
      <rPr>
        <b/>
        <sz val="11"/>
        <color theme="1"/>
        <rFont val="Arial"/>
        <family val="2"/>
      </rPr>
      <t>Maximum</t>
    </r>
    <r>
      <rPr>
        <sz val="11"/>
        <color theme="1"/>
        <rFont val="Arial"/>
        <family val="2"/>
      </rPr>
      <t xml:space="preserve"> Current-Sense Capacitance</t>
    </r>
  </si>
  <si>
    <t>Current-Sense Capacitance Used in Calculations</t>
  </si>
  <si>
    <r>
      <rPr>
        <b/>
        <sz val="11"/>
        <color theme="1"/>
        <rFont val="Arial"/>
        <family val="2"/>
      </rPr>
      <t>Actual</t>
    </r>
    <r>
      <rPr>
        <sz val="11"/>
        <color theme="1"/>
        <rFont val="Arial"/>
        <family val="2"/>
      </rPr>
      <t xml:space="preserve"> Current-Sense Capacitance</t>
    </r>
  </si>
  <si>
    <t>Bootstrap Diode Capacitance</t>
  </si>
  <si>
    <t xml:space="preserve">Total Equivalent Time-Based Capacitance of Switching Node </t>
  </si>
  <si>
    <t>Over-Power Threshold on CS Pin,  at Ivsl = 0µA</t>
  </si>
  <si>
    <t>±% tolerance NOT included</t>
  </si>
  <si>
    <t xml:space="preserve"> Need to fine tune, based on scope waveform</t>
  </si>
  <si>
    <r>
      <t>Part Number(s) for C</t>
    </r>
    <r>
      <rPr>
        <vertAlign val="subscript"/>
        <sz val="11"/>
        <rFont val="Arial"/>
        <family val="2"/>
      </rPr>
      <t>O1</t>
    </r>
    <r>
      <rPr>
        <sz val="11"/>
        <rFont val="Arial"/>
        <family val="2"/>
      </rPr>
      <t xml:space="preserve">  (for ref)</t>
    </r>
  </si>
  <si>
    <r>
      <t>V</t>
    </r>
    <r>
      <rPr>
        <b/>
        <i/>
        <vertAlign val="subscript"/>
        <sz val="12"/>
        <color theme="0"/>
        <rFont val="Arial"/>
        <family val="2"/>
      </rPr>
      <t>In_IVSL</t>
    </r>
    <r>
      <rPr>
        <b/>
        <i/>
        <sz val="12"/>
        <color theme="0"/>
        <rFont val="Arial"/>
        <family val="2"/>
      </rPr>
      <t xml:space="preserve"> Adjustment for Specific Start-up Voltage</t>
    </r>
  </si>
  <si>
    <t>SET value</t>
  </si>
  <si>
    <t>V input type</t>
  </si>
  <si>
    <t>(Minimum value)</t>
  </si>
  <si>
    <t>X7R is recommended</t>
  </si>
  <si>
    <t xml:space="preserve">Nominal recommended value includes adjustment for dc-bias effect </t>
  </si>
  <si>
    <t>Estimate Delay from Current-Sense Filtering</t>
  </si>
  <si>
    <t>Actual BUR Pin Voltage</t>
  </si>
  <si>
    <t>mΩ</t>
  </si>
  <si>
    <t>Maximum ESR:</t>
  </si>
  <si>
    <r>
      <t>R</t>
    </r>
    <r>
      <rPr>
        <b/>
        <vertAlign val="subscript"/>
        <sz val="12"/>
        <color rgb="FFFF0000"/>
        <rFont val="Arial"/>
        <family val="2"/>
      </rPr>
      <t>BLEED</t>
    </r>
  </si>
  <si>
    <r>
      <t>R</t>
    </r>
    <r>
      <rPr>
        <b/>
        <vertAlign val="subscript"/>
        <sz val="12"/>
        <color rgb="FFFF0000"/>
        <rFont val="Arial"/>
        <family val="2"/>
      </rPr>
      <t>BIAS2</t>
    </r>
  </si>
  <si>
    <r>
      <t>R</t>
    </r>
    <r>
      <rPr>
        <b/>
        <vertAlign val="subscript"/>
        <sz val="12"/>
        <color rgb="FFFF0000"/>
        <rFont val="Arial"/>
        <family val="2"/>
      </rPr>
      <t>BIAS1</t>
    </r>
  </si>
  <si>
    <r>
      <t>C</t>
    </r>
    <r>
      <rPr>
        <b/>
        <vertAlign val="subscript"/>
        <sz val="12"/>
        <color rgb="FFFF0000"/>
        <rFont val="Arial"/>
        <family val="2"/>
      </rPr>
      <t>CLAMP</t>
    </r>
  </si>
  <si>
    <r>
      <t>C</t>
    </r>
    <r>
      <rPr>
        <b/>
        <vertAlign val="subscript"/>
        <sz val="12"/>
        <color rgb="FFFF0000"/>
        <rFont val="Arial"/>
        <family val="2"/>
      </rPr>
      <t>BOOT</t>
    </r>
  </si>
  <si>
    <r>
      <t>C</t>
    </r>
    <r>
      <rPr>
        <b/>
        <vertAlign val="subscript"/>
        <sz val="12"/>
        <color rgb="FFFF0000"/>
        <rFont val="Arial"/>
        <family val="2"/>
      </rPr>
      <t>INT</t>
    </r>
  </si>
  <si>
    <t>SELECTED Values (Primary-Side Resonance)</t>
  </si>
  <si>
    <t xml:space="preserve">   Note:  Larger MLCC case sizes exhibit less DC-Bias effect.</t>
  </si>
  <si>
    <t xml:space="preserve"> Need to tune value based on waveforms, as below</t>
  </si>
  <si>
    <t>"Brown-in" Input Voltage Target</t>
  </si>
  <si>
    <t>Secondary Turns Used in Calculations</t>
  </si>
  <si>
    <t>Clamp-Cap Value Used in Calculations</t>
  </si>
  <si>
    <t>This block uses "VINPUT_Brownin"</t>
  </si>
  <si>
    <t>This block uses "VBulk_min_tgt"</t>
  </si>
  <si>
    <t>This block uses "VINPUT_max"</t>
  </si>
  <si>
    <t>This block uses "VINPUT_BUR"</t>
  </si>
  <si>
    <t>This block uses various "VINPUT_xxx"</t>
  </si>
  <si>
    <t>This block uses "VINPUT_Brownin+30"</t>
  </si>
  <si>
    <t xml:space="preserve">SR MOSFET Coss </t>
  </si>
  <si>
    <t xml:space="preserve">Auxiliary Diode Cj </t>
  </si>
  <si>
    <r>
      <t>R</t>
    </r>
    <r>
      <rPr>
        <vertAlign val="subscript"/>
        <sz val="11"/>
        <color theme="1"/>
        <rFont val="Arial"/>
        <family val="2"/>
      </rPr>
      <t>VS2</t>
    </r>
    <r>
      <rPr>
        <sz val="11"/>
        <color theme="1"/>
        <rFont val="Arial"/>
        <family val="2"/>
      </rPr>
      <t xml:space="preserve"> Used in Calculations</t>
    </r>
  </si>
  <si>
    <t>%</t>
  </si>
  <si>
    <t xml:space="preserve">kΩ   </t>
  </si>
  <si>
    <t>Lowest RMS or DC start-up voltage</t>
  </si>
  <si>
    <t>See graph at right &gt;&gt;&gt;</t>
  </si>
  <si>
    <r>
      <t xml:space="preserve">    Example graph of C</t>
    </r>
    <r>
      <rPr>
        <b/>
        <vertAlign val="subscript"/>
        <sz val="12"/>
        <color rgb="FFFF0000"/>
        <rFont val="Calibri"/>
        <family val="2"/>
        <scheme val="minor"/>
      </rPr>
      <t>OSS</t>
    </r>
    <r>
      <rPr>
        <b/>
        <sz val="12"/>
        <color rgb="FFFF0000"/>
        <rFont val="Calibri"/>
        <family val="2"/>
        <scheme val="minor"/>
      </rPr>
      <t xml:space="preserve"> variation with V</t>
    </r>
    <r>
      <rPr>
        <b/>
        <vertAlign val="subscript"/>
        <sz val="12"/>
        <color rgb="FFFF0000"/>
        <rFont val="Calibri"/>
        <family val="2"/>
        <scheme val="minor"/>
      </rPr>
      <t>DS</t>
    </r>
    <r>
      <rPr>
        <b/>
        <sz val="12"/>
        <color rgb="FFFF0000"/>
        <rFont val="Calibri"/>
        <family val="2"/>
        <scheme val="minor"/>
      </rPr>
      <t>.  Use actual MOSFET data.</t>
    </r>
  </si>
  <si>
    <t>Minimum "Boot-Strap" Capacitance</t>
  </si>
  <si>
    <t>Maximum "Boot-Strap" Capacitance</t>
  </si>
  <si>
    <t>On-Resistance of High-Side MOSFET (max)</t>
  </si>
  <si>
    <t>On-Resistance of Low-Side MOSFET (max)</t>
  </si>
  <si>
    <t>Threshold Voltage of Big-to-Small Coss Transition (high-side Fet)</t>
  </si>
  <si>
    <t>Threshold Voltage of Big-to-Small Coss Transition (low-side Fet)</t>
  </si>
  <si>
    <t>Threshold Voltage of Big-to-Small Coss Transition (SR-Fet)</t>
  </si>
  <si>
    <t>from datasheet listing</t>
  </si>
  <si>
    <t>Gate-Source Voltage Maximum Rating</t>
  </si>
  <si>
    <t>Bias Supply for Driver VDD</t>
  </si>
  <si>
    <r>
      <t>used to calc R</t>
    </r>
    <r>
      <rPr>
        <vertAlign val="subscript"/>
        <sz val="10"/>
        <color theme="1"/>
        <rFont val="Arial"/>
        <family val="2"/>
      </rPr>
      <t>CS_tgt</t>
    </r>
    <r>
      <rPr>
        <sz val="10"/>
        <color theme="1"/>
        <rFont val="Arial"/>
        <family val="2"/>
      </rPr>
      <t xml:space="preserve"> </t>
    </r>
  </si>
  <si>
    <r>
      <t>used to calc R</t>
    </r>
    <r>
      <rPr>
        <vertAlign val="subscript"/>
        <sz val="10"/>
        <color theme="1"/>
        <rFont val="Arial"/>
        <family val="2"/>
      </rPr>
      <t>OPP_tgt</t>
    </r>
    <r>
      <rPr>
        <sz val="10"/>
        <color theme="1"/>
        <rFont val="Arial"/>
        <family val="2"/>
      </rPr>
      <t xml:space="preserve"> </t>
    </r>
  </si>
  <si>
    <r>
      <t>I</t>
    </r>
    <r>
      <rPr>
        <vertAlign val="subscript"/>
        <sz val="11"/>
        <color theme="1"/>
        <rFont val="Arial"/>
        <family val="2"/>
      </rPr>
      <t xml:space="preserve">M_nega_min </t>
    </r>
    <r>
      <rPr>
        <sz val="11"/>
        <color theme="1"/>
        <rFont val="Arial"/>
        <family val="2"/>
      </rPr>
      <t>=</t>
    </r>
  </si>
  <si>
    <r>
      <t>f</t>
    </r>
    <r>
      <rPr>
        <vertAlign val="subscript"/>
        <sz val="11"/>
        <color theme="1"/>
        <rFont val="Arial"/>
        <family val="2"/>
      </rPr>
      <t xml:space="preserve">sw_min </t>
    </r>
    <r>
      <rPr>
        <sz val="11"/>
        <color theme="1"/>
        <rFont val="Arial"/>
        <family val="2"/>
      </rPr>
      <t>=</t>
    </r>
  </si>
  <si>
    <r>
      <t xml:space="preserve"> i</t>
    </r>
    <r>
      <rPr>
        <vertAlign val="subscript"/>
        <sz val="11"/>
        <color theme="1"/>
        <rFont val="Arial"/>
        <family val="2"/>
      </rPr>
      <t>pk_min</t>
    </r>
    <r>
      <rPr>
        <sz val="11"/>
        <color theme="1"/>
        <rFont val="Arial"/>
        <family val="2"/>
      </rPr>
      <t xml:space="preserve"> =</t>
    </r>
  </si>
  <si>
    <r>
      <t>I</t>
    </r>
    <r>
      <rPr>
        <vertAlign val="subscript"/>
        <sz val="11"/>
        <color theme="1"/>
        <rFont val="Arial"/>
        <family val="2"/>
      </rPr>
      <t xml:space="preserve">IN_min </t>
    </r>
    <r>
      <rPr>
        <sz val="11"/>
        <color theme="1"/>
        <rFont val="Arial"/>
        <family val="2"/>
      </rPr>
      <t>=</t>
    </r>
  </si>
  <si>
    <r>
      <t xml:space="preserve"> D</t>
    </r>
    <r>
      <rPr>
        <vertAlign val="subscript"/>
        <sz val="11"/>
        <color theme="1"/>
        <rFont val="Arial"/>
        <family val="2"/>
      </rPr>
      <t xml:space="preserve">min </t>
    </r>
    <r>
      <rPr>
        <sz val="11"/>
        <color theme="1"/>
        <rFont val="Arial"/>
        <family val="2"/>
      </rPr>
      <t>=</t>
    </r>
  </si>
  <si>
    <r>
      <t>K</t>
    </r>
    <r>
      <rPr>
        <vertAlign val="subscript"/>
        <sz val="11"/>
        <color theme="1"/>
        <rFont val="Arial"/>
        <family val="2"/>
      </rPr>
      <t>VC</t>
    </r>
    <r>
      <rPr>
        <sz val="11"/>
        <color theme="1"/>
        <rFont val="Arial"/>
        <family val="2"/>
      </rPr>
      <t xml:space="preserve"> =</t>
    </r>
  </si>
  <si>
    <r>
      <t>C</t>
    </r>
    <r>
      <rPr>
        <vertAlign val="subscript"/>
        <sz val="11"/>
        <color theme="1"/>
        <rFont val="Arial"/>
        <family val="2"/>
      </rPr>
      <t>OSS_QH_T_vmax</t>
    </r>
    <r>
      <rPr>
        <sz val="11"/>
        <color theme="1"/>
        <rFont val="Arial"/>
        <family val="2"/>
      </rPr>
      <t xml:space="preserve"> =</t>
    </r>
  </si>
  <si>
    <r>
      <t>C</t>
    </r>
    <r>
      <rPr>
        <vertAlign val="subscript"/>
        <sz val="11"/>
        <color theme="1"/>
        <rFont val="Arial"/>
        <family val="2"/>
      </rPr>
      <t>OSS_QL_T_vmax</t>
    </r>
    <r>
      <rPr>
        <sz val="11"/>
        <color theme="1"/>
        <rFont val="Arial"/>
        <family val="2"/>
      </rPr>
      <t xml:space="preserve"> =</t>
    </r>
  </si>
  <si>
    <r>
      <t>C</t>
    </r>
    <r>
      <rPr>
        <vertAlign val="subscript"/>
        <sz val="11"/>
        <color theme="1"/>
        <rFont val="Arial"/>
        <family val="2"/>
      </rPr>
      <t>Tr_vmax</t>
    </r>
    <r>
      <rPr>
        <sz val="11"/>
        <color theme="1"/>
        <rFont val="Arial"/>
        <family val="2"/>
      </rPr>
      <t xml:space="preserve"> =</t>
    </r>
  </si>
  <si>
    <r>
      <t>C</t>
    </r>
    <r>
      <rPr>
        <vertAlign val="subscript"/>
        <sz val="11"/>
        <color theme="1"/>
        <rFont val="Arial"/>
        <family val="2"/>
      </rPr>
      <t>BootD_T_vmax</t>
    </r>
    <r>
      <rPr>
        <sz val="11"/>
        <color theme="1"/>
        <rFont val="Arial"/>
        <family val="2"/>
      </rPr>
      <t xml:space="preserve"> =</t>
    </r>
  </si>
  <si>
    <r>
      <t>C</t>
    </r>
    <r>
      <rPr>
        <vertAlign val="subscript"/>
        <sz val="11"/>
        <color theme="1"/>
        <rFont val="Arial"/>
        <family val="2"/>
      </rPr>
      <t xml:space="preserve">OSS_Qs_vmax </t>
    </r>
    <r>
      <rPr>
        <sz val="11"/>
        <color theme="1"/>
        <rFont val="Arial"/>
        <family val="2"/>
      </rPr>
      <t>=</t>
    </r>
  </si>
  <si>
    <r>
      <t>C</t>
    </r>
    <r>
      <rPr>
        <vertAlign val="subscript"/>
        <sz val="11"/>
        <color theme="1"/>
        <rFont val="Arial"/>
        <family val="2"/>
      </rPr>
      <t xml:space="preserve">OSS_SR_T_vmax </t>
    </r>
    <r>
      <rPr>
        <sz val="11"/>
        <color theme="1"/>
        <rFont val="Arial"/>
        <family val="2"/>
      </rPr>
      <t>=</t>
    </r>
  </si>
  <si>
    <r>
      <t>C</t>
    </r>
    <r>
      <rPr>
        <vertAlign val="subscript"/>
        <sz val="11"/>
        <color theme="1"/>
        <rFont val="Arial"/>
        <family val="2"/>
      </rPr>
      <t xml:space="preserve">_Daux_vmax </t>
    </r>
    <r>
      <rPr>
        <sz val="11"/>
        <color theme="1"/>
        <rFont val="Arial"/>
        <family val="2"/>
      </rPr>
      <t>=</t>
    </r>
  </si>
  <si>
    <r>
      <t>C</t>
    </r>
    <r>
      <rPr>
        <vertAlign val="subscript"/>
        <sz val="11"/>
        <color theme="1"/>
        <rFont val="Arial"/>
        <family val="2"/>
      </rPr>
      <t xml:space="preserve">SWN_T_vmax </t>
    </r>
    <r>
      <rPr>
        <sz val="11"/>
        <color theme="1"/>
        <rFont val="Arial"/>
        <family val="2"/>
      </rPr>
      <t>=</t>
    </r>
  </si>
  <si>
    <r>
      <t>C</t>
    </r>
    <r>
      <rPr>
        <vertAlign val="subscript"/>
        <sz val="11"/>
        <color theme="1"/>
        <rFont val="Arial"/>
        <family val="2"/>
      </rPr>
      <t>OSS_QH_T_vbur</t>
    </r>
    <r>
      <rPr>
        <sz val="11"/>
        <color theme="1"/>
        <rFont val="Arial"/>
        <family val="2"/>
      </rPr>
      <t xml:space="preserve"> =</t>
    </r>
  </si>
  <si>
    <r>
      <t>C</t>
    </r>
    <r>
      <rPr>
        <vertAlign val="subscript"/>
        <sz val="11"/>
        <color theme="1"/>
        <rFont val="Arial"/>
        <family val="2"/>
      </rPr>
      <t>OSS_QL_T_vbur</t>
    </r>
    <r>
      <rPr>
        <sz val="11"/>
        <color theme="1"/>
        <rFont val="Arial"/>
        <family val="2"/>
      </rPr>
      <t xml:space="preserve"> =</t>
    </r>
  </si>
  <si>
    <r>
      <t>C</t>
    </r>
    <r>
      <rPr>
        <vertAlign val="subscript"/>
        <sz val="11"/>
        <color theme="1"/>
        <rFont val="Arial"/>
        <family val="2"/>
      </rPr>
      <t>Tr_vbur</t>
    </r>
    <r>
      <rPr>
        <sz val="11"/>
        <color theme="1"/>
        <rFont val="Arial"/>
        <family val="2"/>
      </rPr>
      <t xml:space="preserve"> =</t>
    </r>
  </si>
  <si>
    <r>
      <t>C</t>
    </r>
    <r>
      <rPr>
        <vertAlign val="subscript"/>
        <sz val="11"/>
        <color theme="1"/>
        <rFont val="Arial"/>
        <family val="2"/>
      </rPr>
      <t>BootD_T_vbur</t>
    </r>
    <r>
      <rPr>
        <sz val="11"/>
        <color theme="1"/>
        <rFont val="Arial"/>
        <family val="2"/>
      </rPr>
      <t xml:space="preserve"> =</t>
    </r>
  </si>
  <si>
    <r>
      <t>C</t>
    </r>
    <r>
      <rPr>
        <vertAlign val="subscript"/>
        <sz val="11"/>
        <color theme="1"/>
        <rFont val="Arial"/>
        <family val="2"/>
      </rPr>
      <t xml:space="preserve">OSS_Qs_vbur </t>
    </r>
    <r>
      <rPr>
        <sz val="11"/>
        <color theme="1"/>
        <rFont val="Arial"/>
        <family val="2"/>
      </rPr>
      <t>=</t>
    </r>
  </si>
  <si>
    <r>
      <t>C</t>
    </r>
    <r>
      <rPr>
        <vertAlign val="subscript"/>
        <sz val="11"/>
        <color theme="1"/>
        <rFont val="Arial"/>
        <family val="2"/>
      </rPr>
      <t xml:space="preserve">OSS_SR_vbur </t>
    </r>
    <r>
      <rPr>
        <sz val="11"/>
        <color theme="1"/>
        <rFont val="Arial"/>
        <family val="2"/>
      </rPr>
      <t>=</t>
    </r>
  </si>
  <si>
    <r>
      <t>C</t>
    </r>
    <r>
      <rPr>
        <vertAlign val="subscript"/>
        <sz val="11"/>
        <color theme="1"/>
        <rFont val="Arial"/>
        <family val="2"/>
      </rPr>
      <t xml:space="preserve">_Daux_vbur </t>
    </r>
    <r>
      <rPr>
        <sz val="11"/>
        <color theme="1"/>
        <rFont val="Arial"/>
        <family val="2"/>
      </rPr>
      <t>=</t>
    </r>
  </si>
  <si>
    <r>
      <t>C</t>
    </r>
    <r>
      <rPr>
        <vertAlign val="subscript"/>
        <sz val="11"/>
        <color theme="1"/>
        <rFont val="Arial"/>
        <family val="2"/>
      </rPr>
      <t xml:space="preserve">SWN_T_vbur </t>
    </r>
    <r>
      <rPr>
        <sz val="11"/>
        <color theme="1"/>
        <rFont val="Arial"/>
        <family val="2"/>
      </rPr>
      <t>=</t>
    </r>
  </si>
  <si>
    <r>
      <t>C</t>
    </r>
    <r>
      <rPr>
        <vertAlign val="subscript"/>
        <sz val="11"/>
        <color theme="1"/>
        <rFont val="Arial"/>
        <family val="2"/>
      </rPr>
      <t>OSS_QH_T_vbi_30</t>
    </r>
    <r>
      <rPr>
        <sz val="11"/>
        <color theme="1"/>
        <rFont val="Arial"/>
        <family val="2"/>
      </rPr>
      <t xml:space="preserve"> =</t>
    </r>
  </si>
  <si>
    <r>
      <t>C</t>
    </r>
    <r>
      <rPr>
        <vertAlign val="subscript"/>
        <sz val="11"/>
        <color theme="1"/>
        <rFont val="Arial"/>
        <family val="2"/>
      </rPr>
      <t>OSS_QL_T_vbi_30</t>
    </r>
    <r>
      <rPr>
        <sz val="11"/>
        <color theme="1"/>
        <rFont val="Arial"/>
        <family val="2"/>
      </rPr>
      <t xml:space="preserve"> =</t>
    </r>
  </si>
  <si>
    <r>
      <t>C</t>
    </r>
    <r>
      <rPr>
        <vertAlign val="subscript"/>
        <sz val="11"/>
        <color theme="1"/>
        <rFont val="Arial"/>
        <family val="2"/>
      </rPr>
      <t>Tr_vbi_30</t>
    </r>
    <r>
      <rPr>
        <sz val="11"/>
        <color theme="1"/>
        <rFont val="Arial"/>
        <family val="2"/>
      </rPr>
      <t xml:space="preserve"> =</t>
    </r>
  </si>
  <si>
    <r>
      <t>C</t>
    </r>
    <r>
      <rPr>
        <vertAlign val="subscript"/>
        <sz val="11"/>
        <color theme="1"/>
        <rFont val="Arial"/>
        <family val="2"/>
      </rPr>
      <t>BootD_T_vbi_30</t>
    </r>
    <r>
      <rPr>
        <sz val="11"/>
        <color theme="1"/>
        <rFont val="Arial"/>
        <family val="2"/>
      </rPr>
      <t xml:space="preserve"> =</t>
    </r>
  </si>
  <si>
    <r>
      <t>C</t>
    </r>
    <r>
      <rPr>
        <vertAlign val="subscript"/>
        <sz val="11"/>
        <color theme="1"/>
        <rFont val="Arial"/>
        <family val="2"/>
      </rPr>
      <t xml:space="preserve">OSS_Qs_vbi_30 </t>
    </r>
    <r>
      <rPr>
        <sz val="11"/>
        <color theme="1"/>
        <rFont val="Arial"/>
        <family val="2"/>
      </rPr>
      <t>=</t>
    </r>
  </si>
  <si>
    <r>
      <t>C</t>
    </r>
    <r>
      <rPr>
        <vertAlign val="subscript"/>
        <sz val="11"/>
        <color theme="1"/>
        <rFont val="Arial"/>
        <family val="2"/>
      </rPr>
      <t xml:space="preserve">OSS_SR_vbi_30 </t>
    </r>
    <r>
      <rPr>
        <sz val="11"/>
        <color theme="1"/>
        <rFont val="Arial"/>
        <family val="2"/>
      </rPr>
      <t>=</t>
    </r>
  </si>
  <si>
    <r>
      <t>C</t>
    </r>
    <r>
      <rPr>
        <vertAlign val="subscript"/>
        <sz val="11"/>
        <color theme="1"/>
        <rFont val="Arial"/>
        <family val="2"/>
      </rPr>
      <t xml:space="preserve">_Daux_vbi_30 </t>
    </r>
    <r>
      <rPr>
        <sz val="11"/>
        <color theme="1"/>
        <rFont val="Arial"/>
        <family val="2"/>
      </rPr>
      <t>=</t>
    </r>
  </si>
  <si>
    <r>
      <t>C</t>
    </r>
    <r>
      <rPr>
        <vertAlign val="subscript"/>
        <sz val="11"/>
        <color theme="1"/>
        <rFont val="Arial"/>
        <family val="2"/>
      </rPr>
      <t xml:space="preserve">SWN_T_vbi_30 </t>
    </r>
    <r>
      <rPr>
        <sz val="11"/>
        <color theme="1"/>
        <rFont val="Arial"/>
        <family val="2"/>
      </rPr>
      <t>=</t>
    </r>
  </si>
  <si>
    <r>
      <t>C</t>
    </r>
    <r>
      <rPr>
        <vertAlign val="subscript"/>
        <sz val="11"/>
        <color theme="1"/>
        <rFont val="Arial"/>
        <family val="2"/>
      </rPr>
      <t>OSS_QH_T_vbi</t>
    </r>
    <r>
      <rPr>
        <sz val="11"/>
        <color theme="1"/>
        <rFont val="Arial"/>
        <family val="2"/>
      </rPr>
      <t xml:space="preserve"> =</t>
    </r>
  </si>
  <si>
    <r>
      <t>C</t>
    </r>
    <r>
      <rPr>
        <vertAlign val="subscript"/>
        <sz val="11"/>
        <color theme="1"/>
        <rFont val="Arial"/>
        <family val="2"/>
      </rPr>
      <t>OSS_QL_T_vbi</t>
    </r>
    <r>
      <rPr>
        <sz val="11"/>
        <color theme="1"/>
        <rFont val="Arial"/>
        <family val="2"/>
      </rPr>
      <t xml:space="preserve"> =</t>
    </r>
  </si>
  <si>
    <r>
      <t>C</t>
    </r>
    <r>
      <rPr>
        <vertAlign val="subscript"/>
        <sz val="11"/>
        <color theme="1"/>
        <rFont val="Arial"/>
        <family val="2"/>
      </rPr>
      <t>Tr_vbi</t>
    </r>
    <r>
      <rPr>
        <sz val="11"/>
        <color theme="1"/>
        <rFont val="Arial"/>
        <family val="2"/>
      </rPr>
      <t xml:space="preserve"> =</t>
    </r>
  </si>
  <si>
    <r>
      <t>C</t>
    </r>
    <r>
      <rPr>
        <vertAlign val="subscript"/>
        <sz val="11"/>
        <color theme="1"/>
        <rFont val="Arial"/>
        <family val="2"/>
      </rPr>
      <t>BootD_T_vbi</t>
    </r>
    <r>
      <rPr>
        <sz val="11"/>
        <color theme="1"/>
        <rFont val="Arial"/>
        <family val="2"/>
      </rPr>
      <t xml:space="preserve"> =</t>
    </r>
  </si>
  <si>
    <r>
      <t>C</t>
    </r>
    <r>
      <rPr>
        <vertAlign val="subscript"/>
        <sz val="11"/>
        <color theme="1"/>
        <rFont val="Arial"/>
        <family val="2"/>
      </rPr>
      <t xml:space="preserve">OSS_Qs_vbi </t>
    </r>
    <r>
      <rPr>
        <sz val="11"/>
        <color theme="1"/>
        <rFont val="Arial"/>
        <family val="2"/>
      </rPr>
      <t>=</t>
    </r>
  </si>
  <si>
    <r>
      <t>C</t>
    </r>
    <r>
      <rPr>
        <vertAlign val="subscript"/>
        <sz val="11"/>
        <color theme="1"/>
        <rFont val="Arial"/>
        <family val="2"/>
      </rPr>
      <t xml:space="preserve">OSS_SR_vbi </t>
    </r>
    <r>
      <rPr>
        <sz val="11"/>
        <color theme="1"/>
        <rFont val="Arial"/>
        <family val="2"/>
      </rPr>
      <t>=</t>
    </r>
  </si>
  <si>
    <r>
      <t>C</t>
    </r>
    <r>
      <rPr>
        <vertAlign val="subscript"/>
        <sz val="11"/>
        <color theme="1"/>
        <rFont val="Arial"/>
        <family val="2"/>
      </rPr>
      <t xml:space="preserve">_Daux_vbi </t>
    </r>
    <r>
      <rPr>
        <sz val="11"/>
        <color theme="1"/>
        <rFont val="Arial"/>
        <family val="2"/>
      </rPr>
      <t>=</t>
    </r>
  </si>
  <si>
    <r>
      <t>C</t>
    </r>
    <r>
      <rPr>
        <vertAlign val="subscript"/>
        <sz val="11"/>
        <color theme="1"/>
        <rFont val="Arial"/>
        <family val="2"/>
      </rPr>
      <t xml:space="preserve">SWN_T_vbi </t>
    </r>
    <r>
      <rPr>
        <sz val="11"/>
        <color theme="1"/>
        <rFont val="Arial"/>
        <family val="2"/>
      </rPr>
      <t>=</t>
    </r>
  </si>
  <si>
    <r>
      <t>C</t>
    </r>
    <r>
      <rPr>
        <vertAlign val="subscript"/>
        <sz val="11"/>
        <color theme="1"/>
        <rFont val="Arial"/>
        <family val="2"/>
      </rPr>
      <t>OSS_QH_T_vmin</t>
    </r>
    <r>
      <rPr>
        <sz val="11"/>
        <color theme="1"/>
        <rFont val="Arial"/>
        <family val="2"/>
      </rPr>
      <t xml:space="preserve"> =</t>
    </r>
  </si>
  <si>
    <r>
      <t>C</t>
    </r>
    <r>
      <rPr>
        <vertAlign val="subscript"/>
        <sz val="11"/>
        <color theme="1"/>
        <rFont val="Arial"/>
        <family val="2"/>
      </rPr>
      <t>OSS_QL_T_vmin</t>
    </r>
    <r>
      <rPr>
        <sz val="11"/>
        <color theme="1"/>
        <rFont val="Arial"/>
        <family val="2"/>
      </rPr>
      <t xml:space="preserve"> =</t>
    </r>
  </si>
  <si>
    <r>
      <t>C</t>
    </r>
    <r>
      <rPr>
        <vertAlign val="subscript"/>
        <sz val="11"/>
        <color theme="1"/>
        <rFont val="Arial"/>
        <family val="2"/>
      </rPr>
      <t>Tr_vmin</t>
    </r>
    <r>
      <rPr>
        <sz val="11"/>
        <color theme="1"/>
        <rFont val="Arial"/>
        <family val="2"/>
      </rPr>
      <t xml:space="preserve"> =</t>
    </r>
  </si>
  <si>
    <r>
      <t>C</t>
    </r>
    <r>
      <rPr>
        <vertAlign val="subscript"/>
        <sz val="11"/>
        <color theme="1"/>
        <rFont val="Arial"/>
        <family val="2"/>
      </rPr>
      <t>BootD_T_vmin</t>
    </r>
    <r>
      <rPr>
        <sz val="11"/>
        <color theme="1"/>
        <rFont val="Arial"/>
        <family val="2"/>
      </rPr>
      <t xml:space="preserve"> =</t>
    </r>
  </si>
  <si>
    <r>
      <t>C</t>
    </r>
    <r>
      <rPr>
        <vertAlign val="subscript"/>
        <sz val="11"/>
        <color theme="1"/>
        <rFont val="Arial"/>
        <family val="2"/>
      </rPr>
      <t xml:space="preserve">OSS_Qs_vmin </t>
    </r>
    <r>
      <rPr>
        <sz val="11"/>
        <color theme="1"/>
        <rFont val="Arial"/>
        <family val="2"/>
      </rPr>
      <t>=</t>
    </r>
  </si>
  <si>
    <r>
      <t>C</t>
    </r>
    <r>
      <rPr>
        <vertAlign val="subscript"/>
        <sz val="11"/>
        <color theme="1"/>
        <rFont val="Arial"/>
        <family val="2"/>
      </rPr>
      <t xml:space="preserve">OSS_SR_vmin </t>
    </r>
    <r>
      <rPr>
        <sz val="11"/>
        <color theme="1"/>
        <rFont val="Arial"/>
        <family val="2"/>
      </rPr>
      <t>=</t>
    </r>
  </si>
  <si>
    <r>
      <t>C</t>
    </r>
    <r>
      <rPr>
        <vertAlign val="subscript"/>
        <sz val="11"/>
        <color theme="1"/>
        <rFont val="Arial"/>
        <family val="2"/>
      </rPr>
      <t xml:space="preserve">_Daux_vmin </t>
    </r>
    <r>
      <rPr>
        <sz val="11"/>
        <color theme="1"/>
        <rFont val="Arial"/>
        <family val="2"/>
      </rPr>
      <t>=</t>
    </r>
  </si>
  <si>
    <r>
      <t>C</t>
    </r>
    <r>
      <rPr>
        <vertAlign val="subscript"/>
        <sz val="11"/>
        <color theme="1"/>
        <rFont val="Arial"/>
        <family val="2"/>
      </rPr>
      <t xml:space="preserve">SWN_T_vmin </t>
    </r>
    <r>
      <rPr>
        <sz val="11"/>
        <color theme="1"/>
        <rFont val="Arial"/>
        <family val="2"/>
      </rPr>
      <t>=</t>
    </r>
  </si>
  <si>
    <r>
      <t>K</t>
    </r>
    <r>
      <rPr>
        <vertAlign val="subscript"/>
        <sz val="11"/>
        <color theme="1"/>
        <rFont val="Arial"/>
        <family val="2"/>
      </rPr>
      <t xml:space="preserve">VSL </t>
    </r>
    <r>
      <rPr>
        <sz val="11"/>
        <color theme="1"/>
        <rFont val="Arial"/>
        <family val="2"/>
      </rPr>
      <t>=</t>
    </r>
  </si>
  <si>
    <r>
      <t>V</t>
    </r>
    <r>
      <rPr>
        <vertAlign val="subscript"/>
        <sz val="11"/>
        <color theme="1"/>
        <rFont val="Arial"/>
        <family val="2"/>
      </rPr>
      <t>CST_OPP_adj_Rcs</t>
    </r>
    <r>
      <rPr>
        <sz val="11"/>
        <color theme="1"/>
        <rFont val="Arial"/>
        <family val="2"/>
      </rPr>
      <t xml:space="preserve"> =</t>
    </r>
  </si>
  <si>
    <r>
      <t>Adjusted value of V</t>
    </r>
    <r>
      <rPr>
        <vertAlign val="subscript"/>
        <sz val="11"/>
        <color theme="1"/>
        <rFont val="Arial"/>
        <family val="2"/>
      </rPr>
      <t>CST_OPP</t>
    </r>
    <r>
      <rPr>
        <sz val="11"/>
        <color theme="1"/>
        <rFont val="Arial"/>
        <family val="2"/>
      </rPr>
      <t xml:space="preserve"> curve at V</t>
    </r>
    <r>
      <rPr>
        <vertAlign val="subscript"/>
        <sz val="11"/>
        <color theme="1"/>
        <rFont val="Arial"/>
        <family val="2"/>
      </rPr>
      <t>In_max</t>
    </r>
    <r>
      <rPr>
        <sz val="11"/>
        <color theme="1"/>
        <rFont val="Arial"/>
        <family val="2"/>
      </rPr>
      <t xml:space="preserve">  </t>
    </r>
  </si>
  <si>
    <r>
      <t>V</t>
    </r>
    <r>
      <rPr>
        <vertAlign val="subscript"/>
        <sz val="11"/>
        <color theme="1"/>
        <rFont val="Arial"/>
        <family val="2"/>
      </rPr>
      <t>CST_OPP_adj_Ropp</t>
    </r>
    <r>
      <rPr>
        <sz val="11"/>
        <color theme="1"/>
        <rFont val="Arial"/>
        <family val="2"/>
      </rPr>
      <t xml:space="preserve"> =</t>
    </r>
  </si>
  <si>
    <r>
      <t>I</t>
    </r>
    <r>
      <rPr>
        <vertAlign val="subscript"/>
        <sz val="11"/>
        <color theme="1"/>
        <rFont val="Arial"/>
        <family val="2"/>
      </rPr>
      <t xml:space="preserve">M_nega_start </t>
    </r>
    <r>
      <rPr>
        <sz val="11"/>
        <color theme="1"/>
        <rFont val="Arial"/>
        <family val="2"/>
      </rPr>
      <t>=</t>
    </r>
  </si>
  <si>
    <r>
      <t>f</t>
    </r>
    <r>
      <rPr>
        <vertAlign val="subscript"/>
        <sz val="11"/>
        <color theme="1"/>
        <rFont val="Arial"/>
        <family val="2"/>
      </rPr>
      <t xml:space="preserve">sw_OPP_start </t>
    </r>
    <r>
      <rPr>
        <sz val="11"/>
        <color theme="1"/>
        <rFont val="Arial"/>
        <family val="2"/>
      </rPr>
      <t>=</t>
    </r>
  </si>
  <si>
    <r>
      <t xml:space="preserve"> i</t>
    </r>
    <r>
      <rPr>
        <vertAlign val="subscript"/>
        <sz val="11"/>
        <color theme="1"/>
        <rFont val="Arial"/>
        <family val="2"/>
      </rPr>
      <t>pk_OPP_start</t>
    </r>
    <r>
      <rPr>
        <sz val="11"/>
        <color theme="1"/>
        <rFont val="Arial"/>
        <family val="2"/>
      </rPr>
      <t xml:space="preserve"> =</t>
    </r>
  </si>
  <si>
    <r>
      <t>I</t>
    </r>
    <r>
      <rPr>
        <vertAlign val="subscript"/>
        <sz val="11"/>
        <color theme="1"/>
        <rFont val="Arial"/>
        <family val="2"/>
      </rPr>
      <t xml:space="preserve">IN_OPP_start </t>
    </r>
    <r>
      <rPr>
        <sz val="11"/>
        <color theme="1"/>
        <rFont val="Arial"/>
        <family val="2"/>
      </rPr>
      <t>=</t>
    </r>
  </si>
  <si>
    <r>
      <t xml:space="preserve"> D</t>
    </r>
    <r>
      <rPr>
        <vertAlign val="subscript"/>
        <sz val="11"/>
        <color theme="1"/>
        <rFont val="Arial"/>
        <family val="2"/>
      </rPr>
      <t xml:space="preserve">OPP_start </t>
    </r>
    <r>
      <rPr>
        <sz val="11"/>
        <color theme="1"/>
        <rFont val="Arial"/>
        <family val="2"/>
      </rPr>
      <t>=</t>
    </r>
  </si>
  <si>
    <r>
      <t>I</t>
    </r>
    <r>
      <rPr>
        <vertAlign val="subscript"/>
        <sz val="11"/>
        <color theme="1"/>
        <rFont val="Arial"/>
        <family val="2"/>
      </rPr>
      <t>VCC_sw</t>
    </r>
    <r>
      <rPr>
        <sz val="11"/>
        <color theme="1"/>
        <rFont val="Arial"/>
        <family val="2"/>
      </rPr>
      <t xml:space="preserve"> =</t>
    </r>
  </si>
  <si>
    <r>
      <t>Q</t>
    </r>
    <r>
      <rPr>
        <vertAlign val="subscript"/>
        <sz val="11"/>
        <color theme="1"/>
        <rFont val="Arial"/>
        <family val="2"/>
      </rPr>
      <t>g_Qh</t>
    </r>
    <r>
      <rPr>
        <sz val="11"/>
        <color theme="1"/>
        <rFont val="Arial"/>
        <family val="2"/>
      </rPr>
      <t xml:space="preserve"> =</t>
    </r>
  </si>
  <si>
    <r>
      <t>I</t>
    </r>
    <r>
      <rPr>
        <vertAlign val="subscript"/>
        <sz val="11"/>
        <color theme="1"/>
        <rFont val="Arial"/>
        <family val="2"/>
      </rPr>
      <t xml:space="preserve">M_nega_BUR_min </t>
    </r>
    <r>
      <rPr>
        <sz val="11"/>
        <color theme="1"/>
        <rFont val="Arial"/>
        <family val="2"/>
      </rPr>
      <t>=</t>
    </r>
  </si>
  <si>
    <r>
      <t>f</t>
    </r>
    <r>
      <rPr>
        <vertAlign val="subscript"/>
        <sz val="11"/>
        <color theme="1"/>
        <rFont val="Arial"/>
        <family val="2"/>
      </rPr>
      <t xml:space="preserve">sw_BUR_min </t>
    </r>
    <r>
      <rPr>
        <sz val="11"/>
        <color theme="1"/>
        <rFont val="Arial"/>
        <family val="2"/>
      </rPr>
      <t>=</t>
    </r>
  </si>
  <si>
    <r>
      <t xml:space="preserve"> i</t>
    </r>
    <r>
      <rPr>
        <vertAlign val="subscript"/>
        <sz val="11"/>
        <color theme="1"/>
        <rFont val="Arial"/>
        <family val="2"/>
      </rPr>
      <t>pk_BUR_min</t>
    </r>
    <r>
      <rPr>
        <sz val="11"/>
        <color theme="1"/>
        <rFont val="Arial"/>
        <family val="2"/>
      </rPr>
      <t xml:space="preserve"> =</t>
    </r>
  </si>
  <si>
    <r>
      <t xml:space="preserve"> D</t>
    </r>
    <r>
      <rPr>
        <vertAlign val="subscript"/>
        <sz val="11"/>
        <color theme="1"/>
        <rFont val="Arial"/>
        <family val="2"/>
      </rPr>
      <t xml:space="preserve">BUR_min </t>
    </r>
    <r>
      <rPr>
        <sz val="11"/>
        <color theme="1"/>
        <rFont val="Arial"/>
        <family val="2"/>
      </rPr>
      <t>=</t>
    </r>
  </si>
  <si>
    <r>
      <t>I</t>
    </r>
    <r>
      <rPr>
        <vertAlign val="subscript"/>
        <sz val="11"/>
        <color theme="1"/>
        <rFont val="Arial"/>
        <family val="2"/>
      </rPr>
      <t xml:space="preserve">IN_BUR_min </t>
    </r>
    <r>
      <rPr>
        <sz val="11"/>
        <color theme="1"/>
        <rFont val="Arial"/>
        <family val="2"/>
      </rPr>
      <t>=</t>
    </r>
  </si>
  <si>
    <r>
      <t>T</t>
    </r>
    <r>
      <rPr>
        <vertAlign val="subscript"/>
        <sz val="11"/>
        <color theme="1"/>
        <rFont val="Arial"/>
        <family val="2"/>
      </rPr>
      <t>rise_max</t>
    </r>
    <r>
      <rPr>
        <sz val="11"/>
        <color theme="1"/>
        <rFont val="Arial"/>
        <family val="2"/>
      </rPr>
      <t xml:space="preserve"> =</t>
    </r>
  </si>
  <si>
    <r>
      <t>I</t>
    </r>
    <r>
      <rPr>
        <vertAlign val="subscript"/>
        <sz val="11"/>
        <color theme="1"/>
        <rFont val="Arial"/>
        <family val="2"/>
      </rPr>
      <t xml:space="preserve">M_nega_BUR </t>
    </r>
    <r>
      <rPr>
        <sz val="11"/>
        <color theme="1"/>
        <rFont val="Arial"/>
        <family val="2"/>
      </rPr>
      <t>=</t>
    </r>
  </si>
  <si>
    <r>
      <t>f</t>
    </r>
    <r>
      <rPr>
        <vertAlign val="subscript"/>
        <sz val="11"/>
        <color theme="1"/>
        <rFont val="Arial"/>
        <family val="2"/>
      </rPr>
      <t xml:space="preserve">sw_BUR </t>
    </r>
    <r>
      <rPr>
        <sz val="11"/>
        <color theme="1"/>
        <rFont val="Arial"/>
        <family val="2"/>
      </rPr>
      <t>=</t>
    </r>
  </si>
  <si>
    <r>
      <t xml:space="preserve"> i</t>
    </r>
    <r>
      <rPr>
        <vertAlign val="subscript"/>
        <sz val="11"/>
        <color theme="1"/>
        <rFont val="Arial"/>
        <family val="2"/>
      </rPr>
      <t>pk_BUR</t>
    </r>
    <r>
      <rPr>
        <sz val="11"/>
        <color theme="1"/>
        <rFont val="Arial"/>
        <family val="2"/>
      </rPr>
      <t xml:space="preserve"> =</t>
    </r>
  </si>
  <si>
    <r>
      <t>Turn-off Delay Time due to Coss of low-side MOSFET at i</t>
    </r>
    <r>
      <rPr>
        <vertAlign val="subscript"/>
        <sz val="11"/>
        <color theme="1"/>
        <rFont val="Arial"/>
        <family val="2"/>
      </rPr>
      <t>pk_BUR</t>
    </r>
  </si>
  <si>
    <r>
      <t>T</t>
    </r>
    <r>
      <rPr>
        <vertAlign val="subscript"/>
        <sz val="11"/>
        <color theme="1"/>
        <rFont val="Arial"/>
        <family val="2"/>
      </rPr>
      <t>D_Ql_Coss_BUR</t>
    </r>
    <r>
      <rPr>
        <sz val="11"/>
        <color theme="1"/>
        <rFont val="Arial"/>
        <family val="2"/>
      </rPr>
      <t xml:space="preserve"> =</t>
    </r>
  </si>
  <si>
    <r>
      <t>Sum of Peak Current Loop Delay at i</t>
    </r>
    <r>
      <rPr>
        <vertAlign val="subscript"/>
        <sz val="11"/>
        <color theme="1"/>
        <rFont val="Arial"/>
        <family val="2"/>
      </rPr>
      <t>pk_BUR</t>
    </r>
  </si>
  <si>
    <r>
      <t>t</t>
    </r>
    <r>
      <rPr>
        <vertAlign val="subscript"/>
        <sz val="11"/>
        <color theme="1"/>
        <rFont val="Arial"/>
        <family val="2"/>
      </rPr>
      <t>D_CST_BUR</t>
    </r>
    <r>
      <rPr>
        <sz val="11"/>
        <color theme="1"/>
        <rFont val="Arial"/>
        <family val="2"/>
      </rPr>
      <t xml:space="preserve"> =</t>
    </r>
  </si>
  <si>
    <r>
      <t xml:space="preserve"> D</t>
    </r>
    <r>
      <rPr>
        <vertAlign val="subscript"/>
        <sz val="11"/>
        <color theme="1"/>
        <rFont val="Arial"/>
        <family val="2"/>
      </rPr>
      <t xml:space="preserve">BUR </t>
    </r>
    <r>
      <rPr>
        <sz val="11"/>
        <color theme="1"/>
        <rFont val="Arial"/>
        <family val="2"/>
      </rPr>
      <t>=</t>
    </r>
  </si>
  <si>
    <r>
      <t>I</t>
    </r>
    <r>
      <rPr>
        <vertAlign val="subscript"/>
        <sz val="11"/>
        <color theme="1"/>
        <rFont val="Arial"/>
        <family val="2"/>
      </rPr>
      <t xml:space="preserve">IN_BUR </t>
    </r>
    <r>
      <rPr>
        <sz val="11"/>
        <color theme="1"/>
        <rFont val="Arial"/>
        <family val="2"/>
      </rPr>
      <t>=</t>
    </r>
  </si>
  <si>
    <r>
      <t>i</t>
    </r>
    <r>
      <rPr>
        <vertAlign val="subscript"/>
        <sz val="11"/>
        <color theme="1"/>
        <rFont val="Arial"/>
        <family val="2"/>
      </rPr>
      <t>VSL_BUR</t>
    </r>
    <r>
      <rPr>
        <sz val="11"/>
        <color theme="1"/>
        <rFont val="Arial"/>
        <family val="2"/>
      </rPr>
      <t xml:space="preserve"> =</t>
    </r>
  </si>
  <si>
    <r>
      <t>T</t>
    </r>
    <r>
      <rPr>
        <vertAlign val="subscript"/>
        <sz val="11"/>
        <color theme="1"/>
        <rFont val="Arial"/>
        <family val="2"/>
      </rPr>
      <t>D_Ql_Coss_vmax</t>
    </r>
    <r>
      <rPr>
        <sz val="11"/>
        <color theme="1"/>
        <rFont val="Arial"/>
        <family val="2"/>
      </rPr>
      <t xml:space="preserve"> =</t>
    </r>
  </si>
  <si>
    <r>
      <t xml:space="preserve"> t</t>
    </r>
    <r>
      <rPr>
        <vertAlign val="subscript"/>
        <sz val="11"/>
        <color theme="1"/>
        <rFont val="Arial"/>
        <family val="2"/>
      </rPr>
      <t>D_CST_vmax</t>
    </r>
    <r>
      <rPr>
        <sz val="11"/>
        <color theme="1"/>
        <rFont val="Arial"/>
        <family val="2"/>
      </rPr>
      <t xml:space="preserve"> =</t>
    </r>
  </si>
  <si>
    <r>
      <t>I</t>
    </r>
    <r>
      <rPr>
        <vertAlign val="subscript"/>
        <sz val="11"/>
        <color theme="1"/>
        <rFont val="Arial"/>
        <family val="2"/>
      </rPr>
      <t xml:space="preserve">M_nega_max </t>
    </r>
    <r>
      <rPr>
        <sz val="11"/>
        <color theme="1"/>
        <rFont val="Arial"/>
        <family val="2"/>
      </rPr>
      <t>=</t>
    </r>
  </si>
  <si>
    <r>
      <t>f</t>
    </r>
    <r>
      <rPr>
        <vertAlign val="subscript"/>
        <sz val="11"/>
        <color theme="1"/>
        <rFont val="Arial"/>
        <family val="2"/>
      </rPr>
      <t xml:space="preserve">sw_OPP_max </t>
    </r>
    <r>
      <rPr>
        <sz val="11"/>
        <color theme="1"/>
        <rFont val="Arial"/>
        <family val="2"/>
      </rPr>
      <t>=</t>
    </r>
  </si>
  <si>
    <r>
      <t xml:space="preserve"> i</t>
    </r>
    <r>
      <rPr>
        <vertAlign val="subscript"/>
        <sz val="11"/>
        <color theme="1"/>
        <rFont val="Arial"/>
        <family val="2"/>
      </rPr>
      <t>pk_OPP_max</t>
    </r>
    <r>
      <rPr>
        <sz val="11"/>
        <color theme="1"/>
        <rFont val="Arial"/>
        <family val="2"/>
      </rPr>
      <t xml:space="preserve"> =</t>
    </r>
  </si>
  <si>
    <r>
      <t xml:space="preserve"> D</t>
    </r>
    <r>
      <rPr>
        <vertAlign val="subscript"/>
        <sz val="11"/>
        <color theme="1"/>
        <rFont val="Arial"/>
        <family val="2"/>
      </rPr>
      <t xml:space="preserve">OPP_max </t>
    </r>
    <r>
      <rPr>
        <sz val="11"/>
        <color theme="1"/>
        <rFont val="Arial"/>
        <family val="2"/>
      </rPr>
      <t>=</t>
    </r>
  </si>
  <si>
    <r>
      <t>I</t>
    </r>
    <r>
      <rPr>
        <vertAlign val="subscript"/>
        <sz val="11"/>
        <color theme="1"/>
        <rFont val="Arial"/>
        <family val="2"/>
      </rPr>
      <t xml:space="preserve">IN_OPP_max </t>
    </r>
    <r>
      <rPr>
        <sz val="11"/>
        <color theme="1"/>
        <rFont val="Arial"/>
        <family val="2"/>
      </rPr>
      <t>=</t>
    </r>
  </si>
  <si>
    <r>
      <t>V</t>
    </r>
    <r>
      <rPr>
        <vertAlign val="subscript"/>
        <sz val="11"/>
        <color theme="1"/>
        <rFont val="Arial"/>
        <family val="2"/>
      </rPr>
      <t xml:space="preserve">offset_CS_OPP </t>
    </r>
    <r>
      <rPr>
        <sz val="11"/>
        <color theme="1"/>
        <rFont val="Arial"/>
        <family val="2"/>
      </rPr>
      <t>=</t>
    </r>
  </si>
  <si>
    <r>
      <t>i</t>
    </r>
    <r>
      <rPr>
        <vertAlign val="subscript"/>
        <sz val="11"/>
        <color theme="1"/>
        <rFont val="Arial"/>
        <family val="2"/>
      </rPr>
      <t>VSL_max</t>
    </r>
    <r>
      <rPr>
        <sz val="11"/>
        <color theme="1"/>
        <rFont val="Arial"/>
        <family val="2"/>
      </rPr>
      <t xml:space="preserve"> =</t>
    </r>
  </si>
  <si>
    <r>
      <t>V</t>
    </r>
    <r>
      <rPr>
        <vertAlign val="subscript"/>
        <sz val="11"/>
        <color theme="1"/>
        <rFont val="Arial"/>
        <family val="2"/>
      </rPr>
      <t>R_pri_max</t>
    </r>
    <r>
      <rPr>
        <sz val="11"/>
        <color theme="1"/>
        <rFont val="Arial"/>
        <family val="2"/>
      </rPr>
      <t xml:space="preserve"> =</t>
    </r>
  </si>
  <si>
    <r>
      <t>V</t>
    </r>
    <r>
      <rPr>
        <vertAlign val="subscript"/>
        <sz val="11"/>
        <color theme="1"/>
        <rFont val="Arial"/>
        <family val="2"/>
      </rPr>
      <t>Lk_pri_max</t>
    </r>
    <r>
      <rPr>
        <sz val="11"/>
        <color theme="1"/>
        <rFont val="Arial"/>
        <family val="2"/>
      </rPr>
      <t xml:space="preserve"> =</t>
    </r>
  </si>
  <si>
    <r>
      <t>I</t>
    </r>
    <r>
      <rPr>
        <vertAlign val="subscript"/>
        <sz val="11"/>
        <color theme="1"/>
        <rFont val="Arial"/>
        <family val="2"/>
      </rPr>
      <t xml:space="preserve">M_nega_OPP_min </t>
    </r>
    <r>
      <rPr>
        <sz val="11"/>
        <color theme="1"/>
        <rFont val="Arial"/>
        <family val="2"/>
      </rPr>
      <t>=</t>
    </r>
  </si>
  <si>
    <r>
      <t xml:space="preserve"> i</t>
    </r>
    <r>
      <rPr>
        <vertAlign val="subscript"/>
        <sz val="11"/>
        <color theme="1"/>
        <rFont val="Arial"/>
        <family val="2"/>
      </rPr>
      <t>pk_OPP_min</t>
    </r>
    <r>
      <rPr>
        <sz val="11"/>
        <color theme="1"/>
        <rFont val="Arial"/>
        <family val="2"/>
      </rPr>
      <t xml:space="preserve"> =</t>
    </r>
  </si>
  <si>
    <r>
      <t>f</t>
    </r>
    <r>
      <rPr>
        <vertAlign val="subscript"/>
        <sz val="11"/>
        <color theme="1"/>
        <rFont val="Arial"/>
        <family val="2"/>
      </rPr>
      <t xml:space="preserve">sw_OPP_min </t>
    </r>
    <r>
      <rPr>
        <sz val="11"/>
        <color theme="1"/>
        <rFont val="Arial"/>
        <family val="2"/>
      </rPr>
      <t>=</t>
    </r>
  </si>
  <si>
    <r>
      <t>I</t>
    </r>
    <r>
      <rPr>
        <vertAlign val="subscript"/>
        <sz val="11"/>
        <color theme="1"/>
        <rFont val="Arial"/>
        <family val="2"/>
      </rPr>
      <t xml:space="preserve">IN_OPP_min </t>
    </r>
    <r>
      <rPr>
        <sz val="11"/>
        <color theme="1"/>
        <rFont val="Arial"/>
        <family val="2"/>
      </rPr>
      <t>=</t>
    </r>
  </si>
  <si>
    <r>
      <t xml:space="preserve"> D</t>
    </r>
    <r>
      <rPr>
        <vertAlign val="subscript"/>
        <sz val="11"/>
        <color theme="1"/>
        <rFont val="Arial"/>
        <family val="2"/>
      </rPr>
      <t xml:space="preserve">OPP_min </t>
    </r>
    <r>
      <rPr>
        <sz val="11"/>
        <color theme="1"/>
        <rFont val="Arial"/>
        <family val="2"/>
      </rPr>
      <t>=</t>
    </r>
  </si>
  <si>
    <r>
      <t>T</t>
    </r>
    <r>
      <rPr>
        <vertAlign val="subscript"/>
        <sz val="11"/>
        <color theme="1"/>
        <rFont val="Arial"/>
        <family val="2"/>
      </rPr>
      <t>_on_min</t>
    </r>
    <r>
      <rPr>
        <sz val="11"/>
        <color theme="1"/>
        <rFont val="Arial"/>
        <family val="2"/>
      </rPr>
      <t xml:space="preserve"> =</t>
    </r>
  </si>
  <si>
    <r>
      <t>T</t>
    </r>
    <r>
      <rPr>
        <vertAlign val="subscript"/>
        <sz val="11"/>
        <color theme="1"/>
        <rFont val="Arial"/>
        <family val="2"/>
      </rPr>
      <t>D_Ql_Coss_vmin</t>
    </r>
    <r>
      <rPr>
        <sz val="11"/>
        <color theme="1"/>
        <rFont val="Arial"/>
        <family val="2"/>
      </rPr>
      <t xml:space="preserve"> =</t>
    </r>
  </si>
  <si>
    <r>
      <t>C</t>
    </r>
    <r>
      <rPr>
        <vertAlign val="subscript"/>
        <sz val="11"/>
        <color theme="1"/>
        <rFont val="Arial"/>
        <family val="2"/>
      </rPr>
      <t>SW_0toVxl</t>
    </r>
    <r>
      <rPr>
        <sz val="11"/>
        <color theme="1"/>
        <rFont val="Arial"/>
        <family val="2"/>
      </rPr>
      <t xml:space="preserve"> =</t>
    </r>
  </si>
  <si>
    <r>
      <t>t</t>
    </r>
    <r>
      <rPr>
        <vertAlign val="subscript"/>
        <sz val="11"/>
        <color theme="1"/>
        <rFont val="Arial"/>
        <family val="2"/>
      </rPr>
      <t>D_CST_vmin</t>
    </r>
    <r>
      <rPr>
        <sz val="11"/>
        <color theme="1"/>
        <rFont val="Arial"/>
        <family val="2"/>
      </rPr>
      <t xml:space="preserve"> =</t>
    </r>
  </si>
  <si>
    <r>
      <t xml:space="preserve"> D</t>
    </r>
    <r>
      <rPr>
        <vertAlign val="subscript"/>
        <sz val="11"/>
        <color theme="1"/>
        <rFont val="Arial"/>
        <family val="2"/>
      </rPr>
      <t xml:space="preserve">OPP_run </t>
    </r>
    <r>
      <rPr>
        <sz val="11"/>
        <color theme="1"/>
        <rFont val="Arial"/>
        <family val="2"/>
      </rPr>
      <t>=</t>
    </r>
  </si>
  <si>
    <r>
      <t>I</t>
    </r>
    <r>
      <rPr>
        <vertAlign val="subscript"/>
        <sz val="11"/>
        <color theme="1"/>
        <rFont val="Arial"/>
        <family val="2"/>
      </rPr>
      <t xml:space="preserve">IN_OPP_run </t>
    </r>
    <r>
      <rPr>
        <sz val="11"/>
        <color theme="1"/>
        <rFont val="Arial"/>
        <family val="2"/>
      </rPr>
      <t>=</t>
    </r>
  </si>
  <si>
    <r>
      <t>I</t>
    </r>
    <r>
      <rPr>
        <vertAlign val="subscript"/>
        <sz val="11"/>
        <color theme="1"/>
        <rFont val="Arial"/>
        <family val="2"/>
      </rPr>
      <t xml:space="preserve">M_nega_run </t>
    </r>
    <r>
      <rPr>
        <sz val="11"/>
        <color theme="1"/>
        <rFont val="Arial"/>
        <family val="2"/>
      </rPr>
      <t>=</t>
    </r>
  </si>
  <si>
    <r>
      <t>f</t>
    </r>
    <r>
      <rPr>
        <vertAlign val="subscript"/>
        <sz val="11"/>
        <color theme="1"/>
        <rFont val="Arial"/>
        <family val="2"/>
      </rPr>
      <t xml:space="preserve">sw_OPP_run </t>
    </r>
    <r>
      <rPr>
        <sz val="11"/>
        <color theme="1"/>
        <rFont val="Arial"/>
        <family val="2"/>
      </rPr>
      <t>=</t>
    </r>
  </si>
  <si>
    <r>
      <t xml:space="preserve"> i</t>
    </r>
    <r>
      <rPr>
        <vertAlign val="subscript"/>
        <sz val="11"/>
        <color theme="1"/>
        <rFont val="Arial"/>
        <family val="2"/>
      </rPr>
      <t>pk_OPP_run</t>
    </r>
    <r>
      <rPr>
        <sz val="11"/>
        <color theme="1"/>
        <rFont val="Arial"/>
        <family val="2"/>
      </rPr>
      <t xml:space="preserve"> =</t>
    </r>
  </si>
  <si>
    <r>
      <t>V</t>
    </r>
    <r>
      <rPr>
        <vertAlign val="subscript"/>
        <sz val="11"/>
        <color theme="1"/>
        <rFont val="Arial"/>
        <family val="2"/>
      </rPr>
      <t xml:space="preserve">clamp_max_SR </t>
    </r>
    <r>
      <rPr>
        <sz val="11"/>
        <color theme="1"/>
        <rFont val="Arial"/>
        <family val="2"/>
      </rPr>
      <t>=</t>
    </r>
  </si>
  <si>
    <r>
      <t>V</t>
    </r>
    <r>
      <rPr>
        <vertAlign val="subscript"/>
        <sz val="11"/>
        <color theme="1"/>
        <rFont val="Arial"/>
        <family val="2"/>
      </rPr>
      <t xml:space="preserve">clamp_max_QH </t>
    </r>
    <r>
      <rPr>
        <sz val="11"/>
        <color theme="1"/>
        <rFont val="Arial"/>
        <family val="2"/>
      </rPr>
      <t>=</t>
    </r>
  </si>
  <si>
    <r>
      <t>V</t>
    </r>
    <r>
      <rPr>
        <vertAlign val="subscript"/>
        <sz val="11"/>
        <color theme="1"/>
        <rFont val="Arial"/>
        <family val="2"/>
      </rPr>
      <t xml:space="preserve">clamp_max </t>
    </r>
    <r>
      <rPr>
        <sz val="11"/>
        <color theme="1"/>
        <rFont val="Arial"/>
        <family val="2"/>
      </rPr>
      <t>=</t>
    </r>
  </si>
  <si>
    <r>
      <t>Recommended Minimum L</t>
    </r>
    <r>
      <rPr>
        <vertAlign val="subscript"/>
        <sz val="11"/>
        <color theme="1"/>
        <rFont val="Arial"/>
        <family val="2"/>
      </rPr>
      <t>O</t>
    </r>
    <r>
      <rPr>
        <sz val="11"/>
        <color theme="1"/>
        <rFont val="Arial"/>
        <family val="2"/>
      </rPr>
      <t xml:space="preserve"> </t>
    </r>
  </si>
  <si>
    <r>
      <t>L</t>
    </r>
    <r>
      <rPr>
        <vertAlign val="subscript"/>
        <sz val="11"/>
        <color theme="1"/>
        <rFont val="Arial"/>
        <family val="2"/>
      </rPr>
      <t>O</t>
    </r>
    <r>
      <rPr>
        <sz val="11"/>
        <color theme="1"/>
        <rFont val="Arial"/>
        <family val="2"/>
      </rPr>
      <t xml:space="preserve"> Used in Calculations</t>
    </r>
  </si>
  <si>
    <r>
      <t xml:space="preserve"> R</t>
    </r>
    <r>
      <rPr>
        <vertAlign val="subscript"/>
        <sz val="11"/>
        <rFont val="Calibri"/>
        <family val="2"/>
        <scheme val="minor"/>
      </rPr>
      <t>DAMP</t>
    </r>
    <r>
      <rPr>
        <sz val="7"/>
        <rFont val="Calibri"/>
        <family val="2"/>
        <scheme val="minor"/>
      </rPr>
      <t xml:space="preserve"> </t>
    </r>
    <r>
      <rPr>
        <sz val="11"/>
        <rFont val="Calibri"/>
        <family val="2"/>
      </rPr>
      <t>≥</t>
    </r>
    <r>
      <rPr>
        <sz val="11"/>
        <rFont val="Calibri"/>
        <family val="2"/>
        <scheme val="minor"/>
      </rPr>
      <t xml:space="preserve"> </t>
    </r>
    <r>
      <rPr>
        <sz val="16"/>
        <rFont val="Calibri"/>
        <family val="2"/>
        <scheme val="minor"/>
      </rPr>
      <t>√</t>
    </r>
    <r>
      <rPr>
        <sz val="11"/>
        <rFont val="Calibri"/>
        <family val="2"/>
        <scheme val="minor"/>
      </rPr>
      <t>(L</t>
    </r>
    <r>
      <rPr>
        <vertAlign val="subscript"/>
        <sz val="11"/>
        <rFont val="Calibri"/>
        <family val="2"/>
        <scheme val="minor"/>
      </rPr>
      <t>O</t>
    </r>
    <r>
      <rPr>
        <sz val="11"/>
        <rFont val="Calibri"/>
        <family val="2"/>
        <scheme val="minor"/>
      </rPr>
      <t>/C</t>
    </r>
    <r>
      <rPr>
        <vertAlign val="subscript"/>
        <sz val="11"/>
        <rFont val="Calibri"/>
        <family val="2"/>
        <scheme val="minor"/>
      </rPr>
      <t>O1</t>
    </r>
    <r>
      <rPr>
        <sz val="11"/>
        <rFont val="Calibri"/>
        <family val="2"/>
        <scheme val="minor"/>
      </rPr>
      <t xml:space="preserve">)   </t>
    </r>
  </si>
  <si>
    <r>
      <t>DC-Bias Reduction at Design V</t>
    </r>
    <r>
      <rPr>
        <vertAlign val="subscript"/>
        <sz val="11"/>
        <rFont val="Arial"/>
        <family val="2"/>
      </rPr>
      <t>O</t>
    </r>
  </si>
  <si>
    <t>Trade off stability with efficiency:</t>
  </si>
  <si>
    <r>
      <t>Decrease L</t>
    </r>
    <r>
      <rPr>
        <vertAlign val="subscript"/>
        <sz val="11"/>
        <color theme="1"/>
        <rFont val="Arial"/>
        <family val="2"/>
      </rPr>
      <t>DAMP</t>
    </r>
    <r>
      <rPr>
        <sz val="11"/>
        <color theme="1"/>
        <rFont val="Arial"/>
        <family val="2"/>
      </rPr>
      <t xml:space="preserve"> for stronger damping ==&gt; Lower V</t>
    </r>
    <r>
      <rPr>
        <vertAlign val="subscript"/>
        <sz val="11"/>
        <color theme="1"/>
        <rFont val="Arial"/>
        <family val="2"/>
      </rPr>
      <t>Co1</t>
    </r>
    <r>
      <rPr>
        <sz val="11"/>
        <color theme="1"/>
        <rFont val="Arial"/>
        <family val="2"/>
      </rPr>
      <t xml:space="preserve"> ripple ==&gt; Stable V</t>
    </r>
    <r>
      <rPr>
        <vertAlign val="subscript"/>
        <sz val="11"/>
        <color theme="1"/>
        <rFont val="Arial"/>
        <family val="2"/>
      </rPr>
      <t>gs(SR)</t>
    </r>
    <r>
      <rPr>
        <sz val="11"/>
        <color theme="1"/>
        <rFont val="Arial"/>
        <family val="2"/>
      </rPr>
      <t xml:space="preserve"> ==&gt; Lower efficiency (by 10ths of %)</t>
    </r>
  </si>
  <si>
    <r>
      <t xml:space="preserve"> K</t>
    </r>
    <r>
      <rPr>
        <vertAlign val="subscript"/>
        <sz val="11"/>
        <color theme="1"/>
        <rFont val="Arial"/>
        <family val="2"/>
      </rPr>
      <t>der_SR</t>
    </r>
    <r>
      <rPr>
        <sz val="11"/>
        <color theme="1"/>
        <rFont val="Arial"/>
        <family val="2"/>
      </rPr>
      <t xml:space="preserve"> =</t>
    </r>
  </si>
  <si>
    <r>
      <t xml:space="preserve"> V</t>
    </r>
    <r>
      <rPr>
        <vertAlign val="subscript"/>
        <sz val="11"/>
        <color theme="1"/>
        <rFont val="Arial"/>
        <family val="2"/>
      </rPr>
      <t>SR_rec</t>
    </r>
    <r>
      <rPr>
        <sz val="11"/>
        <color theme="1"/>
        <rFont val="Arial"/>
        <family val="2"/>
      </rPr>
      <t xml:space="preserve"> =</t>
    </r>
  </si>
  <si>
    <r>
      <t xml:space="preserve"> V</t>
    </r>
    <r>
      <rPr>
        <vertAlign val="subscript"/>
        <sz val="11"/>
        <color theme="1"/>
        <rFont val="Arial"/>
        <family val="2"/>
      </rPr>
      <t>SR_act</t>
    </r>
    <r>
      <rPr>
        <sz val="11"/>
        <color theme="1"/>
        <rFont val="Arial"/>
        <family val="2"/>
      </rPr>
      <t xml:space="preserve"> =</t>
    </r>
  </si>
  <si>
    <r>
      <t>C</t>
    </r>
    <r>
      <rPr>
        <vertAlign val="subscript"/>
        <sz val="11"/>
        <color theme="1"/>
        <rFont val="Arial"/>
        <family val="2"/>
      </rPr>
      <t xml:space="preserve">oss_SR_bg </t>
    </r>
    <r>
      <rPr>
        <sz val="11"/>
        <color theme="1"/>
        <rFont val="Arial"/>
        <family val="2"/>
      </rPr>
      <t>=</t>
    </r>
  </si>
  <si>
    <r>
      <t xml:space="preserve"> C</t>
    </r>
    <r>
      <rPr>
        <vertAlign val="subscript"/>
        <sz val="11"/>
        <color theme="1"/>
        <rFont val="Arial"/>
        <family val="2"/>
      </rPr>
      <t xml:space="preserve">oss_SR_sm </t>
    </r>
    <r>
      <rPr>
        <sz val="11"/>
        <color theme="1"/>
        <rFont val="Arial"/>
        <family val="2"/>
      </rPr>
      <t>=</t>
    </r>
  </si>
  <si>
    <r>
      <t xml:space="preserve"> V</t>
    </r>
    <r>
      <rPr>
        <vertAlign val="subscript"/>
        <sz val="11"/>
        <color theme="1"/>
        <rFont val="Arial"/>
        <family val="2"/>
      </rPr>
      <t>x_SR</t>
    </r>
    <r>
      <rPr>
        <sz val="11"/>
        <color theme="1"/>
        <rFont val="Arial"/>
        <family val="2"/>
      </rPr>
      <t xml:space="preserve"> =</t>
    </r>
  </si>
  <si>
    <r>
      <t xml:space="preserve">Recommended </t>
    </r>
    <r>
      <rPr>
        <b/>
        <sz val="11"/>
        <color theme="1"/>
        <rFont val="Arial"/>
        <family val="2"/>
      </rPr>
      <t>Minimum</t>
    </r>
    <r>
      <rPr>
        <sz val="11"/>
        <color theme="1"/>
        <rFont val="Arial"/>
        <family val="2"/>
      </rPr>
      <t xml:space="preserve"> Input Bulk Capacitance</t>
    </r>
  </si>
  <si>
    <r>
      <t>C</t>
    </r>
    <r>
      <rPr>
        <vertAlign val="subscript"/>
        <sz val="11"/>
        <color theme="1"/>
        <rFont val="Arial"/>
        <family val="2"/>
      </rPr>
      <t>BULK_rec</t>
    </r>
    <r>
      <rPr>
        <sz val="11"/>
        <color theme="1"/>
        <rFont val="Arial"/>
        <family val="2"/>
      </rPr>
      <t xml:space="preserve"> =</t>
    </r>
  </si>
  <si>
    <r>
      <t xml:space="preserve"> C</t>
    </r>
    <r>
      <rPr>
        <vertAlign val="subscript"/>
        <sz val="11"/>
        <color theme="1"/>
        <rFont val="Arial"/>
        <family val="2"/>
      </rPr>
      <t>BULK_act</t>
    </r>
    <r>
      <rPr>
        <sz val="11"/>
        <color theme="1"/>
        <rFont val="Arial"/>
        <family val="2"/>
      </rPr>
      <t xml:space="preserve"> =</t>
    </r>
  </si>
  <si>
    <r>
      <t xml:space="preserve"> C</t>
    </r>
    <r>
      <rPr>
        <vertAlign val="subscript"/>
        <sz val="11"/>
        <color theme="1"/>
        <rFont val="Arial"/>
        <family val="2"/>
      </rPr>
      <t>BULK</t>
    </r>
    <r>
      <rPr>
        <sz val="11"/>
        <color theme="1"/>
        <rFont val="Arial"/>
        <family val="2"/>
      </rPr>
      <t xml:space="preserve"> =</t>
    </r>
  </si>
  <si>
    <r>
      <t>ESR of Output Capacitor C</t>
    </r>
    <r>
      <rPr>
        <vertAlign val="subscript"/>
        <sz val="11"/>
        <color theme="1"/>
        <rFont val="Arial"/>
        <family val="2"/>
      </rPr>
      <t>OUT</t>
    </r>
    <r>
      <rPr>
        <sz val="11"/>
        <color rgb="FF0000FF"/>
        <rFont val="Arial"/>
        <family val="2"/>
      </rPr>
      <t/>
    </r>
  </si>
  <si>
    <r>
      <t xml:space="preserve"> R</t>
    </r>
    <r>
      <rPr>
        <vertAlign val="subscript"/>
        <sz val="11"/>
        <color theme="1"/>
        <rFont val="Arial"/>
        <family val="2"/>
      </rPr>
      <t>CO</t>
    </r>
    <r>
      <rPr>
        <sz val="11"/>
        <color theme="1"/>
        <rFont val="Arial"/>
        <family val="2"/>
      </rPr>
      <t xml:space="preserve"> =</t>
    </r>
  </si>
  <si>
    <r>
      <t>m</t>
    </r>
    <r>
      <rPr>
        <sz val="11"/>
        <color theme="1"/>
        <rFont val="Calibri"/>
        <family val="2"/>
      </rPr>
      <t>Ω</t>
    </r>
  </si>
  <si>
    <r>
      <t xml:space="preserve">Recommended </t>
    </r>
    <r>
      <rPr>
        <b/>
        <sz val="11"/>
        <color theme="1"/>
        <rFont val="Arial"/>
        <family val="2"/>
      </rPr>
      <t>Minimum</t>
    </r>
    <r>
      <rPr>
        <sz val="11"/>
        <color theme="1"/>
        <rFont val="Arial"/>
        <family val="2"/>
      </rPr>
      <t xml:space="preserve"> Output Capacitance</t>
    </r>
  </si>
  <si>
    <r>
      <t xml:space="preserve"> C</t>
    </r>
    <r>
      <rPr>
        <vertAlign val="subscript"/>
        <sz val="11"/>
        <color theme="1"/>
        <rFont val="Arial"/>
        <family val="2"/>
      </rPr>
      <t xml:space="preserve">OUT_rec </t>
    </r>
    <r>
      <rPr>
        <sz val="11"/>
        <color theme="1"/>
        <rFont val="Arial"/>
        <family val="2"/>
      </rPr>
      <t>=</t>
    </r>
  </si>
  <si>
    <r>
      <t xml:space="preserve"> C</t>
    </r>
    <r>
      <rPr>
        <vertAlign val="subscript"/>
        <sz val="11"/>
        <color theme="1"/>
        <rFont val="Arial"/>
        <family val="2"/>
      </rPr>
      <t>OUT_act</t>
    </r>
    <r>
      <rPr>
        <sz val="11"/>
        <color theme="1"/>
        <rFont val="Arial"/>
        <family val="2"/>
      </rPr>
      <t xml:space="preserve"> =</t>
    </r>
  </si>
  <si>
    <r>
      <t xml:space="preserve"> C</t>
    </r>
    <r>
      <rPr>
        <vertAlign val="subscript"/>
        <sz val="11"/>
        <color theme="1"/>
        <rFont val="Arial"/>
        <family val="2"/>
      </rPr>
      <t>OUT</t>
    </r>
    <r>
      <rPr>
        <sz val="11"/>
        <color theme="1"/>
        <rFont val="Arial"/>
        <family val="2"/>
      </rPr>
      <t xml:space="preserve"> =</t>
    </r>
  </si>
  <si>
    <r>
      <t>T</t>
    </r>
    <r>
      <rPr>
        <vertAlign val="subscript"/>
        <sz val="11"/>
        <color theme="1"/>
        <rFont val="Arial"/>
        <family val="2"/>
      </rPr>
      <t xml:space="preserve">D_LDr </t>
    </r>
    <r>
      <rPr>
        <sz val="11"/>
        <color theme="1"/>
        <rFont val="Arial"/>
        <family val="2"/>
      </rPr>
      <t>=</t>
    </r>
  </si>
  <si>
    <r>
      <t xml:space="preserve"> T</t>
    </r>
    <r>
      <rPr>
        <vertAlign val="subscript"/>
        <sz val="11"/>
        <color theme="1"/>
        <rFont val="Arial"/>
        <family val="2"/>
      </rPr>
      <t>D_HDr</t>
    </r>
    <r>
      <rPr>
        <sz val="11"/>
        <color theme="1"/>
        <rFont val="Arial"/>
        <family val="2"/>
      </rPr>
      <t xml:space="preserve"> =</t>
    </r>
  </si>
  <si>
    <r>
      <t>V</t>
    </r>
    <r>
      <rPr>
        <vertAlign val="subscript"/>
        <sz val="11"/>
        <color theme="1"/>
        <rFont val="Arial"/>
        <family val="2"/>
      </rPr>
      <t>f_BootD</t>
    </r>
    <r>
      <rPr>
        <sz val="11"/>
        <color theme="1"/>
        <rFont val="Arial"/>
        <family val="2"/>
      </rPr>
      <t xml:space="preserve"> =</t>
    </r>
  </si>
  <si>
    <r>
      <t xml:space="preserve"> C</t>
    </r>
    <r>
      <rPr>
        <vertAlign val="subscript"/>
        <sz val="11"/>
        <color theme="1"/>
        <rFont val="Arial"/>
        <family val="2"/>
      </rPr>
      <t xml:space="preserve">BootD_T </t>
    </r>
    <r>
      <rPr>
        <sz val="11"/>
        <color theme="1"/>
        <rFont val="Arial"/>
        <family val="2"/>
      </rPr>
      <t>=</t>
    </r>
  </si>
  <si>
    <r>
      <t xml:space="preserve"> I</t>
    </r>
    <r>
      <rPr>
        <vertAlign val="subscript"/>
        <sz val="11"/>
        <color theme="1"/>
        <rFont val="Arial"/>
        <family val="2"/>
      </rPr>
      <t xml:space="preserve">VCC_qcc </t>
    </r>
    <r>
      <rPr>
        <sz val="11"/>
        <color theme="1"/>
        <rFont val="Arial"/>
        <family val="2"/>
      </rPr>
      <t>=</t>
    </r>
  </si>
  <si>
    <r>
      <t xml:space="preserve"> V</t>
    </r>
    <r>
      <rPr>
        <vertAlign val="subscript"/>
        <sz val="11"/>
        <color theme="1"/>
        <rFont val="Arial"/>
        <family val="2"/>
      </rPr>
      <t>DS_rec</t>
    </r>
    <r>
      <rPr>
        <sz val="11"/>
        <color theme="1"/>
        <rFont val="Arial"/>
        <family val="2"/>
      </rPr>
      <t xml:space="preserve"> =</t>
    </r>
  </si>
  <si>
    <r>
      <t xml:space="preserve"> V</t>
    </r>
    <r>
      <rPr>
        <vertAlign val="subscript"/>
        <sz val="11"/>
        <color theme="1"/>
        <rFont val="Arial"/>
        <family val="2"/>
      </rPr>
      <t>DS_act</t>
    </r>
    <r>
      <rPr>
        <sz val="11"/>
        <color theme="1"/>
        <rFont val="Arial"/>
        <family val="2"/>
      </rPr>
      <t xml:space="preserve"> =</t>
    </r>
  </si>
  <si>
    <r>
      <t xml:space="preserve"> K</t>
    </r>
    <r>
      <rPr>
        <vertAlign val="subscript"/>
        <sz val="11"/>
        <color theme="1"/>
        <rFont val="Arial"/>
        <family val="2"/>
      </rPr>
      <t>TZ</t>
    </r>
    <r>
      <rPr>
        <sz val="11"/>
        <color theme="1"/>
        <rFont val="Arial"/>
        <family val="2"/>
      </rPr>
      <t xml:space="preserve"> =</t>
    </r>
  </si>
  <si>
    <r>
      <t>F</t>
    </r>
    <r>
      <rPr>
        <vertAlign val="superscript"/>
        <sz val="11"/>
        <color theme="1"/>
        <rFont val="Arial"/>
        <family val="2"/>
      </rPr>
      <t>-1</t>
    </r>
  </si>
  <si>
    <r>
      <t>R</t>
    </r>
    <r>
      <rPr>
        <vertAlign val="subscript"/>
        <sz val="11"/>
        <color theme="1"/>
        <rFont val="Arial"/>
        <family val="2"/>
      </rPr>
      <t xml:space="preserve">DSon_QH </t>
    </r>
    <r>
      <rPr>
        <sz val="11"/>
        <color theme="1"/>
        <rFont val="Arial"/>
        <family val="2"/>
      </rPr>
      <t>=</t>
    </r>
  </si>
  <si>
    <r>
      <t xml:space="preserve"> C</t>
    </r>
    <r>
      <rPr>
        <vertAlign val="subscript"/>
        <sz val="11"/>
        <color theme="1"/>
        <rFont val="Arial"/>
        <family val="2"/>
      </rPr>
      <t>OSS_QH_bg</t>
    </r>
    <r>
      <rPr>
        <sz val="11"/>
        <color theme="1"/>
        <rFont val="Arial"/>
        <family val="2"/>
      </rPr>
      <t xml:space="preserve"> =</t>
    </r>
  </si>
  <si>
    <r>
      <t xml:space="preserve"> C</t>
    </r>
    <r>
      <rPr>
        <vertAlign val="subscript"/>
        <sz val="11"/>
        <color theme="1"/>
        <rFont val="Arial"/>
        <family val="2"/>
      </rPr>
      <t xml:space="preserve">OSS_QH_sm </t>
    </r>
    <r>
      <rPr>
        <sz val="11"/>
        <color theme="1"/>
        <rFont val="Arial"/>
        <family val="2"/>
      </rPr>
      <t>=</t>
    </r>
  </si>
  <si>
    <r>
      <t xml:space="preserve"> V</t>
    </r>
    <r>
      <rPr>
        <vertAlign val="subscript"/>
        <sz val="11"/>
        <color theme="1"/>
        <rFont val="Arial"/>
        <family val="2"/>
      </rPr>
      <t>xh</t>
    </r>
    <r>
      <rPr>
        <sz val="11"/>
        <color theme="1"/>
        <rFont val="Arial"/>
        <family val="2"/>
      </rPr>
      <t xml:space="preserve"> =</t>
    </r>
  </si>
  <si>
    <r>
      <t xml:space="preserve"> I</t>
    </r>
    <r>
      <rPr>
        <vertAlign val="subscript"/>
        <sz val="11"/>
        <color theme="1"/>
        <rFont val="Arial"/>
        <family val="2"/>
      </rPr>
      <t>QH_max</t>
    </r>
    <r>
      <rPr>
        <sz val="11"/>
        <color theme="1"/>
        <rFont val="Arial"/>
        <family val="2"/>
      </rPr>
      <t xml:space="preserve"> =</t>
    </r>
  </si>
  <si>
    <r>
      <t>R</t>
    </r>
    <r>
      <rPr>
        <vertAlign val="subscript"/>
        <sz val="11"/>
        <color theme="1"/>
        <rFont val="Arial"/>
        <family val="2"/>
      </rPr>
      <t xml:space="preserve">DSon_QL </t>
    </r>
    <r>
      <rPr>
        <sz val="11"/>
        <color theme="1"/>
        <rFont val="Arial"/>
        <family val="2"/>
      </rPr>
      <t>=</t>
    </r>
  </si>
  <si>
    <r>
      <t>C</t>
    </r>
    <r>
      <rPr>
        <vertAlign val="subscript"/>
        <sz val="11"/>
        <color theme="1"/>
        <rFont val="Arial"/>
        <family val="2"/>
      </rPr>
      <t>OSS_QL_bg</t>
    </r>
    <r>
      <rPr>
        <sz val="11"/>
        <color theme="1"/>
        <rFont val="Arial"/>
        <family val="2"/>
      </rPr>
      <t xml:space="preserve"> =</t>
    </r>
  </si>
  <si>
    <r>
      <t xml:space="preserve"> C</t>
    </r>
    <r>
      <rPr>
        <vertAlign val="subscript"/>
        <sz val="11"/>
        <color theme="1"/>
        <rFont val="Arial"/>
        <family val="2"/>
      </rPr>
      <t xml:space="preserve">OSS_QL_sm </t>
    </r>
    <r>
      <rPr>
        <sz val="11"/>
        <color theme="1"/>
        <rFont val="Arial"/>
        <family val="2"/>
      </rPr>
      <t>=</t>
    </r>
  </si>
  <si>
    <r>
      <t xml:space="preserve"> V</t>
    </r>
    <r>
      <rPr>
        <vertAlign val="subscript"/>
        <sz val="11"/>
        <color theme="1"/>
        <rFont val="Arial"/>
        <family val="2"/>
      </rPr>
      <t>xl</t>
    </r>
    <r>
      <rPr>
        <sz val="11"/>
        <color theme="1"/>
        <rFont val="Arial"/>
        <family val="2"/>
      </rPr>
      <t xml:space="preserve"> =</t>
    </r>
  </si>
  <si>
    <r>
      <t>I</t>
    </r>
    <r>
      <rPr>
        <vertAlign val="subscript"/>
        <sz val="11"/>
        <color theme="1"/>
        <rFont val="Arial"/>
        <family val="2"/>
      </rPr>
      <t>QL_max</t>
    </r>
    <r>
      <rPr>
        <sz val="11"/>
        <color theme="1"/>
        <rFont val="Arial"/>
        <family val="2"/>
      </rPr>
      <t xml:space="preserve"> =</t>
    </r>
  </si>
  <si>
    <r>
      <t>V</t>
    </r>
    <r>
      <rPr>
        <vertAlign val="subscript"/>
        <sz val="11"/>
        <color theme="1"/>
        <rFont val="Arial"/>
        <family val="2"/>
      </rPr>
      <t>OUT</t>
    </r>
    <r>
      <rPr>
        <sz val="11"/>
        <color theme="1"/>
        <rFont val="Arial"/>
        <family val="2"/>
      </rPr>
      <t xml:space="preserve"> =</t>
    </r>
  </si>
  <si>
    <r>
      <t>P</t>
    </r>
    <r>
      <rPr>
        <vertAlign val="subscript"/>
        <sz val="11"/>
        <color theme="1"/>
        <rFont val="Arial"/>
        <family val="2"/>
      </rPr>
      <t>O_FL</t>
    </r>
    <r>
      <rPr>
        <sz val="11"/>
        <color theme="1"/>
        <rFont val="Arial"/>
        <family val="2"/>
      </rPr>
      <t xml:space="preserve"> =</t>
    </r>
  </si>
  <si>
    <r>
      <t>I</t>
    </r>
    <r>
      <rPr>
        <vertAlign val="subscript"/>
        <sz val="11"/>
        <color theme="1"/>
        <rFont val="Arial"/>
        <family val="2"/>
      </rPr>
      <t>OUT</t>
    </r>
    <r>
      <rPr>
        <sz val="11"/>
        <color theme="1"/>
        <rFont val="Arial"/>
        <family val="2"/>
      </rPr>
      <t xml:space="preserve"> =</t>
    </r>
  </si>
  <si>
    <r>
      <t xml:space="preserve"> I</t>
    </r>
    <r>
      <rPr>
        <vertAlign val="subscript"/>
        <sz val="11"/>
        <color theme="1"/>
        <rFont val="Arial"/>
        <family val="2"/>
      </rPr>
      <t>OUT_OPP</t>
    </r>
    <r>
      <rPr>
        <sz val="11"/>
        <color theme="1"/>
        <rFont val="Arial"/>
        <family val="2"/>
      </rPr>
      <t xml:space="preserve"> =</t>
    </r>
  </si>
  <si>
    <r>
      <t xml:space="preserve"> f</t>
    </r>
    <r>
      <rPr>
        <vertAlign val="subscript"/>
        <sz val="11"/>
        <color theme="1"/>
        <rFont val="Arial"/>
        <family val="2"/>
      </rPr>
      <t>cr_min</t>
    </r>
    <r>
      <rPr>
        <sz val="11"/>
        <color theme="1"/>
        <rFont val="Arial"/>
        <family val="2"/>
      </rPr>
      <t xml:space="preserve"> =</t>
    </r>
  </si>
  <si>
    <r>
      <t xml:space="preserve"> f</t>
    </r>
    <r>
      <rPr>
        <vertAlign val="subscript"/>
        <sz val="11"/>
        <color theme="1"/>
        <rFont val="Arial"/>
        <family val="2"/>
      </rPr>
      <t>BUR_standby</t>
    </r>
    <r>
      <rPr>
        <sz val="11"/>
        <color theme="1"/>
        <rFont val="Arial"/>
        <family val="2"/>
      </rPr>
      <t xml:space="preserve"> =</t>
    </r>
  </si>
  <si>
    <r>
      <t xml:space="preserve"> V</t>
    </r>
    <r>
      <rPr>
        <vertAlign val="subscript"/>
        <sz val="11"/>
        <color theme="1"/>
        <rFont val="Arial"/>
        <family val="2"/>
      </rPr>
      <t>In_type</t>
    </r>
    <r>
      <rPr>
        <sz val="11"/>
        <color theme="1"/>
        <rFont val="Arial"/>
        <family val="2"/>
      </rPr>
      <t xml:space="preserve"> =</t>
    </r>
  </si>
  <si>
    <r>
      <t xml:space="preserve"> V</t>
    </r>
    <r>
      <rPr>
        <vertAlign val="subscript"/>
        <sz val="11"/>
        <color theme="1"/>
        <rFont val="Arial"/>
        <family val="2"/>
      </rPr>
      <t>In_max</t>
    </r>
    <r>
      <rPr>
        <sz val="11"/>
        <color theme="1"/>
        <rFont val="Arial"/>
        <family val="2"/>
      </rPr>
      <t xml:space="preserve"> =</t>
    </r>
  </si>
  <si>
    <r>
      <t xml:space="preserve"> V</t>
    </r>
    <r>
      <rPr>
        <vertAlign val="subscript"/>
        <sz val="11"/>
        <color theme="1"/>
        <rFont val="Arial"/>
        <family val="2"/>
      </rPr>
      <t>In_BUR</t>
    </r>
    <r>
      <rPr>
        <sz val="11"/>
        <color theme="1"/>
        <rFont val="Arial"/>
        <family val="2"/>
      </rPr>
      <t xml:space="preserve"> =</t>
    </r>
  </si>
  <si>
    <r>
      <t>V</t>
    </r>
    <r>
      <rPr>
        <vertAlign val="subscript"/>
        <sz val="11"/>
        <color theme="1"/>
        <rFont val="Arial"/>
        <family val="2"/>
      </rPr>
      <t>In_min</t>
    </r>
    <r>
      <rPr>
        <sz val="11"/>
        <color theme="1"/>
        <rFont val="Arial"/>
        <family val="2"/>
      </rPr>
      <t xml:space="preserve"> =</t>
    </r>
  </si>
  <si>
    <r>
      <t>V</t>
    </r>
    <r>
      <rPr>
        <vertAlign val="subscript"/>
        <sz val="11"/>
        <color theme="1"/>
        <rFont val="Arial"/>
        <family val="2"/>
      </rPr>
      <t>In_Brownin</t>
    </r>
    <r>
      <rPr>
        <sz val="11"/>
        <color theme="1"/>
        <rFont val="Arial"/>
        <family val="2"/>
      </rPr>
      <t xml:space="preserve"> =    </t>
    </r>
  </si>
  <si>
    <t xml:space="preserve">"Brown-out" Input Voltage Result </t>
  </si>
  <si>
    <r>
      <t>V</t>
    </r>
    <r>
      <rPr>
        <vertAlign val="subscript"/>
        <sz val="11"/>
        <color theme="1"/>
        <rFont val="Arial"/>
        <family val="2"/>
      </rPr>
      <t>In_Brownout</t>
    </r>
    <r>
      <rPr>
        <sz val="11"/>
        <color theme="1"/>
        <rFont val="Arial"/>
        <family val="2"/>
      </rPr>
      <t xml:space="preserve"> = </t>
    </r>
  </si>
  <si>
    <r>
      <t>V</t>
    </r>
    <r>
      <rPr>
        <vertAlign val="subscript"/>
        <sz val="11"/>
        <color theme="1"/>
        <rFont val="Arial"/>
        <family val="2"/>
      </rPr>
      <t>Bulk_min_tgt</t>
    </r>
    <r>
      <rPr>
        <sz val="11"/>
        <color theme="1"/>
        <rFont val="Arial"/>
        <family val="2"/>
      </rPr>
      <t xml:space="preserve"> =</t>
    </r>
  </si>
  <si>
    <r>
      <t>Lowest instantaneous bulk voltage (to calculate C</t>
    </r>
    <r>
      <rPr>
        <vertAlign val="subscript"/>
        <sz val="11"/>
        <color theme="1"/>
        <rFont val="Arial"/>
        <family val="2"/>
      </rPr>
      <t>BULK</t>
    </r>
    <r>
      <rPr>
        <sz val="11"/>
        <color theme="1"/>
        <rFont val="Arial"/>
        <family val="2"/>
      </rPr>
      <t>)</t>
    </r>
  </si>
  <si>
    <r>
      <t>f</t>
    </r>
    <r>
      <rPr>
        <vertAlign val="subscript"/>
        <sz val="11"/>
        <color theme="1"/>
        <rFont val="Arial"/>
        <family val="2"/>
      </rPr>
      <t>LINE_min</t>
    </r>
    <r>
      <rPr>
        <sz val="11"/>
        <color theme="1"/>
        <rFont val="Arial"/>
        <family val="2"/>
      </rPr>
      <t xml:space="preserve"> =</t>
    </r>
  </si>
  <si>
    <t>VDD Supply Current, Run-state, Switching</t>
  </si>
  <si>
    <r>
      <t>V</t>
    </r>
    <r>
      <rPr>
        <vertAlign val="subscript"/>
        <sz val="11"/>
        <color theme="1"/>
        <rFont val="Arial"/>
        <family val="2"/>
      </rPr>
      <t>DD_off</t>
    </r>
    <r>
      <rPr>
        <sz val="11"/>
        <color theme="1"/>
        <rFont val="Arial"/>
        <family val="2"/>
      </rPr>
      <t xml:space="preserve"> =</t>
    </r>
  </si>
  <si>
    <r>
      <t>V</t>
    </r>
    <r>
      <rPr>
        <vertAlign val="subscript"/>
        <sz val="11"/>
        <color theme="1"/>
        <rFont val="Arial"/>
        <family val="2"/>
      </rPr>
      <t>DD_on</t>
    </r>
    <r>
      <rPr>
        <sz val="11"/>
        <color theme="1"/>
        <rFont val="Arial"/>
        <family val="2"/>
      </rPr>
      <t xml:space="preserve"> =</t>
    </r>
  </si>
  <si>
    <r>
      <t>V</t>
    </r>
    <r>
      <rPr>
        <vertAlign val="subscript"/>
        <sz val="11"/>
        <color theme="1"/>
        <rFont val="Arial"/>
        <family val="2"/>
      </rPr>
      <t>DD_max</t>
    </r>
    <r>
      <rPr>
        <sz val="11"/>
        <color theme="1"/>
        <rFont val="Arial"/>
        <family val="2"/>
      </rPr>
      <t xml:space="preserve"> =</t>
    </r>
  </si>
  <si>
    <r>
      <t>V</t>
    </r>
    <r>
      <rPr>
        <vertAlign val="subscript"/>
        <sz val="11"/>
        <color theme="1"/>
        <rFont val="Arial"/>
        <family val="2"/>
      </rPr>
      <t>DD_PCT</t>
    </r>
    <r>
      <rPr>
        <sz val="11"/>
        <color theme="1"/>
        <rFont val="Arial"/>
        <family val="2"/>
      </rPr>
      <t xml:space="preserve"> =</t>
    </r>
  </si>
  <si>
    <r>
      <t>V</t>
    </r>
    <r>
      <rPr>
        <vertAlign val="subscript"/>
        <sz val="11"/>
        <color theme="1"/>
        <rFont val="Arial"/>
        <family val="2"/>
      </rPr>
      <t xml:space="preserve">VS_OVP </t>
    </r>
    <r>
      <rPr>
        <sz val="11"/>
        <color theme="1"/>
        <rFont val="Arial"/>
        <family val="2"/>
      </rPr>
      <t>=</t>
    </r>
  </si>
  <si>
    <r>
      <t>t</t>
    </r>
    <r>
      <rPr>
        <vertAlign val="subscript"/>
        <sz val="11"/>
        <color theme="1"/>
        <rFont val="Arial"/>
        <family val="2"/>
      </rPr>
      <t>D_CS</t>
    </r>
    <r>
      <rPr>
        <sz val="11"/>
        <color theme="1"/>
        <rFont val="Arial"/>
        <family val="2"/>
      </rPr>
      <t xml:space="preserve"> =</t>
    </r>
  </si>
  <si>
    <r>
      <t xml:space="preserve"> V</t>
    </r>
    <r>
      <rPr>
        <vertAlign val="subscript"/>
        <sz val="11"/>
        <color theme="1"/>
        <rFont val="Arial"/>
        <family val="2"/>
      </rPr>
      <t>CST_max</t>
    </r>
    <r>
      <rPr>
        <sz val="11"/>
        <color theme="1"/>
        <rFont val="Arial"/>
        <family val="2"/>
      </rPr>
      <t xml:space="preserve"> =</t>
    </r>
  </si>
  <si>
    <r>
      <t xml:space="preserve"> V</t>
    </r>
    <r>
      <rPr>
        <vertAlign val="subscript"/>
        <sz val="11"/>
        <color theme="1"/>
        <rFont val="Arial"/>
        <family val="2"/>
      </rPr>
      <t>CST_OPP1</t>
    </r>
    <r>
      <rPr>
        <sz val="11"/>
        <color theme="1"/>
        <rFont val="Arial"/>
        <family val="2"/>
      </rPr>
      <t xml:space="preserve"> =</t>
    </r>
  </si>
  <si>
    <r>
      <t xml:space="preserve"> V</t>
    </r>
    <r>
      <rPr>
        <vertAlign val="subscript"/>
        <sz val="11"/>
        <color theme="1"/>
        <rFont val="Arial"/>
        <family val="2"/>
      </rPr>
      <t>CST_OPP4</t>
    </r>
    <r>
      <rPr>
        <sz val="11"/>
        <color theme="1"/>
        <rFont val="Arial"/>
        <family val="2"/>
      </rPr>
      <t xml:space="preserve"> =</t>
    </r>
  </si>
  <si>
    <r>
      <t>V</t>
    </r>
    <r>
      <rPr>
        <vertAlign val="subscript"/>
        <sz val="11"/>
        <color theme="1"/>
        <rFont val="Arial"/>
        <family val="2"/>
      </rPr>
      <t>s_clamp</t>
    </r>
    <r>
      <rPr>
        <sz val="11"/>
        <color theme="1"/>
        <rFont val="Arial"/>
        <family val="2"/>
      </rPr>
      <t xml:space="preserve"> =</t>
    </r>
  </si>
  <si>
    <r>
      <t>K</t>
    </r>
    <r>
      <rPr>
        <vertAlign val="subscript"/>
        <sz val="11"/>
        <color theme="1"/>
        <rFont val="Arial"/>
        <family val="2"/>
      </rPr>
      <t>LC</t>
    </r>
    <r>
      <rPr>
        <sz val="11"/>
        <color theme="1"/>
        <rFont val="Arial"/>
        <family val="2"/>
      </rPr>
      <t xml:space="preserve"> =</t>
    </r>
  </si>
  <si>
    <r>
      <t>K</t>
    </r>
    <r>
      <rPr>
        <vertAlign val="subscript"/>
        <sz val="11"/>
        <color theme="1"/>
        <rFont val="Arial"/>
        <family val="2"/>
      </rPr>
      <t>DM</t>
    </r>
    <r>
      <rPr>
        <sz val="11"/>
        <color theme="1"/>
        <rFont val="Arial"/>
        <family val="2"/>
      </rPr>
      <t xml:space="preserve"> =</t>
    </r>
  </si>
  <si>
    <r>
      <t>Ratio from V</t>
    </r>
    <r>
      <rPr>
        <vertAlign val="subscript"/>
        <sz val="11"/>
        <color theme="1"/>
        <rFont val="Arial"/>
        <family val="2"/>
      </rPr>
      <t>BUR</t>
    </r>
    <r>
      <rPr>
        <sz val="11"/>
        <color theme="1"/>
        <rFont val="Arial"/>
        <family val="2"/>
      </rPr>
      <t xml:space="preserve"> to V</t>
    </r>
    <r>
      <rPr>
        <vertAlign val="subscript"/>
        <sz val="11"/>
        <color theme="1"/>
        <rFont val="Arial"/>
        <family val="2"/>
      </rPr>
      <t>CST</t>
    </r>
    <r>
      <rPr>
        <sz val="11"/>
        <color theme="1"/>
        <rFont val="Arial"/>
        <family val="2"/>
      </rPr>
      <t/>
    </r>
  </si>
  <si>
    <r>
      <t>K</t>
    </r>
    <r>
      <rPr>
        <vertAlign val="subscript"/>
        <sz val="11"/>
        <color theme="1"/>
        <rFont val="Arial"/>
        <family val="2"/>
      </rPr>
      <t>BUR_CST</t>
    </r>
    <r>
      <rPr>
        <sz val="11"/>
        <color theme="1"/>
        <rFont val="Arial"/>
        <family val="2"/>
      </rPr>
      <t xml:space="preserve"> =</t>
    </r>
  </si>
  <si>
    <r>
      <t>I</t>
    </r>
    <r>
      <rPr>
        <vertAlign val="subscript"/>
        <sz val="11"/>
        <color theme="1"/>
        <rFont val="Arial"/>
        <family val="2"/>
      </rPr>
      <t>RUN_VDD</t>
    </r>
    <r>
      <rPr>
        <sz val="11"/>
        <color theme="1"/>
        <rFont val="Arial"/>
        <family val="2"/>
      </rPr>
      <t xml:space="preserve"> =</t>
    </r>
  </si>
  <si>
    <r>
      <t xml:space="preserve"> t</t>
    </r>
    <r>
      <rPr>
        <vertAlign val="subscript"/>
        <sz val="11"/>
        <color theme="1"/>
        <rFont val="Arial"/>
        <family val="2"/>
      </rPr>
      <t>D_RUN_PWML</t>
    </r>
    <r>
      <rPr>
        <sz val="11"/>
        <color theme="1"/>
        <rFont val="Arial"/>
        <family val="2"/>
      </rPr>
      <t xml:space="preserve"> =</t>
    </r>
  </si>
  <si>
    <r>
      <t>V</t>
    </r>
    <r>
      <rPr>
        <vertAlign val="subscript"/>
        <sz val="11"/>
        <color theme="1"/>
        <rFont val="Arial"/>
        <family val="2"/>
      </rPr>
      <t>FB_max</t>
    </r>
    <r>
      <rPr>
        <sz val="11"/>
        <color theme="1"/>
        <rFont val="Arial"/>
        <family val="2"/>
      </rPr>
      <t xml:space="preserve"> =</t>
    </r>
  </si>
  <si>
    <r>
      <t>R</t>
    </r>
    <r>
      <rPr>
        <vertAlign val="subscript"/>
        <sz val="11"/>
        <color theme="1"/>
        <rFont val="Arial"/>
        <family val="2"/>
      </rPr>
      <t>FB_int</t>
    </r>
    <r>
      <rPr>
        <sz val="11"/>
        <color theme="1"/>
        <rFont val="Arial"/>
        <family val="2"/>
      </rPr>
      <t xml:space="preserve"> =</t>
    </r>
  </si>
  <si>
    <r>
      <t>I</t>
    </r>
    <r>
      <rPr>
        <vertAlign val="subscript"/>
        <sz val="11"/>
        <color theme="1"/>
        <rFont val="Arial"/>
        <family val="2"/>
      </rPr>
      <t>FB_max</t>
    </r>
    <r>
      <rPr>
        <sz val="11"/>
        <color theme="1"/>
        <rFont val="Arial"/>
        <family val="2"/>
      </rPr>
      <t xml:space="preserve"> =</t>
    </r>
  </si>
  <si>
    <r>
      <rPr>
        <sz val="11"/>
        <color theme="1"/>
        <rFont val="Calibri"/>
        <family val="2"/>
      </rPr>
      <t>∆</t>
    </r>
    <r>
      <rPr>
        <sz val="11"/>
        <color theme="1"/>
        <rFont val="Arial"/>
        <family val="2"/>
      </rPr>
      <t>V</t>
    </r>
    <r>
      <rPr>
        <vertAlign val="subscript"/>
        <sz val="11"/>
        <color theme="1"/>
        <rFont val="Arial"/>
        <family val="2"/>
      </rPr>
      <t>O_ABM</t>
    </r>
    <r>
      <rPr>
        <sz val="11"/>
        <color theme="1"/>
        <rFont val="Arial"/>
        <family val="2"/>
      </rPr>
      <t xml:space="preserve"> =</t>
    </r>
  </si>
  <si>
    <r>
      <t>f</t>
    </r>
    <r>
      <rPr>
        <vertAlign val="subscript"/>
        <sz val="11"/>
        <color theme="1"/>
        <rFont val="Arial"/>
        <family val="2"/>
      </rPr>
      <t>BUR_UP</t>
    </r>
    <r>
      <rPr>
        <sz val="11"/>
        <color theme="1"/>
        <rFont val="Arial"/>
        <family val="2"/>
      </rPr>
      <t xml:space="preserve"> =</t>
    </r>
  </si>
  <si>
    <r>
      <t>f</t>
    </r>
    <r>
      <rPr>
        <vertAlign val="subscript"/>
        <sz val="11"/>
        <color theme="1"/>
        <rFont val="Arial"/>
        <family val="2"/>
      </rPr>
      <t>BUR_LR</t>
    </r>
    <r>
      <rPr>
        <sz val="11"/>
        <color theme="1"/>
        <rFont val="Arial"/>
        <family val="2"/>
      </rPr>
      <t xml:space="preserve"> =</t>
    </r>
  </si>
  <si>
    <r>
      <t>t</t>
    </r>
    <r>
      <rPr>
        <vertAlign val="subscript"/>
        <sz val="11"/>
        <color theme="1"/>
        <rFont val="Arial"/>
        <family val="2"/>
      </rPr>
      <t>FDR</t>
    </r>
    <r>
      <rPr>
        <sz val="11"/>
        <color theme="1"/>
        <rFont val="Arial"/>
        <family val="2"/>
      </rPr>
      <t xml:space="preserve"> =</t>
    </r>
  </si>
  <si>
    <r>
      <t>K</t>
    </r>
    <r>
      <rPr>
        <vertAlign val="subscript"/>
        <sz val="11"/>
        <color theme="1"/>
        <rFont val="Arial"/>
        <family val="2"/>
      </rPr>
      <t>RES</t>
    </r>
    <r>
      <rPr>
        <sz val="11"/>
        <color theme="1"/>
        <rFont val="Arial"/>
        <family val="2"/>
      </rPr>
      <t xml:space="preserve"> =</t>
    </r>
  </si>
  <si>
    <r>
      <t xml:space="preserve">Minimum </t>
    </r>
    <r>
      <rPr>
        <sz val="11"/>
        <color theme="1"/>
        <rFont val="Calibri"/>
        <family val="2"/>
      </rPr>
      <t>∆</t>
    </r>
    <r>
      <rPr>
        <sz val="11"/>
        <color theme="1"/>
        <rFont val="Arial"/>
        <family val="2"/>
      </rPr>
      <t>V for N</t>
    </r>
    <r>
      <rPr>
        <vertAlign val="subscript"/>
        <sz val="11"/>
        <color theme="1"/>
        <rFont val="Arial"/>
        <family val="2"/>
      </rPr>
      <t>A_min</t>
    </r>
    <r>
      <rPr>
        <sz val="11"/>
        <color theme="1"/>
        <rFont val="Arial"/>
        <family val="2"/>
      </rPr>
      <t xml:space="preserve"> Design Margin</t>
    </r>
  </si>
  <si>
    <r>
      <t>∆V</t>
    </r>
    <r>
      <rPr>
        <sz val="7"/>
        <color theme="1"/>
        <rFont val="Arial"/>
        <family val="2"/>
      </rPr>
      <t>_MIN</t>
    </r>
    <r>
      <rPr>
        <sz val="11"/>
        <color theme="1"/>
        <rFont val="Arial"/>
        <family val="2"/>
      </rPr>
      <t xml:space="preserve"> =</t>
    </r>
  </si>
  <si>
    <r>
      <t>ΔV</t>
    </r>
    <r>
      <rPr>
        <sz val="7"/>
        <color theme="1"/>
        <rFont val="Arial"/>
        <family val="2"/>
      </rPr>
      <t xml:space="preserve">SPIKE_SR </t>
    </r>
    <r>
      <rPr>
        <sz val="11"/>
        <color theme="1"/>
        <rFont val="Arial"/>
        <family val="2"/>
      </rPr>
      <t>=</t>
    </r>
  </si>
  <si>
    <t xml:space="preserve">Typically use 100mV or higher.          Refer to the figure at the right &gt;&gt;&gt;  </t>
  </si>
  <si>
    <t xml:space="preserve">ds specs </t>
  </si>
  <si>
    <t>(Recommended value rounded to nearest integer)</t>
  </si>
  <si>
    <r>
      <t>Choose integer turns: N</t>
    </r>
    <r>
      <rPr>
        <sz val="7"/>
        <rFont val="Arial"/>
        <family val="2"/>
      </rPr>
      <t xml:space="preserve">A_min </t>
    </r>
    <r>
      <rPr>
        <sz val="11"/>
        <rFont val="Arial"/>
        <family val="2"/>
      </rPr>
      <t>&lt; N</t>
    </r>
    <r>
      <rPr>
        <vertAlign val="subscript"/>
        <sz val="11"/>
        <rFont val="Arial"/>
        <family val="2"/>
      </rPr>
      <t>A</t>
    </r>
    <r>
      <rPr>
        <sz val="11"/>
        <rFont val="Arial"/>
        <family val="2"/>
      </rPr>
      <t xml:space="preserve"> &lt; N</t>
    </r>
    <r>
      <rPr>
        <sz val="7"/>
        <rFont val="Arial"/>
        <family val="2"/>
      </rPr>
      <t xml:space="preserve">A_max  </t>
    </r>
  </si>
  <si>
    <t>(at lowest bulk voltage)</t>
  </si>
  <si>
    <r>
      <t>C</t>
    </r>
    <r>
      <rPr>
        <vertAlign val="subscript"/>
        <sz val="11"/>
        <color theme="1"/>
        <rFont val="Arial"/>
        <family val="2"/>
      </rPr>
      <t>OSS_QH_T</t>
    </r>
    <r>
      <rPr>
        <sz val="11"/>
        <color theme="1"/>
        <rFont val="Arial"/>
        <family val="2"/>
      </rPr>
      <t xml:space="preserve"> =</t>
    </r>
  </si>
  <si>
    <r>
      <t>C</t>
    </r>
    <r>
      <rPr>
        <vertAlign val="subscript"/>
        <sz val="11"/>
        <color theme="1"/>
        <rFont val="Arial"/>
        <family val="2"/>
      </rPr>
      <t>OSS_QL_T</t>
    </r>
    <r>
      <rPr>
        <sz val="11"/>
        <color theme="1"/>
        <rFont val="Arial"/>
        <family val="2"/>
      </rPr>
      <t xml:space="preserve"> =</t>
    </r>
  </si>
  <si>
    <r>
      <t>C</t>
    </r>
    <r>
      <rPr>
        <vertAlign val="subscript"/>
        <sz val="11"/>
        <color theme="1"/>
        <rFont val="Arial"/>
        <family val="2"/>
      </rPr>
      <t>Tr</t>
    </r>
    <r>
      <rPr>
        <sz val="11"/>
        <color theme="1"/>
        <rFont val="Arial"/>
        <family val="2"/>
      </rPr>
      <t xml:space="preserve"> =</t>
    </r>
  </si>
  <si>
    <r>
      <t>C</t>
    </r>
    <r>
      <rPr>
        <vertAlign val="subscript"/>
        <sz val="11"/>
        <color theme="1"/>
        <rFont val="Arial"/>
        <family val="2"/>
      </rPr>
      <t>BootD_T</t>
    </r>
    <r>
      <rPr>
        <sz val="11"/>
        <color theme="1"/>
        <rFont val="Arial"/>
        <family val="2"/>
      </rPr>
      <t xml:space="preserve"> =</t>
    </r>
  </si>
  <si>
    <r>
      <t>C</t>
    </r>
    <r>
      <rPr>
        <vertAlign val="subscript"/>
        <sz val="11"/>
        <color theme="1"/>
        <rFont val="Arial"/>
        <family val="2"/>
      </rPr>
      <t xml:space="preserve">OSS_Qs </t>
    </r>
    <r>
      <rPr>
        <sz val="11"/>
        <color theme="1"/>
        <rFont val="Arial"/>
        <family val="2"/>
      </rPr>
      <t>=</t>
    </r>
  </si>
  <si>
    <r>
      <t>C</t>
    </r>
    <r>
      <rPr>
        <vertAlign val="subscript"/>
        <sz val="11"/>
        <color theme="1"/>
        <rFont val="Arial"/>
        <family val="2"/>
      </rPr>
      <t xml:space="preserve">SWN_T </t>
    </r>
    <r>
      <rPr>
        <sz val="11"/>
        <color theme="1"/>
        <rFont val="Arial"/>
        <family val="2"/>
      </rPr>
      <t>=</t>
    </r>
  </si>
  <si>
    <r>
      <t>V</t>
    </r>
    <r>
      <rPr>
        <vertAlign val="subscript"/>
        <sz val="11"/>
        <color theme="1"/>
        <rFont val="Arial"/>
        <family val="2"/>
      </rPr>
      <t>O</t>
    </r>
    <r>
      <rPr>
        <sz val="11"/>
        <color theme="1"/>
        <rFont val="Arial"/>
        <family val="2"/>
      </rPr>
      <t xml:space="preserve"> Reflected to Primary Winding</t>
    </r>
  </si>
  <si>
    <r>
      <t>V</t>
    </r>
    <r>
      <rPr>
        <vertAlign val="subscript"/>
        <sz val="11"/>
        <color theme="1"/>
        <rFont val="Arial"/>
        <family val="2"/>
      </rPr>
      <t>Rfl</t>
    </r>
    <r>
      <rPr>
        <sz val="11"/>
        <color theme="1"/>
        <rFont val="Arial"/>
        <family val="2"/>
      </rPr>
      <t xml:space="preserve"> =</t>
    </r>
  </si>
  <si>
    <r>
      <t>D</t>
    </r>
    <r>
      <rPr>
        <vertAlign val="subscript"/>
        <sz val="11"/>
        <color theme="1"/>
        <rFont val="Arial"/>
        <family val="2"/>
      </rPr>
      <t>_max</t>
    </r>
    <r>
      <rPr>
        <sz val="11"/>
        <color theme="1"/>
        <rFont val="Arial"/>
        <family val="2"/>
      </rPr>
      <t xml:space="preserve"> =</t>
    </r>
  </si>
  <si>
    <r>
      <rPr>
        <b/>
        <sz val="11"/>
        <color theme="1"/>
        <rFont val="Arial"/>
        <family val="2"/>
      </rPr>
      <t>Recommended</t>
    </r>
    <r>
      <rPr>
        <sz val="11"/>
        <color theme="1"/>
        <rFont val="Arial"/>
        <family val="2"/>
      </rPr>
      <t xml:space="preserve"> Primary Magnetizing Inductance </t>
    </r>
  </si>
  <si>
    <r>
      <t>L</t>
    </r>
    <r>
      <rPr>
        <vertAlign val="subscript"/>
        <sz val="11"/>
        <color theme="1"/>
        <rFont val="Arial"/>
        <family val="2"/>
      </rPr>
      <t>M_rec</t>
    </r>
    <r>
      <rPr>
        <sz val="11"/>
        <color theme="1"/>
        <rFont val="Arial"/>
        <family val="2"/>
      </rPr>
      <t xml:space="preserve"> =</t>
    </r>
  </si>
  <si>
    <t>Expected Clamp Cap DC-Bias Reduction, in negative percent</t>
  </si>
  <si>
    <r>
      <rPr>
        <b/>
        <sz val="11"/>
        <color theme="1"/>
        <rFont val="Arial"/>
        <family val="2"/>
      </rPr>
      <t>Recommended</t>
    </r>
    <r>
      <rPr>
        <sz val="11"/>
        <color theme="1"/>
        <rFont val="Arial"/>
        <family val="2"/>
      </rPr>
      <t xml:space="preserve"> Clamp Cap </t>
    </r>
    <r>
      <rPr>
        <b/>
        <sz val="11"/>
        <color theme="1"/>
        <rFont val="Arial"/>
        <family val="2"/>
      </rPr>
      <t xml:space="preserve">Initial </t>
    </r>
    <r>
      <rPr>
        <sz val="11"/>
        <color theme="1"/>
        <rFont val="Arial"/>
        <family val="2"/>
      </rPr>
      <t>Capacitance</t>
    </r>
  </si>
  <si>
    <r>
      <t>C</t>
    </r>
    <r>
      <rPr>
        <vertAlign val="subscript"/>
        <sz val="11"/>
        <color theme="1"/>
        <rFont val="Arial"/>
        <family val="2"/>
      </rPr>
      <t xml:space="preserve">clamp_rec </t>
    </r>
    <r>
      <rPr>
        <sz val="11"/>
        <color theme="1"/>
        <rFont val="Arial"/>
        <family val="2"/>
      </rPr>
      <t>=</t>
    </r>
  </si>
  <si>
    <r>
      <rPr>
        <b/>
        <sz val="11"/>
        <color theme="1"/>
        <rFont val="Arial"/>
        <family val="2"/>
      </rPr>
      <t xml:space="preserve">Actual </t>
    </r>
    <r>
      <rPr>
        <sz val="11"/>
        <color theme="1"/>
        <rFont val="Arial"/>
        <family val="2"/>
      </rPr>
      <t>Clamp Cap Nominal Capacitance Selected</t>
    </r>
  </si>
  <si>
    <r>
      <t>C</t>
    </r>
    <r>
      <rPr>
        <vertAlign val="subscript"/>
        <sz val="11"/>
        <color theme="1"/>
        <rFont val="Arial"/>
        <family val="2"/>
      </rPr>
      <t>clamp_act</t>
    </r>
    <r>
      <rPr>
        <sz val="11"/>
        <color theme="1"/>
        <rFont val="Arial"/>
        <family val="2"/>
      </rPr>
      <t xml:space="preserve"> =</t>
    </r>
  </si>
  <si>
    <r>
      <t xml:space="preserve">Select closest standard value </t>
    </r>
    <r>
      <rPr>
        <sz val="11"/>
        <color theme="1"/>
        <rFont val="Calibri"/>
        <family val="2"/>
      </rPr>
      <t>≥</t>
    </r>
    <r>
      <rPr>
        <sz val="11"/>
        <color theme="1"/>
        <rFont val="Arial"/>
        <family val="2"/>
      </rPr>
      <t xml:space="preserve"> recommended value</t>
    </r>
  </si>
  <si>
    <r>
      <rPr>
        <b/>
        <sz val="11"/>
        <color theme="1"/>
        <rFont val="Arial"/>
        <family val="2"/>
      </rPr>
      <t>Effective</t>
    </r>
    <r>
      <rPr>
        <sz val="11"/>
        <color theme="1"/>
        <rFont val="Arial"/>
        <family val="2"/>
      </rPr>
      <t xml:space="preserve"> Clamp</t>
    </r>
    <r>
      <rPr>
        <b/>
        <sz val="11"/>
        <color theme="1"/>
        <rFont val="Arial"/>
        <family val="2"/>
      </rPr>
      <t xml:space="preserve"> </t>
    </r>
    <r>
      <rPr>
        <sz val="11"/>
        <color theme="1"/>
        <rFont val="Arial"/>
        <family val="2"/>
      </rPr>
      <t>Capacitance under DC Bias</t>
    </r>
  </si>
  <si>
    <r>
      <t>C</t>
    </r>
    <r>
      <rPr>
        <vertAlign val="subscript"/>
        <sz val="11"/>
        <color theme="1"/>
        <rFont val="Arial"/>
        <family val="2"/>
      </rPr>
      <t xml:space="preserve">clamp_eff </t>
    </r>
    <r>
      <rPr>
        <sz val="11"/>
        <color theme="1"/>
        <rFont val="Arial"/>
        <family val="2"/>
      </rPr>
      <t>=</t>
    </r>
  </si>
  <si>
    <r>
      <t>C</t>
    </r>
    <r>
      <rPr>
        <vertAlign val="subscript"/>
        <sz val="11"/>
        <color theme="1"/>
        <rFont val="Arial"/>
        <family val="2"/>
      </rPr>
      <t>clamp</t>
    </r>
    <r>
      <rPr>
        <sz val="11"/>
        <color theme="1"/>
        <rFont val="Arial"/>
        <family val="2"/>
      </rPr>
      <t xml:space="preserve"> =</t>
    </r>
  </si>
  <si>
    <r>
      <t>R</t>
    </r>
    <r>
      <rPr>
        <vertAlign val="subscript"/>
        <sz val="11"/>
        <color theme="1"/>
        <rFont val="Arial"/>
        <family val="2"/>
      </rPr>
      <t>BLEED_rec</t>
    </r>
    <r>
      <rPr>
        <sz val="11"/>
        <color theme="1"/>
        <rFont val="Arial"/>
        <family val="2"/>
      </rPr>
      <t xml:space="preserve"> =</t>
    </r>
  </si>
  <si>
    <r>
      <t>R</t>
    </r>
    <r>
      <rPr>
        <vertAlign val="subscript"/>
        <sz val="11"/>
        <color theme="1"/>
        <rFont val="Arial"/>
        <family val="2"/>
      </rPr>
      <t>BLEED_act</t>
    </r>
    <r>
      <rPr>
        <sz val="11"/>
        <color theme="1"/>
        <rFont val="Arial"/>
        <family val="2"/>
      </rPr>
      <t xml:space="preserve"> =</t>
    </r>
  </si>
  <si>
    <r>
      <t>R</t>
    </r>
    <r>
      <rPr>
        <vertAlign val="subscript"/>
        <sz val="11"/>
        <color theme="1"/>
        <rFont val="Arial"/>
        <family val="2"/>
      </rPr>
      <t>BLEED</t>
    </r>
    <r>
      <rPr>
        <sz val="11"/>
        <color theme="1"/>
        <rFont val="Arial"/>
        <family val="2"/>
      </rPr>
      <t xml:space="preserve"> =</t>
    </r>
  </si>
  <si>
    <r>
      <t>T</t>
    </r>
    <r>
      <rPr>
        <vertAlign val="subscript"/>
        <sz val="11"/>
        <color theme="1"/>
        <rFont val="Arial"/>
        <family val="2"/>
      </rPr>
      <t>D_CS_filter</t>
    </r>
    <r>
      <rPr>
        <sz val="11"/>
        <color theme="1"/>
        <rFont val="Arial"/>
        <family val="2"/>
      </rPr>
      <t xml:space="preserve"> =</t>
    </r>
  </si>
  <si>
    <r>
      <t>R</t>
    </r>
    <r>
      <rPr>
        <vertAlign val="subscript"/>
        <sz val="11"/>
        <color theme="1"/>
        <rFont val="Arial"/>
        <family val="2"/>
      </rPr>
      <t xml:space="preserve">CS_rec </t>
    </r>
    <r>
      <rPr>
        <sz val="11"/>
        <color theme="1"/>
        <rFont val="Arial"/>
        <family val="2"/>
      </rPr>
      <t>=</t>
    </r>
  </si>
  <si>
    <r>
      <t>R</t>
    </r>
    <r>
      <rPr>
        <vertAlign val="subscript"/>
        <sz val="11"/>
        <color theme="1"/>
        <rFont val="Arial"/>
        <family val="2"/>
      </rPr>
      <t xml:space="preserve">CS_act </t>
    </r>
    <r>
      <rPr>
        <sz val="11"/>
        <color theme="1"/>
        <rFont val="Arial"/>
        <family val="2"/>
      </rPr>
      <t>=</t>
    </r>
  </si>
  <si>
    <r>
      <t>R</t>
    </r>
    <r>
      <rPr>
        <vertAlign val="subscript"/>
        <sz val="11"/>
        <color theme="1"/>
        <rFont val="Arial"/>
        <family val="2"/>
      </rPr>
      <t xml:space="preserve">CS </t>
    </r>
    <r>
      <rPr>
        <sz val="11"/>
        <color theme="1"/>
        <rFont val="Arial"/>
        <family val="2"/>
      </rPr>
      <t>=</t>
    </r>
  </si>
  <si>
    <r>
      <t>i</t>
    </r>
    <r>
      <rPr>
        <vertAlign val="subscript"/>
        <sz val="11"/>
        <color theme="1"/>
        <rFont val="Arial"/>
        <family val="2"/>
      </rPr>
      <t>QL_RMS</t>
    </r>
    <r>
      <rPr>
        <sz val="11"/>
        <color theme="1"/>
        <rFont val="Arial"/>
        <family val="2"/>
      </rPr>
      <t xml:space="preserve"> =</t>
    </r>
  </si>
  <si>
    <r>
      <t>P</t>
    </r>
    <r>
      <rPr>
        <vertAlign val="subscript"/>
        <sz val="11"/>
        <color theme="1"/>
        <rFont val="Arial"/>
        <family val="2"/>
      </rPr>
      <t>Rcs</t>
    </r>
    <r>
      <rPr>
        <sz val="11"/>
        <color theme="1"/>
        <rFont val="Arial"/>
        <family val="2"/>
      </rPr>
      <t xml:space="preserve"> =</t>
    </r>
  </si>
  <si>
    <t xml:space="preserve">Ω </t>
  </si>
  <si>
    <t xml:space="preserve">Ω                                                       </t>
  </si>
  <si>
    <r>
      <t>R</t>
    </r>
    <r>
      <rPr>
        <vertAlign val="subscript"/>
        <sz val="11"/>
        <color theme="1"/>
        <rFont val="Arial"/>
        <family val="2"/>
      </rPr>
      <t>DM_rec</t>
    </r>
    <r>
      <rPr>
        <sz val="11"/>
        <color theme="1"/>
        <rFont val="Arial"/>
        <family val="2"/>
      </rPr>
      <t xml:space="preserve"> =</t>
    </r>
  </si>
  <si>
    <r>
      <rPr>
        <b/>
        <sz val="11"/>
        <color theme="1"/>
        <rFont val="Arial"/>
        <family val="2"/>
      </rPr>
      <t>Actual</t>
    </r>
    <r>
      <rPr>
        <sz val="11"/>
        <color theme="1"/>
        <rFont val="Arial"/>
        <family val="2"/>
      </rPr>
      <t xml:space="preserve"> R</t>
    </r>
    <r>
      <rPr>
        <vertAlign val="subscript"/>
        <sz val="11"/>
        <color theme="1"/>
        <rFont val="Arial"/>
        <family val="2"/>
      </rPr>
      <t>DM</t>
    </r>
    <r>
      <rPr>
        <sz val="11"/>
        <color theme="1"/>
        <rFont val="Arial"/>
        <family val="2"/>
      </rPr>
      <t xml:space="preserve"> Resistor</t>
    </r>
  </si>
  <si>
    <r>
      <t>R</t>
    </r>
    <r>
      <rPr>
        <vertAlign val="subscript"/>
        <sz val="11"/>
        <color theme="1"/>
        <rFont val="Arial"/>
        <family val="2"/>
      </rPr>
      <t>DM_act</t>
    </r>
    <r>
      <rPr>
        <sz val="11"/>
        <color theme="1"/>
        <rFont val="Arial"/>
        <family val="2"/>
      </rPr>
      <t xml:space="preserve"> =</t>
    </r>
  </si>
  <si>
    <r>
      <t>R</t>
    </r>
    <r>
      <rPr>
        <vertAlign val="subscript"/>
        <sz val="11"/>
        <color theme="1"/>
        <rFont val="Arial"/>
        <family val="2"/>
      </rPr>
      <t>DM</t>
    </r>
    <r>
      <rPr>
        <sz val="11"/>
        <color theme="1"/>
        <rFont val="Arial"/>
        <family val="2"/>
      </rPr>
      <t xml:space="preserve"> Resistor Used in Calculations</t>
    </r>
  </si>
  <si>
    <r>
      <t>R</t>
    </r>
    <r>
      <rPr>
        <vertAlign val="subscript"/>
        <sz val="11"/>
        <color theme="1"/>
        <rFont val="Arial"/>
        <family val="2"/>
      </rPr>
      <t>DM</t>
    </r>
    <r>
      <rPr>
        <sz val="11"/>
        <color theme="1"/>
        <rFont val="Arial"/>
        <family val="2"/>
      </rPr>
      <t xml:space="preserve"> =</t>
    </r>
  </si>
  <si>
    <r>
      <t>T</t>
    </r>
    <r>
      <rPr>
        <vertAlign val="subscript"/>
        <sz val="11"/>
        <color theme="1"/>
        <rFont val="Arial"/>
        <family val="2"/>
      </rPr>
      <t>Z_min</t>
    </r>
    <r>
      <rPr>
        <sz val="11"/>
        <color theme="1"/>
        <rFont val="Arial"/>
        <family val="2"/>
      </rPr>
      <t xml:space="preserve"> =</t>
    </r>
  </si>
  <si>
    <r>
      <t>R</t>
    </r>
    <r>
      <rPr>
        <vertAlign val="subscript"/>
        <sz val="11"/>
        <color theme="1"/>
        <rFont val="Arial"/>
        <family val="2"/>
      </rPr>
      <t>TZ_rec</t>
    </r>
    <r>
      <rPr>
        <sz val="11"/>
        <color theme="1"/>
        <rFont val="Arial"/>
        <family val="2"/>
      </rPr>
      <t xml:space="preserve"> =</t>
    </r>
  </si>
  <si>
    <r>
      <rPr>
        <b/>
        <sz val="11"/>
        <color theme="1"/>
        <rFont val="Arial"/>
        <family val="2"/>
      </rPr>
      <t xml:space="preserve">Actual </t>
    </r>
    <r>
      <rPr>
        <sz val="11"/>
        <color theme="1"/>
        <rFont val="Arial"/>
        <family val="2"/>
      </rPr>
      <t>RTZ Resistor</t>
    </r>
  </si>
  <si>
    <r>
      <t>R</t>
    </r>
    <r>
      <rPr>
        <vertAlign val="subscript"/>
        <sz val="11"/>
        <color theme="1"/>
        <rFont val="Arial"/>
        <family val="2"/>
      </rPr>
      <t>TZ_act</t>
    </r>
    <r>
      <rPr>
        <sz val="11"/>
        <color theme="1"/>
        <rFont val="Arial"/>
        <family val="2"/>
      </rPr>
      <t xml:space="preserve"> =</t>
    </r>
  </si>
  <si>
    <r>
      <t>R</t>
    </r>
    <r>
      <rPr>
        <vertAlign val="subscript"/>
        <sz val="11"/>
        <color theme="1"/>
        <rFont val="Arial"/>
        <family val="2"/>
      </rPr>
      <t>TZ</t>
    </r>
    <r>
      <rPr>
        <sz val="11"/>
        <color theme="1"/>
        <rFont val="Arial"/>
        <family val="2"/>
      </rPr>
      <t xml:space="preserve"> =</t>
    </r>
  </si>
  <si>
    <r>
      <t>V</t>
    </r>
    <r>
      <rPr>
        <vertAlign val="subscript"/>
        <sz val="11"/>
        <color theme="1"/>
        <rFont val="Arial"/>
        <family val="2"/>
      </rPr>
      <t>CST_BUR</t>
    </r>
    <r>
      <rPr>
        <sz val="11"/>
        <color theme="1"/>
        <rFont val="Arial"/>
        <family val="2"/>
      </rPr>
      <t xml:space="preserve"> =</t>
    </r>
  </si>
  <si>
    <r>
      <t>Equivalent BUR Voltage Target Based on V</t>
    </r>
    <r>
      <rPr>
        <vertAlign val="subscript"/>
        <sz val="11"/>
        <color theme="1"/>
        <rFont val="Arial"/>
        <family val="2"/>
      </rPr>
      <t>CST_BUR</t>
    </r>
  </si>
  <si>
    <r>
      <t>V</t>
    </r>
    <r>
      <rPr>
        <vertAlign val="subscript"/>
        <sz val="11"/>
        <color theme="1"/>
        <rFont val="Arial"/>
        <family val="2"/>
      </rPr>
      <t>BUR_tgt</t>
    </r>
    <r>
      <rPr>
        <sz val="11"/>
        <color theme="1"/>
        <rFont val="Arial"/>
        <family val="2"/>
      </rPr>
      <t xml:space="preserve"> =</t>
    </r>
  </si>
  <si>
    <r>
      <rPr>
        <b/>
        <sz val="11"/>
        <color theme="1"/>
        <rFont val="Arial"/>
        <family val="2"/>
      </rPr>
      <t xml:space="preserve">Recommended </t>
    </r>
    <r>
      <rPr>
        <sz val="11"/>
        <color theme="1"/>
        <rFont val="Arial"/>
        <family val="2"/>
      </rPr>
      <t>R</t>
    </r>
    <r>
      <rPr>
        <vertAlign val="subscript"/>
        <sz val="11"/>
        <color theme="1"/>
        <rFont val="Arial"/>
        <family val="2"/>
      </rPr>
      <t>BUR2_rec</t>
    </r>
    <r>
      <rPr>
        <sz val="11"/>
        <color theme="1"/>
        <rFont val="Arial"/>
        <family val="2"/>
      </rPr>
      <t xml:space="preserve"> Resistor</t>
    </r>
  </si>
  <si>
    <r>
      <t>R</t>
    </r>
    <r>
      <rPr>
        <vertAlign val="subscript"/>
        <sz val="11"/>
        <color theme="1"/>
        <rFont val="Arial"/>
        <family val="2"/>
      </rPr>
      <t>BUR2_rec</t>
    </r>
    <r>
      <rPr>
        <sz val="11"/>
        <color theme="1"/>
        <rFont val="Arial"/>
        <family val="2"/>
      </rPr>
      <t xml:space="preserve"> =</t>
    </r>
  </si>
  <si>
    <r>
      <rPr>
        <b/>
        <sz val="11"/>
        <color theme="1"/>
        <rFont val="Arial"/>
        <family val="2"/>
      </rPr>
      <t xml:space="preserve">Actual </t>
    </r>
    <r>
      <rPr>
        <sz val="11"/>
        <color theme="1"/>
        <rFont val="Arial"/>
        <family val="2"/>
      </rPr>
      <t>R</t>
    </r>
    <r>
      <rPr>
        <vertAlign val="subscript"/>
        <sz val="11"/>
        <color theme="1"/>
        <rFont val="Arial"/>
        <family val="2"/>
      </rPr>
      <t>BUR2_act</t>
    </r>
    <r>
      <rPr>
        <sz val="11"/>
        <color theme="1"/>
        <rFont val="Arial"/>
        <family val="2"/>
      </rPr>
      <t xml:space="preserve"> Resistor</t>
    </r>
  </si>
  <si>
    <r>
      <t>R</t>
    </r>
    <r>
      <rPr>
        <vertAlign val="subscript"/>
        <sz val="11"/>
        <color theme="1"/>
        <rFont val="Arial"/>
        <family val="2"/>
      </rPr>
      <t>BUR2_act</t>
    </r>
    <r>
      <rPr>
        <sz val="11"/>
        <color theme="1"/>
        <rFont val="Arial"/>
        <family val="2"/>
      </rPr>
      <t xml:space="preserve"> =</t>
    </r>
  </si>
  <si>
    <r>
      <t>R</t>
    </r>
    <r>
      <rPr>
        <vertAlign val="subscript"/>
        <sz val="11"/>
        <color theme="1"/>
        <rFont val="Arial"/>
        <family val="2"/>
      </rPr>
      <t>BUR2</t>
    </r>
    <r>
      <rPr>
        <sz val="11"/>
        <color theme="1"/>
        <rFont val="Arial"/>
        <family val="2"/>
      </rPr>
      <t xml:space="preserve"> Resistor Used in Calculations</t>
    </r>
  </si>
  <si>
    <r>
      <t>R</t>
    </r>
    <r>
      <rPr>
        <vertAlign val="subscript"/>
        <sz val="11"/>
        <color theme="1"/>
        <rFont val="Arial"/>
        <family val="2"/>
      </rPr>
      <t xml:space="preserve">BUR2 </t>
    </r>
    <r>
      <rPr>
        <sz val="11"/>
        <color theme="1"/>
        <rFont val="Arial"/>
        <family val="2"/>
      </rPr>
      <t>=</t>
    </r>
  </si>
  <si>
    <r>
      <rPr>
        <b/>
        <sz val="11"/>
        <color theme="1"/>
        <rFont val="Arial"/>
        <family val="2"/>
      </rPr>
      <t xml:space="preserve">Recommended </t>
    </r>
    <r>
      <rPr>
        <sz val="11"/>
        <color theme="1"/>
        <rFont val="Arial"/>
        <family val="2"/>
      </rPr>
      <t>R</t>
    </r>
    <r>
      <rPr>
        <vertAlign val="subscript"/>
        <sz val="11"/>
        <color theme="1"/>
        <rFont val="Arial"/>
        <family val="2"/>
      </rPr>
      <t>BUR1_rec</t>
    </r>
    <r>
      <rPr>
        <sz val="11"/>
        <color theme="1"/>
        <rFont val="Arial"/>
        <family val="2"/>
      </rPr>
      <t xml:space="preserve"> Resistor</t>
    </r>
  </si>
  <si>
    <r>
      <t>R</t>
    </r>
    <r>
      <rPr>
        <vertAlign val="subscript"/>
        <sz val="11"/>
        <color theme="1"/>
        <rFont val="Arial"/>
        <family val="2"/>
      </rPr>
      <t>BUR1_rec</t>
    </r>
    <r>
      <rPr>
        <sz val="11"/>
        <color theme="1"/>
        <rFont val="Arial"/>
        <family val="2"/>
      </rPr>
      <t xml:space="preserve"> =</t>
    </r>
  </si>
  <si>
    <r>
      <rPr>
        <b/>
        <sz val="11"/>
        <color theme="1"/>
        <rFont val="Arial"/>
        <family val="2"/>
      </rPr>
      <t xml:space="preserve">Actual </t>
    </r>
    <r>
      <rPr>
        <sz val="11"/>
        <color theme="1"/>
        <rFont val="Arial"/>
        <family val="2"/>
      </rPr>
      <t>R</t>
    </r>
    <r>
      <rPr>
        <vertAlign val="subscript"/>
        <sz val="11"/>
        <color theme="1"/>
        <rFont val="Arial"/>
        <family val="2"/>
      </rPr>
      <t>BUR1_act</t>
    </r>
    <r>
      <rPr>
        <sz val="11"/>
        <color theme="1"/>
        <rFont val="Arial"/>
        <family val="2"/>
      </rPr>
      <t xml:space="preserve"> Resistor</t>
    </r>
  </si>
  <si>
    <r>
      <t>R</t>
    </r>
    <r>
      <rPr>
        <vertAlign val="subscript"/>
        <sz val="11"/>
        <color theme="1"/>
        <rFont val="Arial"/>
        <family val="2"/>
      </rPr>
      <t>BUR1_act</t>
    </r>
    <r>
      <rPr>
        <sz val="11"/>
        <color theme="1"/>
        <rFont val="Arial"/>
        <family val="2"/>
      </rPr>
      <t xml:space="preserve"> =</t>
    </r>
  </si>
  <si>
    <r>
      <t>R</t>
    </r>
    <r>
      <rPr>
        <vertAlign val="subscript"/>
        <sz val="11"/>
        <color theme="1"/>
        <rFont val="Arial"/>
        <family val="2"/>
      </rPr>
      <t>BUR1</t>
    </r>
    <r>
      <rPr>
        <sz val="11"/>
        <color theme="1"/>
        <rFont val="Arial"/>
        <family val="2"/>
      </rPr>
      <t xml:space="preserve"> Resistor Used in Calculations</t>
    </r>
  </si>
  <si>
    <r>
      <t>R</t>
    </r>
    <r>
      <rPr>
        <vertAlign val="subscript"/>
        <sz val="11"/>
        <color theme="1"/>
        <rFont val="Arial"/>
        <family val="2"/>
      </rPr>
      <t xml:space="preserve">BUR1 </t>
    </r>
    <r>
      <rPr>
        <sz val="11"/>
        <color theme="1"/>
        <rFont val="Arial"/>
        <family val="2"/>
      </rPr>
      <t>=</t>
    </r>
  </si>
  <si>
    <r>
      <t>V</t>
    </r>
    <r>
      <rPr>
        <vertAlign val="subscript"/>
        <sz val="11"/>
        <color theme="1"/>
        <rFont val="Arial"/>
        <family val="2"/>
      </rPr>
      <t xml:space="preserve">BUR </t>
    </r>
    <r>
      <rPr>
        <sz val="11"/>
        <color theme="1"/>
        <rFont val="Arial"/>
        <family val="2"/>
      </rPr>
      <t>=</t>
    </r>
  </si>
  <si>
    <r>
      <t>C</t>
    </r>
    <r>
      <rPr>
        <vertAlign val="subscript"/>
        <sz val="11"/>
        <color theme="1"/>
        <rFont val="Arial"/>
        <family val="2"/>
      </rPr>
      <t>BUR_max</t>
    </r>
    <r>
      <rPr>
        <sz val="11"/>
        <color theme="1"/>
        <rFont val="Arial"/>
        <family val="2"/>
      </rPr>
      <t xml:space="preserve"> =</t>
    </r>
  </si>
  <si>
    <r>
      <rPr>
        <b/>
        <sz val="11"/>
        <color theme="1"/>
        <rFont val="Arial"/>
        <family val="2"/>
      </rPr>
      <t xml:space="preserve">Actual </t>
    </r>
    <r>
      <rPr>
        <sz val="11"/>
        <color theme="1"/>
        <rFont val="Arial"/>
        <family val="2"/>
      </rPr>
      <t>C</t>
    </r>
    <r>
      <rPr>
        <vertAlign val="subscript"/>
        <sz val="11"/>
        <color theme="1"/>
        <rFont val="Arial"/>
        <family val="2"/>
      </rPr>
      <t>BUR</t>
    </r>
    <r>
      <rPr>
        <sz val="11"/>
        <color theme="1"/>
        <rFont val="Arial"/>
        <family val="2"/>
      </rPr>
      <t xml:space="preserve"> Capacitance</t>
    </r>
  </si>
  <si>
    <r>
      <t>C</t>
    </r>
    <r>
      <rPr>
        <vertAlign val="subscript"/>
        <sz val="11"/>
        <color theme="1"/>
        <rFont val="Arial"/>
        <family val="2"/>
      </rPr>
      <t>BUR_act</t>
    </r>
    <r>
      <rPr>
        <sz val="11"/>
        <color theme="1"/>
        <rFont val="Arial"/>
        <family val="2"/>
      </rPr>
      <t xml:space="preserve"> =</t>
    </r>
  </si>
  <si>
    <r>
      <t>C</t>
    </r>
    <r>
      <rPr>
        <vertAlign val="subscript"/>
        <sz val="11"/>
        <color theme="1"/>
        <rFont val="Arial"/>
        <family val="2"/>
      </rPr>
      <t>BUR</t>
    </r>
    <r>
      <rPr>
        <sz val="11"/>
        <color theme="1"/>
        <rFont val="Arial"/>
        <family val="2"/>
      </rPr>
      <t xml:space="preserve"> Capacitance Used in Calculations</t>
    </r>
  </si>
  <si>
    <r>
      <t>C</t>
    </r>
    <r>
      <rPr>
        <vertAlign val="subscript"/>
        <sz val="11"/>
        <color theme="1"/>
        <rFont val="Arial"/>
        <family val="2"/>
      </rPr>
      <t xml:space="preserve">BUR </t>
    </r>
    <r>
      <rPr>
        <sz val="11"/>
        <color theme="1"/>
        <rFont val="Arial"/>
        <family val="2"/>
      </rPr>
      <t>=</t>
    </r>
  </si>
  <si>
    <r>
      <rPr>
        <b/>
        <sz val="11"/>
        <color theme="1"/>
        <rFont val="Arial"/>
        <family val="2"/>
      </rPr>
      <t>Recommended</t>
    </r>
    <r>
      <rPr>
        <sz val="11"/>
        <color theme="1"/>
        <rFont val="Arial"/>
        <family val="2"/>
      </rPr>
      <t xml:space="preserve"> Capacitance on SWS</t>
    </r>
  </si>
  <si>
    <r>
      <t>C</t>
    </r>
    <r>
      <rPr>
        <vertAlign val="subscript"/>
        <sz val="11"/>
        <color theme="1"/>
        <rFont val="Arial"/>
        <family val="2"/>
      </rPr>
      <t>SWS_rec</t>
    </r>
    <r>
      <rPr>
        <sz val="11"/>
        <color theme="1"/>
        <rFont val="Arial"/>
        <family val="2"/>
      </rPr>
      <t xml:space="preserve"> =</t>
    </r>
  </si>
  <si>
    <r>
      <rPr>
        <b/>
        <sz val="11"/>
        <color theme="1"/>
        <rFont val="Arial"/>
        <family val="2"/>
      </rPr>
      <t>Actual</t>
    </r>
    <r>
      <rPr>
        <sz val="11"/>
        <color theme="1"/>
        <rFont val="Arial"/>
        <family val="2"/>
      </rPr>
      <t xml:space="preserve"> Capacitance</t>
    </r>
  </si>
  <si>
    <r>
      <t>C</t>
    </r>
    <r>
      <rPr>
        <vertAlign val="subscript"/>
        <sz val="11"/>
        <color theme="1"/>
        <rFont val="Arial"/>
        <family val="2"/>
      </rPr>
      <t xml:space="preserve">SWS_act </t>
    </r>
    <r>
      <rPr>
        <sz val="11"/>
        <color theme="1"/>
        <rFont val="Arial"/>
        <family val="2"/>
      </rPr>
      <t>=</t>
    </r>
  </si>
  <si>
    <r>
      <t>C</t>
    </r>
    <r>
      <rPr>
        <vertAlign val="subscript"/>
        <sz val="11"/>
        <color theme="1"/>
        <rFont val="Arial"/>
        <family val="2"/>
      </rPr>
      <t>SWS</t>
    </r>
    <r>
      <rPr>
        <sz val="11"/>
        <color theme="1"/>
        <rFont val="Arial"/>
        <family val="2"/>
      </rPr>
      <t xml:space="preserve"> =</t>
    </r>
  </si>
  <si>
    <r>
      <t>R</t>
    </r>
    <r>
      <rPr>
        <vertAlign val="subscript"/>
        <sz val="11"/>
        <color theme="1"/>
        <rFont val="Arial"/>
        <family val="2"/>
      </rPr>
      <t>SWS_rec</t>
    </r>
    <r>
      <rPr>
        <sz val="11"/>
        <color theme="1"/>
        <rFont val="Arial"/>
        <family val="2"/>
      </rPr>
      <t xml:space="preserve"> =</t>
    </r>
  </si>
  <si>
    <r>
      <rPr>
        <b/>
        <sz val="11"/>
        <color theme="1"/>
        <rFont val="Arial"/>
        <family val="2"/>
      </rPr>
      <t>Actual</t>
    </r>
    <r>
      <rPr>
        <sz val="11"/>
        <color theme="1"/>
        <rFont val="Arial"/>
        <family val="2"/>
      </rPr>
      <t xml:space="preserve"> Resistor</t>
    </r>
  </si>
  <si>
    <r>
      <t>R</t>
    </r>
    <r>
      <rPr>
        <vertAlign val="subscript"/>
        <sz val="11"/>
        <color theme="1"/>
        <rFont val="Arial"/>
        <family val="2"/>
      </rPr>
      <t>SWS_act</t>
    </r>
    <r>
      <rPr>
        <sz val="11"/>
        <color theme="1"/>
        <rFont val="Arial"/>
        <family val="2"/>
      </rPr>
      <t xml:space="preserve"> =</t>
    </r>
  </si>
  <si>
    <r>
      <t>R</t>
    </r>
    <r>
      <rPr>
        <vertAlign val="subscript"/>
        <sz val="11"/>
        <color theme="1"/>
        <rFont val="Arial"/>
        <family val="2"/>
      </rPr>
      <t>SWS</t>
    </r>
    <r>
      <rPr>
        <sz val="11"/>
        <color theme="1"/>
        <rFont val="Arial"/>
        <family val="2"/>
      </rPr>
      <t xml:space="preserve"> =</t>
    </r>
  </si>
  <si>
    <r>
      <rPr>
        <b/>
        <sz val="11"/>
        <color theme="1"/>
        <rFont val="Arial"/>
        <family val="2"/>
      </rPr>
      <t>Minimum</t>
    </r>
    <r>
      <rPr>
        <sz val="11"/>
        <color theme="1"/>
        <rFont val="Arial"/>
        <family val="2"/>
      </rPr>
      <t xml:space="preserve"> C</t>
    </r>
    <r>
      <rPr>
        <vertAlign val="subscript"/>
        <sz val="11"/>
        <color theme="1"/>
        <rFont val="Arial"/>
        <family val="2"/>
      </rPr>
      <t>REF</t>
    </r>
    <r>
      <rPr>
        <sz val="11"/>
        <color theme="1"/>
        <rFont val="Arial"/>
        <family val="2"/>
      </rPr>
      <t xml:space="preserve"> Capacitance</t>
    </r>
  </si>
  <si>
    <r>
      <t>C</t>
    </r>
    <r>
      <rPr>
        <vertAlign val="subscript"/>
        <sz val="11"/>
        <color theme="1"/>
        <rFont val="Arial"/>
        <family val="2"/>
      </rPr>
      <t>REF_min</t>
    </r>
    <r>
      <rPr>
        <sz val="11"/>
        <color theme="1"/>
        <rFont val="Arial"/>
        <family val="2"/>
      </rPr>
      <t xml:space="preserve"> =</t>
    </r>
  </si>
  <si>
    <r>
      <rPr>
        <b/>
        <sz val="11"/>
        <color theme="1"/>
        <rFont val="Arial"/>
        <family val="2"/>
      </rPr>
      <t>Actual</t>
    </r>
    <r>
      <rPr>
        <sz val="11"/>
        <color theme="1"/>
        <rFont val="Arial"/>
        <family val="2"/>
      </rPr>
      <t xml:space="preserve"> C</t>
    </r>
    <r>
      <rPr>
        <vertAlign val="subscript"/>
        <sz val="11"/>
        <color theme="1"/>
        <rFont val="Arial"/>
        <family val="2"/>
      </rPr>
      <t>REF</t>
    </r>
    <r>
      <rPr>
        <sz val="11"/>
        <color theme="1"/>
        <rFont val="Arial"/>
        <family val="2"/>
      </rPr>
      <t xml:space="preserve"> Capacitance</t>
    </r>
  </si>
  <si>
    <r>
      <t>C</t>
    </r>
    <r>
      <rPr>
        <vertAlign val="subscript"/>
        <sz val="11"/>
        <color theme="1"/>
        <rFont val="Arial"/>
        <family val="2"/>
      </rPr>
      <t>REF_act</t>
    </r>
    <r>
      <rPr>
        <sz val="11"/>
        <color theme="1"/>
        <rFont val="Arial"/>
        <family val="2"/>
      </rPr>
      <t xml:space="preserve"> =</t>
    </r>
  </si>
  <si>
    <r>
      <t>C</t>
    </r>
    <r>
      <rPr>
        <vertAlign val="subscript"/>
        <sz val="11"/>
        <color theme="1"/>
        <rFont val="Arial"/>
        <family val="2"/>
      </rPr>
      <t>REF</t>
    </r>
    <r>
      <rPr>
        <sz val="11"/>
        <color theme="1"/>
        <rFont val="Arial"/>
        <family val="2"/>
      </rPr>
      <t xml:space="preserve"> Capacitance Used in Calculations</t>
    </r>
  </si>
  <si>
    <r>
      <t>C</t>
    </r>
    <r>
      <rPr>
        <vertAlign val="subscript"/>
        <sz val="11"/>
        <color theme="1"/>
        <rFont val="Arial"/>
        <family val="2"/>
      </rPr>
      <t>REF</t>
    </r>
    <r>
      <rPr>
        <sz val="11"/>
        <color theme="1"/>
        <rFont val="Arial"/>
        <family val="2"/>
      </rPr>
      <t xml:space="preserve"> =</t>
    </r>
  </si>
  <si>
    <r>
      <rPr>
        <b/>
        <sz val="11"/>
        <color theme="1"/>
        <rFont val="Arial"/>
        <family val="2"/>
      </rPr>
      <t>Minimum</t>
    </r>
    <r>
      <rPr>
        <sz val="11"/>
        <color theme="1"/>
        <rFont val="Arial"/>
        <family val="2"/>
      </rPr>
      <t xml:space="preserve"> C</t>
    </r>
    <r>
      <rPr>
        <vertAlign val="subscript"/>
        <sz val="11"/>
        <color theme="1"/>
        <rFont val="Arial"/>
        <family val="2"/>
      </rPr>
      <t>DD2</t>
    </r>
    <r>
      <rPr>
        <sz val="11"/>
        <color theme="1"/>
        <rFont val="Arial"/>
        <family val="2"/>
      </rPr>
      <t/>
    </r>
  </si>
  <si>
    <r>
      <t>C</t>
    </r>
    <r>
      <rPr>
        <vertAlign val="subscript"/>
        <sz val="11"/>
        <color theme="1"/>
        <rFont val="Arial"/>
        <family val="2"/>
      </rPr>
      <t xml:space="preserve">DD2_min </t>
    </r>
    <r>
      <rPr>
        <sz val="11"/>
        <color theme="1"/>
        <rFont val="Arial"/>
        <family val="2"/>
      </rPr>
      <t>=</t>
    </r>
  </si>
  <si>
    <r>
      <t>C</t>
    </r>
    <r>
      <rPr>
        <vertAlign val="subscript"/>
        <sz val="11"/>
        <color theme="1"/>
        <rFont val="Arial"/>
        <family val="2"/>
      </rPr>
      <t>DD2</t>
    </r>
    <r>
      <rPr>
        <sz val="11"/>
        <color theme="1"/>
        <rFont val="Arial"/>
        <family val="2"/>
      </rPr>
      <t xml:space="preserve"> Used in Calculations</t>
    </r>
  </si>
  <si>
    <r>
      <t>C</t>
    </r>
    <r>
      <rPr>
        <vertAlign val="subscript"/>
        <sz val="11"/>
        <color theme="1"/>
        <rFont val="Arial"/>
        <family val="2"/>
      </rPr>
      <t xml:space="preserve">DD2 </t>
    </r>
    <r>
      <rPr>
        <sz val="11"/>
        <color theme="1"/>
        <rFont val="Arial"/>
        <family val="2"/>
      </rPr>
      <t>=</t>
    </r>
  </si>
  <si>
    <r>
      <t>V</t>
    </r>
    <r>
      <rPr>
        <vertAlign val="subscript"/>
        <sz val="11"/>
        <color theme="1"/>
        <rFont val="Arial"/>
        <family val="2"/>
      </rPr>
      <t>DD</t>
    </r>
    <r>
      <rPr>
        <sz val="11"/>
        <color theme="1"/>
        <rFont val="Arial"/>
        <family val="2"/>
      </rPr>
      <t xml:space="preserve"> =</t>
    </r>
  </si>
  <si>
    <r>
      <t>V</t>
    </r>
    <r>
      <rPr>
        <vertAlign val="subscript"/>
        <sz val="11"/>
        <color theme="1"/>
        <rFont val="Arial"/>
        <family val="2"/>
      </rPr>
      <t>O</t>
    </r>
    <r>
      <rPr>
        <sz val="11"/>
        <color theme="1"/>
        <rFont val="Arial"/>
        <family val="2"/>
      </rPr>
      <t xml:space="preserve"> Rise Time to Regulation</t>
    </r>
  </si>
  <si>
    <r>
      <t>Reduction Factor, in Negative Percent, for C</t>
    </r>
    <r>
      <rPr>
        <vertAlign val="subscript"/>
        <sz val="11"/>
        <color theme="1"/>
        <rFont val="Arial"/>
        <family val="2"/>
      </rPr>
      <t>DD1</t>
    </r>
    <r>
      <rPr>
        <sz val="11"/>
        <color theme="1"/>
        <rFont val="Arial"/>
        <family val="2"/>
      </rPr>
      <t xml:space="preserve"> due to DC-Bias Effect</t>
    </r>
  </si>
  <si>
    <r>
      <t>D</t>
    </r>
    <r>
      <rPr>
        <vertAlign val="subscript"/>
        <sz val="11"/>
        <color theme="1"/>
        <rFont val="Arial"/>
        <family val="2"/>
      </rPr>
      <t xml:space="preserve">rea_CDD1 </t>
    </r>
    <r>
      <rPr>
        <sz val="11"/>
        <color theme="1"/>
        <rFont val="Arial"/>
        <family val="2"/>
      </rPr>
      <t>=</t>
    </r>
  </si>
  <si>
    <r>
      <rPr>
        <b/>
        <sz val="11"/>
        <color theme="1"/>
        <rFont val="Arial"/>
        <family val="2"/>
      </rPr>
      <t>Recommended</t>
    </r>
    <r>
      <rPr>
        <sz val="11"/>
        <color theme="1"/>
        <rFont val="Arial"/>
        <family val="2"/>
      </rPr>
      <t xml:space="preserve"> C</t>
    </r>
    <r>
      <rPr>
        <vertAlign val="subscript"/>
        <sz val="11"/>
        <color theme="1"/>
        <rFont val="Arial"/>
        <family val="2"/>
      </rPr>
      <t>DD1</t>
    </r>
    <r>
      <rPr>
        <sz val="11"/>
        <color theme="1"/>
        <rFont val="Arial"/>
        <family val="2"/>
      </rPr>
      <t xml:space="preserve"> Nominal Capacitance</t>
    </r>
  </si>
  <si>
    <r>
      <t>C</t>
    </r>
    <r>
      <rPr>
        <vertAlign val="subscript"/>
        <sz val="11"/>
        <color theme="1"/>
        <rFont val="Arial"/>
        <family val="2"/>
      </rPr>
      <t>DD1_rec</t>
    </r>
    <r>
      <rPr>
        <sz val="11"/>
        <color theme="1"/>
        <rFont val="Arial"/>
        <family val="2"/>
      </rPr>
      <t xml:space="preserve"> =</t>
    </r>
  </si>
  <si>
    <r>
      <rPr>
        <b/>
        <sz val="11"/>
        <color theme="1"/>
        <rFont val="Arial"/>
        <family val="2"/>
      </rPr>
      <t>Actual</t>
    </r>
    <r>
      <rPr>
        <sz val="11"/>
        <color theme="1"/>
        <rFont val="Arial"/>
        <family val="2"/>
      </rPr>
      <t xml:space="preserve"> C</t>
    </r>
    <r>
      <rPr>
        <vertAlign val="subscript"/>
        <sz val="11"/>
        <color theme="1"/>
        <rFont val="Arial"/>
        <family val="2"/>
      </rPr>
      <t>DD1</t>
    </r>
    <r>
      <rPr>
        <sz val="11"/>
        <color theme="1"/>
        <rFont val="Arial"/>
        <family val="2"/>
      </rPr>
      <t xml:space="preserve"> Capacitance</t>
    </r>
  </si>
  <si>
    <r>
      <t>C</t>
    </r>
    <r>
      <rPr>
        <vertAlign val="subscript"/>
        <sz val="11"/>
        <color theme="1"/>
        <rFont val="Arial"/>
        <family val="2"/>
      </rPr>
      <t>DD1_act</t>
    </r>
    <r>
      <rPr>
        <sz val="11"/>
        <color theme="1"/>
        <rFont val="Arial"/>
        <family val="2"/>
      </rPr>
      <t xml:space="preserve"> =</t>
    </r>
  </si>
  <si>
    <r>
      <t xml:space="preserve">Select standard value </t>
    </r>
    <r>
      <rPr>
        <sz val="11"/>
        <color theme="1"/>
        <rFont val="Calibri"/>
        <family val="2"/>
      </rPr>
      <t>≥</t>
    </r>
    <r>
      <rPr>
        <sz val="11"/>
        <color theme="1"/>
        <rFont val="Arial"/>
        <family val="2"/>
      </rPr>
      <t xml:space="preserve"> recommended</t>
    </r>
  </si>
  <si>
    <r>
      <t>C</t>
    </r>
    <r>
      <rPr>
        <vertAlign val="subscript"/>
        <sz val="11"/>
        <color theme="1"/>
        <rFont val="Arial"/>
        <family val="2"/>
      </rPr>
      <t>DD1</t>
    </r>
    <r>
      <rPr>
        <sz val="11"/>
        <color theme="1"/>
        <rFont val="Arial"/>
        <family val="2"/>
      </rPr>
      <t xml:space="preserve"> Capacitance Used in Calculations</t>
    </r>
  </si>
  <si>
    <r>
      <t>C</t>
    </r>
    <r>
      <rPr>
        <vertAlign val="subscript"/>
        <sz val="11"/>
        <color theme="1"/>
        <rFont val="Arial"/>
        <family val="2"/>
      </rPr>
      <t>DD1</t>
    </r>
    <r>
      <rPr>
        <sz val="11"/>
        <color theme="1"/>
        <rFont val="Arial"/>
        <family val="2"/>
      </rPr>
      <t xml:space="preserve"> =</t>
    </r>
  </si>
  <si>
    <r>
      <rPr>
        <b/>
        <sz val="11"/>
        <color theme="1"/>
        <rFont val="Arial"/>
        <family val="2"/>
      </rPr>
      <t>Maximum</t>
    </r>
    <r>
      <rPr>
        <sz val="11"/>
        <color theme="1"/>
        <rFont val="Arial"/>
        <family val="2"/>
      </rPr>
      <t xml:space="preserve"> FB Pin Resistor</t>
    </r>
  </si>
  <si>
    <r>
      <t>R</t>
    </r>
    <r>
      <rPr>
        <vertAlign val="subscript"/>
        <sz val="11"/>
        <color theme="1"/>
        <rFont val="Arial"/>
        <family val="2"/>
      </rPr>
      <t>FB_max</t>
    </r>
    <r>
      <rPr>
        <sz val="11"/>
        <color theme="1"/>
        <rFont val="Arial"/>
        <family val="2"/>
      </rPr>
      <t xml:space="preserve"> =</t>
    </r>
  </si>
  <si>
    <r>
      <rPr>
        <b/>
        <sz val="11"/>
        <color theme="1"/>
        <rFont val="Arial"/>
        <family val="2"/>
      </rPr>
      <t>Actual</t>
    </r>
    <r>
      <rPr>
        <sz val="11"/>
        <color theme="1"/>
        <rFont val="Arial"/>
        <family val="2"/>
      </rPr>
      <t xml:space="preserve"> FB Pin Resistor</t>
    </r>
  </si>
  <si>
    <r>
      <t>R</t>
    </r>
    <r>
      <rPr>
        <vertAlign val="subscript"/>
        <sz val="11"/>
        <color theme="1"/>
        <rFont val="Arial"/>
        <family val="2"/>
      </rPr>
      <t>FB_act</t>
    </r>
    <r>
      <rPr>
        <sz val="11"/>
        <color theme="1"/>
        <rFont val="Arial"/>
        <family val="2"/>
      </rPr>
      <t xml:space="preserve"> =</t>
    </r>
  </si>
  <si>
    <r>
      <t>R</t>
    </r>
    <r>
      <rPr>
        <vertAlign val="subscript"/>
        <sz val="11"/>
        <color theme="1"/>
        <rFont val="Arial"/>
        <family val="2"/>
      </rPr>
      <t>FB</t>
    </r>
    <r>
      <rPr>
        <sz val="11"/>
        <color theme="1"/>
        <rFont val="Arial"/>
        <family val="2"/>
      </rPr>
      <t xml:space="preserve"> =</t>
    </r>
  </si>
  <si>
    <r>
      <t>Recommended C</t>
    </r>
    <r>
      <rPr>
        <vertAlign val="subscript"/>
        <sz val="11"/>
        <color theme="1"/>
        <rFont val="Arial"/>
        <family val="2"/>
      </rPr>
      <t>FB</t>
    </r>
    <r>
      <rPr>
        <sz val="11"/>
        <color theme="1"/>
        <rFont val="Arial"/>
        <family val="2"/>
      </rPr>
      <t/>
    </r>
  </si>
  <si>
    <r>
      <t>C</t>
    </r>
    <r>
      <rPr>
        <vertAlign val="subscript"/>
        <sz val="11"/>
        <color theme="1"/>
        <rFont val="Arial"/>
        <family val="2"/>
      </rPr>
      <t>FB</t>
    </r>
    <r>
      <rPr>
        <sz val="11"/>
        <color theme="1"/>
        <rFont val="Arial"/>
        <family val="2"/>
      </rPr>
      <t xml:space="preserve"> =</t>
    </r>
  </si>
  <si>
    <r>
      <t>R</t>
    </r>
    <r>
      <rPr>
        <vertAlign val="subscript"/>
        <sz val="11"/>
        <color theme="1"/>
        <rFont val="Arial"/>
        <family val="2"/>
      </rPr>
      <t xml:space="preserve">bias2_rec </t>
    </r>
    <r>
      <rPr>
        <sz val="11"/>
        <color theme="1"/>
        <rFont val="Arial"/>
        <family val="2"/>
      </rPr>
      <t>=</t>
    </r>
  </si>
  <si>
    <r>
      <rPr>
        <b/>
        <sz val="11"/>
        <color theme="1"/>
        <rFont val="Arial"/>
        <family val="2"/>
      </rPr>
      <t>Actual</t>
    </r>
    <r>
      <rPr>
        <sz val="11"/>
        <color theme="1"/>
        <rFont val="Arial"/>
        <family val="2"/>
      </rPr>
      <t xml:space="preserve"> Bias Resistor2</t>
    </r>
  </si>
  <si>
    <r>
      <t>R</t>
    </r>
    <r>
      <rPr>
        <vertAlign val="subscript"/>
        <sz val="11"/>
        <color theme="1"/>
        <rFont val="Arial"/>
        <family val="2"/>
      </rPr>
      <t xml:space="preserve">bias2_act </t>
    </r>
    <r>
      <rPr>
        <sz val="11"/>
        <color theme="1"/>
        <rFont val="Arial"/>
        <family val="2"/>
      </rPr>
      <t>=</t>
    </r>
  </si>
  <si>
    <r>
      <t>R</t>
    </r>
    <r>
      <rPr>
        <vertAlign val="subscript"/>
        <sz val="11"/>
        <color theme="1"/>
        <rFont val="Arial"/>
        <family val="2"/>
      </rPr>
      <t xml:space="preserve">bias2 </t>
    </r>
    <r>
      <rPr>
        <sz val="11"/>
        <color theme="1"/>
        <rFont val="Arial"/>
        <family val="2"/>
      </rPr>
      <t>=</t>
    </r>
  </si>
  <si>
    <r>
      <t>R</t>
    </r>
    <r>
      <rPr>
        <vertAlign val="subscript"/>
        <sz val="11"/>
        <color theme="1"/>
        <rFont val="Arial"/>
        <family val="2"/>
      </rPr>
      <t>bias1_max_SBP</t>
    </r>
    <r>
      <rPr>
        <sz val="11"/>
        <color theme="1"/>
        <rFont val="Arial"/>
        <family val="2"/>
      </rPr>
      <t xml:space="preserve"> =</t>
    </r>
  </si>
  <si>
    <r>
      <t>R</t>
    </r>
    <r>
      <rPr>
        <vertAlign val="subscript"/>
        <sz val="11"/>
        <color theme="1"/>
        <rFont val="Arial"/>
        <family val="2"/>
      </rPr>
      <t>bias1_max_ABM</t>
    </r>
    <r>
      <rPr>
        <sz val="11"/>
        <color theme="1"/>
        <rFont val="Arial"/>
        <family val="2"/>
      </rPr>
      <t xml:space="preserve"> =</t>
    </r>
  </si>
  <si>
    <r>
      <t>R</t>
    </r>
    <r>
      <rPr>
        <vertAlign val="subscript"/>
        <sz val="11"/>
        <color theme="1"/>
        <rFont val="Arial"/>
        <family val="2"/>
      </rPr>
      <t>bias1_max</t>
    </r>
    <r>
      <rPr>
        <sz val="11"/>
        <color theme="1"/>
        <rFont val="Arial"/>
        <family val="2"/>
      </rPr>
      <t xml:space="preserve"> =</t>
    </r>
  </si>
  <si>
    <r>
      <t>R</t>
    </r>
    <r>
      <rPr>
        <vertAlign val="subscript"/>
        <sz val="11"/>
        <color theme="1"/>
        <rFont val="Arial"/>
        <family val="2"/>
      </rPr>
      <t>bias1_min</t>
    </r>
    <r>
      <rPr>
        <sz val="11"/>
        <color theme="1"/>
        <rFont val="Arial"/>
        <family val="2"/>
      </rPr>
      <t xml:space="preserve"> =</t>
    </r>
  </si>
  <si>
    <r>
      <t>R</t>
    </r>
    <r>
      <rPr>
        <vertAlign val="subscript"/>
        <sz val="11"/>
        <color theme="1"/>
        <rFont val="Arial"/>
        <family val="2"/>
      </rPr>
      <t>bias1</t>
    </r>
    <r>
      <rPr>
        <sz val="11"/>
        <color theme="1"/>
        <rFont val="Arial"/>
        <family val="2"/>
      </rPr>
      <t xml:space="preserve"> Used in Calculations</t>
    </r>
  </si>
  <si>
    <r>
      <t>R</t>
    </r>
    <r>
      <rPr>
        <vertAlign val="subscript"/>
        <sz val="11"/>
        <color theme="1"/>
        <rFont val="Arial"/>
        <family val="2"/>
      </rPr>
      <t>bias1</t>
    </r>
    <r>
      <rPr>
        <sz val="11"/>
        <color theme="1"/>
        <rFont val="Arial"/>
        <family val="2"/>
      </rPr>
      <t xml:space="preserve"> =</t>
    </r>
  </si>
  <si>
    <r>
      <t>R</t>
    </r>
    <r>
      <rPr>
        <vertAlign val="subscript"/>
        <sz val="11"/>
        <color theme="1"/>
        <rFont val="Arial"/>
        <family val="2"/>
      </rPr>
      <t>vo2_rec_max</t>
    </r>
    <r>
      <rPr>
        <sz val="11"/>
        <color theme="1"/>
        <rFont val="Arial"/>
        <family val="2"/>
      </rPr>
      <t xml:space="preserve"> =</t>
    </r>
  </si>
  <si>
    <r>
      <rPr>
        <b/>
        <sz val="11"/>
        <color theme="1"/>
        <rFont val="Arial"/>
        <family val="2"/>
      </rPr>
      <t>Actual</t>
    </r>
    <r>
      <rPr>
        <sz val="11"/>
        <color theme="1"/>
        <rFont val="Arial"/>
        <family val="2"/>
      </rPr>
      <t xml:space="preserve"> R</t>
    </r>
    <r>
      <rPr>
        <vertAlign val="subscript"/>
        <sz val="11"/>
        <color theme="1"/>
        <rFont val="Arial"/>
        <family val="2"/>
      </rPr>
      <t>Vo2</t>
    </r>
    <r>
      <rPr>
        <sz val="11"/>
        <color theme="1"/>
        <rFont val="Arial"/>
        <family val="2"/>
      </rPr>
      <t xml:space="preserve"> Resistor</t>
    </r>
  </si>
  <si>
    <r>
      <t>R</t>
    </r>
    <r>
      <rPr>
        <vertAlign val="subscript"/>
        <sz val="11"/>
        <color theme="1"/>
        <rFont val="Arial"/>
        <family val="2"/>
      </rPr>
      <t xml:space="preserve">vo2_act </t>
    </r>
    <r>
      <rPr>
        <sz val="11"/>
        <color theme="1"/>
        <rFont val="Arial"/>
        <family val="2"/>
      </rPr>
      <t>=</t>
    </r>
  </si>
  <si>
    <r>
      <t>R</t>
    </r>
    <r>
      <rPr>
        <vertAlign val="subscript"/>
        <sz val="11"/>
        <color theme="1"/>
        <rFont val="Arial"/>
        <family val="2"/>
      </rPr>
      <t>Vo2</t>
    </r>
    <r>
      <rPr>
        <sz val="11"/>
        <color theme="1"/>
        <rFont val="Arial"/>
        <family val="2"/>
      </rPr>
      <t xml:space="preserve"> Resistor Used in Calculations</t>
    </r>
  </si>
  <si>
    <r>
      <t>R</t>
    </r>
    <r>
      <rPr>
        <vertAlign val="subscript"/>
        <sz val="11"/>
        <color theme="1"/>
        <rFont val="Arial"/>
        <family val="2"/>
      </rPr>
      <t>vo2</t>
    </r>
    <r>
      <rPr>
        <sz val="11"/>
        <color theme="1"/>
        <rFont val="Arial"/>
        <family val="2"/>
      </rPr>
      <t xml:space="preserve"> =</t>
    </r>
  </si>
  <si>
    <r>
      <t>R</t>
    </r>
    <r>
      <rPr>
        <vertAlign val="subscript"/>
        <sz val="11"/>
        <color theme="1"/>
        <rFont val="Arial"/>
        <family val="2"/>
      </rPr>
      <t>vo1_rec</t>
    </r>
    <r>
      <rPr>
        <sz val="11"/>
        <color theme="1"/>
        <rFont val="Arial"/>
        <family val="2"/>
      </rPr>
      <t xml:space="preserve"> =</t>
    </r>
  </si>
  <si>
    <r>
      <rPr>
        <b/>
        <sz val="11"/>
        <color theme="1"/>
        <rFont val="Arial"/>
        <family val="2"/>
      </rPr>
      <t>Actual</t>
    </r>
    <r>
      <rPr>
        <sz val="11"/>
        <color theme="1"/>
        <rFont val="Arial"/>
        <family val="2"/>
      </rPr>
      <t xml:space="preserve"> R</t>
    </r>
    <r>
      <rPr>
        <vertAlign val="subscript"/>
        <sz val="11"/>
        <color theme="1"/>
        <rFont val="Arial"/>
        <family val="2"/>
      </rPr>
      <t>Vo1</t>
    </r>
    <r>
      <rPr>
        <sz val="11"/>
        <color theme="1"/>
        <rFont val="Arial"/>
        <family val="2"/>
      </rPr>
      <t xml:space="preserve"> Resistor</t>
    </r>
  </si>
  <si>
    <r>
      <t>R</t>
    </r>
    <r>
      <rPr>
        <vertAlign val="subscript"/>
        <sz val="11"/>
        <color theme="1"/>
        <rFont val="Arial"/>
        <family val="2"/>
      </rPr>
      <t>vo1_act</t>
    </r>
    <r>
      <rPr>
        <sz val="11"/>
        <color theme="1"/>
        <rFont val="Arial"/>
        <family val="2"/>
      </rPr>
      <t xml:space="preserve"> =</t>
    </r>
  </si>
  <si>
    <r>
      <t>R</t>
    </r>
    <r>
      <rPr>
        <vertAlign val="subscript"/>
        <sz val="11"/>
        <color theme="1"/>
        <rFont val="Arial"/>
        <family val="2"/>
      </rPr>
      <t>Vo1</t>
    </r>
    <r>
      <rPr>
        <sz val="11"/>
        <color theme="1"/>
        <rFont val="Arial"/>
        <family val="2"/>
      </rPr>
      <t xml:space="preserve"> Resistor Used in Calculations</t>
    </r>
  </si>
  <si>
    <r>
      <t>R</t>
    </r>
    <r>
      <rPr>
        <vertAlign val="subscript"/>
        <sz val="11"/>
        <color theme="1"/>
        <rFont val="Arial"/>
        <family val="2"/>
      </rPr>
      <t xml:space="preserve">vo1 </t>
    </r>
    <r>
      <rPr>
        <sz val="11"/>
        <color theme="1"/>
        <rFont val="Arial"/>
        <family val="2"/>
      </rPr>
      <t>=</t>
    </r>
  </si>
  <si>
    <r>
      <t>C</t>
    </r>
    <r>
      <rPr>
        <vertAlign val="subscript"/>
        <sz val="11"/>
        <color theme="1"/>
        <rFont val="Arial"/>
        <family val="2"/>
      </rPr>
      <t>diff_rec</t>
    </r>
    <r>
      <rPr>
        <sz val="11"/>
        <color theme="1"/>
        <rFont val="Arial"/>
        <family val="2"/>
      </rPr>
      <t xml:space="preserve"> =</t>
    </r>
  </si>
  <si>
    <r>
      <rPr>
        <b/>
        <sz val="11"/>
        <color theme="1"/>
        <rFont val="Arial"/>
        <family val="2"/>
      </rPr>
      <t>Actual</t>
    </r>
    <r>
      <rPr>
        <sz val="11"/>
        <color theme="1"/>
        <rFont val="Arial"/>
        <family val="2"/>
      </rPr>
      <t xml:space="preserve"> C</t>
    </r>
    <r>
      <rPr>
        <vertAlign val="subscript"/>
        <sz val="11"/>
        <color theme="1"/>
        <rFont val="Arial"/>
        <family val="2"/>
      </rPr>
      <t>diff</t>
    </r>
  </si>
  <si>
    <r>
      <t>C</t>
    </r>
    <r>
      <rPr>
        <vertAlign val="subscript"/>
        <sz val="11"/>
        <color theme="1"/>
        <rFont val="Arial"/>
        <family val="2"/>
      </rPr>
      <t>diff_act</t>
    </r>
    <r>
      <rPr>
        <sz val="11"/>
        <color theme="1"/>
        <rFont val="Arial"/>
        <family val="2"/>
      </rPr>
      <t xml:space="preserve"> =</t>
    </r>
  </si>
  <si>
    <r>
      <t>C</t>
    </r>
    <r>
      <rPr>
        <vertAlign val="subscript"/>
        <sz val="11"/>
        <color theme="1"/>
        <rFont val="Arial"/>
        <family val="2"/>
      </rPr>
      <t xml:space="preserve">diff </t>
    </r>
    <r>
      <rPr>
        <sz val="11"/>
        <color theme="1"/>
        <rFont val="Arial"/>
        <family val="2"/>
      </rPr>
      <t>Used in Calculations</t>
    </r>
  </si>
  <si>
    <r>
      <t>C</t>
    </r>
    <r>
      <rPr>
        <vertAlign val="subscript"/>
        <sz val="11"/>
        <color theme="1"/>
        <rFont val="Arial"/>
        <family val="2"/>
      </rPr>
      <t>diff</t>
    </r>
    <r>
      <rPr>
        <sz val="11"/>
        <color theme="1"/>
        <rFont val="Arial"/>
        <family val="2"/>
      </rPr>
      <t xml:space="preserve"> =</t>
    </r>
  </si>
  <si>
    <r>
      <t>R</t>
    </r>
    <r>
      <rPr>
        <vertAlign val="subscript"/>
        <sz val="11"/>
        <color theme="1"/>
        <rFont val="Arial"/>
        <family val="2"/>
      </rPr>
      <t>diff_rec</t>
    </r>
    <r>
      <rPr>
        <sz val="11"/>
        <color theme="1"/>
        <rFont val="Arial"/>
        <family val="2"/>
      </rPr>
      <t xml:space="preserve"> =</t>
    </r>
  </si>
  <si>
    <r>
      <rPr>
        <b/>
        <sz val="11"/>
        <color theme="1"/>
        <rFont val="Arial"/>
        <family val="2"/>
      </rPr>
      <t>Actual</t>
    </r>
    <r>
      <rPr>
        <sz val="11"/>
        <color theme="1"/>
        <rFont val="Arial"/>
        <family val="2"/>
      </rPr>
      <t xml:space="preserve"> R</t>
    </r>
    <r>
      <rPr>
        <vertAlign val="subscript"/>
        <sz val="11"/>
        <color theme="1"/>
        <rFont val="Arial"/>
        <family val="2"/>
      </rPr>
      <t>diff</t>
    </r>
  </si>
  <si>
    <r>
      <t>R</t>
    </r>
    <r>
      <rPr>
        <vertAlign val="subscript"/>
        <sz val="11"/>
        <color theme="1"/>
        <rFont val="Arial"/>
        <family val="2"/>
      </rPr>
      <t>diff_act</t>
    </r>
    <r>
      <rPr>
        <sz val="11"/>
        <color theme="1"/>
        <rFont val="Arial"/>
        <family val="2"/>
      </rPr>
      <t xml:space="preserve"> =</t>
    </r>
  </si>
  <si>
    <r>
      <t>R</t>
    </r>
    <r>
      <rPr>
        <vertAlign val="subscript"/>
        <sz val="11"/>
        <color theme="1"/>
        <rFont val="Arial"/>
        <family val="2"/>
      </rPr>
      <t xml:space="preserve">diff </t>
    </r>
    <r>
      <rPr>
        <sz val="11"/>
        <color theme="1"/>
        <rFont val="Arial"/>
        <family val="2"/>
      </rPr>
      <t>Used in Calculations</t>
    </r>
  </si>
  <si>
    <r>
      <t>R</t>
    </r>
    <r>
      <rPr>
        <vertAlign val="subscript"/>
        <sz val="11"/>
        <color theme="1"/>
        <rFont val="Arial"/>
        <family val="2"/>
      </rPr>
      <t>diff</t>
    </r>
    <r>
      <rPr>
        <sz val="11"/>
        <color theme="1"/>
        <rFont val="Arial"/>
        <family val="2"/>
      </rPr>
      <t xml:space="preserve"> =</t>
    </r>
  </si>
  <si>
    <r>
      <t>C</t>
    </r>
    <r>
      <rPr>
        <vertAlign val="subscript"/>
        <sz val="11"/>
        <color theme="1"/>
        <rFont val="Arial"/>
        <family val="2"/>
      </rPr>
      <t>int_rec</t>
    </r>
    <r>
      <rPr>
        <sz val="11"/>
        <color theme="1"/>
        <rFont val="Arial"/>
        <family val="2"/>
      </rPr>
      <t xml:space="preserve"> =</t>
    </r>
  </si>
  <si>
    <r>
      <rPr>
        <b/>
        <sz val="11"/>
        <color theme="1"/>
        <rFont val="Arial"/>
        <family val="2"/>
      </rPr>
      <t>Actual</t>
    </r>
    <r>
      <rPr>
        <sz val="11"/>
        <color theme="1"/>
        <rFont val="Arial"/>
        <family val="2"/>
      </rPr>
      <t xml:space="preserve"> C</t>
    </r>
    <r>
      <rPr>
        <vertAlign val="subscript"/>
        <sz val="11"/>
        <color theme="1"/>
        <rFont val="Arial"/>
        <family val="2"/>
      </rPr>
      <t>int</t>
    </r>
  </si>
  <si>
    <r>
      <t>C</t>
    </r>
    <r>
      <rPr>
        <vertAlign val="subscript"/>
        <sz val="11"/>
        <color theme="1"/>
        <rFont val="Arial"/>
        <family val="2"/>
      </rPr>
      <t>int_act</t>
    </r>
    <r>
      <rPr>
        <sz val="11"/>
        <color theme="1"/>
        <rFont val="Arial"/>
        <family val="2"/>
      </rPr>
      <t xml:space="preserve"> =</t>
    </r>
  </si>
  <si>
    <r>
      <t>C</t>
    </r>
    <r>
      <rPr>
        <vertAlign val="subscript"/>
        <sz val="11"/>
        <color theme="1"/>
        <rFont val="Arial"/>
        <family val="2"/>
      </rPr>
      <t xml:space="preserve">int </t>
    </r>
    <r>
      <rPr>
        <sz val="11"/>
        <color theme="1"/>
        <rFont val="Arial"/>
        <family val="2"/>
      </rPr>
      <t>Used in Calculations</t>
    </r>
  </si>
  <si>
    <r>
      <t>C</t>
    </r>
    <r>
      <rPr>
        <vertAlign val="subscript"/>
        <sz val="11"/>
        <color theme="1"/>
        <rFont val="Arial"/>
        <family val="2"/>
      </rPr>
      <t>int</t>
    </r>
    <r>
      <rPr>
        <sz val="11"/>
        <color theme="1"/>
        <rFont val="Arial"/>
        <family val="2"/>
      </rPr>
      <t xml:space="preserve"> =</t>
    </r>
  </si>
  <si>
    <r>
      <t>R</t>
    </r>
    <r>
      <rPr>
        <vertAlign val="subscript"/>
        <sz val="11"/>
        <color theme="1"/>
        <rFont val="Arial"/>
        <family val="2"/>
      </rPr>
      <t xml:space="preserve">int </t>
    </r>
    <r>
      <rPr>
        <sz val="11"/>
        <color theme="1"/>
        <rFont val="Arial"/>
        <family val="2"/>
      </rPr>
      <t>Used in Calculations</t>
    </r>
  </si>
  <si>
    <r>
      <t>R</t>
    </r>
    <r>
      <rPr>
        <vertAlign val="subscript"/>
        <sz val="11"/>
        <color theme="1"/>
        <rFont val="Arial"/>
        <family val="2"/>
      </rPr>
      <t>int</t>
    </r>
    <r>
      <rPr>
        <sz val="11"/>
        <color theme="1"/>
        <rFont val="Arial"/>
        <family val="2"/>
      </rPr>
      <t xml:space="preserve"> =</t>
    </r>
  </si>
  <si>
    <t xml:space="preserve">AUX Power on Primary Side  </t>
  </si>
  <si>
    <r>
      <t xml:space="preserve">Resistor Divider of VS Pin  </t>
    </r>
    <r>
      <rPr>
        <b/>
        <i/>
        <sz val="12"/>
        <color rgb="FFFFFF00"/>
        <rFont val="Arial"/>
        <family val="2"/>
      </rPr>
      <t>(This calculation block not used.)</t>
    </r>
  </si>
  <si>
    <t>Transformer
Parameters</t>
  </si>
  <si>
    <t>Leakage Inductance:</t>
  </si>
  <si>
    <t>Primary-to-Secondary Turns Ratio:</t>
  </si>
  <si>
    <t>Auxillary-to-Secondary Turns Ratio:</t>
  </si>
  <si>
    <t>VS Line-Sense Run Current, Typical</t>
  </si>
  <si>
    <t>VS Line-Sense Run Current, Maximum</t>
  </si>
  <si>
    <t>VS Line-Sense Run Current, Minimum</t>
  </si>
  <si>
    <t>VS Line-Sense Stop Current, Maximum</t>
  </si>
  <si>
    <t>VS Line-Sense Stop Current, Typical</t>
  </si>
  <si>
    <t>VS Line-Sense Stop Current, Minimum</t>
  </si>
  <si>
    <t>UCC28782 Electrical Characteristics (from datasheet SLUSDK4)</t>
  </si>
  <si>
    <t>ISO7710F</t>
  </si>
  <si>
    <t>TLP383GR</t>
  </si>
  <si>
    <r>
      <t xml:space="preserve">Secondary Resonance  </t>
    </r>
    <r>
      <rPr>
        <b/>
        <sz val="16"/>
        <color rgb="FFFF0000"/>
        <rFont val="Arial"/>
        <family val="2"/>
      </rPr>
      <t>(see diagram below)</t>
    </r>
  </si>
  <si>
    <r>
      <t>B.  L</t>
    </r>
    <r>
      <rPr>
        <b/>
        <vertAlign val="subscript"/>
        <sz val="11"/>
        <color rgb="FFFF0000"/>
        <rFont val="Arial"/>
        <family val="2"/>
      </rPr>
      <t>DAMP</t>
    </r>
    <r>
      <rPr>
        <b/>
        <sz val="11"/>
        <color rgb="FFFF0000"/>
        <rFont val="Arial"/>
        <family val="2"/>
      </rPr>
      <t xml:space="preserve"> Determination</t>
    </r>
  </si>
  <si>
    <r>
      <t>A.  C</t>
    </r>
    <r>
      <rPr>
        <b/>
        <vertAlign val="subscript"/>
        <sz val="11"/>
        <color rgb="FFFF0000"/>
        <rFont val="Arial"/>
        <family val="2"/>
      </rPr>
      <t>O1</t>
    </r>
    <r>
      <rPr>
        <b/>
        <sz val="11"/>
        <color rgb="FFFF0000"/>
        <rFont val="Arial"/>
        <family val="2"/>
      </rPr>
      <t xml:space="preserve">  Adjustment</t>
    </r>
  </si>
  <si>
    <t xml:space="preserve"> Capacitance change (negative) based on output voltage &gt;&gt;&gt;</t>
  </si>
  <si>
    <t>mV</t>
  </si>
  <si>
    <t xml:space="preserve"> device parameter</t>
  </si>
  <si>
    <r>
      <t>∆V</t>
    </r>
    <r>
      <rPr>
        <vertAlign val="subscript"/>
        <sz val="11"/>
        <color theme="1"/>
        <rFont val="Arial"/>
        <family val="2"/>
      </rPr>
      <t>BUR(AAM)</t>
    </r>
    <r>
      <rPr>
        <sz val="11"/>
        <color theme="1"/>
        <rFont val="Arial"/>
        <family val="2"/>
      </rPr>
      <t xml:space="preserve"> =</t>
    </r>
  </si>
  <si>
    <r>
      <t>I</t>
    </r>
    <r>
      <rPr>
        <vertAlign val="subscript"/>
        <sz val="11"/>
        <color theme="1"/>
        <rFont val="Arial"/>
        <family val="2"/>
      </rPr>
      <t>BUR(AAM)</t>
    </r>
    <r>
      <rPr>
        <sz val="11"/>
        <color theme="1"/>
        <rFont val="Arial"/>
        <family val="2"/>
      </rPr>
      <t xml:space="preserve"> =</t>
    </r>
  </si>
  <si>
    <r>
      <t>R</t>
    </r>
    <r>
      <rPr>
        <vertAlign val="subscript"/>
        <sz val="11"/>
        <color theme="1"/>
        <rFont val="Arial"/>
        <family val="2"/>
      </rPr>
      <t>BUR1</t>
    </r>
    <r>
      <rPr>
        <sz val="11"/>
        <color theme="1"/>
        <rFont val="Arial"/>
        <family val="2"/>
      </rPr>
      <t>||R</t>
    </r>
    <r>
      <rPr>
        <vertAlign val="subscript"/>
        <sz val="11"/>
        <color theme="1"/>
        <rFont val="Arial"/>
        <family val="2"/>
      </rPr>
      <t>BUR2</t>
    </r>
    <r>
      <rPr>
        <sz val="11"/>
        <color theme="1"/>
        <rFont val="Arial"/>
        <family val="2"/>
      </rPr>
      <t xml:space="preserve"> =</t>
    </r>
  </si>
  <si>
    <r>
      <t>I</t>
    </r>
    <r>
      <rPr>
        <vertAlign val="subscript"/>
        <sz val="11"/>
        <color theme="1"/>
        <rFont val="Arial"/>
        <family val="2"/>
      </rPr>
      <t>BUR(LPM)</t>
    </r>
    <r>
      <rPr>
        <sz val="11"/>
        <color theme="1"/>
        <rFont val="Arial"/>
        <family val="2"/>
      </rPr>
      <t xml:space="preserve"> =</t>
    </r>
  </si>
  <si>
    <r>
      <t>∆V</t>
    </r>
    <r>
      <rPr>
        <vertAlign val="subscript"/>
        <sz val="11"/>
        <color theme="1"/>
        <rFont val="Arial"/>
        <family val="2"/>
      </rPr>
      <t>BUR(LPM)</t>
    </r>
    <r>
      <rPr>
        <sz val="11"/>
        <color theme="1"/>
        <rFont val="Arial"/>
        <family val="2"/>
      </rPr>
      <t xml:space="preserve"> =</t>
    </r>
  </si>
  <si>
    <t>&lt; 0.1</t>
  </si>
  <si>
    <t>SOD 123</t>
  </si>
  <si>
    <t>Value</t>
  </si>
  <si>
    <t>≥ 22</t>
  </si>
  <si>
    <t>Schottky</t>
  </si>
  <si>
    <t>TVS</t>
  </si>
  <si>
    <t>nF</t>
  </si>
  <si>
    <t>Zener</t>
  </si>
  <si>
    <t>mW</t>
  </si>
  <si>
    <t>Ultrafast</t>
  </si>
  <si>
    <t>Primary Winding Turns:</t>
  </si>
  <si>
    <t>Secondary Winding Turns:</t>
  </si>
  <si>
    <t>Auxiliary Winding Turns:</t>
  </si>
  <si>
    <t>DCR of Auxiliary Winding:</t>
  </si>
  <si>
    <r>
      <t>R</t>
    </r>
    <r>
      <rPr>
        <vertAlign val="subscript"/>
        <sz val="12"/>
        <color theme="1"/>
        <rFont val="Arial"/>
        <family val="2"/>
      </rPr>
      <t>A</t>
    </r>
  </si>
  <si>
    <t>IPC Pin Setting</t>
  </si>
  <si>
    <r>
      <t>R</t>
    </r>
    <r>
      <rPr>
        <vertAlign val="subscript"/>
        <sz val="11"/>
        <color theme="1"/>
        <rFont val="Arial"/>
        <family val="2"/>
      </rPr>
      <t>IPC</t>
    </r>
    <r>
      <rPr>
        <sz val="11"/>
        <color theme="1"/>
        <rFont val="Arial"/>
        <family val="2"/>
      </rPr>
      <t xml:space="preserve"> Resistor Used in Calculations</t>
    </r>
  </si>
  <si>
    <r>
      <t>R</t>
    </r>
    <r>
      <rPr>
        <vertAlign val="subscript"/>
        <sz val="11"/>
        <color theme="1"/>
        <rFont val="Arial"/>
        <family val="2"/>
      </rPr>
      <t>IPC_rec</t>
    </r>
    <r>
      <rPr>
        <sz val="11"/>
        <color theme="1"/>
        <rFont val="Arial"/>
        <family val="2"/>
      </rPr>
      <t xml:space="preserve"> =</t>
    </r>
  </si>
  <si>
    <r>
      <t>R</t>
    </r>
    <r>
      <rPr>
        <vertAlign val="subscript"/>
        <sz val="11"/>
        <color theme="1"/>
        <rFont val="Arial"/>
        <family val="2"/>
      </rPr>
      <t>IPC_act</t>
    </r>
    <r>
      <rPr>
        <sz val="11"/>
        <color theme="1"/>
        <rFont val="Arial"/>
        <family val="2"/>
      </rPr>
      <t xml:space="preserve"> =</t>
    </r>
  </si>
  <si>
    <r>
      <t>R</t>
    </r>
    <r>
      <rPr>
        <vertAlign val="subscript"/>
        <sz val="11"/>
        <color theme="1"/>
        <rFont val="Arial"/>
        <family val="2"/>
      </rPr>
      <t>IPC</t>
    </r>
    <r>
      <rPr>
        <sz val="11"/>
        <color theme="1"/>
        <rFont val="Arial"/>
        <family val="2"/>
      </rPr>
      <t xml:space="preserve"> =</t>
    </r>
  </si>
  <si>
    <r>
      <rPr>
        <b/>
        <sz val="11"/>
        <color theme="1"/>
        <rFont val="Arial"/>
        <family val="2"/>
      </rPr>
      <t>Recommended</t>
    </r>
    <r>
      <rPr>
        <sz val="11"/>
        <color theme="1"/>
        <rFont val="Arial"/>
        <family val="2"/>
      </rPr>
      <t xml:space="preserve"> R</t>
    </r>
    <r>
      <rPr>
        <vertAlign val="subscript"/>
        <sz val="11"/>
        <color theme="1"/>
        <rFont val="Arial"/>
        <family val="2"/>
      </rPr>
      <t>IPC</t>
    </r>
    <r>
      <rPr>
        <sz val="11"/>
        <color theme="1"/>
        <rFont val="Arial"/>
        <family val="2"/>
      </rPr>
      <t xml:space="preserve"> Resistor to AGND</t>
    </r>
  </si>
  <si>
    <r>
      <rPr>
        <b/>
        <sz val="11"/>
        <color theme="1"/>
        <rFont val="Arial"/>
        <family val="2"/>
      </rPr>
      <t>Actual</t>
    </r>
    <r>
      <rPr>
        <sz val="11"/>
        <color theme="1"/>
        <rFont val="Arial"/>
        <family val="2"/>
      </rPr>
      <t xml:space="preserve"> R</t>
    </r>
    <r>
      <rPr>
        <vertAlign val="subscript"/>
        <sz val="11"/>
        <color theme="1"/>
        <rFont val="Arial"/>
        <family val="2"/>
      </rPr>
      <t>IPC</t>
    </r>
    <r>
      <rPr>
        <sz val="11"/>
        <color theme="1"/>
        <rFont val="Arial"/>
        <family val="2"/>
      </rPr>
      <t xml:space="preserve"> Resistor to AGND</t>
    </r>
  </si>
  <si>
    <t>(This value not calculated at this time.  Set to 0.)</t>
  </si>
  <si>
    <t>don't use TVS</t>
  </si>
  <si>
    <t>don't use Zener</t>
  </si>
  <si>
    <r>
      <t>R</t>
    </r>
    <r>
      <rPr>
        <b/>
        <vertAlign val="subscript"/>
        <sz val="12"/>
        <color rgb="FFFF0000"/>
        <rFont val="Arial"/>
        <family val="2"/>
      </rPr>
      <t>RDM</t>
    </r>
  </si>
  <si>
    <r>
      <t>R</t>
    </r>
    <r>
      <rPr>
        <b/>
        <vertAlign val="subscript"/>
        <sz val="12"/>
        <color rgb="FFFF0000"/>
        <rFont val="Arial"/>
        <family val="2"/>
      </rPr>
      <t>RTZ</t>
    </r>
  </si>
  <si>
    <r>
      <t>C</t>
    </r>
    <r>
      <rPr>
        <b/>
        <vertAlign val="subscript"/>
        <sz val="12"/>
        <color rgb="FFFF0000"/>
        <rFont val="Arial"/>
        <family val="2"/>
      </rPr>
      <t xml:space="preserve">OUT
</t>
    </r>
    <r>
      <rPr>
        <sz val="12"/>
        <color rgb="FFFF0000"/>
        <rFont val="Arial"/>
        <family val="2"/>
      </rPr>
      <t>(C</t>
    </r>
    <r>
      <rPr>
        <vertAlign val="subscript"/>
        <sz val="12"/>
        <color rgb="FFFF0000"/>
        <rFont val="Arial"/>
        <family val="2"/>
      </rPr>
      <t>OUT</t>
    </r>
    <r>
      <rPr>
        <sz val="12"/>
        <color rgb="FFFF0000"/>
        <rFont val="Arial"/>
        <family val="2"/>
      </rPr>
      <t xml:space="preserve"> = C</t>
    </r>
    <r>
      <rPr>
        <vertAlign val="subscript"/>
        <sz val="12"/>
        <color rgb="FFFF0000"/>
        <rFont val="Arial"/>
        <family val="2"/>
      </rPr>
      <t>O2</t>
    </r>
    <r>
      <rPr>
        <sz val="12"/>
        <color rgb="FFFF0000"/>
        <rFont val="Arial"/>
        <family val="2"/>
      </rPr>
      <t xml:space="preserve"> 
if Secondary-Resonance is used)</t>
    </r>
  </si>
  <si>
    <t>RLB &lt;</t>
  </si>
  <si>
    <t>VBIN(ON) =</t>
  </si>
  <si>
    <t>VBIN(OFF) =</t>
  </si>
  <si>
    <t>RBSW =</t>
  </si>
  <si>
    <t>IBSW =</t>
  </si>
  <si>
    <t>room temp</t>
  </si>
  <si>
    <r>
      <t>D</t>
    </r>
    <r>
      <rPr>
        <b/>
        <vertAlign val="subscript"/>
        <sz val="12"/>
        <color rgb="FF000000"/>
        <rFont val="Arial"/>
        <family val="2"/>
      </rPr>
      <t>XCD1</t>
    </r>
    <r>
      <rPr>
        <b/>
        <sz val="12"/>
        <color rgb="FF000000"/>
        <rFont val="Arial"/>
        <family val="2"/>
      </rPr>
      <t>, D</t>
    </r>
    <r>
      <rPr>
        <b/>
        <vertAlign val="subscript"/>
        <sz val="12"/>
        <color rgb="FF000000"/>
        <rFont val="Arial"/>
        <family val="2"/>
      </rPr>
      <t>XCD2</t>
    </r>
  </si>
  <si>
    <r>
      <t>R</t>
    </r>
    <r>
      <rPr>
        <b/>
        <vertAlign val="subscript"/>
        <sz val="12"/>
        <color rgb="FF000000"/>
        <rFont val="Arial"/>
        <family val="2"/>
      </rPr>
      <t>XCD1</t>
    </r>
    <r>
      <rPr>
        <b/>
        <sz val="12"/>
        <color rgb="FF000000"/>
        <rFont val="Arial"/>
        <family val="2"/>
      </rPr>
      <t>, R</t>
    </r>
    <r>
      <rPr>
        <b/>
        <vertAlign val="subscript"/>
        <sz val="12"/>
        <color rgb="FF000000"/>
        <rFont val="Arial"/>
        <family val="2"/>
      </rPr>
      <t>XCD2</t>
    </r>
  </si>
  <si>
    <r>
      <t>Q</t>
    </r>
    <r>
      <rPr>
        <b/>
        <vertAlign val="subscript"/>
        <sz val="12"/>
        <color rgb="FF000000"/>
        <rFont val="Arial"/>
        <family val="2"/>
      </rPr>
      <t>XCD</t>
    </r>
  </si>
  <si>
    <r>
      <t>L</t>
    </r>
    <r>
      <rPr>
        <b/>
        <vertAlign val="subscript"/>
        <sz val="12"/>
        <color theme="1"/>
        <rFont val="Arial"/>
        <family val="2"/>
      </rPr>
      <t>B</t>
    </r>
  </si>
  <si>
    <r>
      <t>D</t>
    </r>
    <r>
      <rPr>
        <b/>
        <vertAlign val="subscript"/>
        <sz val="12"/>
        <color rgb="FF000000"/>
        <rFont val="Arial"/>
        <family val="2"/>
      </rPr>
      <t>B</t>
    </r>
  </si>
  <si>
    <r>
      <t>C</t>
    </r>
    <r>
      <rPr>
        <b/>
        <vertAlign val="subscript"/>
        <sz val="12"/>
        <color rgb="FF000000"/>
        <rFont val="Arial"/>
        <family val="2"/>
      </rPr>
      <t>BIN</t>
    </r>
  </si>
  <si>
    <r>
      <t>D</t>
    </r>
    <r>
      <rPr>
        <b/>
        <vertAlign val="subscript"/>
        <sz val="12"/>
        <color rgb="FF000000"/>
        <rFont val="Arial"/>
        <family val="2"/>
      </rPr>
      <t>AUX</t>
    </r>
  </si>
  <si>
    <r>
      <t>D</t>
    </r>
    <r>
      <rPr>
        <b/>
        <vertAlign val="subscript"/>
        <sz val="12"/>
        <color rgb="FF000000"/>
        <rFont val="Arial"/>
        <family val="2"/>
      </rPr>
      <t>BIN</t>
    </r>
  </si>
  <si>
    <r>
      <t>C</t>
    </r>
    <r>
      <rPr>
        <b/>
        <vertAlign val="subscript"/>
        <sz val="12"/>
        <color rgb="FF000000"/>
        <rFont val="Arial"/>
        <family val="2"/>
      </rPr>
      <t>S13</t>
    </r>
  </si>
  <si>
    <r>
      <t>D</t>
    </r>
    <r>
      <rPr>
        <b/>
        <vertAlign val="subscript"/>
        <sz val="12"/>
        <color rgb="FF000000"/>
        <rFont val="Arial"/>
        <family val="2"/>
      </rPr>
      <t>P13</t>
    </r>
  </si>
  <si>
    <r>
      <t>D</t>
    </r>
    <r>
      <rPr>
        <b/>
        <vertAlign val="subscript"/>
        <sz val="12"/>
        <color rgb="FF000000"/>
        <rFont val="Arial"/>
        <family val="2"/>
      </rPr>
      <t>RUN</t>
    </r>
  </si>
  <si>
    <r>
      <t>C</t>
    </r>
    <r>
      <rPr>
        <b/>
        <vertAlign val="subscript"/>
        <sz val="12"/>
        <color rgb="FF000000"/>
        <rFont val="Arial"/>
        <family val="2"/>
      </rPr>
      <t>RUN</t>
    </r>
  </si>
  <si>
    <r>
      <t>D</t>
    </r>
    <r>
      <rPr>
        <b/>
        <vertAlign val="subscript"/>
        <sz val="12"/>
        <color rgb="FF000000"/>
        <rFont val="Arial"/>
        <family val="2"/>
      </rPr>
      <t>BOOT</t>
    </r>
  </si>
  <si>
    <t>&lt; 1.0</t>
  </si>
  <si>
    <t>1.216/1.2 convert at room temperature</t>
  </si>
  <si>
    <r>
      <t>4. The designer then can use the calculated R</t>
    </r>
    <r>
      <rPr>
        <vertAlign val="subscript"/>
        <sz val="11"/>
        <color theme="1"/>
        <rFont val="Arial"/>
        <family val="2"/>
      </rPr>
      <t>BUR1</t>
    </r>
    <r>
      <rPr>
        <sz val="11"/>
        <color theme="1"/>
        <rFont val="Arial"/>
        <family val="2"/>
      </rPr>
      <t xml:space="preserve"> and R</t>
    </r>
    <r>
      <rPr>
        <vertAlign val="subscript"/>
        <sz val="11"/>
        <color theme="1"/>
        <rFont val="Arial"/>
        <family val="2"/>
      </rPr>
      <t>BUR2</t>
    </r>
    <r>
      <rPr>
        <sz val="11"/>
        <color theme="1"/>
        <rFont val="Arial"/>
        <family val="2"/>
      </rPr>
      <t xml:space="preserve"> or change them to</t>
    </r>
  </si>
  <si>
    <t>mA</t>
  </si>
  <si>
    <t>P13 Sink-Current During Start-up</t>
  </si>
  <si>
    <t>P13 Voltage Regulation Level</t>
  </si>
  <si>
    <t>Decoupling Capacitors for Internal Regulators</t>
  </si>
  <si>
    <r>
      <t>V</t>
    </r>
    <r>
      <rPr>
        <vertAlign val="subscript"/>
        <sz val="11"/>
        <color theme="1"/>
        <rFont val="Arial"/>
        <family val="2"/>
      </rPr>
      <t>REF</t>
    </r>
    <r>
      <rPr>
        <sz val="11"/>
        <color theme="1"/>
        <rFont val="Arial"/>
        <family val="2"/>
      </rPr>
      <t xml:space="preserve"> =</t>
    </r>
  </si>
  <si>
    <t xml:space="preserve">   Comments</t>
  </si>
  <si>
    <t>Unit</t>
  </si>
  <si>
    <t xml:space="preserve"> user selection, ±1% standard value</t>
  </si>
  <si>
    <t xml:space="preserve">Name  </t>
  </si>
  <si>
    <r>
      <t>V</t>
    </r>
    <r>
      <rPr>
        <vertAlign val="subscript"/>
        <sz val="11"/>
        <color theme="1"/>
        <rFont val="Arial"/>
        <family val="2"/>
      </rPr>
      <t>Brownin</t>
    </r>
    <r>
      <rPr>
        <sz val="11"/>
        <color theme="1"/>
        <rFont val="Arial"/>
        <family val="2"/>
      </rPr>
      <t xml:space="preserve"> =</t>
    </r>
  </si>
  <si>
    <t xml:space="preserve"> user selection, target hysteresis at AAM &lt;=&gt; ABM boundary</t>
  </si>
  <si>
    <t>Nominal Value:</t>
  </si>
  <si>
    <t>Voltage:</t>
  </si>
  <si>
    <t>Current:</t>
  </si>
  <si>
    <t>Power:</t>
  </si>
  <si>
    <t>Minimum Peak Current:</t>
  </si>
  <si>
    <t>Inductance:</t>
  </si>
  <si>
    <r>
      <t>R</t>
    </r>
    <r>
      <rPr>
        <b/>
        <vertAlign val="subscript"/>
        <sz val="12"/>
        <color rgb="FFFF0000"/>
        <rFont val="Arial"/>
        <family val="2"/>
      </rPr>
      <t>IPC</t>
    </r>
  </si>
  <si>
    <r>
      <t>C</t>
    </r>
    <r>
      <rPr>
        <b/>
        <vertAlign val="subscript"/>
        <sz val="12"/>
        <color rgb="FFFF0000"/>
        <rFont val="Arial"/>
        <family val="2"/>
      </rPr>
      <t>P13</t>
    </r>
  </si>
  <si>
    <r>
      <t>Approximate Time for V</t>
    </r>
    <r>
      <rPr>
        <vertAlign val="subscript"/>
        <sz val="11"/>
        <color theme="1"/>
        <rFont val="Arial"/>
        <family val="2"/>
      </rPr>
      <t>P13</t>
    </r>
    <r>
      <rPr>
        <sz val="11"/>
        <color theme="1"/>
        <rFont val="Arial"/>
        <family val="2"/>
      </rPr>
      <t xml:space="preserve"> to Settle to Regulation After Start-Up</t>
    </r>
  </si>
  <si>
    <r>
      <rPr>
        <b/>
        <sz val="11"/>
        <color theme="1"/>
        <rFont val="Arial"/>
        <family val="2"/>
      </rPr>
      <t>Minimum</t>
    </r>
    <r>
      <rPr>
        <sz val="11"/>
        <color theme="1"/>
        <rFont val="Arial"/>
        <family val="2"/>
      </rPr>
      <t xml:space="preserve"> C</t>
    </r>
    <r>
      <rPr>
        <vertAlign val="subscript"/>
        <sz val="11"/>
        <color theme="1"/>
        <rFont val="Arial"/>
        <family val="2"/>
      </rPr>
      <t>P13</t>
    </r>
    <r>
      <rPr>
        <sz val="11"/>
        <color theme="1"/>
        <rFont val="Arial"/>
        <family val="2"/>
      </rPr>
      <t xml:space="preserve"> Capacitance</t>
    </r>
  </si>
  <si>
    <r>
      <t>C</t>
    </r>
    <r>
      <rPr>
        <vertAlign val="subscript"/>
        <sz val="11"/>
        <color theme="1"/>
        <rFont val="Arial"/>
        <family val="2"/>
      </rPr>
      <t>P13_min</t>
    </r>
    <r>
      <rPr>
        <sz val="11"/>
        <color theme="1"/>
        <rFont val="Arial"/>
        <family val="2"/>
      </rPr>
      <t xml:space="preserve"> =</t>
    </r>
  </si>
  <si>
    <r>
      <rPr>
        <b/>
        <sz val="11"/>
        <color theme="1"/>
        <rFont val="Arial"/>
        <family val="2"/>
      </rPr>
      <t>Actual</t>
    </r>
    <r>
      <rPr>
        <sz val="11"/>
        <color theme="1"/>
        <rFont val="Arial"/>
        <family val="2"/>
      </rPr>
      <t xml:space="preserve"> C</t>
    </r>
    <r>
      <rPr>
        <vertAlign val="subscript"/>
        <sz val="11"/>
        <color theme="1"/>
        <rFont val="Arial"/>
        <family val="2"/>
      </rPr>
      <t>P13</t>
    </r>
    <r>
      <rPr>
        <sz val="11"/>
        <color theme="1"/>
        <rFont val="Arial"/>
        <family val="2"/>
      </rPr>
      <t xml:space="preserve"> Capacitance</t>
    </r>
  </si>
  <si>
    <r>
      <t>C</t>
    </r>
    <r>
      <rPr>
        <vertAlign val="subscript"/>
        <sz val="11"/>
        <color theme="1"/>
        <rFont val="Arial"/>
        <family val="2"/>
      </rPr>
      <t>P13_act</t>
    </r>
    <r>
      <rPr>
        <sz val="11"/>
        <color theme="1"/>
        <rFont val="Arial"/>
        <family val="2"/>
      </rPr>
      <t xml:space="preserve"> =</t>
    </r>
  </si>
  <si>
    <r>
      <t>C</t>
    </r>
    <r>
      <rPr>
        <vertAlign val="subscript"/>
        <sz val="11"/>
        <color theme="1"/>
        <rFont val="Arial"/>
        <family val="2"/>
      </rPr>
      <t>P13</t>
    </r>
    <r>
      <rPr>
        <sz val="11"/>
        <color theme="1"/>
        <rFont val="Arial"/>
        <family val="2"/>
      </rPr>
      <t xml:space="preserve"> Capacitance Used in Calculations</t>
    </r>
  </si>
  <si>
    <r>
      <t>C</t>
    </r>
    <r>
      <rPr>
        <vertAlign val="subscript"/>
        <sz val="11"/>
        <color theme="1"/>
        <rFont val="Arial"/>
        <family val="2"/>
      </rPr>
      <t>P13</t>
    </r>
    <r>
      <rPr>
        <sz val="11"/>
        <color theme="1"/>
        <rFont val="Arial"/>
        <family val="2"/>
      </rPr>
      <t xml:space="preserve"> =</t>
    </r>
  </si>
  <si>
    <t>FB Internal Pull-up Resistance</t>
  </si>
  <si>
    <r>
      <t>V</t>
    </r>
    <r>
      <rPr>
        <vertAlign val="subscript"/>
        <sz val="11"/>
        <color theme="1"/>
        <rFont val="Arial"/>
        <family val="2"/>
      </rPr>
      <t>P13</t>
    </r>
    <r>
      <rPr>
        <sz val="11"/>
        <color theme="1"/>
        <rFont val="Arial"/>
        <family val="2"/>
      </rPr>
      <t xml:space="preserve"> =</t>
    </r>
  </si>
  <si>
    <r>
      <t xml:space="preserve"> I</t>
    </r>
    <r>
      <rPr>
        <vertAlign val="subscript"/>
        <sz val="11"/>
        <color theme="1"/>
        <rFont val="Arial"/>
        <family val="2"/>
      </rPr>
      <t>P13_START</t>
    </r>
    <r>
      <rPr>
        <sz val="11"/>
        <color theme="1"/>
        <rFont val="Arial"/>
        <family val="2"/>
      </rPr>
      <t xml:space="preserve"> =</t>
    </r>
  </si>
  <si>
    <r>
      <t>ΔV</t>
    </r>
    <r>
      <rPr>
        <sz val="7"/>
        <color theme="1"/>
        <rFont val="Arial"/>
        <family val="2"/>
      </rPr>
      <t xml:space="preserve">CLAMP </t>
    </r>
    <r>
      <rPr>
        <sz val="11"/>
        <color theme="1"/>
        <rFont val="Arial"/>
        <family val="2"/>
      </rPr>
      <t>=</t>
    </r>
  </si>
  <si>
    <r>
      <t>L</t>
    </r>
    <r>
      <rPr>
        <vertAlign val="subscript"/>
        <sz val="11"/>
        <rFont val="Arial"/>
        <family val="2"/>
      </rPr>
      <t xml:space="preserve">K_act </t>
    </r>
    <r>
      <rPr>
        <sz val="11"/>
        <rFont val="Arial"/>
        <family val="2"/>
      </rPr>
      <t>=</t>
    </r>
  </si>
  <si>
    <r>
      <t>D</t>
    </r>
    <r>
      <rPr>
        <vertAlign val="subscript"/>
        <sz val="11"/>
        <color theme="1"/>
        <rFont val="Arial"/>
        <family val="2"/>
      </rPr>
      <t xml:space="preserve">rea_clamp </t>
    </r>
    <r>
      <rPr>
        <sz val="11"/>
        <color theme="1"/>
        <rFont val="Arial"/>
        <family val="2"/>
      </rPr>
      <t>=</t>
    </r>
  </si>
  <si>
    <r>
      <t xml:space="preserve"> </t>
    </r>
    <r>
      <rPr>
        <sz val="12"/>
        <color theme="1"/>
        <rFont val="Arial"/>
        <family val="2"/>
      </rPr>
      <t>η</t>
    </r>
    <r>
      <rPr>
        <sz val="7"/>
        <color theme="1"/>
        <rFont val="Arial"/>
        <family val="2"/>
      </rPr>
      <t xml:space="preserve">_min </t>
    </r>
    <r>
      <rPr>
        <sz val="11"/>
        <color theme="1"/>
        <rFont val="Arial"/>
        <family val="2"/>
      </rPr>
      <t>=</t>
    </r>
  </si>
  <si>
    <r>
      <t>f</t>
    </r>
    <r>
      <rPr>
        <vertAlign val="subscript"/>
        <sz val="11"/>
        <color theme="1"/>
        <rFont val="Arial"/>
        <family val="2"/>
      </rPr>
      <t xml:space="preserve">SW_min </t>
    </r>
    <r>
      <rPr>
        <sz val="11"/>
        <color theme="1"/>
        <rFont val="Arial"/>
        <family val="2"/>
      </rPr>
      <t>=</t>
    </r>
  </si>
  <si>
    <r>
      <t>C</t>
    </r>
    <r>
      <rPr>
        <vertAlign val="subscript"/>
        <sz val="11"/>
        <color theme="1"/>
        <rFont val="Arial"/>
        <family val="2"/>
      </rPr>
      <t xml:space="preserve">oss_QH_T </t>
    </r>
    <r>
      <rPr>
        <sz val="11"/>
        <color theme="1"/>
        <rFont val="Arial"/>
        <family val="2"/>
      </rPr>
      <t>=</t>
    </r>
  </si>
  <si>
    <r>
      <t xml:space="preserve"> C</t>
    </r>
    <r>
      <rPr>
        <vertAlign val="subscript"/>
        <sz val="11"/>
        <color theme="1"/>
        <rFont val="Arial"/>
        <family val="2"/>
      </rPr>
      <t xml:space="preserve">oss_QL_T </t>
    </r>
    <r>
      <rPr>
        <sz val="11"/>
        <color theme="1"/>
        <rFont val="Arial"/>
        <family val="2"/>
      </rPr>
      <t>=</t>
    </r>
  </si>
  <si>
    <r>
      <t xml:space="preserve"> C</t>
    </r>
    <r>
      <rPr>
        <vertAlign val="subscript"/>
        <sz val="11"/>
        <color theme="1"/>
        <rFont val="Arial"/>
        <family val="2"/>
      </rPr>
      <t>OSS_SR_T</t>
    </r>
    <r>
      <rPr>
        <sz val="11"/>
        <color theme="1"/>
        <rFont val="Arial"/>
        <family val="2"/>
      </rPr>
      <t xml:space="preserve"> =</t>
    </r>
  </si>
  <si>
    <r>
      <t xml:space="preserve"> C</t>
    </r>
    <r>
      <rPr>
        <vertAlign val="subscript"/>
        <sz val="11"/>
        <color theme="1"/>
        <rFont val="Arial"/>
        <family val="2"/>
      </rPr>
      <t xml:space="preserve">OSS_SR_H </t>
    </r>
    <r>
      <rPr>
        <sz val="11"/>
        <color theme="1"/>
        <rFont val="Arial"/>
        <family val="2"/>
      </rPr>
      <t>=</t>
    </r>
  </si>
  <si>
    <r>
      <t xml:space="preserve"> V</t>
    </r>
    <r>
      <rPr>
        <vertAlign val="subscript"/>
        <sz val="11"/>
        <color theme="1"/>
        <rFont val="Arial"/>
        <family val="2"/>
      </rPr>
      <t xml:space="preserve">f_SR </t>
    </r>
    <r>
      <rPr>
        <sz val="11"/>
        <color theme="1"/>
        <rFont val="Arial"/>
        <family val="2"/>
      </rPr>
      <t>=</t>
    </r>
  </si>
  <si>
    <r>
      <t xml:space="preserve"> I</t>
    </r>
    <r>
      <rPr>
        <vertAlign val="subscript"/>
        <sz val="11"/>
        <color theme="1"/>
        <rFont val="Arial"/>
        <family val="2"/>
      </rPr>
      <t xml:space="preserve">D_SR_max </t>
    </r>
    <r>
      <rPr>
        <sz val="11"/>
        <color theme="1"/>
        <rFont val="Arial"/>
        <family val="2"/>
      </rPr>
      <t>=</t>
    </r>
  </si>
  <si>
    <r>
      <t xml:space="preserve"> V</t>
    </r>
    <r>
      <rPr>
        <vertAlign val="subscript"/>
        <sz val="11"/>
        <rFont val="Arial"/>
        <family val="2"/>
      </rPr>
      <t xml:space="preserve">CE_sat_opto </t>
    </r>
    <r>
      <rPr>
        <sz val="11"/>
        <rFont val="Arial"/>
        <family val="2"/>
      </rPr>
      <t>=</t>
    </r>
  </si>
  <si>
    <r>
      <t>V</t>
    </r>
    <r>
      <rPr>
        <vertAlign val="subscript"/>
        <sz val="11"/>
        <rFont val="Arial"/>
        <family val="2"/>
      </rPr>
      <t xml:space="preserve">D_LED </t>
    </r>
    <r>
      <rPr>
        <sz val="11"/>
        <rFont val="Arial"/>
        <family val="2"/>
      </rPr>
      <t>=</t>
    </r>
  </si>
  <si>
    <r>
      <t xml:space="preserve"> f</t>
    </r>
    <r>
      <rPr>
        <vertAlign val="subscript"/>
        <sz val="11"/>
        <rFont val="Arial"/>
        <family val="2"/>
      </rPr>
      <t xml:space="preserve">p_opto </t>
    </r>
    <r>
      <rPr>
        <sz val="11"/>
        <rFont val="Arial"/>
        <family val="2"/>
      </rPr>
      <t>=</t>
    </r>
  </si>
  <si>
    <r>
      <t>V</t>
    </r>
    <r>
      <rPr>
        <vertAlign val="subscript"/>
        <sz val="11"/>
        <rFont val="Arial"/>
        <family val="2"/>
      </rPr>
      <t xml:space="preserve">D_LED_off </t>
    </r>
    <r>
      <rPr>
        <sz val="11"/>
        <rFont val="Arial"/>
        <family val="2"/>
      </rPr>
      <t>=</t>
    </r>
  </si>
  <si>
    <r>
      <t xml:space="preserve"> K</t>
    </r>
    <r>
      <rPr>
        <vertAlign val="subscript"/>
        <sz val="11"/>
        <rFont val="Arial"/>
        <family val="2"/>
      </rPr>
      <t xml:space="preserve">CTR_Temp </t>
    </r>
    <r>
      <rPr>
        <sz val="11"/>
        <rFont val="Arial"/>
        <family val="2"/>
      </rPr>
      <t>=</t>
    </r>
  </si>
  <si>
    <r>
      <t xml:space="preserve"> I</t>
    </r>
    <r>
      <rPr>
        <vertAlign val="subscript"/>
        <sz val="11"/>
        <color theme="1"/>
        <rFont val="Arial"/>
        <family val="2"/>
      </rPr>
      <t xml:space="preserve">KA_min </t>
    </r>
    <r>
      <rPr>
        <sz val="11"/>
        <color theme="1"/>
        <rFont val="Arial"/>
        <family val="2"/>
      </rPr>
      <t>=</t>
    </r>
  </si>
  <si>
    <r>
      <t xml:space="preserve"> V</t>
    </r>
    <r>
      <rPr>
        <vertAlign val="subscript"/>
        <sz val="11"/>
        <color theme="1"/>
        <rFont val="Arial"/>
        <family val="2"/>
      </rPr>
      <t xml:space="preserve">ref_431 </t>
    </r>
    <r>
      <rPr>
        <sz val="11"/>
        <color theme="1"/>
        <rFont val="Arial"/>
        <family val="2"/>
      </rPr>
      <t>=</t>
    </r>
  </si>
  <si>
    <r>
      <t xml:space="preserve"> I</t>
    </r>
    <r>
      <rPr>
        <vertAlign val="subscript"/>
        <sz val="11"/>
        <rFont val="Arial"/>
        <family val="2"/>
      </rPr>
      <t xml:space="preserve">ref_431_typ </t>
    </r>
    <r>
      <rPr>
        <sz val="11"/>
        <rFont val="Arial"/>
        <family val="2"/>
      </rPr>
      <t>=</t>
    </r>
  </si>
  <si>
    <r>
      <t xml:space="preserve"> C</t>
    </r>
    <r>
      <rPr>
        <vertAlign val="subscript"/>
        <sz val="11"/>
        <color theme="1"/>
        <rFont val="Arial"/>
        <family val="2"/>
      </rPr>
      <t xml:space="preserve">OSS_Qs </t>
    </r>
    <r>
      <rPr>
        <sz val="11"/>
        <color theme="1"/>
        <rFont val="Arial"/>
        <family val="2"/>
      </rPr>
      <t>=</t>
    </r>
  </si>
  <si>
    <r>
      <t xml:space="preserve"> V</t>
    </r>
    <r>
      <rPr>
        <vertAlign val="subscript"/>
        <sz val="11"/>
        <color theme="1"/>
        <rFont val="Arial"/>
        <family val="2"/>
      </rPr>
      <t xml:space="preserve">gs_Qs </t>
    </r>
    <r>
      <rPr>
        <sz val="11"/>
        <color theme="1"/>
        <rFont val="Arial"/>
        <family val="2"/>
      </rPr>
      <t>=</t>
    </r>
  </si>
  <si>
    <r>
      <t xml:space="preserve"> L</t>
    </r>
    <r>
      <rPr>
        <vertAlign val="subscript"/>
        <sz val="11"/>
        <color theme="1"/>
        <rFont val="Arial"/>
        <family val="2"/>
      </rPr>
      <t xml:space="preserve">Qs </t>
    </r>
    <r>
      <rPr>
        <sz val="11"/>
        <color theme="1"/>
        <rFont val="Arial"/>
        <family val="2"/>
      </rPr>
      <t>=</t>
    </r>
  </si>
  <si>
    <r>
      <t xml:space="preserve"> C</t>
    </r>
    <r>
      <rPr>
        <vertAlign val="subscript"/>
        <sz val="11"/>
        <color theme="1"/>
        <rFont val="Arial"/>
        <family val="2"/>
      </rPr>
      <t xml:space="preserve">ISS_Qs </t>
    </r>
    <r>
      <rPr>
        <sz val="11"/>
        <color theme="1"/>
        <rFont val="Arial"/>
        <family val="2"/>
      </rPr>
      <t>=</t>
    </r>
  </si>
  <si>
    <r>
      <t xml:space="preserve"> V</t>
    </r>
    <r>
      <rPr>
        <vertAlign val="subscript"/>
        <sz val="11"/>
        <color theme="1"/>
        <rFont val="Arial"/>
        <family val="2"/>
      </rPr>
      <t xml:space="preserve">th_Qs </t>
    </r>
    <r>
      <rPr>
        <sz val="11"/>
        <color theme="1"/>
        <rFont val="Arial"/>
        <family val="2"/>
      </rPr>
      <t>=</t>
    </r>
  </si>
  <si>
    <r>
      <t xml:space="preserve"> C</t>
    </r>
    <r>
      <rPr>
        <vertAlign val="subscript"/>
        <sz val="11"/>
        <color theme="1"/>
        <rFont val="Arial"/>
        <family val="2"/>
      </rPr>
      <t xml:space="preserve">Daux_T </t>
    </r>
    <r>
      <rPr>
        <sz val="11"/>
        <color theme="1"/>
        <rFont val="Arial"/>
        <family val="2"/>
      </rPr>
      <t>=</t>
    </r>
  </si>
  <si>
    <r>
      <t xml:space="preserve"> C</t>
    </r>
    <r>
      <rPr>
        <vertAlign val="subscript"/>
        <sz val="11"/>
        <color theme="1"/>
        <rFont val="Arial"/>
        <family val="2"/>
      </rPr>
      <t xml:space="preserve">Daux_H </t>
    </r>
    <r>
      <rPr>
        <sz val="11"/>
        <color theme="1"/>
        <rFont val="Arial"/>
        <family val="2"/>
      </rPr>
      <t>=</t>
    </r>
  </si>
  <si>
    <r>
      <t xml:space="preserve"> V</t>
    </r>
    <r>
      <rPr>
        <vertAlign val="subscript"/>
        <sz val="11"/>
        <color theme="1"/>
        <rFont val="Arial"/>
        <family val="2"/>
      </rPr>
      <t xml:space="preserve">f_Daux </t>
    </r>
    <r>
      <rPr>
        <sz val="11"/>
        <color theme="1"/>
        <rFont val="Arial"/>
        <family val="2"/>
      </rPr>
      <t>=</t>
    </r>
  </si>
  <si>
    <r>
      <t xml:space="preserve"> I</t>
    </r>
    <r>
      <rPr>
        <vertAlign val="subscript"/>
        <sz val="11"/>
        <color theme="1"/>
        <rFont val="Arial"/>
        <family val="2"/>
      </rPr>
      <t xml:space="preserve">Daux_max </t>
    </r>
    <r>
      <rPr>
        <sz val="11"/>
        <color theme="1"/>
        <rFont val="Arial"/>
        <family val="2"/>
      </rPr>
      <t>=</t>
    </r>
  </si>
  <si>
    <t>Maximum Clamp Voltage on SR</t>
  </si>
  <si>
    <t>Maximum Clamp Voltage on QH</t>
  </si>
  <si>
    <t>Maximum Clamp Voltage</t>
  </si>
  <si>
    <t>Duty Cycle During OPP at Run Input</t>
  </si>
  <si>
    <t>OPP Input Current at Run Input</t>
  </si>
  <si>
    <t>Negative Magnetizing Inductor Current at Run</t>
  </si>
  <si>
    <t>Switching Frequency During OPP at Run</t>
  </si>
  <si>
    <t>Peak Current During OPP at Run Input</t>
  </si>
  <si>
    <t>Negative Magnetizing Inductor Current at Min</t>
  </si>
  <si>
    <t>Peak Current During OPP at Min Input</t>
  </si>
  <si>
    <t>Switching Frequency During OPP at Min</t>
  </si>
  <si>
    <t>OPP Input Current at Min Input</t>
  </si>
  <si>
    <t>Duty Cycle During OPP at Min Input</t>
  </si>
  <si>
    <t>Turn on Period During Minimum Input Voltage</t>
  </si>
  <si>
    <r>
      <t>Switching Node Capacitance from 0 to V</t>
    </r>
    <r>
      <rPr>
        <vertAlign val="subscript"/>
        <sz val="11"/>
        <color theme="1"/>
        <rFont val="Arial"/>
        <family val="2"/>
      </rPr>
      <t>Xl</t>
    </r>
    <r>
      <rPr>
        <sz val="11"/>
        <color theme="1"/>
        <rFont val="Arial"/>
        <family val="2"/>
      </rPr>
      <t/>
    </r>
  </si>
  <si>
    <t>Sum of Peak Current Loop Delay</t>
  </si>
  <si>
    <t>Negative Magnetizing Inductor Current at Max</t>
  </si>
  <si>
    <t>Switching Frequency During OPP at Max</t>
  </si>
  <si>
    <t>Peak Current During OPP at Max Input</t>
  </si>
  <si>
    <t>Duty Cycle During OPP at Max Input</t>
  </si>
  <si>
    <t>OPP Input Current at Max Input</t>
  </si>
  <si>
    <t>Offset Voltage on CS Pin During OPP at Max Input</t>
  </si>
  <si>
    <t>Line Sensing Current at Max Input</t>
  </si>
  <si>
    <t>Voltage on Primary Resistance</t>
  </si>
  <si>
    <r>
      <t xml:space="preserve">Voltage on </t>
    </r>
    <r>
      <rPr>
        <b/>
        <sz val="11"/>
        <color theme="1"/>
        <rFont val="Arial"/>
        <family val="2"/>
      </rPr>
      <t>Leakage</t>
    </r>
    <r>
      <rPr>
        <sz val="11"/>
        <color theme="1"/>
        <rFont val="Arial"/>
        <family val="2"/>
      </rPr>
      <t xml:space="preserve"> Inductance</t>
    </r>
  </si>
  <si>
    <t>Negative Magnetizing Inductor Current at BUR</t>
  </si>
  <si>
    <t>Rising Time</t>
  </si>
  <si>
    <t>Line Sensing Current at BUR</t>
  </si>
  <si>
    <t>OPP Input Current at BUR</t>
  </si>
  <si>
    <t>Duty Cycle During BUR</t>
  </si>
  <si>
    <t>Peak Current During BUR</t>
  </si>
  <si>
    <t>Switching Frequency During BUR</t>
  </si>
  <si>
    <t>Driver Charge</t>
  </si>
  <si>
    <t>Negative Magnetizing Inductor Current at BUR and Min Input</t>
  </si>
  <si>
    <t>Switching Frequency During BUR and Min Input</t>
  </si>
  <si>
    <t>Peak Current During BUR and Min Input</t>
  </si>
  <si>
    <t>Duty Cycle During BUR and Min Input</t>
  </si>
  <si>
    <t>OPP Input Current at BUR and Min Input</t>
  </si>
  <si>
    <t>Negative Magnetizing Inductor Current at Start</t>
  </si>
  <si>
    <t>Switching Frequency During OPP at Start</t>
  </si>
  <si>
    <t>Peak Current During OPP at Start</t>
  </si>
  <si>
    <t>OPP Input Current at Start</t>
  </si>
  <si>
    <t>Duty Cycle During OPP at Start</t>
  </si>
  <si>
    <t>Driver Require Current</t>
  </si>
  <si>
    <t>Switching Frequency During Min Input</t>
  </si>
  <si>
    <t>Peak Current During Min Input</t>
  </si>
  <si>
    <t>Input Current at Min Input</t>
  </si>
  <si>
    <t>Duty Cycle During Min Input</t>
  </si>
  <si>
    <r>
      <t>Coefficient for R</t>
    </r>
    <r>
      <rPr>
        <vertAlign val="subscript"/>
        <sz val="11"/>
        <color theme="1"/>
        <rFont val="Arial"/>
        <family val="2"/>
      </rPr>
      <t>bias1</t>
    </r>
    <r>
      <rPr>
        <sz val="11"/>
        <color theme="1"/>
        <rFont val="Arial"/>
        <family val="2"/>
      </rPr>
      <t/>
    </r>
  </si>
  <si>
    <r>
      <t>Suggested 10*C</t>
    </r>
    <r>
      <rPr>
        <vertAlign val="subscript"/>
        <sz val="11"/>
        <color theme="1"/>
        <rFont val="Arial"/>
        <family val="2"/>
      </rPr>
      <t>BOOT</t>
    </r>
  </si>
  <si>
    <r>
      <t>C</t>
    </r>
    <r>
      <rPr>
        <vertAlign val="subscript"/>
        <sz val="11"/>
        <color theme="1"/>
        <rFont val="Arial"/>
        <family val="2"/>
      </rPr>
      <t>BOOT_min</t>
    </r>
    <r>
      <rPr>
        <sz val="11"/>
        <color theme="1"/>
        <rFont val="Arial"/>
        <family val="2"/>
      </rPr>
      <t xml:space="preserve"> =</t>
    </r>
  </si>
  <si>
    <r>
      <t>C</t>
    </r>
    <r>
      <rPr>
        <vertAlign val="subscript"/>
        <sz val="11"/>
        <color theme="1"/>
        <rFont val="Arial"/>
        <family val="2"/>
      </rPr>
      <t>BOOT</t>
    </r>
    <r>
      <rPr>
        <sz val="11"/>
        <color theme="1"/>
        <rFont val="Arial"/>
        <family val="2"/>
      </rPr>
      <t xml:space="preserve"> =</t>
    </r>
  </si>
  <si>
    <r>
      <t>C</t>
    </r>
    <r>
      <rPr>
        <vertAlign val="subscript"/>
        <sz val="11"/>
        <color theme="1"/>
        <rFont val="Arial"/>
        <family val="2"/>
      </rPr>
      <t>BOOT_max</t>
    </r>
    <r>
      <rPr>
        <sz val="11"/>
        <color theme="1"/>
        <rFont val="Arial"/>
        <family val="2"/>
      </rPr>
      <t xml:space="preserve"> =</t>
    </r>
  </si>
  <si>
    <r>
      <t>C</t>
    </r>
    <r>
      <rPr>
        <vertAlign val="subscript"/>
        <sz val="11"/>
        <color theme="1"/>
        <rFont val="Arial"/>
        <family val="2"/>
      </rPr>
      <t xml:space="preserve">Reflect </t>
    </r>
    <r>
      <rPr>
        <sz val="11"/>
        <color theme="1"/>
        <rFont val="Arial"/>
        <family val="2"/>
      </rPr>
      <t>=</t>
    </r>
  </si>
  <si>
    <r>
      <t>DCR of Boost Inductor, R</t>
    </r>
    <r>
      <rPr>
        <vertAlign val="subscript"/>
        <sz val="12"/>
        <rFont val="Arial"/>
        <family val="2"/>
      </rPr>
      <t>LB</t>
    </r>
    <r>
      <rPr>
        <sz val="12"/>
        <rFont val="Arial"/>
        <family val="2"/>
      </rPr>
      <t>:</t>
    </r>
  </si>
  <si>
    <t>Why it calculates to &lt;1ohm: accounting for hot resistances</t>
  </si>
  <si>
    <t>Refering to "Schematic" tab, DCR of Boost Inductor</t>
  </si>
  <si>
    <t>REF Voltage</t>
  </si>
  <si>
    <r>
      <t>V</t>
    </r>
    <r>
      <rPr>
        <vertAlign val="subscript"/>
        <sz val="11"/>
        <color theme="1"/>
        <rFont val="Arial"/>
        <family val="2"/>
      </rPr>
      <t xml:space="preserve">BUR2 </t>
    </r>
    <r>
      <rPr>
        <sz val="11"/>
        <color theme="1"/>
        <rFont val="Arial"/>
        <family val="2"/>
      </rPr>
      <t>=</t>
    </r>
  </si>
  <si>
    <r>
      <t>R</t>
    </r>
    <r>
      <rPr>
        <vertAlign val="subscript"/>
        <sz val="11"/>
        <color theme="1"/>
        <rFont val="Arial"/>
        <family val="2"/>
      </rPr>
      <t>bur2</t>
    </r>
    <r>
      <rPr>
        <sz val="11"/>
        <color theme="1"/>
        <rFont val="Arial"/>
        <family val="2"/>
      </rPr>
      <t>/(R</t>
    </r>
    <r>
      <rPr>
        <vertAlign val="subscript"/>
        <sz val="11"/>
        <color theme="1"/>
        <rFont val="Arial"/>
        <family val="2"/>
      </rPr>
      <t>bur1</t>
    </r>
    <r>
      <rPr>
        <sz val="11"/>
        <color theme="1"/>
        <rFont val="Arial"/>
        <family val="2"/>
      </rPr>
      <t>+R</t>
    </r>
    <r>
      <rPr>
        <vertAlign val="subscript"/>
        <sz val="11"/>
        <color theme="1"/>
        <rFont val="Arial"/>
        <family val="2"/>
      </rPr>
      <t>bur2</t>
    </r>
    <r>
      <rPr>
        <sz val="11"/>
        <color theme="1"/>
        <rFont val="Arial"/>
        <family val="2"/>
      </rPr>
      <t>) =</t>
    </r>
  </si>
  <si>
    <r>
      <t xml:space="preserve"> recommended target value for R</t>
    </r>
    <r>
      <rPr>
        <vertAlign val="subscript"/>
        <sz val="11"/>
        <color theme="1"/>
        <rFont val="Arial"/>
        <family val="2"/>
      </rPr>
      <t>BUR2</t>
    </r>
  </si>
  <si>
    <r>
      <t xml:space="preserve"> recommended target value for R</t>
    </r>
    <r>
      <rPr>
        <vertAlign val="subscript"/>
        <sz val="11"/>
        <color theme="1"/>
        <rFont val="Arial"/>
        <family val="2"/>
      </rPr>
      <t>BUR1</t>
    </r>
  </si>
  <si>
    <r>
      <t xml:space="preserve"> hysteresis at ABM &lt;=&gt; LPM boundary, dependent on ∆V</t>
    </r>
    <r>
      <rPr>
        <vertAlign val="subscript"/>
        <sz val="11"/>
        <color theme="1"/>
        <rFont val="Arial"/>
        <family val="2"/>
      </rPr>
      <t>BUR(AAM)</t>
    </r>
    <r>
      <rPr>
        <sz val="11"/>
        <color theme="1"/>
        <rFont val="Arial"/>
        <family val="2"/>
      </rPr>
      <t xml:space="preserve"> </t>
    </r>
  </si>
  <si>
    <r>
      <t>3. After ∆V</t>
    </r>
    <r>
      <rPr>
        <vertAlign val="subscript"/>
        <sz val="11"/>
        <color theme="1"/>
        <rFont val="Arial"/>
        <family val="2"/>
      </rPr>
      <t>BUR(AAM)</t>
    </r>
    <r>
      <rPr>
        <sz val="11"/>
        <color theme="1"/>
        <rFont val="Arial"/>
        <family val="2"/>
      </rPr>
      <t xml:space="preserve"> is selected, the calculator determines R</t>
    </r>
    <r>
      <rPr>
        <vertAlign val="subscript"/>
        <sz val="11"/>
        <color theme="1"/>
        <rFont val="Arial"/>
        <family val="2"/>
      </rPr>
      <t>BUR1</t>
    </r>
    <r>
      <rPr>
        <sz val="11"/>
        <color theme="1"/>
        <rFont val="Arial"/>
        <family val="2"/>
      </rPr>
      <t xml:space="preserve"> and R</t>
    </r>
    <r>
      <rPr>
        <vertAlign val="subscript"/>
        <sz val="11"/>
        <color theme="1"/>
        <rFont val="Arial"/>
        <family val="2"/>
      </rPr>
      <t>BUR2</t>
    </r>
    <r>
      <rPr>
        <sz val="11"/>
        <color theme="1"/>
        <rFont val="Arial"/>
        <family val="2"/>
      </rPr>
      <t xml:space="preserve"> targets.</t>
    </r>
  </si>
  <si>
    <t xml:space="preserve">   Actual Brown-in (Start-up) Voltage, Maximum</t>
  </si>
  <si>
    <t xml:space="preserve">   Possible Brown-in voltage calculated with maximum parameters</t>
  </si>
  <si>
    <t xml:space="preserve">   Actual Brown-in (Start-up) Voltage, Minimum</t>
  </si>
  <si>
    <t xml:space="preserve">   Possible Brown-in voltage calculated with minimum parameters</t>
  </si>
  <si>
    <t xml:space="preserve">   Actual Brown-out (Shut-down) Voltage, Maximum</t>
  </si>
  <si>
    <t xml:space="preserve">   Possible Brown-out voltage calculated with maximum parameters</t>
  </si>
  <si>
    <t>Actual Brown-out (Shut-down) Voltage, Typical</t>
  </si>
  <si>
    <t>Brown-out voltage calculated with typical parameters</t>
  </si>
  <si>
    <t xml:space="preserve">   Actual Brown-out (Shut-down) Voltage, Minimum</t>
  </si>
  <si>
    <t xml:space="preserve">   Possible Brown-out voltage calculated with minimum parameters</t>
  </si>
  <si>
    <t>NTC Resistance Threshold on FLT pin to Trigger OTP Fault, Maximum</t>
  </si>
  <si>
    <t>NTC Resistance Threshold on FLT pin to Trigger OTP Fault, Typical</t>
  </si>
  <si>
    <t>NTC Resistance Threshold on FLT pin to Trigger OTP Fault, Minimum</t>
  </si>
  <si>
    <t>NTC Resistance Threshold on FLT pin to Clear OTP Fault, Maximum</t>
  </si>
  <si>
    <t>NTC Resistance Threshold on FLT pin to Clear OTP Fault, Typical</t>
  </si>
  <si>
    <t>NTC Resistance Threshold on FLT pin to Clear OTP Fault, Minimum</t>
  </si>
  <si>
    <r>
      <t>V</t>
    </r>
    <r>
      <rPr>
        <vertAlign val="subscript"/>
        <sz val="11"/>
        <color theme="1"/>
        <rFont val="Arial"/>
        <family val="2"/>
      </rPr>
      <t>O_typ</t>
    </r>
    <r>
      <rPr>
        <sz val="11"/>
        <color theme="1"/>
        <rFont val="Arial"/>
        <family val="2"/>
      </rPr>
      <t xml:space="preserve"> =</t>
    </r>
  </si>
  <si>
    <t>Over-Temperature Protection on FLT Pin    ====&gt;&gt;</t>
  </si>
  <si>
    <t>NTC Resistor Part Number (for reference)</t>
  </si>
  <si>
    <t xml:space="preserve">Percent Tolerance (±) of Nominal R25 Value </t>
  </si>
  <si>
    <t xml:space="preserve">Percent Tolerance (±) of Nominal B2585 Value </t>
  </si>
  <si>
    <t>Choose Target Shut-down Temperature in °C</t>
  </si>
  <si>
    <t>°C</t>
  </si>
  <si>
    <t>NTHS0603N01N1003F</t>
  </si>
  <si>
    <t>Approximate Temperature at which OTP Fault Resets (Clears)</t>
  </si>
  <si>
    <t>Temperature where NTC resistance = 23 kΩ</t>
  </si>
  <si>
    <t>Approximate Temperature at which OTP Fault Sets</t>
  </si>
  <si>
    <t>Nominal Temperature at which OTP Fault Sets</t>
  </si>
  <si>
    <t>Nominal Temperature at which OTP Fault Resets (Clears)</t>
  </si>
  <si>
    <t>Minimum Temperature at which OTP Fault Sets</t>
  </si>
  <si>
    <t>Minimum Temperature at which OTP Fault Resets (Clears)</t>
  </si>
  <si>
    <t>Maximum Temperature at which OTP Fault Sets</t>
  </si>
  <si>
    <t>Maximum Temperature at which OTP Fault Resets (Clears)</t>
  </si>
  <si>
    <t xml:space="preserve">   from NTC datasheet</t>
  </si>
  <si>
    <t xml:space="preserve"> </t>
  </si>
  <si>
    <t xml:space="preserve">SLURAZ0 </t>
  </si>
  <si>
    <t>Choose either AC or DC;              See graphs at right &gt;&gt;&gt;</t>
  </si>
  <si>
    <t>Lowest RMS or DC input voltage, steady-state</t>
  </si>
  <si>
    <t>For universal AC-line, enter 47;  Not used for DC input</t>
  </si>
  <si>
    <t>OPP level not included here, but in cell D32</t>
  </si>
  <si>
    <t>TI Literature Number</t>
  </si>
  <si>
    <t>Release Date</t>
  </si>
  <si>
    <t>May 2020</t>
  </si>
  <si>
    <t xml:space="preserve"> Original Release</t>
  </si>
  <si>
    <t xml:space="preserve"> Changes Made</t>
  </si>
  <si>
    <t>Version Suffix</t>
  </si>
  <si>
    <r>
      <t xml:space="preserve"> T</t>
    </r>
    <r>
      <rPr>
        <vertAlign val="subscript"/>
        <sz val="11"/>
        <color theme="1"/>
        <rFont val="Arial"/>
        <family val="2"/>
      </rPr>
      <t xml:space="preserve">OTP_tgt </t>
    </r>
    <r>
      <rPr>
        <sz val="11"/>
        <color theme="1"/>
        <rFont val="Arial"/>
        <family val="2"/>
      </rPr>
      <t>=</t>
    </r>
  </si>
  <si>
    <r>
      <t>Nominal 25</t>
    </r>
    <r>
      <rPr>
        <sz val="11"/>
        <color theme="1"/>
        <rFont val="Calibri"/>
        <family val="2"/>
      </rPr>
      <t>°</t>
    </r>
    <r>
      <rPr>
        <sz val="11"/>
        <color theme="1"/>
        <rFont val="Arial"/>
        <family val="2"/>
      </rPr>
      <t>C Resistance</t>
    </r>
  </si>
  <si>
    <r>
      <t xml:space="preserve"> R</t>
    </r>
    <r>
      <rPr>
        <vertAlign val="subscript"/>
        <sz val="11"/>
        <color theme="1"/>
        <rFont val="Arial"/>
        <family val="2"/>
      </rPr>
      <t xml:space="preserve">25 </t>
    </r>
    <r>
      <rPr>
        <sz val="11"/>
        <color theme="1"/>
        <rFont val="Arial"/>
        <family val="2"/>
      </rPr>
      <t>=</t>
    </r>
  </si>
  <si>
    <r>
      <t xml:space="preserve"> K</t>
    </r>
    <r>
      <rPr>
        <vertAlign val="subscript"/>
        <sz val="11"/>
        <color theme="1"/>
        <rFont val="Arial"/>
        <family val="2"/>
      </rPr>
      <t xml:space="preserve">Rtol </t>
    </r>
    <r>
      <rPr>
        <sz val="11"/>
        <color theme="1"/>
        <rFont val="Arial"/>
        <family val="2"/>
      </rPr>
      <t>=</t>
    </r>
  </si>
  <si>
    <r>
      <t>Nominal B</t>
    </r>
    <r>
      <rPr>
        <vertAlign val="subscript"/>
        <sz val="11"/>
        <color theme="1"/>
        <rFont val="Arial"/>
        <family val="2"/>
      </rPr>
      <t>25/85</t>
    </r>
    <r>
      <rPr>
        <sz val="11"/>
        <color theme="1"/>
        <rFont val="Arial"/>
        <family val="2"/>
      </rPr>
      <t xml:space="preserve"> Factor</t>
    </r>
  </si>
  <si>
    <r>
      <t xml:space="preserve"> B</t>
    </r>
    <r>
      <rPr>
        <vertAlign val="subscript"/>
        <sz val="11"/>
        <color theme="1"/>
        <rFont val="Arial"/>
        <family val="2"/>
      </rPr>
      <t xml:space="preserve">25/85 </t>
    </r>
    <r>
      <rPr>
        <sz val="11"/>
        <color theme="1"/>
        <rFont val="Arial"/>
        <family val="2"/>
      </rPr>
      <t>=</t>
    </r>
  </si>
  <si>
    <r>
      <t xml:space="preserve"> K</t>
    </r>
    <r>
      <rPr>
        <vertAlign val="subscript"/>
        <sz val="11"/>
        <color theme="1"/>
        <rFont val="Arial"/>
        <family val="2"/>
      </rPr>
      <t xml:space="preserve">Btol </t>
    </r>
    <r>
      <rPr>
        <sz val="11"/>
        <color theme="1"/>
        <rFont val="Arial"/>
        <family val="2"/>
      </rPr>
      <t>=</t>
    </r>
  </si>
  <si>
    <r>
      <t xml:space="preserve"> T</t>
    </r>
    <r>
      <rPr>
        <vertAlign val="subscript"/>
        <sz val="11"/>
        <color theme="1"/>
        <rFont val="Arial"/>
        <family val="2"/>
      </rPr>
      <t xml:space="preserve">OTP_set </t>
    </r>
    <r>
      <rPr>
        <sz val="11"/>
        <color theme="1"/>
        <rFont val="Arial"/>
        <family val="2"/>
      </rPr>
      <t>=</t>
    </r>
  </si>
  <si>
    <r>
      <t xml:space="preserve"> T</t>
    </r>
    <r>
      <rPr>
        <vertAlign val="subscript"/>
        <sz val="11"/>
        <color theme="1"/>
        <rFont val="Arial"/>
        <family val="2"/>
      </rPr>
      <t xml:space="preserve">OTP_rst </t>
    </r>
    <r>
      <rPr>
        <sz val="11"/>
        <color theme="1"/>
        <rFont val="Arial"/>
        <family val="2"/>
      </rPr>
      <t>=</t>
    </r>
  </si>
  <si>
    <t>Selected Thermistor Part Number (for reference)</t>
  </si>
  <si>
    <t>Primary-side Auxiliary Rectifier Diode</t>
  </si>
  <si>
    <t>Temperature where NTC resistance = 9.91 kΩ,
    compare to target in cell D128</t>
  </si>
  <si>
    <t>For SR, use 0 V</t>
  </si>
  <si>
    <t>Typical Reference Pin Bias Current</t>
  </si>
  <si>
    <t>Maximum Reference Pin Bias Current</t>
  </si>
  <si>
    <t>Diode Voltage @ Diode Current &lt; 1 µA</t>
  </si>
  <si>
    <t>Normal Forward Voltage @ Diode Current = 100 µA</t>
  </si>
  <si>
    <r>
      <t>Actual</t>
    </r>
    <r>
      <rPr>
        <b/>
        <sz val="11"/>
        <color theme="1"/>
        <rFont val="Arial"/>
        <family val="2"/>
      </rPr>
      <t xml:space="preserve"> </t>
    </r>
    <r>
      <rPr>
        <sz val="11"/>
        <color theme="1"/>
        <rFont val="Arial"/>
        <family val="2"/>
      </rPr>
      <t>Output Capacitance Used</t>
    </r>
  </si>
  <si>
    <t>Actual Input Bulk Capacitance Used</t>
  </si>
  <si>
    <r>
      <rPr>
        <sz val="11"/>
        <color theme="1"/>
        <rFont val="Calibri"/>
        <family val="2"/>
      </rPr>
      <t>±</t>
    </r>
    <r>
      <rPr>
        <sz val="11"/>
        <color theme="1"/>
        <rFont val="Arial"/>
        <family val="2"/>
      </rPr>
      <t xml:space="preserve">% tolerance NOT included.  </t>
    </r>
    <r>
      <rPr>
        <sz val="10"/>
        <color theme="1"/>
        <rFont val="Arial"/>
        <family val="2"/>
      </rPr>
      <t>Not valid for DC input; see cell F24.</t>
    </r>
  </si>
  <si>
    <t>% of datasheet rating, per customer policy</t>
  </si>
  <si>
    <t>Propagation Delay of CS-Comparator High to PWML Low</t>
  </si>
  <si>
    <t>Select the primary turns target; must be a whole number</t>
  </si>
  <si>
    <r>
      <t>N</t>
    </r>
    <r>
      <rPr>
        <sz val="7"/>
        <rFont val="Arial"/>
        <family val="2"/>
      </rPr>
      <t xml:space="preserve">PS_min </t>
    </r>
    <r>
      <rPr>
        <sz val="11"/>
        <rFont val="Arial"/>
        <family val="2"/>
      </rPr>
      <t>&lt; N</t>
    </r>
    <r>
      <rPr>
        <sz val="7"/>
        <rFont val="Arial"/>
        <family val="2"/>
      </rPr>
      <t xml:space="preserve">PS </t>
    </r>
    <r>
      <rPr>
        <sz val="11"/>
        <rFont val="Arial"/>
        <family val="2"/>
      </rPr>
      <t>&lt; N</t>
    </r>
    <r>
      <rPr>
        <sz val="7"/>
        <rFont val="Arial"/>
        <family val="2"/>
      </rPr>
      <t>PS_max</t>
    </r>
    <r>
      <rPr>
        <sz val="11"/>
        <rFont val="Arial"/>
        <family val="2"/>
      </rPr>
      <t xml:space="preserve">   (whole number not required, may be fractional)</t>
    </r>
  </si>
  <si>
    <t>Measurement from transformer sample, or intended target value</t>
  </si>
  <si>
    <r>
      <rPr>
        <b/>
        <sz val="11"/>
        <color theme="1"/>
        <rFont val="Arial"/>
        <family val="2"/>
      </rPr>
      <t>Recommended</t>
    </r>
    <r>
      <rPr>
        <sz val="11"/>
        <color theme="1"/>
        <rFont val="Arial"/>
        <family val="2"/>
      </rPr>
      <t xml:space="preserve"> Bleeder Resistance</t>
    </r>
  </si>
  <si>
    <r>
      <rPr>
        <b/>
        <sz val="11"/>
        <color theme="1"/>
        <rFont val="Arial"/>
        <family val="2"/>
      </rPr>
      <t xml:space="preserve">Actual </t>
    </r>
    <r>
      <rPr>
        <sz val="11"/>
        <color theme="1"/>
        <rFont val="Arial"/>
        <family val="2"/>
      </rPr>
      <t>Bleeder Resistance Selected</t>
    </r>
  </si>
  <si>
    <t>Bleeder Resistance Used in Calculations</t>
  </si>
  <si>
    <t xml:space="preserve"> NTC connected from FLT pin to AGND pin.</t>
  </si>
  <si>
    <r>
      <t xml:space="preserve"> T</t>
    </r>
    <r>
      <rPr>
        <vertAlign val="subscript"/>
        <sz val="11"/>
        <color theme="1"/>
        <rFont val="Arial"/>
        <family val="2"/>
      </rPr>
      <t xml:space="preserve">OTP_set_max </t>
    </r>
    <r>
      <rPr>
        <sz val="11"/>
        <color theme="1"/>
        <rFont val="Arial"/>
        <family val="2"/>
      </rPr>
      <t>=</t>
    </r>
  </si>
  <si>
    <r>
      <t xml:space="preserve"> T</t>
    </r>
    <r>
      <rPr>
        <vertAlign val="subscript"/>
        <sz val="11"/>
        <color theme="1"/>
        <rFont val="Arial"/>
        <family val="2"/>
      </rPr>
      <t xml:space="preserve">OTP_rst_max </t>
    </r>
    <r>
      <rPr>
        <sz val="11"/>
        <color theme="1"/>
        <rFont val="Arial"/>
        <family val="2"/>
      </rPr>
      <t>=</t>
    </r>
  </si>
  <si>
    <r>
      <t xml:space="preserve"> T</t>
    </r>
    <r>
      <rPr>
        <vertAlign val="subscript"/>
        <sz val="11"/>
        <color theme="1"/>
        <rFont val="Arial"/>
        <family val="2"/>
      </rPr>
      <t xml:space="preserve">OTP_set_nom </t>
    </r>
    <r>
      <rPr>
        <sz val="11"/>
        <color theme="1"/>
        <rFont val="Arial"/>
        <family val="2"/>
      </rPr>
      <t>=</t>
    </r>
  </si>
  <si>
    <r>
      <t xml:space="preserve"> T</t>
    </r>
    <r>
      <rPr>
        <vertAlign val="subscript"/>
        <sz val="11"/>
        <color theme="1"/>
        <rFont val="Arial"/>
        <family val="2"/>
      </rPr>
      <t xml:space="preserve">OTP_rst_nom </t>
    </r>
    <r>
      <rPr>
        <sz val="11"/>
        <color theme="1"/>
        <rFont val="Arial"/>
        <family val="2"/>
      </rPr>
      <t>=</t>
    </r>
  </si>
  <si>
    <r>
      <t xml:space="preserve"> T</t>
    </r>
    <r>
      <rPr>
        <vertAlign val="subscript"/>
        <sz val="11"/>
        <color theme="1"/>
        <rFont val="Arial"/>
        <family val="2"/>
      </rPr>
      <t xml:space="preserve">OTP_set_min </t>
    </r>
    <r>
      <rPr>
        <sz val="11"/>
        <color theme="1"/>
        <rFont val="Arial"/>
        <family val="2"/>
      </rPr>
      <t>=</t>
    </r>
  </si>
  <si>
    <r>
      <t xml:space="preserve"> T</t>
    </r>
    <r>
      <rPr>
        <vertAlign val="subscript"/>
        <sz val="11"/>
        <color theme="1"/>
        <rFont val="Arial"/>
        <family val="2"/>
      </rPr>
      <t xml:space="preserve">OTP_rst_min </t>
    </r>
    <r>
      <rPr>
        <sz val="11"/>
        <color theme="1"/>
        <rFont val="Arial"/>
        <family val="2"/>
      </rPr>
      <t>=</t>
    </r>
  </si>
  <si>
    <t xml:space="preserve"> OTP-Fault Set and Reset hysteresis range, when parameters are maximum</t>
  </si>
  <si>
    <t xml:space="preserve"> OTP-Fault Set and Reset hysteresis range, when parameters are nominal</t>
  </si>
  <si>
    <t xml:space="preserve"> OTP-Fault Set and Reset hysteresis range, when parameters are minimum</t>
  </si>
  <si>
    <t>~20 kΩ is recommended</t>
  </si>
  <si>
    <t>0.22 µF, X7R is recommended</t>
  </si>
  <si>
    <t>1 µF, X7R is recommended</t>
  </si>
  <si>
    <t>Actual Brown-in (Start-up) Voltage, Typical</t>
  </si>
  <si>
    <r>
      <t>R</t>
    </r>
    <r>
      <rPr>
        <vertAlign val="subscript"/>
        <sz val="11"/>
        <color theme="1"/>
        <rFont val="Arial"/>
        <family val="2"/>
      </rPr>
      <t>VS1</t>
    </r>
    <r>
      <rPr>
        <sz val="11"/>
        <color theme="1"/>
        <rFont val="Arial"/>
        <family val="2"/>
      </rPr>
      <t xml:space="preserve"> Used in Calculations</t>
    </r>
  </si>
  <si>
    <r>
      <t>R</t>
    </r>
    <r>
      <rPr>
        <vertAlign val="subscript"/>
        <sz val="11"/>
        <color theme="1"/>
        <rFont val="Arial"/>
        <family val="2"/>
      </rPr>
      <t>VS1</t>
    </r>
    <r>
      <rPr>
        <sz val="11"/>
        <color theme="1"/>
        <rFont val="Arial"/>
        <family val="2"/>
      </rPr>
      <t xml:space="preserve"> =</t>
    </r>
  </si>
  <si>
    <r>
      <t>V</t>
    </r>
    <r>
      <rPr>
        <vertAlign val="subscript"/>
        <sz val="11"/>
        <color theme="1"/>
        <rFont val="Arial"/>
        <family val="2"/>
      </rPr>
      <t>Brownin_max</t>
    </r>
    <r>
      <rPr>
        <sz val="11"/>
        <color theme="1"/>
        <rFont val="Arial"/>
        <family val="2"/>
      </rPr>
      <t xml:space="preserve"> =</t>
    </r>
  </si>
  <si>
    <r>
      <t>V</t>
    </r>
    <r>
      <rPr>
        <vertAlign val="subscript"/>
        <sz val="11"/>
        <color theme="1"/>
        <rFont val="Arial"/>
        <family val="2"/>
      </rPr>
      <t>Brownin_min</t>
    </r>
    <r>
      <rPr>
        <sz val="11"/>
        <color theme="1"/>
        <rFont val="Arial"/>
        <family val="2"/>
      </rPr>
      <t xml:space="preserve"> =</t>
    </r>
  </si>
  <si>
    <r>
      <t>V</t>
    </r>
    <r>
      <rPr>
        <vertAlign val="subscript"/>
        <sz val="11"/>
        <color theme="1"/>
        <rFont val="Arial"/>
        <family val="2"/>
      </rPr>
      <t>Brownout_max</t>
    </r>
    <r>
      <rPr>
        <sz val="11"/>
        <color theme="1"/>
        <rFont val="Arial"/>
        <family val="2"/>
      </rPr>
      <t xml:space="preserve"> =</t>
    </r>
  </si>
  <si>
    <r>
      <t>V</t>
    </r>
    <r>
      <rPr>
        <vertAlign val="subscript"/>
        <sz val="11"/>
        <color theme="1"/>
        <rFont val="Arial"/>
        <family val="2"/>
      </rPr>
      <t>Brownout</t>
    </r>
    <r>
      <rPr>
        <sz val="11"/>
        <color theme="1"/>
        <rFont val="Arial"/>
        <family val="2"/>
      </rPr>
      <t xml:space="preserve"> =</t>
    </r>
  </si>
  <si>
    <r>
      <t>V</t>
    </r>
    <r>
      <rPr>
        <vertAlign val="subscript"/>
        <sz val="11"/>
        <color theme="1"/>
        <rFont val="Arial"/>
        <family val="2"/>
      </rPr>
      <t>Brownout_min</t>
    </r>
    <r>
      <rPr>
        <sz val="11"/>
        <color theme="1"/>
        <rFont val="Arial"/>
        <family val="2"/>
      </rPr>
      <t xml:space="preserve"> =</t>
    </r>
  </si>
  <si>
    <r>
      <t>R</t>
    </r>
    <r>
      <rPr>
        <vertAlign val="subscript"/>
        <sz val="11"/>
        <color theme="1"/>
        <rFont val="Arial"/>
        <family val="2"/>
      </rPr>
      <t>VS2_rec</t>
    </r>
    <r>
      <rPr>
        <sz val="11"/>
        <color theme="1"/>
        <rFont val="Arial"/>
        <family val="2"/>
      </rPr>
      <t xml:space="preserve"> =</t>
    </r>
  </si>
  <si>
    <r>
      <t>R</t>
    </r>
    <r>
      <rPr>
        <vertAlign val="subscript"/>
        <sz val="11"/>
        <color theme="1"/>
        <rFont val="Arial"/>
        <family val="2"/>
      </rPr>
      <t>NTCTH_max</t>
    </r>
    <r>
      <rPr>
        <sz val="11"/>
        <color theme="1"/>
        <rFont val="Arial"/>
        <family val="2"/>
      </rPr>
      <t xml:space="preserve"> =</t>
    </r>
  </si>
  <si>
    <r>
      <t>R</t>
    </r>
    <r>
      <rPr>
        <vertAlign val="subscript"/>
        <sz val="11"/>
        <color theme="1"/>
        <rFont val="Arial"/>
        <family val="2"/>
      </rPr>
      <t>NTCTH</t>
    </r>
    <r>
      <rPr>
        <sz val="11"/>
        <color theme="1"/>
        <rFont val="Arial"/>
        <family val="2"/>
      </rPr>
      <t xml:space="preserve"> =</t>
    </r>
  </si>
  <si>
    <r>
      <t>R</t>
    </r>
    <r>
      <rPr>
        <vertAlign val="subscript"/>
        <sz val="11"/>
        <color theme="1"/>
        <rFont val="Arial"/>
        <family val="2"/>
      </rPr>
      <t>NTCTH_min</t>
    </r>
    <r>
      <rPr>
        <sz val="11"/>
        <color theme="1"/>
        <rFont val="Arial"/>
        <family val="2"/>
      </rPr>
      <t xml:space="preserve"> =</t>
    </r>
  </si>
  <si>
    <r>
      <t>R</t>
    </r>
    <r>
      <rPr>
        <vertAlign val="subscript"/>
        <sz val="11"/>
        <color theme="1"/>
        <rFont val="Arial"/>
        <family val="2"/>
      </rPr>
      <t>NTCR_max</t>
    </r>
    <r>
      <rPr>
        <sz val="11"/>
        <color theme="1"/>
        <rFont val="Arial"/>
        <family val="2"/>
      </rPr>
      <t xml:space="preserve"> =</t>
    </r>
  </si>
  <si>
    <r>
      <t>R</t>
    </r>
    <r>
      <rPr>
        <vertAlign val="subscript"/>
        <sz val="11"/>
        <color theme="1"/>
        <rFont val="Arial"/>
        <family val="2"/>
      </rPr>
      <t>NTCR</t>
    </r>
    <r>
      <rPr>
        <sz val="11"/>
        <color theme="1"/>
        <rFont val="Arial"/>
        <family val="2"/>
      </rPr>
      <t xml:space="preserve"> =</t>
    </r>
  </si>
  <si>
    <r>
      <t>R</t>
    </r>
    <r>
      <rPr>
        <vertAlign val="subscript"/>
        <sz val="11"/>
        <color theme="1"/>
        <rFont val="Arial"/>
        <family val="2"/>
      </rPr>
      <t>NTCR_min</t>
    </r>
    <r>
      <rPr>
        <sz val="11"/>
        <color theme="1"/>
        <rFont val="Arial"/>
        <family val="2"/>
      </rPr>
      <t xml:space="preserve"> =</t>
    </r>
  </si>
  <si>
    <r>
      <t>I</t>
    </r>
    <r>
      <rPr>
        <vertAlign val="subscript"/>
        <sz val="11"/>
        <color theme="1"/>
        <rFont val="Arial"/>
        <family val="2"/>
      </rPr>
      <t>VSL_run_max</t>
    </r>
    <r>
      <rPr>
        <sz val="11"/>
        <color theme="1"/>
        <rFont val="Arial"/>
        <family val="2"/>
      </rPr>
      <t xml:space="preserve"> =</t>
    </r>
  </si>
  <si>
    <r>
      <t>I</t>
    </r>
    <r>
      <rPr>
        <vertAlign val="subscript"/>
        <sz val="11"/>
        <color theme="1"/>
        <rFont val="Arial"/>
        <family val="2"/>
      </rPr>
      <t>VSL_run</t>
    </r>
    <r>
      <rPr>
        <sz val="11"/>
        <color theme="1"/>
        <rFont val="Arial"/>
        <family val="2"/>
      </rPr>
      <t xml:space="preserve"> =</t>
    </r>
  </si>
  <si>
    <r>
      <t>I</t>
    </r>
    <r>
      <rPr>
        <vertAlign val="subscript"/>
        <sz val="11"/>
        <color theme="1"/>
        <rFont val="Arial"/>
        <family val="2"/>
      </rPr>
      <t>VSL_run_min</t>
    </r>
    <r>
      <rPr>
        <sz val="11"/>
        <color theme="1"/>
        <rFont val="Arial"/>
        <family val="2"/>
      </rPr>
      <t xml:space="preserve"> = </t>
    </r>
  </si>
  <si>
    <r>
      <t>I</t>
    </r>
    <r>
      <rPr>
        <vertAlign val="subscript"/>
        <sz val="11"/>
        <color theme="1"/>
        <rFont val="Arial"/>
        <family val="2"/>
      </rPr>
      <t>VSL_stop_max</t>
    </r>
    <r>
      <rPr>
        <sz val="11"/>
        <color theme="1"/>
        <rFont val="Arial"/>
        <family val="2"/>
      </rPr>
      <t xml:space="preserve"> =</t>
    </r>
  </si>
  <si>
    <r>
      <t>I</t>
    </r>
    <r>
      <rPr>
        <vertAlign val="subscript"/>
        <sz val="11"/>
        <color theme="1"/>
        <rFont val="Arial"/>
        <family val="2"/>
      </rPr>
      <t>VSL_stop</t>
    </r>
    <r>
      <rPr>
        <sz val="11"/>
        <color theme="1"/>
        <rFont val="Arial"/>
        <family val="2"/>
      </rPr>
      <t xml:space="preserve"> =</t>
    </r>
  </si>
  <si>
    <r>
      <t>I</t>
    </r>
    <r>
      <rPr>
        <vertAlign val="subscript"/>
        <sz val="11"/>
        <color theme="1"/>
        <rFont val="Arial"/>
        <family val="2"/>
      </rPr>
      <t>VSL_stop_min</t>
    </r>
    <r>
      <rPr>
        <sz val="11"/>
        <color theme="1"/>
        <rFont val="Arial"/>
        <family val="2"/>
      </rPr>
      <t xml:space="preserve"> =</t>
    </r>
  </si>
  <si>
    <t xml:space="preserve"> actual BUR voltage at AAM &lt;=&gt; ABM boundary
 while in AAM approaching ABM  (compare to cell C17)</t>
  </si>
  <si>
    <t>Aluminum Polymer Electrolytic</t>
  </si>
  <si>
    <r>
      <t>Adjustment factor of "Vin" for I</t>
    </r>
    <r>
      <rPr>
        <vertAlign val="subscript"/>
        <sz val="11"/>
        <color theme="1"/>
        <rFont val="Arial"/>
        <family val="2"/>
      </rPr>
      <t>VSL</t>
    </r>
    <r>
      <rPr>
        <sz val="11"/>
        <color theme="1"/>
        <rFont val="Arial"/>
        <family val="2"/>
      </rPr>
      <t xml:space="preserve"> when start-up at other than V</t>
    </r>
    <r>
      <rPr>
        <vertAlign val="subscript"/>
        <sz val="11"/>
        <color theme="1"/>
        <rFont val="Arial"/>
        <family val="2"/>
      </rPr>
      <t>BULK</t>
    </r>
    <r>
      <rPr>
        <sz val="11"/>
        <color theme="1"/>
        <rFont val="Arial"/>
        <family val="2"/>
      </rPr>
      <t>=106V</t>
    </r>
  </si>
  <si>
    <t>depends on Brown-in selected</t>
  </si>
  <si>
    <t xml:space="preserve"> (may consist of multiple parallel capacitors)</t>
  </si>
  <si>
    <t xml:space="preserve"> Effective value under DC bias condition</t>
  </si>
  <si>
    <r>
      <t>2.  Increase C</t>
    </r>
    <r>
      <rPr>
        <vertAlign val="subscript"/>
        <sz val="11"/>
        <color theme="1"/>
        <rFont val="Arial"/>
        <family val="2"/>
      </rPr>
      <t>O1</t>
    </r>
    <r>
      <rPr>
        <sz val="11"/>
        <color theme="1"/>
        <rFont val="Arial"/>
        <family val="2"/>
      </rPr>
      <t xml:space="preserve"> to extend resonant current, improve efficiency (spreads width, reduces peak and rms values)</t>
    </r>
  </si>
  <si>
    <t>August 2020</t>
  </si>
  <si>
    <t>B</t>
  </si>
  <si>
    <t xml:space="preserve"> actual BUR hysteresis at AAM &lt;=&gt; ABM boundary  
 (compare to cell C18)</t>
  </si>
  <si>
    <r>
      <t xml:space="preserve"> actual BUR hysteresis at ABM &lt;=&gt; LPM boundary,
 dependent on ∆V</t>
    </r>
    <r>
      <rPr>
        <vertAlign val="subscript"/>
        <sz val="11"/>
        <color theme="1"/>
        <rFont val="Arial"/>
        <family val="2"/>
      </rPr>
      <t>BUR(AAM)</t>
    </r>
    <r>
      <rPr>
        <sz val="11"/>
        <color theme="1"/>
        <rFont val="Arial"/>
        <family val="2"/>
      </rPr>
      <t xml:space="preserve">  (compare to cell C19)</t>
    </r>
  </si>
  <si>
    <t>How to use this sheet:</t>
  </si>
  <si>
    <r>
      <t>2. ∆V</t>
    </r>
    <r>
      <rPr>
        <vertAlign val="subscript"/>
        <sz val="11"/>
        <color theme="1"/>
        <rFont val="Arial"/>
        <family val="2"/>
      </rPr>
      <t>BUR(AAM)</t>
    </r>
    <r>
      <rPr>
        <sz val="11"/>
        <color theme="1"/>
        <rFont val="Arial"/>
        <family val="2"/>
      </rPr>
      <t xml:space="preserve"> is recommended to be about 200 mV initially, if the designer </t>
    </r>
  </si>
  <si>
    <r>
      <t>5. The designer can try different combinations of R</t>
    </r>
    <r>
      <rPr>
        <vertAlign val="subscript"/>
        <sz val="11"/>
        <color theme="1"/>
        <rFont val="Arial"/>
        <family val="2"/>
      </rPr>
      <t>BUR1</t>
    </r>
    <r>
      <rPr>
        <sz val="11"/>
        <color theme="1"/>
        <rFont val="Arial"/>
        <family val="2"/>
      </rPr>
      <t xml:space="preserve"> and R</t>
    </r>
    <r>
      <rPr>
        <vertAlign val="subscript"/>
        <sz val="11"/>
        <color theme="1"/>
        <rFont val="Arial"/>
        <family val="2"/>
      </rPr>
      <t>BUR2</t>
    </r>
  </si>
  <si>
    <r>
      <t xml:space="preserve">    does not have an idea yet.  It is recommended that ∆V</t>
    </r>
    <r>
      <rPr>
        <vertAlign val="subscript"/>
        <sz val="11"/>
        <color theme="1"/>
        <rFont val="Arial"/>
        <family val="2"/>
      </rPr>
      <t>BUR(LPM)</t>
    </r>
    <r>
      <rPr>
        <sz val="11"/>
        <color theme="1"/>
        <rFont val="Arial"/>
        <family val="2"/>
      </rPr>
      <t xml:space="preserve"> &gt; 100 mV.</t>
    </r>
  </si>
  <si>
    <r>
      <t xml:space="preserve">    different values; the calculator will calculate resultant ∆V</t>
    </r>
    <r>
      <rPr>
        <vertAlign val="subscript"/>
        <sz val="11"/>
        <color theme="1"/>
        <rFont val="Arial"/>
        <family val="2"/>
      </rPr>
      <t>BUR(AAM)</t>
    </r>
    <r>
      <rPr>
        <sz val="11"/>
        <color theme="1"/>
        <rFont val="Arial"/>
        <family val="2"/>
      </rPr>
      <t>, ∆V</t>
    </r>
    <r>
      <rPr>
        <vertAlign val="subscript"/>
        <sz val="11"/>
        <color theme="1"/>
        <rFont val="Arial"/>
        <family val="2"/>
      </rPr>
      <t>BUR(LPM)</t>
    </r>
    <r>
      <rPr>
        <sz val="11"/>
        <color theme="1"/>
        <rFont val="Arial"/>
        <family val="2"/>
      </rPr>
      <t>.</t>
    </r>
  </si>
  <si>
    <r>
      <t xml:space="preserve">    to get balance among ∆V</t>
    </r>
    <r>
      <rPr>
        <vertAlign val="subscript"/>
        <sz val="11"/>
        <color theme="1"/>
        <rFont val="Arial"/>
        <family val="2"/>
      </rPr>
      <t>BUR(AAM)</t>
    </r>
    <r>
      <rPr>
        <sz val="11"/>
        <color theme="1"/>
        <rFont val="Arial"/>
        <family val="2"/>
      </rPr>
      <t>, ∆V</t>
    </r>
    <r>
      <rPr>
        <vertAlign val="subscript"/>
        <sz val="11"/>
        <color theme="1"/>
        <rFont val="Arial"/>
        <family val="2"/>
      </rPr>
      <t>BUR(LPM)</t>
    </r>
    <r>
      <rPr>
        <sz val="11"/>
        <color theme="1"/>
        <rFont val="Arial"/>
        <family val="2"/>
      </rPr>
      <t xml:space="preserve"> and V</t>
    </r>
    <r>
      <rPr>
        <vertAlign val="subscript"/>
        <sz val="11"/>
        <color theme="1"/>
        <rFont val="Arial"/>
        <family val="2"/>
      </rPr>
      <t>BUR</t>
    </r>
    <r>
      <rPr>
        <sz val="11"/>
        <color theme="1"/>
        <rFont val="Arial"/>
        <family val="2"/>
      </rPr>
      <t xml:space="preserve"> values.</t>
    </r>
  </si>
  <si>
    <r>
      <t xml:space="preserve"> divider ratio required to achieve V</t>
    </r>
    <r>
      <rPr>
        <vertAlign val="subscript"/>
        <sz val="11"/>
        <color theme="1"/>
        <rFont val="Arial"/>
        <family val="2"/>
      </rPr>
      <t>BUR_tgt</t>
    </r>
    <r>
      <rPr>
        <sz val="11"/>
        <color theme="1"/>
        <rFont val="Arial"/>
        <family val="2"/>
      </rPr>
      <t xml:space="preserve"> </t>
    </r>
  </si>
  <si>
    <r>
      <t xml:space="preserve"> parallel combination required to achieve ∆V</t>
    </r>
    <r>
      <rPr>
        <vertAlign val="subscript"/>
        <sz val="11"/>
        <color theme="1"/>
        <rFont val="Arial"/>
        <family val="2"/>
      </rPr>
      <t>BUR(AAM)</t>
    </r>
    <r>
      <rPr>
        <sz val="11"/>
        <color theme="1"/>
        <rFont val="Arial"/>
        <family val="2"/>
      </rPr>
      <t xml:space="preserve"> </t>
    </r>
  </si>
  <si>
    <t xml:space="preserve">Target to enter ABM </t>
  </si>
  <si>
    <t>CLEAR ALL USER-INPUT CELLS BEFORE STARTING A NEW DESIGN</t>
  </si>
  <si>
    <t>Enter nearest standard value, use ±1% tolerance or better</t>
  </si>
  <si>
    <t>Enter nearest standard value, use ±5% tolerance or better</t>
  </si>
  <si>
    <t>Note:  Larger case sizes and better dielectrics help to minimize DC-Bias effect.</t>
  </si>
  <si>
    <t>Initial capacitance is reduced by this percentage due to applied voltage      &gt;&gt;&gt;&gt;</t>
  </si>
  <si>
    <t>Estimated;  with no external load applied.</t>
  </si>
  <si>
    <r>
      <t>t</t>
    </r>
    <r>
      <rPr>
        <vertAlign val="subscript"/>
        <sz val="11"/>
        <color theme="1"/>
        <rFont val="Arial"/>
        <family val="2"/>
      </rPr>
      <t>P13</t>
    </r>
    <r>
      <rPr>
        <sz val="11"/>
        <color theme="1"/>
        <rFont val="Arial"/>
        <family val="2"/>
      </rPr>
      <t xml:space="preserve"> =</t>
    </r>
  </si>
  <si>
    <r>
      <t>t</t>
    </r>
    <r>
      <rPr>
        <vertAlign val="subscript"/>
        <sz val="11"/>
        <color theme="1"/>
        <rFont val="Arial"/>
        <family val="2"/>
      </rPr>
      <t>SS_max</t>
    </r>
    <r>
      <rPr>
        <sz val="11"/>
        <color theme="1"/>
        <rFont val="Arial"/>
        <family val="2"/>
      </rPr>
      <t xml:space="preserve"> =</t>
    </r>
  </si>
  <si>
    <t>Initial capacitance is reduced by this percentage due to applied voltage       &gt;&gt;&gt;&gt;</t>
  </si>
  <si>
    <r>
      <t>Depletion-mode V</t>
    </r>
    <r>
      <rPr>
        <b/>
        <vertAlign val="subscript"/>
        <sz val="11"/>
        <color theme="0"/>
        <rFont val="Arial"/>
        <family val="2"/>
      </rPr>
      <t>SW</t>
    </r>
    <r>
      <rPr>
        <b/>
        <sz val="11"/>
        <color theme="0"/>
        <rFont val="Arial"/>
        <family val="2"/>
      </rPr>
      <t>-Sensing MOSFET  (Q</t>
    </r>
    <r>
      <rPr>
        <b/>
        <vertAlign val="subscript"/>
        <sz val="11"/>
        <color theme="0"/>
        <rFont val="Arial"/>
        <family val="2"/>
      </rPr>
      <t>S</t>
    </r>
    <r>
      <rPr>
        <b/>
        <sz val="11"/>
        <color theme="0"/>
        <rFont val="Arial"/>
        <family val="2"/>
      </rPr>
      <t>)</t>
    </r>
  </si>
  <si>
    <t xml:space="preserve"> (QL can be different than QH)</t>
  </si>
  <si>
    <t>Primary Half-Bridge MOSFET Switches, QL, QH  (may be GaN or Si)</t>
  </si>
  <si>
    <t>Gate Driver or Isolator (primary-side half-bridge driver specifications)</t>
  </si>
  <si>
    <t>Select standard value, accounting for tolerance</t>
  </si>
  <si>
    <t>Maximum Allowable Output Voltage Drop During Transient</t>
  </si>
  <si>
    <r>
      <t xml:space="preserve">Select max </t>
    </r>
    <r>
      <rPr>
        <sz val="11"/>
        <color theme="1"/>
        <rFont val="Calibri"/>
        <family val="2"/>
      </rPr>
      <t>∆</t>
    </r>
    <r>
      <rPr>
        <sz val="11"/>
        <color theme="1"/>
        <rFont val="Arial"/>
        <family val="2"/>
      </rPr>
      <t>V</t>
    </r>
    <r>
      <rPr>
        <vertAlign val="subscript"/>
        <sz val="11"/>
        <color theme="1"/>
        <rFont val="Arial"/>
        <family val="2"/>
      </rPr>
      <t>O</t>
    </r>
    <r>
      <rPr>
        <sz val="11"/>
        <color theme="1"/>
        <rFont val="Arial"/>
        <family val="2"/>
      </rPr>
      <t xml:space="preserve"> based on 0% to 100% load step </t>
    </r>
  </si>
  <si>
    <r>
      <t xml:space="preserve"> V</t>
    </r>
    <r>
      <rPr>
        <vertAlign val="subscript"/>
        <sz val="11"/>
        <color theme="1"/>
        <rFont val="Arial"/>
        <family val="2"/>
      </rPr>
      <t>O_drop</t>
    </r>
    <r>
      <rPr>
        <sz val="11"/>
        <color theme="1"/>
        <rFont val="Arial"/>
        <family val="2"/>
      </rPr>
      <t xml:space="preserve"> =</t>
    </r>
  </si>
  <si>
    <t xml:space="preserve">At maximum voltage rating of output rectifier </t>
  </si>
  <si>
    <t>Secondary Rectifier, SR-FET or Diode     (Synchronous Rectifier (SR) MOSFET is assumed for highest efficiency.  Equivalent Diode parameters may be used.)</t>
  </si>
  <si>
    <r>
      <t xml:space="preserve">Enter value </t>
    </r>
    <r>
      <rPr>
        <sz val="11"/>
        <color theme="1"/>
        <rFont val="Calibri"/>
        <family val="2"/>
      </rPr>
      <t>≤</t>
    </r>
    <r>
      <rPr>
        <sz val="7.7"/>
        <color theme="1"/>
        <rFont val="Arial"/>
        <family val="2"/>
      </rPr>
      <t xml:space="preserve"> </t>
    </r>
    <r>
      <rPr>
        <sz val="11"/>
        <color theme="1"/>
        <rFont val="Arial"/>
        <family val="2"/>
      </rPr>
      <t>recommended (not too much less), use ±1% tolerance or better</t>
    </r>
  </si>
  <si>
    <t>X7R or better is recommended</t>
  </si>
  <si>
    <t>220 pF to 330pF, C0G is recommended</t>
  </si>
  <si>
    <t>Decimal, not percent</t>
  </si>
  <si>
    <r>
      <t>Actual OVP Level, in Percent of Output Voltage, V</t>
    </r>
    <r>
      <rPr>
        <vertAlign val="subscript"/>
        <sz val="11"/>
        <color theme="1"/>
        <rFont val="Arial"/>
        <family val="2"/>
      </rPr>
      <t>OUT</t>
    </r>
    <r>
      <rPr>
        <sz val="11"/>
        <color theme="1"/>
        <rFont val="Arial"/>
        <family val="2"/>
      </rPr>
      <t xml:space="preserve"> </t>
    </r>
  </si>
  <si>
    <t xml:space="preserve"> Choose inductor with minimal series resistance</t>
  </si>
  <si>
    <r>
      <t>V</t>
    </r>
    <r>
      <rPr>
        <vertAlign val="subscript"/>
        <sz val="11"/>
        <color theme="1"/>
        <rFont val="Arial"/>
        <family val="2"/>
      </rPr>
      <t xml:space="preserve">OUT_low </t>
    </r>
    <r>
      <rPr>
        <sz val="11"/>
        <color theme="1"/>
        <rFont val="Arial"/>
        <family val="2"/>
      </rPr>
      <t>=</t>
    </r>
  </si>
  <si>
    <t>Lowest normal output voltage</t>
  </si>
  <si>
    <t>In case of variable output voltage</t>
  </si>
  <si>
    <t xml:space="preserve"> 1.  Corrected source for 'Schematic and Values' cell D57 to refer to 'Calculations' cell D78.
 2.  Added sections for NTC Thermistor calculations, 'Input Here' rows 127-135 and 
         'Calculations' rows 27-32 and 222-232. 
 3.  Expanded section for Brown-in/Brown-out range calculations, 'Calculations' rows 89-94.
 4.  Added 'Secondary Resonance' row 9 and changed cell E10 to reflect effective value.
 5.  Changed recommendation in 'Calculations' cell F147.
 6.  Corrected minor typographical errors.
 7.  Made minor text clarifications and formatting improvements.
 8.  Added 'Revision History' sheet.</t>
  </si>
  <si>
    <t xml:space="preserve"> % of full load for ABM, from 'Begin Input Here' sheet, cell D34</t>
  </si>
  <si>
    <t>Selected value from 'BUR Pin' sheet, ±1%</t>
  </si>
  <si>
    <t>Recommended value from 'BUR Pin' sheet</t>
  </si>
  <si>
    <r>
      <t>Result should match target V</t>
    </r>
    <r>
      <rPr>
        <vertAlign val="subscript"/>
        <sz val="11"/>
        <color theme="1"/>
        <rFont val="Arial"/>
        <family val="2"/>
      </rPr>
      <t>OUT</t>
    </r>
    <r>
      <rPr>
        <sz val="11"/>
        <color theme="1"/>
        <rFont val="Arial"/>
        <family val="2"/>
      </rPr>
      <t xml:space="preserve"> closely (see 'Begin Input Here' sheet, cell D28)</t>
    </r>
  </si>
  <si>
    <t>To adjust values, select NTC parameters at 'Begin Input Here' cells D127-D135</t>
  </si>
  <si>
    <t>Verify with target at 'Begin Input Here' cell D29</t>
  </si>
  <si>
    <t>Verify with target at 'Begin Input Here' cell D20</t>
  </si>
  <si>
    <r>
      <rPr>
        <b/>
        <sz val="11"/>
        <color theme="1"/>
        <rFont val="Arial"/>
        <family val="2"/>
      </rPr>
      <t>Recommended</t>
    </r>
    <r>
      <rPr>
        <sz val="11"/>
        <color theme="1"/>
        <rFont val="Arial"/>
        <family val="2"/>
      </rPr>
      <t xml:space="preserve"> R</t>
    </r>
    <r>
      <rPr>
        <vertAlign val="subscript"/>
        <sz val="11"/>
        <color theme="1"/>
        <rFont val="Arial"/>
        <family val="2"/>
      </rPr>
      <t>VS1</t>
    </r>
    <r>
      <rPr>
        <sz val="11"/>
        <color theme="1"/>
        <rFont val="Arial"/>
        <family val="2"/>
      </rPr>
      <t xml:space="preserve"> Value</t>
    </r>
  </si>
  <si>
    <r>
      <rPr>
        <b/>
        <sz val="11"/>
        <color theme="1"/>
        <rFont val="Arial"/>
        <family val="2"/>
      </rPr>
      <t>Recommended</t>
    </r>
    <r>
      <rPr>
        <sz val="11"/>
        <color theme="1"/>
        <rFont val="Arial"/>
        <family val="2"/>
      </rPr>
      <t xml:space="preserve"> R</t>
    </r>
    <r>
      <rPr>
        <vertAlign val="subscript"/>
        <sz val="11"/>
        <color theme="1"/>
        <rFont val="Arial"/>
        <family val="2"/>
      </rPr>
      <t>VS2</t>
    </r>
    <r>
      <rPr>
        <sz val="11"/>
        <color theme="1"/>
        <rFont val="Arial"/>
        <family val="2"/>
      </rPr>
      <t xml:space="preserve"> Value</t>
    </r>
  </si>
  <si>
    <r>
      <rPr>
        <b/>
        <sz val="11"/>
        <color theme="1"/>
        <rFont val="Arial"/>
        <family val="2"/>
      </rPr>
      <t>Recommended</t>
    </r>
    <r>
      <rPr>
        <sz val="11"/>
        <color theme="1"/>
        <rFont val="Arial"/>
        <family val="2"/>
      </rPr>
      <t xml:space="preserve"> R</t>
    </r>
    <r>
      <rPr>
        <vertAlign val="subscript"/>
        <sz val="11"/>
        <color theme="1"/>
        <rFont val="Arial"/>
        <family val="2"/>
      </rPr>
      <t>DM</t>
    </r>
    <r>
      <rPr>
        <sz val="11"/>
        <color theme="1"/>
        <rFont val="Arial"/>
        <family val="2"/>
      </rPr>
      <t xml:space="preserve"> Resistor Value</t>
    </r>
  </si>
  <si>
    <r>
      <rPr>
        <b/>
        <sz val="11"/>
        <color theme="1"/>
        <rFont val="Arial"/>
        <family val="2"/>
      </rPr>
      <t xml:space="preserve">Recommended </t>
    </r>
    <r>
      <rPr>
        <sz val="11"/>
        <color theme="1"/>
        <rFont val="Arial"/>
        <family val="2"/>
      </rPr>
      <t>RTZ Resistor Value</t>
    </r>
  </si>
  <si>
    <r>
      <rPr>
        <b/>
        <sz val="11"/>
        <color theme="1"/>
        <rFont val="Arial"/>
        <family val="2"/>
      </rPr>
      <t xml:space="preserve">Maximum </t>
    </r>
    <r>
      <rPr>
        <sz val="11"/>
        <color theme="1"/>
        <rFont val="Arial"/>
        <family val="2"/>
      </rPr>
      <t>C</t>
    </r>
    <r>
      <rPr>
        <vertAlign val="subscript"/>
        <sz val="11"/>
        <color theme="1"/>
        <rFont val="Arial"/>
        <family val="2"/>
      </rPr>
      <t>BUR</t>
    </r>
    <r>
      <rPr>
        <sz val="11"/>
        <color theme="1"/>
        <rFont val="Arial"/>
        <family val="2"/>
      </rPr>
      <t xml:space="preserve"> Capacitance Value</t>
    </r>
  </si>
  <si>
    <r>
      <rPr>
        <b/>
        <sz val="11"/>
        <color theme="1"/>
        <rFont val="Arial"/>
        <family val="2"/>
      </rPr>
      <t>Recommended</t>
    </r>
    <r>
      <rPr>
        <sz val="11"/>
        <color theme="1"/>
        <rFont val="Arial"/>
        <family val="2"/>
      </rPr>
      <t xml:space="preserve"> Bias Resistor2 Value</t>
    </r>
  </si>
  <si>
    <r>
      <t>Maximum Value for R</t>
    </r>
    <r>
      <rPr>
        <vertAlign val="subscript"/>
        <sz val="11"/>
        <color theme="1"/>
        <rFont val="Arial"/>
        <family val="2"/>
      </rPr>
      <t>bias1</t>
    </r>
  </si>
  <si>
    <r>
      <t>Minimum Value for R</t>
    </r>
    <r>
      <rPr>
        <vertAlign val="subscript"/>
        <sz val="11"/>
        <color theme="1"/>
        <rFont val="Arial"/>
        <family val="2"/>
      </rPr>
      <t>bias1</t>
    </r>
  </si>
  <si>
    <r>
      <rPr>
        <b/>
        <sz val="11"/>
        <color theme="1"/>
        <rFont val="Arial"/>
        <family val="2"/>
      </rPr>
      <t>Recommended</t>
    </r>
    <r>
      <rPr>
        <sz val="11"/>
        <color theme="1"/>
        <rFont val="Arial"/>
        <family val="2"/>
      </rPr>
      <t xml:space="preserve"> Maximum R</t>
    </r>
    <r>
      <rPr>
        <vertAlign val="subscript"/>
        <sz val="11"/>
        <color theme="1"/>
        <rFont val="Arial"/>
        <family val="2"/>
      </rPr>
      <t>Vo2</t>
    </r>
    <r>
      <rPr>
        <sz val="11"/>
        <color theme="1"/>
        <rFont val="Arial"/>
        <family val="2"/>
      </rPr>
      <t xml:space="preserve">  Value</t>
    </r>
  </si>
  <si>
    <r>
      <rPr>
        <b/>
        <sz val="11"/>
        <color theme="1"/>
        <rFont val="Arial"/>
        <family val="2"/>
      </rPr>
      <t>Recommended</t>
    </r>
    <r>
      <rPr>
        <sz val="11"/>
        <color theme="1"/>
        <rFont val="Arial"/>
        <family val="2"/>
      </rPr>
      <t xml:space="preserve"> R</t>
    </r>
    <r>
      <rPr>
        <vertAlign val="subscript"/>
        <sz val="11"/>
        <color theme="1"/>
        <rFont val="Arial"/>
        <family val="2"/>
      </rPr>
      <t>Vo1</t>
    </r>
    <r>
      <rPr>
        <sz val="11"/>
        <color theme="1"/>
        <rFont val="Arial"/>
        <family val="2"/>
      </rPr>
      <t xml:space="preserve">  Value</t>
    </r>
  </si>
  <si>
    <r>
      <rPr>
        <b/>
        <sz val="11"/>
        <color theme="1"/>
        <rFont val="Arial"/>
        <family val="2"/>
      </rPr>
      <t>Recommended</t>
    </r>
    <r>
      <rPr>
        <sz val="11"/>
        <color theme="1"/>
        <rFont val="Arial"/>
        <family val="2"/>
      </rPr>
      <t xml:space="preserve"> R</t>
    </r>
    <r>
      <rPr>
        <vertAlign val="subscript"/>
        <sz val="11"/>
        <color theme="1"/>
        <rFont val="Arial"/>
        <family val="2"/>
      </rPr>
      <t>diff</t>
    </r>
    <r>
      <rPr>
        <sz val="11"/>
        <color theme="1"/>
        <rFont val="Arial"/>
        <family val="2"/>
      </rPr>
      <t xml:space="preserve"> Value</t>
    </r>
  </si>
  <si>
    <r>
      <rPr>
        <b/>
        <sz val="11"/>
        <color theme="1"/>
        <rFont val="Arial"/>
        <family val="2"/>
      </rPr>
      <t>Recommended</t>
    </r>
    <r>
      <rPr>
        <sz val="11"/>
        <color theme="1"/>
        <rFont val="Arial"/>
        <family val="2"/>
      </rPr>
      <t xml:space="preserve"> C</t>
    </r>
    <r>
      <rPr>
        <vertAlign val="subscript"/>
        <sz val="11"/>
        <color theme="1"/>
        <rFont val="Arial"/>
        <family val="2"/>
      </rPr>
      <t>int</t>
    </r>
    <r>
      <rPr>
        <sz val="11"/>
        <color theme="1"/>
        <rFont val="Arial"/>
        <family val="2"/>
      </rPr>
      <t xml:space="preserve"> Value</t>
    </r>
  </si>
  <si>
    <r>
      <rPr>
        <b/>
        <sz val="11"/>
        <color theme="1"/>
        <rFont val="Arial"/>
        <family val="2"/>
      </rPr>
      <t>Recommended</t>
    </r>
    <r>
      <rPr>
        <sz val="11"/>
        <color theme="1"/>
        <rFont val="Arial"/>
        <family val="2"/>
      </rPr>
      <t xml:space="preserve"> C</t>
    </r>
    <r>
      <rPr>
        <vertAlign val="subscript"/>
        <sz val="11"/>
        <color theme="1"/>
        <rFont val="Arial"/>
        <family val="2"/>
      </rPr>
      <t>diff</t>
    </r>
    <r>
      <rPr>
        <sz val="11"/>
        <color theme="1"/>
        <rFont val="Arial"/>
        <family val="2"/>
      </rPr>
      <t xml:space="preserve"> Value</t>
    </r>
  </si>
  <si>
    <r>
      <rPr>
        <b/>
        <sz val="11"/>
        <color theme="1"/>
        <rFont val="Arial"/>
        <family val="2"/>
      </rPr>
      <t>Recommended</t>
    </r>
    <r>
      <rPr>
        <sz val="11"/>
        <color theme="1"/>
        <rFont val="Arial"/>
        <family val="2"/>
      </rPr>
      <t xml:space="preserve"> Current-Sense Resistance </t>
    </r>
  </si>
  <si>
    <r>
      <t>Maximum voltage across R</t>
    </r>
    <r>
      <rPr>
        <vertAlign val="subscript"/>
        <sz val="11"/>
        <color theme="1"/>
        <rFont val="Arial"/>
        <family val="2"/>
      </rPr>
      <t>VS1</t>
    </r>
    <r>
      <rPr>
        <sz val="11"/>
        <color theme="1"/>
        <rFont val="Arial"/>
        <family val="2"/>
      </rPr>
      <t xml:space="preserve"> during QL on-time at maximum V</t>
    </r>
    <r>
      <rPr>
        <vertAlign val="subscript"/>
        <sz val="11"/>
        <color theme="1"/>
        <rFont val="Arial"/>
        <family val="2"/>
      </rPr>
      <t>in</t>
    </r>
    <r>
      <rPr>
        <sz val="11"/>
        <color theme="1"/>
        <rFont val="Arial"/>
        <family val="2"/>
      </rPr>
      <t xml:space="preserve"> </t>
    </r>
  </si>
  <si>
    <r>
      <t>V</t>
    </r>
    <r>
      <rPr>
        <vertAlign val="subscript"/>
        <sz val="11"/>
        <color theme="1"/>
        <rFont val="Arial"/>
        <family val="2"/>
      </rPr>
      <t>Rvs1_max</t>
    </r>
    <r>
      <rPr>
        <sz val="11"/>
        <color theme="1"/>
        <rFont val="Arial"/>
        <family val="2"/>
      </rPr>
      <t xml:space="preserve"> =</t>
    </r>
  </si>
  <si>
    <r>
      <t>Should be close to V</t>
    </r>
    <r>
      <rPr>
        <vertAlign val="subscript"/>
        <sz val="11"/>
        <color theme="1"/>
        <rFont val="Arial"/>
        <family val="2"/>
      </rPr>
      <t>BUR</t>
    </r>
    <r>
      <rPr>
        <sz val="11"/>
        <color theme="1"/>
        <rFont val="Arial"/>
        <family val="2"/>
      </rPr>
      <t xml:space="preserve"> target at cell D131</t>
    </r>
  </si>
  <si>
    <t>Between 499 Ω and 820 Ω is recommended for UCC28782</t>
  </si>
  <si>
    <t>ds section 8.3.13</t>
  </si>
  <si>
    <t>ds specs,   VDD boost circuit enabled</t>
  </si>
  <si>
    <r>
      <t>I</t>
    </r>
    <r>
      <rPr>
        <vertAlign val="subscript"/>
        <sz val="11"/>
        <color theme="1"/>
        <rFont val="Arial"/>
        <family val="2"/>
      </rPr>
      <t>WAIT_VDD</t>
    </r>
    <r>
      <rPr>
        <sz val="11"/>
        <color theme="1"/>
        <rFont val="Arial"/>
        <family val="2"/>
      </rPr>
      <t xml:space="preserve"> =</t>
    </r>
  </si>
  <si>
    <t>ds section 8.4.14.6</t>
  </si>
  <si>
    <t>Maximum VDD Bias-Supply Operating Voltage</t>
  </si>
  <si>
    <t xml:space="preserve"> BUR target from 'Calculations' sheet, cell D131</t>
  </si>
  <si>
    <t xml:space="preserve">Note: if PWML drives MOSFET directly, enter 0. </t>
  </si>
  <si>
    <t>Temperature where NTC resistance should = 9.91 kΩ</t>
  </si>
  <si>
    <t>NTC Thermistor for Temperature Sensing on FLT Pin      (these calculations not valid for temperature sensing on CS pin)</t>
  </si>
  <si>
    <r>
      <t>1. V</t>
    </r>
    <r>
      <rPr>
        <vertAlign val="subscript"/>
        <sz val="11"/>
        <color theme="1"/>
        <rFont val="Arial"/>
        <family val="2"/>
      </rPr>
      <t>BUR_tgt</t>
    </r>
    <r>
      <rPr>
        <sz val="11"/>
        <color theme="1"/>
        <rFont val="Arial"/>
        <family val="2"/>
      </rPr>
      <t xml:space="preserve"> is obtained first from 'Calculations D131', then the designer decides ∆V</t>
    </r>
    <r>
      <rPr>
        <vertAlign val="subscript"/>
        <sz val="11"/>
        <color theme="1"/>
        <rFont val="Arial"/>
        <family val="2"/>
      </rPr>
      <t>BUR(AAM)</t>
    </r>
    <r>
      <rPr>
        <sz val="11"/>
        <color theme="1"/>
        <rFont val="Arial"/>
        <family val="2"/>
      </rPr>
      <t>.</t>
    </r>
  </si>
  <si>
    <t xml:space="preserve">    Example graph of DC-bias reduction.  Use actual cap data, not this example.</t>
  </si>
  <si>
    <t xml:space="preserve">    Example graph of severe reduction.  Use actual cap data, not this example.</t>
  </si>
  <si>
    <r>
      <t xml:space="preserve"> V</t>
    </r>
    <r>
      <rPr>
        <vertAlign val="subscript"/>
        <sz val="11"/>
        <color theme="1"/>
        <rFont val="Arial"/>
        <family val="2"/>
      </rPr>
      <t xml:space="preserve">Cbulk_rated </t>
    </r>
    <r>
      <rPr>
        <sz val="11"/>
        <color theme="1"/>
        <rFont val="Arial"/>
        <family val="2"/>
      </rPr>
      <t>=</t>
    </r>
  </si>
  <si>
    <r>
      <t>Require R</t>
    </r>
    <r>
      <rPr>
        <vertAlign val="subscript"/>
        <sz val="11"/>
        <color theme="1"/>
        <rFont val="Calibri"/>
        <family val="2"/>
        <scheme val="minor"/>
      </rPr>
      <t>LB</t>
    </r>
    <r>
      <rPr>
        <sz val="11"/>
        <color theme="1"/>
        <rFont val="Calibri"/>
        <family val="2"/>
        <charset val="136"/>
        <scheme val="minor"/>
      </rPr>
      <t xml:space="preserve"> &lt; 1.216 when hot</t>
    </r>
  </si>
  <si>
    <t>(hysteresis)</t>
  </si>
  <si>
    <t>when Hot</t>
  </si>
  <si>
    <t>(threshold)</t>
  </si>
  <si>
    <r>
      <t>Margin added to V</t>
    </r>
    <r>
      <rPr>
        <vertAlign val="subscript"/>
        <sz val="11"/>
        <color theme="1"/>
        <rFont val="Arial"/>
        <family val="2"/>
      </rPr>
      <t>DD_off</t>
    </r>
    <r>
      <rPr>
        <sz val="11"/>
        <color theme="1"/>
        <rFont val="Arial"/>
        <family val="2"/>
      </rPr>
      <t xml:space="preserve"> threshold to calculate minimum AUX turns</t>
    </r>
  </si>
  <si>
    <t>Maximum Voltage Spike on Output Rectifier</t>
  </si>
  <si>
    <r>
      <t xml:space="preserve"> K</t>
    </r>
    <r>
      <rPr>
        <vertAlign val="subscript"/>
        <sz val="11"/>
        <color theme="1"/>
        <rFont val="Arial"/>
        <family val="2"/>
      </rPr>
      <t>der_HB</t>
    </r>
    <r>
      <rPr>
        <sz val="11"/>
        <color theme="1"/>
        <rFont val="Arial"/>
        <family val="2"/>
      </rPr>
      <t xml:space="preserve"> =</t>
    </r>
  </si>
  <si>
    <t>ZVS Timing Factor, based on SET Value</t>
  </si>
  <si>
    <t>Output Capacitance of MOSFET Big-C, below Vxh</t>
  </si>
  <si>
    <t>Output Capacitance of MOSFET Small-C, above Vxh</t>
  </si>
  <si>
    <t>Output Capacitance of MOSFET Small-C, above Vxl</t>
  </si>
  <si>
    <r>
      <t>Output Capacitance of MOSFET</t>
    </r>
    <r>
      <rPr>
        <b/>
        <sz val="11"/>
        <color theme="1"/>
        <rFont val="Arial"/>
        <family val="2"/>
      </rPr>
      <t xml:space="preserve"> </t>
    </r>
    <r>
      <rPr>
        <sz val="11"/>
        <color theme="1"/>
        <rFont val="Arial"/>
        <family val="2"/>
      </rPr>
      <t>Big-C,</t>
    </r>
    <r>
      <rPr>
        <b/>
        <sz val="11"/>
        <color theme="1"/>
        <rFont val="Arial"/>
        <family val="2"/>
      </rPr>
      <t xml:space="preserve"> </t>
    </r>
    <r>
      <rPr>
        <sz val="11"/>
        <color theme="1"/>
        <rFont val="Arial"/>
        <family val="2"/>
      </rPr>
      <t>below Vxl</t>
    </r>
  </si>
  <si>
    <r>
      <t>Output Capacitance of Selected MOSFET Big-C below V</t>
    </r>
    <r>
      <rPr>
        <vertAlign val="subscript"/>
        <sz val="11"/>
        <color theme="1"/>
        <rFont val="Arial"/>
        <family val="2"/>
      </rPr>
      <t>x_SR</t>
    </r>
  </si>
  <si>
    <r>
      <t>Output Capacitance of Selected MOSFET Small-C above V</t>
    </r>
    <r>
      <rPr>
        <vertAlign val="subscript"/>
        <sz val="11"/>
        <color theme="1"/>
        <rFont val="Arial"/>
        <family val="2"/>
      </rPr>
      <t>x_SR</t>
    </r>
  </si>
  <si>
    <t>May 2021</t>
  </si>
  <si>
    <t xml:space="preserve">  &lt;= This equation from Mathcad based on NV6250 will need updating someday.</t>
  </si>
  <si>
    <r>
      <t xml:space="preserve"> L</t>
    </r>
    <r>
      <rPr>
        <vertAlign val="subscript"/>
        <sz val="11"/>
        <color theme="1"/>
        <rFont val="Calibri"/>
        <family val="2"/>
        <scheme val="minor"/>
      </rPr>
      <t>O</t>
    </r>
    <r>
      <rPr>
        <sz val="11"/>
        <color theme="1"/>
        <rFont val="Calibri"/>
        <family val="2"/>
        <scheme val="minor"/>
      </rPr>
      <t xml:space="preserve"> &gt; L</t>
    </r>
    <r>
      <rPr>
        <vertAlign val="subscript"/>
        <sz val="11"/>
        <color theme="1"/>
        <rFont val="Calibri"/>
        <family val="2"/>
        <scheme val="minor"/>
      </rPr>
      <t>DAMP</t>
    </r>
    <r>
      <rPr>
        <sz val="7"/>
        <color theme="1"/>
        <rFont val="Calibri"/>
        <family val="2"/>
        <scheme val="minor"/>
      </rPr>
      <t xml:space="preserve"> </t>
    </r>
    <r>
      <rPr>
        <sz val="11"/>
        <color theme="1"/>
        <rFont val="Calibri"/>
        <family val="2"/>
        <scheme val="minor"/>
      </rPr>
      <t>&gt; 0.13*L</t>
    </r>
    <r>
      <rPr>
        <vertAlign val="subscript"/>
        <sz val="11"/>
        <color theme="1"/>
        <rFont val="Calibri"/>
        <family val="2"/>
        <scheme val="minor"/>
      </rPr>
      <t xml:space="preserve">O </t>
    </r>
  </si>
  <si>
    <r>
      <t xml:space="preserve"> Choose inductor with resistance </t>
    </r>
    <r>
      <rPr>
        <sz val="11"/>
        <color theme="1"/>
        <rFont val="Calibri"/>
        <family val="2"/>
      </rPr>
      <t>≥</t>
    </r>
    <r>
      <rPr>
        <sz val="11"/>
        <color theme="1"/>
        <rFont val="Arial"/>
        <family val="2"/>
      </rPr>
      <t xml:space="preserve"> R</t>
    </r>
    <r>
      <rPr>
        <vertAlign val="subscript"/>
        <sz val="11"/>
        <color theme="1"/>
        <rFont val="Arial"/>
        <family val="2"/>
      </rPr>
      <t>DAMP(min)</t>
    </r>
    <r>
      <rPr>
        <sz val="11"/>
        <color theme="1"/>
        <rFont val="Arial"/>
        <family val="2"/>
      </rPr>
      <t>, &lt; 5*R</t>
    </r>
    <r>
      <rPr>
        <vertAlign val="subscript"/>
        <sz val="11"/>
        <color theme="1"/>
        <rFont val="Arial"/>
        <family val="2"/>
      </rPr>
      <t>DAMP(min)</t>
    </r>
    <r>
      <rPr>
        <sz val="11"/>
        <color theme="1"/>
        <rFont val="Arial"/>
        <family val="2"/>
      </rPr>
      <t xml:space="preserve"> </t>
    </r>
  </si>
  <si>
    <r>
      <t>1.  Monitor transformer primary current I</t>
    </r>
    <r>
      <rPr>
        <vertAlign val="subscript"/>
        <sz val="11"/>
        <color theme="1"/>
        <rFont val="Arial"/>
        <family val="2"/>
      </rPr>
      <t>Lr</t>
    </r>
    <r>
      <rPr>
        <sz val="11"/>
        <color theme="1"/>
        <rFont val="Arial"/>
        <family val="2"/>
      </rPr>
      <t xml:space="preserve"> to fine tune C</t>
    </r>
    <r>
      <rPr>
        <vertAlign val="subscript"/>
        <sz val="11"/>
        <color theme="1"/>
        <rFont val="Arial"/>
        <family val="2"/>
      </rPr>
      <t>O1</t>
    </r>
    <r>
      <rPr>
        <sz val="11"/>
        <color theme="1"/>
        <rFont val="Arial"/>
        <family val="2"/>
      </rPr>
      <t xml:space="preserve"> value, during low line and Io_max</t>
    </r>
  </si>
  <si>
    <t>Maximum Current-Transfer Ratio @ Collector Current = 50 µA</t>
  </si>
  <si>
    <r>
      <t>CTR</t>
    </r>
    <r>
      <rPr>
        <vertAlign val="subscript"/>
        <sz val="11"/>
        <color theme="1"/>
        <rFont val="Arial"/>
        <family val="2"/>
      </rPr>
      <t xml:space="preserve">max </t>
    </r>
    <r>
      <rPr>
        <sz val="11"/>
        <color theme="1"/>
        <rFont val="Arial"/>
        <family val="2"/>
      </rPr>
      <t>=</t>
    </r>
  </si>
  <si>
    <t>Minimum Current-Transfer Ratio @ Collector Current = 50 µA</t>
  </si>
  <si>
    <r>
      <t xml:space="preserve"> CTR</t>
    </r>
    <r>
      <rPr>
        <vertAlign val="subscript"/>
        <sz val="11"/>
        <color theme="1"/>
        <rFont val="Arial"/>
        <family val="2"/>
      </rPr>
      <t xml:space="preserve">min </t>
    </r>
    <r>
      <rPr>
        <sz val="11"/>
        <color theme="1"/>
        <rFont val="Arial"/>
        <family val="2"/>
      </rPr>
      <t>=</t>
    </r>
  </si>
  <si>
    <t>Pulsed-current rating</t>
  </si>
  <si>
    <r>
      <t>Derating Coefficient for QL and QH V</t>
    </r>
    <r>
      <rPr>
        <vertAlign val="subscript"/>
        <sz val="11"/>
        <color theme="1"/>
        <rFont val="Arial"/>
        <family val="2"/>
      </rPr>
      <t>DS</t>
    </r>
    <r>
      <rPr>
        <sz val="11"/>
        <color theme="1"/>
        <rFont val="Arial"/>
        <family val="2"/>
      </rPr>
      <t xml:space="preserve"> ratings, in percent of V</t>
    </r>
    <r>
      <rPr>
        <vertAlign val="subscript"/>
        <sz val="11"/>
        <color theme="1"/>
        <rFont val="Arial"/>
        <family val="2"/>
      </rPr>
      <t>(BR)DSS</t>
    </r>
    <r>
      <rPr>
        <sz val="11"/>
        <color theme="1"/>
        <rFont val="Arial"/>
        <family val="2"/>
      </rPr>
      <t xml:space="preserve"> </t>
    </r>
  </si>
  <si>
    <t>Setting of SET Pin (connect to AGND or to REF)</t>
  </si>
  <si>
    <t>"0" for GaN (connect to AGND), "1" for Silicon (connect to REF)</t>
  </si>
  <si>
    <t>(controller internal parameter, based on SET connection)</t>
  </si>
  <si>
    <t>Nominal Output Voltage at Full Power</t>
  </si>
  <si>
    <r>
      <t>Output over-voltage protection (OVP) threshold, in percent of V</t>
    </r>
    <r>
      <rPr>
        <vertAlign val="subscript"/>
        <sz val="11"/>
        <color theme="1"/>
        <rFont val="Arial"/>
        <family val="2"/>
      </rPr>
      <t>OUT</t>
    </r>
    <r>
      <rPr>
        <sz val="11"/>
        <color theme="1"/>
        <rFont val="Arial"/>
        <family val="2"/>
      </rPr>
      <t xml:space="preserve">  </t>
    </r>
  </si>
  <si>
    <r>
      <t>Output over-power protection (OPP) threshold, in percent of P</t>
    </r>
    <r>
      <rPr>
        <vertAlign val="subscript"/>
        <sz val="11"/>
        <color theme="1"/>
        <rFont val="Arial"/>
        <family val="2"/>
      </rPr>
      <t>O_FL</t>
    </r>
    <r>
      <rPr>
        <sz val="11"/>
        <color theme="1"/>
        <rFont val="Arial"/>
        <family val="2"/>
      </rPr>
      <t xml:space="preserve"> </t>
    </r>
  </si>
  <si>
    <r>
      <t>Output load power level to enter Burst Mode, in percent of P</t>
    </r>
    <r>
      <rPr>
        <vertAlign val="subscript"/>
        <sz val="11"/>
        <color theme="1"/>
        <rFont val="Arial"/>
        <family val="2"/>
      </rPr>
      <t>O_FL</t>
    </r>
    <r>
      <rPr>
        <sz val="11"/>
        <color theme="1"/>
        <rFont val="Arial"/>
        <family val="2"/>
      </rPr>
      <t xml:space="preserve"> </t>
    </r>
  </si>
  <si>
    <r>
      <t>Burst voltage ripple of lowest V</t>
    </r>
    <r>
      <rPr>
        <vertAlign val="subscript"/>
        <sz val="11"/>
        <color theme="1"/>
        <rFont val="Arial"/>
        <family val="2"/>
      </rPr>
      <t>O</t>
    </r>
    <r>
      <rPr>
        <sz val="11"/>
        <color theme="1"/>
        <rFont val="Arial"/>
        <family val="2"/>
      </rPr>
      <t xml:space="preserve"> when in ABM</t>
    </r>
  </si>
  <si>
    <t>Resonant Duty-Cycle Factor in percent of maximum period</t>
  </si>
  <si>
    <r>
      <t>Note:  Choose R</t>
    </r>
    <r>
      <rPr>
        <vertAlign val="subscript"/>
        <sz val="11"/>
        <color theme="1"/>
        <rFont val="Arial"/>
        <family val="2"/>
      </rPr>
      <t>VS1</t>
    </r>
    <r>
      <rPr>
        <sz val="11"/>
        <color theme="1"/>
        <rFont val="Arial"/>
        <family val="2"/>
      </rPr>
      <t xml:space="preserve"> case-size based on appropriate "Limiting Element Voltage" rating, not on power dissipation. </t>
    </r>
  </si>
  <si>
    <r>
      <t>Prediction of R</t>
    </r>
    <r>
      <rPr>
        <vertAlign val="subscript"/>
        <sz val="11"/>
        <color theme="1"/>
        <rFont val="Arial"/>
        <family val="2"/>
      </rPr>
      <t>OPP</t>
    </r>
    <r>
      <rPr>
        <sz val="11"/>
        <color theme="1"/>
        <rFont val="Arial"/>
        <family val="2"/>
      </rPr>
      <t xml:space="preserve"> x C</t>
    </r>
    <r>
      <rPr>
        <vertAlign val="subscript"/>
        <sz val="11"/>
        <color theme="1"/>
        <rFont val="Arial"/>
        <family val="2"/>
      </rPr>
      <t>CS</t>
    </r>
    <r>
      <rPr>
        <sz val="11"/>
        <color theme="1"/>
        <rFont val="Arial"/>
        <family val="2"/>
      </rPr>
      <t>; compare to cell D116 and iterate as needed.</t>
    </r>
  </si>
  <si>
    <r>
      <rPr>
        <b/>
        <sz val="11"/>
        <color theme="1"/>
        <rFont val="Arial"/>
        <family val="2"/>
      </rPr>
      <t>Recommended</t>
    </r>
    <r>
      <rPr>
        <sz val="11"/>
        <color theme="1"/>
        <rFont val="Arial"/>
        <family val="2"/>
      </rPr>
      <t xml:space="preserve"> OPP Resistor Value</t>
    </r>
  </si>
  <si>
    <r>
      <t>R</t>
    </r>
    <r>
      <rPr>
        <vertAlign val="subscript"/>
        <sz val="11"/>
        <color theme="1"/>
        <rFont val="Arial"/>
        <family val="2"/>
      </rPr>
      <t>_OPP_rec</t>
    </r>
    <r>
      <rPr>
        <sz val="11"/>
        <color theme="1"/>
        <rFont val="Arial"/>
        <family val="2"/>
      </rPr>
      <t xml:space="preserve"> =</t>
    </r>
  </si>
  <si>
    <r>
      <t>Negative value for R</t>
    </r>
    <r>
      <rPr>
        <vertAlign val="subscript"/>
        <sz val="11"/>
        <color theme="1"/>
        <rFont val="Arial"/>
        <family val="2"/>
      </rPr>
      <t>_OPP_rec</t>
    </r>
    <r>
      <rPr>
        <sz val="11"/>
        <color theme="1"/>
        <rFont val="Arial"/>
        <family val="2"/>
      </rPr>
      <t xml:space="preserve"> indicates too much current-sense delay </t>
    </r>
  </si>
  <si>
    <t>C0G is recommended to keep stable value</t>
  </si>
  <si>
    <r>
      <rPr>
        <b/>
        <sz val="11"/>
        <color rgb="FFFF0000"/>
        <rFont val="Arial"/>
        <family val="2"/>
      </rPr>
      <t>Check against cell D102.</t>
    </r>
    <r>
      <rPr>
        <sz val="11"/>
        <color theme="1"/>
        <rFont val="Arial"/>
        <family val="2"/>
      </rPr>
      <t xml:space="preserve">  Iterate D102, D104, D111, D114 to converge close enough.</t>
    </r>
  </si>
  <si>
    <t>Target Threshold Voltage to enter ABM, at CS Input</t>
  </si>
  <si>
    <t>C0G or X7R is recommended to keep stable value</t>
  </si>
  <si>
    <t xml:space="preserve">     Rbias2 across photo-diode to supply shunt-regulator bias current when 
photo-diode current is cut off</t>
  </si>
  <si>
    <r>
      <t>If R</t>
    </r>
    <r>
      <rPr>
        <vertAlign val="subscript"/>
        <sz val="11"/>
        <color theme="1"/>
        <rFont val="Arial"/>
        <family val="2"/>
      </rPr>
      <t>bias1_min</t>
    </r>
    <r>
      <rPr>
        <sz val="11"/>
        <color theme="1"/>
        <rFont val="Arial"/>
        <family val="2"/>
      </rPr>
      <t xml:space="preserve"> &gt; R</t>
    </r>
    <r>
      <rPr>
        <vertAlign val="subscript"/>
        <sz val="11"/>
        <color theme="1"/>
        <rFont val="Arial"/>
        <family val="2"/>
      </rPr>
      <t>bias1_max</t>
    </r>
    <r>
      <rPr>
        <sz val="11"/>
        <color theme="1"/>
        <rFont val="Arial"/>
        <family val="2"/>
      </rPr>
      <t>, choose R</t>
    </r>
    <r>
      <rPr>
        <vertAlign val="subscript"/>
        <sz val="11"/>
        <color theme="1"/>
        <rFont val="Arial"/>
        <family val="2"/>
      </rPr>
      <t>bias1</t>
    </r>
    <r>
      <rPr>
        <sz val="11"/>
        <color theme="1"/>
        <rFont val="Arial"/>
        <family val="2"/>
      </rPr>
      <t xml:space="preserve"> ≤ R</t>
    </r>
    <r>
      <rPr>
        <vertAlign val="subscript"/>
        <sz val="11"/>
        <color theme="1"/>
        <rFont val="Arial"/>
        <family val="2"/>
      </rPr>
      <t>bias1_max</t>
    </r>
    <r>
      <rPr>
        <sz val="11"/>
        <color theme="1"/>
        <rFont val="Arial"/>
        <family val="2"/>
      </rPr>
      <t xml:space="preserve"> </t>
    </r>
  </si>
  <si>
    <t xml:space="preserve">SLURAZ0C </t>
  </si>
  <si>
    <t>VINPUT_Brownin</t>
  </si>
  <si>
    <t>VIN_min</t>
  </si>
  <si>
    <r>
      <t>Adjusted value of V</t>
    </r>
    <r>
      <rPr>
        <vertAlign val="subscript"/>
        <sz val="11"/>
        <color theme="1"/>
        <rFont val="Arial"/>
        <family val="2"/>
      </rPr>
      <t>CST_OPP</t>
    </r>
    <r>
      <rPr>
        <sz val="11"/>
        <color theme="1"/>
        <rFont val="Arial"/>
        <family val="2"/>
      </rPr>
      <t xml:space="preserve"> curve at V</t>
    </r>
    <r>
      <rPr>
        <vertAlign val="subscript"/>
        <sz val="11"/>
        <color theme="1"/>
        <rFont val="Arial"/>
        <family val="2"/>
      </rPr>
      <t>In_min</t>
    </r>
    <r>
      <rPr>
        <sz val="11"/>
        <color theme="1"/>
        <rFont val="Arial"/>
        <family val="2"/>
      </rPr>
      <t xml:space="preserve">  </t>
    </r>
  </si>
  <si>
    <r>
      <t xml:space="preserve"> D82 Changed eqn from V</t>
    </r>
    <r>
      <rPr>
        <b/>
        <vertAlign val="subscript"/>
        <sz val="11"/>
        <color rgb="FFFF66FF"/>
        <rFont val="Calibri"/>
        <family val="2"/>
        <scheme val="minor"/>
      </rPr>
      <t>BULK_min_tgt</t>
    </r>
    <r>
      <rPr>
        <b/>
        <sz val="11"/>
        <color rgb="FFFF66FF"/>
        <rFont val="Calibri"/>
        <family val="2"/>
        <scheme val="minor"/>
      </rPr>
      <t xml:space="preserve"> to V</t>
    </r>
    <r>
      <rPr>
        <b/>
        <vertAlign val="subscript"/>
        <sz val="11"/>
        <color rgb="FFFF66FF"/>
        <rFont val="Calibri"/>
        <family val="2"/>
        <scheme val="minor"/>
      </rPr>
      <t>IN_min</t>
    </r>
  </si>
  <si>
    <t>C</t>
  </si>
  <si>
    <r>
      <t xml:space="preserve"> 1.  Changed K</t>
    </r>
    <r>
      <rPr>
        <vertAlign val="subscript"/>
        <sz val="11"/>
        <color theme="1"/>
        <rFont val="Calibri"/>
        <family val="2"/>
        <scheme val="minor"/>
      </rPr>
      <t>DM</t>
    </r>
    <r>
      <rPr>
        <sz val="11"/>
        <color theme="1"/>
        <rFont val="Calibri"/>
        <family val="2"/>
        <scheme val="minor"/>
      </rPr>
      <t xml:space="preserve"> factor in 'Calculations' cell D20 from  5E+09  to  5.25E+09.
 2.  Updated several parameters of Characteristics table in 'Calculations' cells D7-D32.
 3.  Added calculation of voltage across R</t>
    </r>
    <r>
      <rPr>
        <vertAlign val="subscript"/>
        <sz val="11"/>
        <color theme="1"/>
        <rFont val="Calibri"/>
        <family val="2"/>
        <scheme val="minor"/>
      </rPr>
      <t>VS1</t>
    </r>
    <r>
      <rPr>
        <sz val="11"/>
        <color theme="1"/>
        <rFont val="Calibri"/>
        <family val="2"/>
        <scheme val="minor"/>
      </rPr>
      <t xml:space="preserve"> in 'Calculations' row 88.
 4.  Added error/boundaries checking and warnings in various places. 
 5.  Added input for lowest Vout value to calculate Rbias1 in 'Calculations' cell D188.
        Modified calculation of Rbias1_max in 'Calculations' cell D189.
        Added help note to 'Calculations' cell F192.   
 6.  Corrected cell-reference comment from D119 to D131 in 'BUR Pin' cell E17.
 7.  Corrected cell-reference comments from C17 to C18 &amp; C19 in 'BUR Pin' cells E29 and E30.
 8.  Expanded informational text for clarifications, numerous places; fixed more typos.
 9.  Changed sheet tab names and moved 'Schematic and Values' sheet.  </t>
    </r>
  </si>
  <si>
    <r>
      <rPr>
        <b/>
        <u/>
        <sz val="24"/>
        <color rgb="FFFFFFFF"/>
        <rFont val="Arial"/>
        <family val="2"/>
      </rPr>
      <t>UCC28782</t>
    </r>
    <r>
      <rPr>
        <b/>
        <sz val="24"/>
        <color indexed="9"/>
        <rFont val="Arial"/>
        <family val="2"/>
      </rPr>
      <t xml:space="preserve"> DESIGN CALCULATOR TOOL</t>
    </r>
  </si>
  <si>
    <r>
      <rPr>
        <b/>
        <u/>
        <sz val="16"/>
        <color theme="1"/>
        <rFont val="Arial"/>
        <family val="2"/>
      </rPr>
      <t>UCC28782</t>
    </r>
    <r>
      <rPr>
        <b/>
        <sz val="16"/>
        <color theme="1"/>
        <rFont val="Arial"/>
        <family val="2"/>
      </rPr>
      <t xml:space="preserve"> ACTIVE-CLAMP FLYBACK DESIGN CALCULATOR</t>
    </r>
  </si>
  <si>
    <r>
      <t>options to original  V</t>
    </r>
    <r>
      <rPr>
        <vertAlign val="subscript"/>
        <sz val="11"/>
        <color theme="1"/>
        <rFont val="Calibri"/>
        <family val="2"/>
        <scheme val="minor"/>
      </rPr>
      <t>Bulk_min_tgt</t>
    </r>
    <r>
      <rPr>
        <sz val="11"/>
        <color theme="1"/>
        <rFont val="Calibri"/>
        <family val="2"/>
        <charset val="136"/>
        <scheme val="minor"/>
      </rPr>
      <t>:</t>
    </r>
  </si>
  <si>
    <t>Boot-Strap Capacitance Used in Calculations</t>
  </si>
  <si>
    <t xml:space="preserve">For high-side driver.  X7R is recommended </t>
  </si>
  <si>
    <r>
      <t>Suggested 10*R</t>
    </r>
    <r>
      <rPr>
        <vertAlign val="subscript"/>
        <sz val="11"/>
        <color theme="1"/>
        <rFont val="Arial"/>
        <family val="2"/>
      </rPr>
      <t>CS</t>
    </r>
  </si>
  <si>
    <r>
      <t>Suggested R</t>
    </r>
    <r>
      <rPr>
        <vertAlign val="subscript"/>
        <sz val="11"/>
        <rFont val="Arial"/>
        <family val="2"/>
      </rPr>
      <t>BOOT</t>
    </r>
  </si>
  <si>
    <r>
      <t>R</t>
    </r>
    <r>
      <rPr>
        <vertAlign val="subscript"/>
        <sz val="11"/>
        <rFont val="Arial"/>
        <family val="2"/>
      </rPr>
      <t xml:space="preserve">BOOT </t>
    </r>
    <r>
      <rPr>
        <sz val="11"/>
        <rFont val="Arial"/>
        <family val="2"/>
      </rPr>
      <t>=</t>
    </r>
  </si>
  <si>
    <r>
      <t>R</t>
    </r>
    <r>
      <rPr>
        <vertAlign val="subscript"/>
        <sz val="11"/>
        <rFont val="Arial"/>
        <family val="2"/>
      </rPr>
      <t>BOOT</t>
    </r>
    <r>
      <rPr>
        <sz val="11"/>
        <rFont val="Arial"/>
        <family val="2"/>
      </rPr>
      <t xml:space="preserve"> Used in Calculations</t>
    </r>
  </si>
  <si>
    <t xml:space="preserve">   Note:  Larger case sizes and better dielectrics help to minimize DC-Bias effect.</t>
  </si>
  <si>
    <r>
      <t>R</t>
    </r>
    <r>
      <rPr>
        <b/>
        <vertAlign val="subscript"/>
        <sz val="12"/>
        <color rgb="FFFF0000"/>
        <rFont val="Arial"/>
        <family val="2"/>
      </rPr>
      <t>BOOT</t>
    </r>
  </si>
  <si>
    <t>Rev C:</t>
  </si>
  <si>
    <t>C3216JB1E336M160AC</t>
  </si>
  <si>
    <r>
      <t>Selected nominal value for C</t>
    </r>
    <r>
      <rPr>
        <vertAlign val="subscript"/>
        <sz val="11"/>
        <rFont val="Arial"/>
        <family val="2"/>
      </rPr>
      <t>O1</t>
    </r>
    <r>
      <rPr>
        <sz val="11"/>
        <rFont val="Arial"/>
        <family val="2"/>
      </rPr>
      <t xml:space="preserve"> </t>
    </r>
  </si>
  <si>
    <r>
      <t>Recommended C</t>
    </r>
    <r>
      <rPr>
        <vertAlign val="subscript"/>
        <sz val="11"/>
        <rFont val="Arial"/>
        <family val="2"/>
      </rPr>
      <t>O1</t>
    </r>
    <r>
      <rPr>
        <sz val="11"/>
        <rFont val="Arial"/>
        <family val="2"/>
      </rPr>
      <t xml:space="preserve"> at Design V</t>
    </r>
    <r>
      <rPr>
        <vertAlign val="subscript"/>
        <sz val="11"/>
        <rFont val="Arial"/>
        <family val="2"/>
      </rPr>
      <t>O</t>
    </r>
    <r>
      <rPr>
        <sz val="11"/>
        <rFont val="Arial"/>
        <family val="2"/>
      </rPr>
      <t xml:space="preserve">  </t>
    </r>
  </si>
  <si>
    <r>
      <t>Effective C</t>
    </r>
    <r>
      <rPr>
        <vertAlign val="subscript"/>
        <sz val="11"/>
        <rFont val="Arial"/>
        <family val="2"/>
      </rPr>
      <t>O1</t>
    </r>
    <r>
      <rPr>
        <sz val="11"/>
        <rFont val="Arial"/>
        <family val="2"/>
      </rPr>
      <t xml:space="preserve"> Used in Calculations</t>
    </r>
  </si>
  <si>
    <r>
      <t>Target Nominal Value for C</t>
    </r>
    <r>
      <rPr>
        <vertAlign val="subscript"/>
        <sz val="11"/>
        <rFont val="Arial"/>
        <family val="2"/>
      </rPr>
      <t>O1</t>
    </r>
    <r>
      <rPr>
        <sz val="11"/>
        <rFont val="Arial"/>
        <family val="2"/>
      </rPr>
      <t xml:space="preserve"> </t>
    </r>
  </si>
  <si>
    <t xml:space="preserve"> Accounts for DC-bias reduction</t>
  </si>
  <si>
    <r>
      <t xml:space="preserve"> 1.  Changed R</t>
    </r>
    <r>
      <rPr>
        <vertAlign val="subscript"/>
        <sz val="11"/>
        <color theme="1"/>
        <rFont val="Calibri"/>
        <family val="2"/>
        <scheme val="minor"/>
      </rPr>
      <t>DD2</t>
    </r>
    <r>
      <rPr>
        <sz val="11"/>
        <color theme="1"/>
        <rFont val="Calibri"/>
        <family val="2"/>
        <scheme val="minor"/>
      </rPr>
      <t xml:space="preserve"> calculation to</t>
    </r>
    <r>
      <rPr>
        <b/>
        <sz val="11"/>
        <color theme="1"/>
        <rFont val="Calibri"/>
        <family val="2"/>
        <scheme val="minor"/>
      </rPr>
      <t xml:space="preserve"> R</t>
    </r>
    <r>
      <rPr>
        <b/>
        <vertAlign val="subscript"/>
        <sz val="11"/>
        <color theme="1"/>
        <rFont val="Calibri"/>
        <family val="2"/>
        <scheme val="minor"/>
      </rPr>
      <t>BOOT</t>
    </r>
    <r>
      <rPr>
        <sz val="11"/>
        <color theme="1"/>
        <rFont val="Calibri"/>
        <family val="2"/>
        <scheme val="minor"/>
      </rPr>
      <t xml:space="preserve">, at 'Calculations' </t>
    </r>
    <r>
      <rPr>
        <b/>
        <sz val="11"/>
        <color theme="1"/>
        <rFont val="Calibri"/>
        <family val="2"/>
        <scheme val="minor"/>
      </rPr>
      <t>D163, D164</t>
    </r>
    <r>
      <rPr>
        <sz val="11"/>
        <color theme="1"/>
        <rFont val="Calibri"/>
        <family val="2"/>
        <scheme val="minor"/>
      </rPr>
      <t>.
 2.  Deleted 3 rows of unused R</t>
    </r>
    <r>
      <rPr>
        <vertAlign val="subscript"/>
        <sz val="11"/>
        <color theme="1"/>
        <rFont val="Calibri"/>
        <family val="2"/>
        <scheme val="minor"/>
      </rPr>
      <t>DD1</t>
    </r>
    <r>
      <rPr>
        <sz val="11"/>
        <color theme="1"/>
        <rFont val="Calibri"/>
        <family val="2"/>
        <scheme val="minor"/>
      </rPr>
      <t xml:space="preserve"> calculation after 'Calculations' </t>
    </r>
    <r>
      <rPr>
        <b/>
        <sz val="11"/>
        <rFont val="Calibri"/>
        <family val="2"/>
        <scheme val="minor"/>
      </rPr>
      <t>row 169</t>
    </r>
    <r>
      <rPr>
        <sz val="11"/>
        <color theme="1"/>
        <rFont val="Calibri"/>
        <family val="2"/>
        <scheme val="minor"/>
      </rPr>
      <t xml:space="preserve">.
 3.  Reduced numerical precision at 'Calculations' </t>
    </r>
    <r>
      <rPr>
        <b/>
        <sz val="11"/>
        <color theme="1"/>
        <rFont val="Calibri"/>
        <family val="2"/>
        <scheme val="minor"/>
      </rPr>
      <t>D169, D170</t>
    </r>
    <r>
      <rPr>
        <sz val="11"/>
        <color theme="1"/>
        <rFont val="Calibri"/>
        <family val="2"/>
        <scheme val="minor"/>
      </rPr>
      <t xml:space="preserve">.
 4.  Unlocked inadvertently-locked cell at 'Calculations' </t>
    </r>
    <r>
      <rPr>
        <b/>
        <sz val="11"/>
        <color theme="1"/>
        <rFont val="Calibri"/>
        <family val="2"/>
        <scheme val="minor"/>
      </rPr>
      <t>D188</t>
    </r>
    <r>
      <rPr>
        <sz val="11"/>
        <color theme="1"/>
        <rFont val="Calibri"/>
        <family val="2"/>
        <scheme val="minor"/>
      </rPr>
      <t xml:space="preserve">.
 5.  Added "Target Nominal Value for CO1" in 'Tune Secondary Resonance' </t>
    </r>
    <r>
      <rPr>
        <b/>
        <sz val="11"/>
        <color theme="1"/>
        <rFont val="Calibri"/>
        <family val="2"/>
        <scheme val="minor"/>
      </rPr>
      <t>row 9</t>
    </r>
    <r>
      <rPr>
        <sz val="11"/>
        <color theme="1"/>
        <rFont val="Calibri"/>
        <family val="2"/>
        <scheme val="minor"/>
      </rPr>
      <t>.
 6.  Correct units from "nF" to "</t>
    </r>
    <r>
      <rPr>
        <b/>
        <sz val="11"/>
        <color theme="1"/>
        <rFont val="Calibri"/>
        <family val="2"/>
        <scheme val="minor"/>
      </rPr>
      <t>µF</t>
    </r>
    <r>
      <rPr>
        <sz val="11"/>
        <color theme="1"/>
        <rFont val="Calibri"/>
        <family val="2"/>
        <scheme val="minor"/>
      </rPr>
      <t xml:space="preserve">" in 'Schematic and Values' </t>
    </r>
    <r>
      <rPr>
        <b/>
        <sz val="11"/>
        <color theme="1"/>
        <rFont val="Calibri"/>
        <family val="2"/>
        <scheme val="minor"/>
      </rPr>
      <t>E73</t>
    </r>
    <r>
      <rPr>
        <sz val="11"/>
        <color theme="1"/>
        <rFont val="Calibri"/>
        <family val="2"/>
        <scheme val="minor"/>
      </rPr>
      <t>.
 7.  Deleted redundant C</t>
    </r>
    <r>
      <rPr>
        <vertAlign val="subscript"/>
        <sz val="11"/>
        <color theme="1"/>
        <rFont val="Calibri"/>
        <family val="2"/>
        <scheme val="minor"/>
      </rPr>
      <t>P13</t>
    </r>
    <r>
      <rPr>
        <sz val="11"/>
        <color theme="1"/>
        <rFont val="Calibri"/>
        <family val="2"/>
        <scheme val="minor"/>
      </rPr>
      <t>, C</t>
    </r>
    <r>
      <rPr>
        <vertAlign val="subscript"/>
        <sz val="11"/>
        <color theme="1"/>
        <rFont val="Calibri"/>
        <family val="2"/>
        <scheme val="minor"/>
      </rPr>
      <t>BOOT</t>
    </r>
    <r>
      <rPr>
        <sz val="11"/>
        <color theme="1"/>
        <rFont val="Calibri"/>
        <family val="2"/>
        <scheme val="minor"/>
      </rPr>
      <t>, and R</t>
    </r>
    <r>
      <rPr>
        <vertAlign val="subscript"/>
        <sz val="11"/>
        <color theme="1"/>
        <rFont val="Calibri"/>
        <family val="2"/>
        <scheme val="minor"/>
      </rPr>
      <t>BOOT</t>
    </r>
    <r>
      <rPr>
        <sz val="11"/>
        <color theme="1"/>
        <rFont val="Calibri"/>
        <family val="2"/>
        <scheme val="minor"/>
      </rPr>
      <t xml:space="preserve"> rows in 'Schematic and Values'</t>
    </r>
    <r>
      <rPr>
        <b/>
        <sz val="11"/>
        <color theme="1"/>
        <rFont val="Calibri"/>
        <family val="2"/>
        <scheme val="minor"/>
      </rPr>
      <t xml:space="preserve"> rows 134, 148, 149</t>
    </r>
    <r>
      <rPr>
        <sz val="11"/>
        <color theme="1"/>
        <rFont val="Calibri"/>
        <family val="2"/>
        <scheme val="minor"/>
      </rPr>
      <t>.
 8.  Deleted unused R</t>
    </r>
    <r>
      <rPr>
        <vertAlign val="subscript"/>
        <sz val="11"/>
        <color theme="1"/>
        <rFont val="Calibri"/>
        <family val="2"/>
        <scheme val="minor"/>
      </rPr>
      <t>DD1</t>
    </r>
    <r>
      <rPr>
        <sz val="11"/>
        <color theme="1"/>
        <rFont val="Calibri"/>
        <family val="2"/>
        <scheme val="minor"/>
      </rPr>
      <t xml:space="preserve"> listing in 'Schematic and Values' </t>
    </r>
    <r>
      <rPr>
        <b/>
        <sz val="11"/>
        <color theme="1"/>
        <rFont val="Calibri"/>
        <family val="2"/>
        <scheme val="minor"/>
      </rPr>
      <t>row 33</t>
    </r>
    <r>
      <rPr>
        <sz val="11"/>
        <color theme="1"/>
        <rFont val="Calibri"/>
        <family val="2"/>
        <scheme val="minor"/>
      </rPr>
      <t>.</t>
    </r>
  </si>
  <si>
    <t>Target frequency at maximum load, minimum line.
Note: frequency at min load, max line may be 3~4 times higher.</t>
  </si>
  <si>
    <t>EPC2034</t>
  </si>
  <si>
    <t>GPIHV30DFN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</si>
</sst>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130">
    <font>
      <sz val="11"/>
      <color theme="1"/>
      <name val="Calibri"/>
      <family val="2"/>
      <charset val="136"/>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24"/>
      <color indexed="9"/>
      <name val="Arial"/>
      <family val="2"/>
    </font>
    <font>
      <b/>
      <sz val="12"/>
      <name val="Arial"/>
      <family val="2"/>
    </font>
    <font>
      <sz val="11"/>
      <color theme="1"/>
      <name val="Arial"/>
      <family val="2"/>
    </font>
    <font>
      <b/>
      <sz val="12"/>
      <color theme="0"/>
      <name val="Arial"/>
      <family val="2"/>
    </font>
    <font>
      <b/>
      <i/>
      <sz val="11"/>
      <color rgb="FFFF0000"/>
      <name val="Arial"/>
      <family val="2"/>
    </font>
    <font>
      <vertAlign val="subscript"/>
      <sz val="11"/>
      <color theme="1"/>
      <name val="Arial"/>
      <family val="2"/>
    </font>
    <font>
      <b/>
      <sz val="14"/>
      <color rgb="FFFF0000"/>
      <name val="Arial"/>
      <family val="2"/>
    </font>
    <font>
      <b/>
      <i/>
      <sz val="12"/>
      <color theme="0"/>
      <name val="Arial"/>
      <family val="2"/>
    </font>
    <font>
      <b/>
      <sz val="11"/>
      <color theme="1"/>
      <name val="Arial"/>
      <family val="2"/>
    </font>
    <font>
      <b/>
      <sz val="16"/>
      <color theme="1"/>
      <name val="Arial"/>
      <family val="2"/>
    </font>
    <font>
      <b/>
      <i/>
      <sz val="16"/>
      <color theme="0"/>
      <name val="Arial"/>
      <family val="2"/>
    </font>
    <font>
      <sz val="11"/>
      <name val="Arial"/>
      <family val="2"/>
    </font>
    <font>
      <b/>
      <sz val="11"/>
      <color theme="0"/>
      <name val="Arial"/>
      <family val="2"/>
    </font>
    <font>
      <vertAlign val="subscript"/>
      <sz val="11"/>
      <name val="Arial"/>
      <family val="2"/>
    </font>
    <font>
      <b/>
      <i/>
      <vertAlign val="subscript"/>
      <sz val="12"/>
      <color theme="0"/>
      <name val="Arial"/>
      <family val="2"/>
    </font>
    <font>
      <b/>
      <sz val="14"/>
      <color theme="1"/>
      <name val="Arial"/>
      <family val="2"/>
    </font>
    <font>
      <sz val="12"/>
      <name val="Arial"/>
      <family val="2"/>
    </font>
    <font>
      <vertAlign val="subscript"/>
      <sz val="12"/>
      <name val="Arial"/>
      <family val="2"/>
    </font>
    <font>
      <sz val="9"/>
      <name val="Calibri"/>
      <family val="2"/>
      <charset val="136"/>
      <scheme val="minor"/>
    </font>
    <font>
      <sz val="11"/>
      <name val="Calibri"/>
      <family val="2"/>
      <charset val="136"/>
      <scheme val="minor"/>
    </font>
    <font>
      <i/>
      <sz val="11"/>
      <name val="Arial"/>
      <family val="2"/>
    </font>
    <font>
      <sz val="11"/>
      <color theme="1"/>
      <name val="Calibri"/>
      <family val="2"/>
    </font>
    <font>
      <b/>
      <sz val="11"/>
      <name val="Arial"/>
      <family val="2"/>
    </font>
    <font>
      <sz val="12"/>
      <color theme="1"/>
      <name val="Arial"/>
      <family val="2"/>
    </font>
    <font>
      <b/>
      <sz val="12"/>
      <color rgb="FFFF0000"/>
      <name val="Arial"/>
      <family val="2"/>
    </font>
    <font>
      <b/>
      <vertAlign val="subscript"/>
      <sz val="12"/>
      <color rgb="FFFF0000"/>
      <name val="Arial"/>
      <family val="2"/>
    </font>
    <font>
      <sz val="12"/>
      <color theme="1"/>
      <name val="Calibri"/>
      <family val="2"/>
    </font>
    <font>
      <b/>
      <vertAlign val="subscript"/>
      <sz val="11"/>
      <color theme="1"/>
      <name val="Arial"/>
      <family val="2"/>
    </font>
    <font>
      <b/>
      <vertAlign val="superscript"/>
      <sz val="11"/>
      <color theme="1"/>
      <name val="Arial"/>
      <family val="2"/>
    </font>
    <font>
      <b/>
      <sz val="11"/>
      <color rgb="FFFF0000"/>
      <name val="Arial"/>
      <family val="2"/>
    </font>
    <font>
      <b/>
      <sz val="16"/>
      <color rgb="FFFF0000"/>
      <name val="Arial"/>
      <family val="2"/>
    </font>
    <font>
      <b/>
      <sz val="22"/>
      <color rgb="FFFF0000"/>
      <name val="Arial"/>
      <family val="2"/>
    </font>
    <font>
      <sz val="11"/>
      <color rgb="FFFF0000"/>
      <name val="Arial"/>
      <family val="2"/>
    </font>
    <font>
      <b/>
      <sz val="11"/>
      <color rgb="FFFF00FF"/>
      <name val="Calibri"/>
      <family val="2"/>
      <scheme val="minor"/>
    </font>
    <font>
      <sz val="11"/>
      <color rgb="FFFF00FF"/>
      <name val="Arial"/>
      <family val="2"/>
    </font>
    <font>
      <b/>
      <sz val="11"/>
      <color rgb="FFFF0000"/>
      <name val="Calibri"/>
      <family val="2"/>
      <scheme val="minor"/>
    </font>
    <font>
      <b/>
      <sz val="11"/>
      <color rgb="FFFF00FF"/>
      <name val="Arial"/>
      <family val="2"/>
    </font>
    <font>
      <b/>
      <sz val="14"/>
      <color rgb="FFFF0000"/>
      <name val="Calibri"/>
      <family val="2"/>
      <scheme val="minor"/>
    </font>
    <font>
      <b/>
      <i/>
      <sz val="11"/>
      <color rgb="FF0000FF"/>
      <name val="Arial"/>
      <family val="2"/>
    </font>
    <font>
      <b/>
      <sz val="11"/>
      <color rgb="FF0000FF"/>
      <name val="Wingdings 2"/>
      <family val="1"/>
      <charset val="2"/>
    </font>
    <font>
      <sz val="11"/>
      <color rgb="FF0000FF"/>
      <name val="Calibri"/>
      <family val="2"/>
      <scheme val="minor"/>
    </font>
    <font>
      <sz val="7"/>
      <name val="Arial"/>
      <family val="2"/>
    </font>
    <font>
      <sz val="11"/>
      <name val="Calibri"/>
      <family val="2"/>
    </font>
    <font>
      <b/>
      <i/>
      <sz val="11"/>
      <name val="Arial"/>
      <family val="2"/>
    </font>
    <font>
      <b/>
      <sz val="11"/>
      <name val="Calibri"/>
      <family val="2"/>
      <scheme val="minor"/>
    </font>
    <font>
      <sz val="11"/>
      <name val="Calibri"/>
      <family val="2"/>
      <scheme val="minor"/>
    </font>
    <font>
      <sz val="7"/>
      <name val="Calibri"/>
      <family val="2"/>
      <scheme val="minor"/>
    </font>
    <font>
      <sz val="11"/>
      <color rgb="FFFF0000"/>
      <name val="Calibri"/>
      <family val="2"/>
      <charset val="136"/>
      <scheme val="minor"/>
    </font>
    <font>
      <b/>
      <sz val="12"/>
      <color rgb="FFFF0000"/>
      <name val="Calibri"/>
      <family val="2"/>
      <scheme val="minor"/>
    </font>
    <font>
      <b/>
      <sz val="12"/>
      <color rgb="FFFF66FF"/>
      <name val="Arial"/>
      <family val="2"/>
    </font>
    <font>
      <sz val="11"/>
      <color rgb="FFFF66FF"/>
      <name val="Calibri"/>
      <family val="2"/>
      <charset val="136"/>
      <scheme val="minor"/>
    </font>
    <font>
      <b/>
      <sz val="12"/>
      <color rgb="FFFF66FF"/>
      <name val="Calibri"/>
      <family val="2"/>
      <scheme val="minor"/>
    </font>
    <font>
      <sz val="12"/>
      <color theme="1"/>
      <name val="Calibri"/>
      <family val="2"/>
      <charset val="136"/>
      <scheme val="minor"/>
    </font>
    <font>
      <b/>
      <sz val="14"/>
      <color theme="6" tint="-0.249977111117893"/>
      <name val="Arial"/>
      <family val="2"/>
    </font>
    <font>
      <b/>
      <vertAlign val="subscript"/>
      <sz val="11"/>
      <color theme="0"/>
      <name val="Arial"/>
      <family val="2"/>
    </font>
    <font>
      <sz val="11"/>
      <color rgb="FFFF66FF"/>
      <name val="Calibri"/>
      <family val="2"/>
      <scheme val="minor"/>
    </font>
    <font>
      <b/>
      <i/>
      <sz val="12"/>
      <color rgb="FFFF66FF"/>
      <name val="Arial"/>
      <family val="2"/>
    </font>
    <font>
      <i/>
      <sz val="11"/>
      <color rgb="FFFF0000"/>
      <name val="Arial"/>
      <family val="2"/>
    </font>
    <font>
      <sz val="11"/>
      <color rgb="FF0000FF"/>
      <name val="Arial"/>
      <family val="2"/>
    </font>
    <font>
      <sz val="11"/>
      <color rgb="FF0000FF"/>
      <name val="Calibri"/>
      <family val="2"/>
      <charset val="136"/>
      <scheme val="minor"/>
    </font>
    <font>
      <vertAlign val="subscript"/>
      <sz val="11"/>
      <name val="Calibri"/>
      <family val="2"/>
      <scheme val="minor"/>
    </font>
    <font>
      <sz val="16"/>
      <name val="Calibri"/>
      <family val="2"/>
      <scheme val="minor"/>
    </font>
    <font>
      <b/>
      <vertAlign val="subscript"/>
      <sz val="11"/>
      <color rgb="FFFF0000"/>
      <name val="Arial"/>
      <family val="2"/>
    </font>
    <font>
      <b/>
      <sz val="14"/>
      <color rgb="FF0000FF"/>
      <name val="Calibri"/>
      <family val="2"/>
      <scheme val="minor"/>
    </font>
    <font>
      <sz val="7.7"/>
      <color theme="1"/>
      <name val="Arial"/>
      <family val="2"/>
    </font>
    <font>
      <b/>
      <sz val="12"/>
      <color theme="1"/>
      <name val="Calibri"/>
      <family val="2"/>
      <scheme val="minor"/>
    </font>
    <font>
      <b/>
      <sz val="11"/>
      <color theme="0"/>
      <name val="Calibri"/>
      <family val="2"/>
      <charset val="136"/>
      <scheme val="minor"/>
    </font>
    <font>
      <sz val="12"/>
      <color rgb="FFFF0000"/>
      <name val="Arial"/>
      <family val="2"/>
    </font>
    <font>
      <vertAlign val="subscript"/>
      <sz val="12"/>
      <color rgb="FFFF0000"/>
      <name val="Arial"/>
      <family val="2"/>
    </font>
    <font>
      <b/>
      <i/>
      <sz val="12"/>
      <color rgb="FFFFFF00"/>
      <name val="Arial"/>
      <family val="2"/>
    </font>
    <font>
      <b/>
      <vertAlign val="subscript"/>
      <sz val="12"/>
      <color rgb="FFFF0000"/>
      <name val="Calibri"/>
      <family val="2"/>
      <scheme val="minor"/>
    </font>
    <font>
      <sz val="11"/>
      <color theme="1"/>
      <name val="Calibri"/>
      <family val="2"/>
      <charset val="136"/>
      <scheme val="minor"/>
    </font>
    <font>
      <sz val="11"/>
      <color rgb="FFFF0000"/>
      <name val="Calibri"/>
      <family val="2"/>
      <scheme val="minor"/>
    </font>
    <font>
      <sz val="10"/>
      <color theme="1"/>
      <name val="Arial"/>
      <family val="2"/>
    </font>
    <font>
      <vertAlign val="subscript"/>
      <sz val="10"/>
      <color theme="1"/>
      <name val="Arial"/>
      <family val="2"/>
    </font>
    <font>
      <sz val="11"/>
      <color rgb="FFFF00FF"/>
      <name val="Calibri"/>
      <family val="2"/>
      <scheme val="minor"/>
    </font>
    <font>
      <sz val="16"/>
      <color rgb="FFFF00FF"/>
      <name val="Calibri"/>
      <family val="2"/>
      <scheme val="minor"/>
    </font>
    <font>
      <sz val="14"/>
      <color rgb="FFFF00FF"/>
      <name val="Calibri"/>
      <family val="2"/>
      <scheme val="minor"/>
    </font>
    <font>
      <sz val="14"/>
      <color theme="1"/>
      <name val="Calibri"/>
      <family val="2"/>
      <charset val="136"/>
      <scheme val="minor"/>
    </font>
    <font>
      <vertAlign val="superscript"/>
      <sz val="11"/>
      <color theme="1"/>
      <name val="Arial"/>
      <family val="2"/>
    </font>
    <font>
      <b/>
      <i/>
      <sz val="11"/>
      <color theme="1"/>
      <name val="Arial"/>
      <family val="2"/>
    </font>
    <font>
      <sz val="7"/>
      <color theme="1"/>
      <name val="Arial"/>
      <family val="2"/>
    </font>
    <font>
      <sz val="16"/>
      <color theme="1"/>
      <name val="Calibri"/>
      <family val="2"/>
      <charset val="136"/>
      <scheme val="minor"/>
    </font>
    <font>
      <sz val="12"/>
      <color theme="1"/>
      <name val="Calibri"/>
      <family val="2"/>
      <scheme val="minor"/>
    </font>
    <font>
      <sz val="11"/>
      <color theme="1"/>
      <name val="Wingdings 2"/>
      <family val="1"/>
      <charset val="2"/>
    </font>
    <font>
      <b/>
      <sz val="12"/>
      <color rgb="FFFF00FF"/>
      <name val="Arial"/>
      <family val="2"/>
    </font>
    <font>
      <b/>
      <sz val="16"/>
      <color rgb="FFFF00FF"/>
      <name val="Calibri"/>
      <family val="2"/>
      <scheme val="minor"/>
    </font>
    <font>
      <b/>
      <sz val="12"/>
      <color rgb="FFFF00FF"/>
      <name val="Calibri"/>
      <family val="2"/>
      <scheme val="minor"/>
    </font>
    <font>
      <b/>
      <sz val="14"/>
      <color rgb="FFFF00FF"/>
      <name val="Arial"/>
      <family val="2"/>
    </font>
    <font>
      <b/>
      <sz val="14"/>
      <color rgb="FF00B050"/>
      <name val="Calibri"/>
      <family val="2"/>
      <scheme val="minor"/>
    </font>
    <font>
      <sz val="12"/>
      <color rgb="FFFF00FF"/>
      <name val="Arial"/>
      <family val="2"/>
    </font>
    <font>
      <vertAlign val="subscript"/>
      <sz val="12"/>
      <color theme="1"/>
      <name val="Arial"/>
      <family val="2"/>
    </font>
    <font>
      <sz val="16"/>
      <color rgb="FFFF00FF"/>
      <name val="Arial"/>
      <family val="2"/>
    </font>
    <font>
      <b/>
      <sz val="12"/>
      <color rgb="FF000000"/>
      <name val="Arial"/>
      <family val="2"/>
    </font>
    <font>
      <b/>
      <vertAlign val="subscript"/>
      <sz val="12"/>
      <color rgb="FF000000"/>
      <name val="Arial"/>
      <family val="2"/>
    </font>
    <font>
      <b/>
      <sz val="12"/>
      <color theme="1"/>
      <name val="Arial"/>
      <family val="2"/>
    </font>
    <font>
      <b/>
      <vertAlign val="subscript"/>
      <sz val="12"/>
      <color theme="1"/>
      <name val="Arial"/>
      <family val="2"/>
    </font>
    <font>
      <b/>
      <sz val="16"/>
      <color rgb="FFFF00FF"/>
      <name val="Arial"/>
      <family val="2"/>
    </font>
    <font>
      <b/>
      <sz val="12"/>
      <color rgb="FF00B050"/>
      <name val="Arial"/>
      <family val="2"/>
    </font>
    <font>
      <b/>
      <sz val="11"/>
      <color rgb="FF00B050"/>
      <name val="Arial"/>
      <family val="2"/>
    </font>
    <font>
      <sz val="14"/>
      <color rgb="FFFF00FF"/>
      <name val="Arial"/>
      <family val="2"/>
    </font>
    <font>
      <sz val="12"/>
      <color rgb="FF000000"/>
      <name val="Arial"/>
      <family val="2"/>
    </font>
    <font>
      <vertAlign val="subscript"/>
      <sz val="11"/>
      <color theme="1"/>
      <name val="Calibri"/>
      <family val="2"/>
      <scheme val="minor"/>
    </font>
    <font>
      <sz val="11"/>
      <color rgb="FFFF00FF"/>
      <name val="Calibri"/>
      <family val="2"/>
      <charset val="136"/>
      <scheme val="minor"/>
    </font>
    <font>
      <b/>
      <sz val="11"/>
      <color theme="1"/>
      <name val="Calibri"/>
      <family val="2"/>
      <scheme val="minor"/>
    </font>
    <font>
      <sz val="11"/>
      <color rgb="FF1F497D"/>
      <name val="Calibri"/>
      <family val="2"/>
      <scheme val="minor"/>
    </font>
    <font>
      <b/>
      <sz val="7"/>
      <color rgb="FFFF00FF"/>
      <name val="Arial"/>
      <family val="2"/>
    </font>
    <font>
      <sz val="7"/>
      <color theme="1"/>
      <name val="Calibri"/>
      <family val="2"/>
      <charset val="136"/>
      <scheme val="minor"/>
    </font>
    <font>
      <sz val="10.5"/>
      <color rgb="FFFF00FF"/>
      <name val="Calibri"/>
      <family val="2"/>
      <scheme val="minor"/>
    </font>
    <font>
      <b/>
      <sz val="8"/>
      <color rgb="FFFF00FF"/>
      <name val="Arial"/>
      <family val="2"/>
    </font>
    <font>
      <sz val="7"/>
      <color theme="1"/>
      <name val="Calibri"/>
      <family val="2"/>
      <scheme val="minor"/>
    </font>
    <font>
      <b/>
      <sz val="11"/>
      <color rgb="FFFF66FF"/>
      <name val="Calibri"/>
      <family val="2"/>
      <scheme val="minor"/>
    </font>
    <font>
      <b/>
      <vertAlign val="subscript"/>
      <sz val="11"/>
      <color rgb="FFFF66FF"/>
      <name val="Calibri"/>
      <family val="2"/>
      <scheme val="minor"/>
    </font>
    <font>
      <b/>
      <u/>
      <sz val="24"/>
      <color rgb="FFFFFFFF"/>
      <name val="Arial"/>
      <family val="2"/>
    </font>
    <font>
      <b/>
      <u/>
      <sz val="16"/>
      <color theme="1"/>
      <name val="Arial"/>
      <family val="2"/>
    </font>
    <font>
      <b/>
      <vertAlign val="subscript"/>
      <sz val="11"/>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00CCFF"/>
        <bgColor indexed="64"/>
      </patternFill>
    </fill>
    <fill>
      <patternFill patternType="solid">
        <fgColor rgb="FFFFFFFF"/>
        <bgColor indexed="64"/>
      </patternFill>
    </fill>
    <fill>
      <patternFill patternType="solid">
        <fgColor rgb="FFFF66FF"/>
        <bgColor indexed="64"/>
      </patternFill>
    </fill>
  </fills>
  <borders count="7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medium">
        <color rgb="FFFF00FF"/>
      </left>
      <right/>
      <top style="medium">
        <color rgb="FFFF00FF"/>
      </top>
      <bottom/>
      <diagonal/>
    </border>
    <border>
      <left/>
      <right/>
      <top style="medium">
        <color rgb="FFFF00FF"/>
      </top>
      <bottom/>
      <diagonal/>
    </border>
    <border>
      <left/>
      <right style="medium">
        <color rgb="FFFF00FF"/>
      </right>
      <top style="medium">
        <color rgb="FFFF00FF"/>
      </top>
      <bottom/>
      <diagonal/>
    </border>
    <border>
      <left style="medium">
        <color rgb="FFFF00FF"/>
      </left>
      <right/>
      <top/>
      <bottom/>
      <diagonal/>
    </border>
    <border>
      <left/>
      <right style="medium">
        <color rgb="FFFF00FF"/>
      </right>
      <top/>
      <bottom/>
      <diagonal/>
    </border>
    <border>
      <left style="medium">
        <color rgb="FFFF00FF"/>
      </left>
      <right/>
      <top/>
      <bottom style="medium">
        <color rgb="FFFF00FF"/>
      </bottom>
      <diagonal/>
    </border>
    <border>
      <left/>
      <right/>
      <top/>
      <bottom style="medium">
        <color rgb="FFFF00FF"/>
      </bottom>
      <diagonal/>
    </border>
    <border>
      <left/>
      <right style="medium">
        <color rgb="FFFF00FF"/>
      </right>
      <top/>
      <bottom style="medium">
        <color rgb="FFFF00FF"/>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s>
  <cellStyleXfs count="52">
    <xf numFmtId="0" fontId="0" fillId="0" borderId="0">
      <alignment vertical="center"/>
    </xf>
    <xf numFmtId="0" fontId="13" fillId="0" borderId="0"/>
    <xf numFmtId="0" fontId="12" fillId="0" borderId="0"/>
    <xf numFmtId="0" fontId="11" fillId="0" borderId="0"/>
    <xf numFmtId="0" fontId="10" fillId="0" borderId="0"/>
    <xf numFmtId="0" fontId="9" fillId="0" borderId="0"/>
    <xf numFmtId="0" fontId="9"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5"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900">
    <xf numFmtId="0" fontId="0" fillId="0" borderId="0" xfId="0">
      <alignment vertical="center"/>
    </xf>
    <xf numFmtId="0" fontId="16" fillId="4" borderId="11" xfId="1" applyFont="1" applyFill="1" applyBorder="1" applyAlignment="1" applyProtection="1">
      <alignment horizontal="center" vertical="center"/>
      <protection locked="0"/>
    </xf>
    <xf numFmtId="0" fontId="16" fillId="2" borderId="8" xfId="1" applyFont="1" applyFill="1" applyBorder="1" applyAlignment="1" applyProtection="1">
      <alignment vertical="center"/>
    </xf>
    <xf numFmtId="0" fontId="16" fillId="2" borderId="10" xfId="1" applyFont="1" applyFill="1" applyBorder="1" applyAlignment="1" applyProtection="1">
      <alignment vertical="center"/>
    </xf>
    <xf numFmtId="164" fontId="16" fillId="4" borderId="5" xfId="1" applyNumberFormat="1" applyFont="1" applyFill="1" applyBorder="1" applyAlignment="1" applyProtection="1">
      <alignment horizontal="center" vertical="center"/>
      <protection locked="0"/>
    </xf>
    <xf numFmtId="0" fontId="16" fillId="2" borderId="19" xfId="1" applyFont="1" applyFill="1" applyBorder="1" applyAlignment="1" applyProtection="1">
      <alignment vertical="center"/>
    </xf>
    <xf numFmtId="0" fontId="16" fillId="2" borderId="22" xfId="1" applyFont="1" applyFill="1" applyBorder="1" applyAlignment="1" applyProtection="1">
      <alignment vertical="center"/>
    </xf>
    <xf numFmtId="0" fontId="16" fillId="2" borderId="23" xfId="1" applyFont="1" applyFill="1" applyBorder="1" applyAlignment="1" applyProtection="1">
      <alignment vertical="center"/>
    </xf>
    <xf numFmtId="0" fontId="16" fillId="0" borderId="19" xfId="1" applyFont="1" applyFill="1" applyBorder="1" applyAlignment="1" applyProtection="1">
      <alignment horizontal="center" vertical="center"/>
    </xf>
    <xf numFmtId="0" fontId="16" fillId="2" borderId="26" xfId="1" applyFont="1" applyFill="1" applyBorder="1" applyAlignment="1" applyProtection="1">
      <alignment vertical="center"/>
    </xf>
    <xf numFmtId="0" fontId="16" fillId="2" borderId="36" xfId="1" applyFont="1" applyFill="1" applyBorder="1" applyAlignment="1" applyProtection="1">
      <alignment vertical="center"/>
    </xf>
    <xf numFmtId="0" fontId="0" fillId="0" borderId="0" xfId="0" applyProtection="1">
      <alignment vertical="center"/>
    </xf>
    <xf numFmtId="0" fontId="0" fillId="2" borderId="0" xfId="0" applyFill="1" applyProtection="1">
      <alignment vertical="center"/>
    </xf>
    <xf numFmtId="0" fontId="0" fillId="0" borderId="0" xfId="0" applyFill="1" applyProtection="1">
      <alignment vertical="center"/>
    </xf>
    <xf numFmtId="0" fontId="33" fillId="2" borderId="0" xfId="0" applyFont="1" applyFill="1" applyProtection="1">
      <alignment vertical="center"/>
    </xf>
    <xf numFmtId="0" fontId="16" fillId="2" borderId="5" xfId="1" applyFont="1" applyFill="1" applyBorder="1" applyAlignment="1" applyProtection="1">
      <alignment horizontal="right" vertical="center"/>
    </xf>
    <xf numFmtId="0" fontId="16" fillId="2" borderId="28" xfId="1" applyFont="1" applyFill="1" applyBorder="1" applyAlignment="1" applyProtection="1">
      <alignment horizontal="right" vertical="center"/>
    </xf>
    <xf numFmtId="0" fontId="16" fillId="2" borderId="11" xfId="1" applyFont="1" applyFill="1" applyBorder="1" applyAlignment="1" applyProtection="1">
      <alignment horizontal="right" vertical="center"/>
    </xf>
    <xf numFmtId="0" fontId="21" fillId="3" borderId="38" xfId="1" applyFont="1" applyFill="1" applyBorder="1" applyAlignment="1" applyProtection="1">
      <alignment horizontal="right" vertical="center"/>
    </xf>
    <xf numFmtId="0" fontId="16" fillId="2" borderId="22" xfId="2" applyFont="1" applyFill="1" applyBorder="1" applyAlignment="1" applyProtection="1">
      <alignment horizontal="left" vertical="center"/>
    </xf>
    <xf numFmtId="0" fontId="0" fillId="0" borderId="0" xfId="0" applyAlignment="1" applyProtection="1">
      <alignment horizontal="right" vertical="center"/>
    </xf>
    <xf numFmtId="0" fontId="0" fillId="0" borderId="0" xfId="0" applyAlignment="1" applyProtection="1">
      <alignment horizontal="center" vertical="center"/>
    </xf>
    <xf numFmtId="164" fontId="25" fillId="4" borderId="5" xfId="1" applyNumberFormat="1" applyFont="1" applyFill="1" applyBorder="1" applyAlignment="1" applyProtection="1">
      <alignment horizontal="center" vertical="center"/>
      <protection locked="0"/>
    </xf>
    <xf numFmtId="0" fontId="47" fillId="0" borderId="0" xfId="0" applyFont="1" applyProtection="1">
      <alignment vertical="center"/>
    </xf>
    <xf numFmtId="0" fontId="0" fillId="0" borderId="0" xfId="0" applyAlignment="1">
      <alignment horizontal="right" vertical="center"/>
    </xf>
    <xf numFmtId="0" fontId="25" fillId="4" borderId="5" xfId="1" applyFont="1" applyFill="1" applyBorder="1" applyAlignment="1" applyProtection="1">
      <alignment horizontal="center" vertical="center"/>
      <protection locked="0"/>
    </xf>
    <xf numFmtId="0" fontId="25" fillId="4" borderId="11" xfId="1" applyFont="1" applyFill="1" applyBorder="1" applyAlignment="1" applyProtection="1">
      <alignment horizontal="center" vertical="center"/>
      <protection locked="0"/>
    </xf>
    <xf numFmtId="164" fontId="25" fillId="4" borderId="11" xfId="1" applyNumberFormat="1" applyFont="1" applyFill="1" applyBorder="1" applyAlignment="1" applyProtection="1">
      <alignment horizontal="center" vertical="center"/>
      <protection locked="0"/>
    </xf>
    <xf numFmtId="164" fontId="16" fillId="4" borderId="21" xfId="1" applyNumberFormat="1" applyFont="1" applyFill="1" applyBorder="1" applyAlignment="1" applyProtection="1">
      <alignment horizontal="center" vertical="center"/>
      <protection locked="0"/>
    </xf>
    <xf numFmtId="0" fontId="66" fillId="0" borderId="0" xfId="0" applyFont="1" applyProtection="1">
      <alignment vertical="center"/>
    </xf>
    <xf numFmtId="1" fontId="16" fillId="4" borderId="5" xfId="1" applyNumberFormat="1" applyFont="1" applyFill="1" applyBorder="1" applyAlignment="1" applyProtection="1">
      <alignment horizontal="center" vertical="center"/>
      <protection locked="0"/>
    </xf>
    <xf numFmtId="2" fontId="25" fillId="4" borderId="5" xfId="1" applyNumberFormat="1" applyFont="1" applyFill="1" applyBorder="1" applyAlignment="1" applyProtection="1">
      <alignment horizontal="center" vertical="center"/>
      <protection locked="0"/>
    </xf>
    <xf numFmtId="165" fontId="25" fillId="4" borderId="5" xfId="1" applyNumberFormat="1" applyFont="1" applyFill="1" applyBorder="1" applyAlignment="1" applyProtection="1">
      <alignment horizontal="center" vertical="center"/>
      <protection locked="0"/>
    </xf>
    <xf numFmtId="1" fontId="25" fillId="4" borderId="5" xfId="1" applyNumberFormat="1" applyFont="1" applyFill="1" applyBorder="1" applyAlignment="1" applyProtection="1">
      <alignment horizontal="center" vertical="center"/>
      <protection locked="0"/>
    </xf>
    <xf numFmtId="0" fontId="64" fillId="0" borderId="0" xfId="0" applyFont="1">
      <alignment vertical="center"/>
    </xf>
    <xf numFmtId="0" fontId="0" fillId="0" borderId="0" xfId="0" applyProtection="1">
      <alignment vertical="center"/>
    </xf>
    <xf numFmtId="0" fontId="0" fillId="2" borderId="0" xfId="0" applyFill="1" applyProtection="1">
      <alignment vertical="center"/>
    </xf>
    <xf numFmtId="164" fontId="25" fillId="4" borderId="19" xfId="1" applyNumberFormat="1" applyFont="1" applyFill="1" applyBorder="1" applyAlignment="1" applyProtection="1">
      <alignment horizontal="center" vertical="center"/>
      <protection locked="0"/>
    </xf>
    <xf numFmtId="0" fontId="25" fillId="4" borderId="5" xfId="1" applyNumberFormat="1" applyFont="1" applyFill="1" applyBorder="1" applyAlignment="1" applyProtection="1">
      <alignment horizontal="center" vertical="center"/>
      <protection locked="0"/>
    </xf>
    <xf numFmtId="0" fontId="21" fillId="3" borderId="37" xfId="1" applyFont="1" applyFill="1" applyBorder="1" applyAlignment="1" applyProtection="1">
      <alignment vertical="center"/>
    </xf>
    <xf numFmtId="0" fontId="21" fillId="3" borderId="38" xfId="1" applyFont="1" applyFill="1" applyBorder="1" applyAlignment="1" applyProtection="1">
      <alignment vertical="center"/>
    </xf>
    <xf numFmtId="0" fontId="21" fillId="3" borderId="39" xfId="1" applyFont="1" applyFill="1" applyBorder="1" applyAlignment="1" applyProtection="1">
      <alignment vertical="center"/>
    </xf>
    <xf numFmtId="0" fontId="16" fillId="4" borderId="28" xfId="1" applyNumberFormat="1" applyFont="1" applyFill="1" applyBorder="1" applyAlignment="1" applyProtection="1">
      <alignment horizontal="center" vertical="center"/>
      <protection locked="0"/>
    </xf>
    <xf numFmtId="0" fontId="16" fillId="4" borderId="19" xfId="1" applyFont="1" applyFill="1" applyBorder="1" applyAlignment="1" applyProtection="1">
      <alignment horizontal="center" vertical="center"/>
      <protection locked="0"/>
    </xf>
    <xf numFmtId="0" fontId="16" fillId="2" borderId="19" xfId="1" applyFont="1" applyFill="1" applyBorder="1" applyAlignment="1" applyProtection="1">
      <alignment horizontal="left" vertical="center"/>
    </xf>
    <xf numFmtId="0" fontId="16" fillId="2" borderId="23" xfId="1" applyFont="1" applyFill="1" applyBorder="1" applyAlignment="1" applyProtection="1">
      <alignment horizontal="left" vertical="center"/>
    </xf>
    <xf numFmtId="0" fontId="25" fillId="2" borderId="5" xfId="1" applyFont="1" applyFill="1" applyBorder="1" applyAlignment="1" applyProtection="1">
      <alignment horizontal="left" vertical="center"/>
    </xf>
    <xf numFmtId="0" fontId="16" fillId="2" borderId="5" xfId="1" applyFont="1" applyFill="1" applyBorder="1" applyAlignment="1" applyProtection="1">
      <alignment horizontal="left" vertical="center"/>
    </xf>
    <xf numFmtId="0" fontId="16" fillId="2" borderId="11" xfId="1" applyFont="1" applyFill="1" applyBorder="1" applyAlignment="1" applyProtection="1">
      <alignment horizontal="left" vertical="center"/>
    </xf>
    <xf numFmtId="0" fontId="21" fillId="3" borderId="37" xfId="1" applyFont="1" applyFill="1" applyBorder="1" applyAlignment="1" applyProtection="1">
      <alignment horizontal="left" vertical="center"/>
    </xf>
    <xf numFmtId="0" fontId="21" fillId="3" borderId="38" xfId="1" applyFont="1" applyFill="1" applyBorder="1" applyAlignment="1" applyProtection="1">
      <alignment horizontal="left" vertical="center"/>
    </xf>
    <xf numFmtId="0" fontId="21" fillId="3" borderId="39" xfId="1" applyFont="1" applyFill="1" applyBorder="1" applyAlignment="1" applyProtection="1">
      <alignment horizontal="left" vertical="center"/>
    </xf>
    <xf numFmtId="164" fontId="48" fillId="0" borderId="0" xfId="1" applyNumberFormat="1" applyFont="1" applyFill="1" applyBorder="1" applyAlignment="1">
      <alignment vertical="center"/>
    </xf>
    <xf numFmtId="0" fontId="73" fillId="0" borderId="0" xfId="0" applyFont="1" applyFill="1" applyBorder="1">
      <alignment vertical="center"/>
    </xf>
    <xf numFmtId="0" fontId="64" fillId="0" borderId="0" xfId="0" applyFont="1" applyFill="1" applyBorder="1">
      <alignment vertical="center"/>
    </xf>
    <xf numFmtId="1" fontId="16" fillId="0" borderId="5" xfId="1" applyNumberFormat="1" applyFont="1" applyFill="1" applyBorder="1" applyAlignment="1" applyProtection="1">
      <alignment horizontal="center" vertical="center"/>
    </xf>
    <xf numFmtId="0" fontId="16" fillId="0" borderId="5" xfId="1" applyFont="1" applyFill="1" applyBorder="1" applyAlignment="1" applyProtection="1">
      <alignment horizontal="center" vertical="center"/>
    </xf>
    <xf numFmtId="1" fontId="16" fillId="0" borderId="21" xfId="1" applyNumberFormat="1" applyFont="1" applyFill="1" applyBorder="1" applyAlignment="1" applyProtection="1">
      <alignment horizontal="center" vertical="center"/>
    </xf>
    <xf numFmtId="1" fontId="16" fillId="0" borderId="11" xfId="1" applyNumberFormat="1" applyFont="1" applyFill="1" applyBorder="1" applyAlignment="1" applyProtection="1">
      <alignment horizontal="center" vertical="center"/>
    </xf>
    <xf numFmtId="0" fontId="0" fillId="0" borderId="0" xfId="0" applyFont="1">
      <alignment vertical="center"/>
    </xf>
    <xf numFmtId="0" fontId="0" fillId="0" borderId="0" xfId="0" applyFont="1" applyFill="1" applyBorder="1">
      <alignment vertical="center"/>
    </xf>
    <xf numFmtId="0" fontId="0" fillId="0" borderId="0" xfId="0" applyFont="1" applyFill="1" applyBorder="1" applyAlignment="1">
      <alignment horizontal="right" vertical="center"/>
    </xf>
    <xf numFmtId="0" fontId="8" fillId="0" borderId="0" xfId="0" applyFont="1" applyFill="1" applyBorder="1">
      <alignment vertical="center"/>
    </xf>
    <xf numFmtId="0" fontId="86" fillId="0" borderId="0" xfId="0" applyFont="1">
      <alignment vertical="center"/>
    </xf>
    <xf numFmtId="0" fontId="54" fillId="0" borderId="0" xfId="0" applyFont="1" applyFill="1" applyBorder="1">
      <alignment vertical="center"/>
    </xf>
    <xf numFmtId="0" fontId="89" fillId="0" borderId="0" xfId="0" applyFont="1">
      <alignment vertical="center"/>
    </xf>
    <xf numFmtId="0" fontId="86" fillId="0" borderId="0" xfId="0" applyFont="1" applyFill="1" applyBorder="1">
      <alignment vertical="center"/>
    </xf>
    <xf numFmtId="0" fontId="90" fillId="0" borderId="0" xfId="0" applyFont="1">
      <alignment vertical="center"/>
    </xf>
    <xf numFmtId="0" fontId="91" fillId="0" borderId="0" xfId="0" applyFont="1">
      <alignment vertical="center"/>
    </xf>
    <xf numFmtId="0" fontId="91" fillId="0" borderId="0" xfId="0" applyFont="1" applyFill="1" applyBorder="1">
      <alignment vertical="center"/>
    </xf>
    <xf numFmtId="0" fontId="54" fillId="0" borderId="0" xfId="0" applyFont="1">
      <alignment vertical="center"/>
    </xf>
    <xf numFmtId="0" fontId="89" fillId="0" borderId="0" xfId="0" applyFont="1" applyFill="1" applyBorder="1">
      <alignment vertical="center"/>
    </xf>
    <xf numFmtId="0" fontId="69" fillId="0" borderId="0" xfId="0" applyFont="1">
      <alignment vertical="center"/>
    </xf>
    <xf numFmtId="0" fontId="69" fillId="0" borderId="0" xfId="0" applyFont="1" applyFill="1" applyBorder="1">
      <alignment vertical="center"/>
    </xf>
    <xf numFmtId="2" fontId="16" fillId="4" borderId="5" xfId="1" applyNumberFormat="1" applyFont="1" applyFill="1" applyBorder="1" applyAlignment="1" applyProtection="1">
      <alignment horizontal="center" vertical="center"/>
      <protection locked="0"/>
    </xf>
    <xf numFmtId="2" fontId="16" fillId="4" borderId="19" xfId="1" applyNumberFormat="1" applyFont="1" applyFill="1" applyBorder="1" applyAlignment="1" applyProtection="1">
      <alignment horizontal="center" vertical="center"/>
      <protection locked="0"/>
    </xf>
    <xf numFmtId="0" fontId="16" fillId="4" borderId="5" xfId="1" applyFont="1" applyFill="1" applyBorder="1" applyAlignment="1" applyProtection="1">
      <alignment horizontal="center" vertical="center"/>
      <protection locked="0"/>
    </xf>
    <xf numFmtId="164" fontId="16" fillId="4" borderId="19" xfId="1" applyNumberFormat="1" applyFont="1" applyFill="1" applyBorder="1" applyAlignment="1" applyProtection="1">
      <alignment horizontal="center" vertical="center"/>
      <protection locked="0"/>
    </xf>
    <xf numFmtId="165" fontId="16" fillId="4" borderId="5" xfId="1" applyNumberFormat="1" applyFont="1" applyFill="1" applyBorder="1" applyAlignment="1" applyProtection="1">
      <alignment horizontal="center" vertical="center"/>
      <protection locked="0"/>
    </xf>
    <xf numFmtId="0" fontId="16" fillId="4" borderId="5" xfId="1" applyNumberFormat="1" applyFont="1" applyFill="1" applyBorder="1" applyAlignment="1" applyProtection="1">
      <alignment horizontal="center" vertical="center"/>
      <protection locked="0"/>
    </xf>
    <xf numFmtId="0" fontId="16" fillId="4" borderId="28" xfId="1" applyFont="1" applyFill="1" applyBorder="1" applyAlignment="1" applyProtection="1">
      <alignment horizontal="center" vertical="center"/>
      <protection locked="0"/>
    </xf>
    <xf numFmtId="0" fontId="16" fillId="4" borderId="30" xfId="1" applyFont="1" applyFill="1" applyBorder="1" applyAlignment="1" applyProtection="1">
      <alignment horizontal="center" vertical="center"/>
      <protection locked="0"/>
    </xf>
    <xf numFmtId="0" fontId="16" fillId="4" borderId="43" xfId="1" applyFont="1" applyFill="1" applyBorder="1" applyAlignment="1" applyProtection="1">
      <alignment horizontal="center" vertical="center"/>
      <protection locked="0"/>
    </xf>
    <xf numFmtId="0" fontId="16" fillId="4" borderId="22" xfId="1" applyFont="1" applyFill="1" applyBorder="1" applyAlignment="1" applyProtection="1">
      <alignment horizontal="center" vertical="center"/>
      <protection locked="0"/>
    </xf>
    <xf numFmtId="0" fontId="0" fillId="0" borderId="0" xfId="0" applyFont="1" applyProtection="1">
      <alignment vertical="center"/>
    </xf>
    <xf numFmtId="0" fontId="0" fillId="0" borderId="0" xfId="0" applyFont="1" applyFill="1" applyBorder="1" applyProtection="1">
      <alignment vertical="center"/>
    </xf>
    <xf numFmtId="0" fontId="64" fillId="0" borderId="0" xfId="0" applyFont="1" applyFill="1" applyBorder="1" applyProtection="1">
      <alignment vertical="center"/>
    </xf>
    <xf numFmtId="0" fontId="0" fillId="0" borderId="0" xfId="0" applyFill="1" applyBorder="1" applyProtection="1">
      <alignment vertical="center"/>
    </xf>
    <xf numFmtId="11" fontId="0" fillId="0" borderId="0" xfId="0" applyNumberFormat="1" applyFont="1" applyFill="1" applyBorder="1" applyProtection="1">
      <alignment vertical="center"/>
    </xf>
    <xf numFmtId="0" fontId="8" fillId="0" borderId="0" xfId="0" applyFont="1" applyProtection="1">
      <alignment vertical="center"/>
    </xf>
    <xf numFmtId="0" fontId="96" fillId="0" borderId="0" xfId="0" applyFont="1" applyFill="1" applyBorder="1" applyProtection="1">
      <alignment vertical="center"/>
    </xf>
    <xf numFmtId="0" fontId="66" fillId="0" borderId="0" xfId="0" applyFont="1" applyFill="1" applyBorder="1" applyProtection="1">
      <alignment vertical="center"/>
    </xf>
    <xf numFmtId="0" fontId="97" fillId="0" borderId="0" xfId="0" applyFont="1" applyProtection="1">
      <alignment vertical="center"/>
    </xf>
    <xf numFmtId="0" fontId="16" fillId="2" borderId="8" xfId="1" applyFont="1" applyFill="1" applyBorder="1" applyAlignment="1" applyProtection="1">
      <alignment vertical="center" wrapText="1"/>
    </xf>
    <xf numFmtId="0" fontId="16" fillId="2" borderId="21" xfId="1" applyFont="1" applyFill="1" applyBorder="1" applyAlignment="1" applyProtection="1">
      <alignment horizontal="left" vertical="center"/>
    </xf>
    <xf numFmtId="0" fontId="16" fillId="2" borderId="24" xfId="1" applyFont="1" applyFill="1" applyBorder="1" applyAlignment="1" applyProtection="1">
      <alignment horizontal="left" vertical="center"/>
    </xf>
    <xf numFmtId="0" fontId="16" fillId="4" borderId="21" xfId="1" applyFont="1" applyFill="1" applyBorder="1" applyAlignment="1" applyProtection="1">
      <alignment horizontal="center" vertical="center"/>
      <protection locked="0"/>
    </xf>
    <xf numFmtId="0" fontId="16" fillId="2" borderId="36" xfId="1" applyFont="1" applyFill="1" applyBorder="1" applyAlignment="1" applyProtection="1">
      <alignment vertical="center" wrapText="1"/>
    </xf>
    <xf numFmtId="0" fontId="16" fillId="0" borderId="0" xfId="0" applyFont="1" applyProtection="1">
      <alignment vertical="center"/>
    </xf>
    <xf numFmtId="1" fontId="25" fillId="2" borderId="5" xfId="1" applyNumberFormat="1" applyFont="1" applyFill="1" applyBorder="1" applyAlignment="1" applyProtection="1">
      <alignment horizontal="center" vertical="center"/>
      <protection hidden="1"/>
    </xf>
    <xf numFmtId="0" fontId="16" fillId="0" borderId="5" xfId="1" applyFont="1" applyFill="1" applyBorder="1" applyAlignment="1" applyProtection="1">
      <alignment horizontal="right" vertical="center"/>
    </xf>
    <xf numFmtId="0" fontId="16" fillId="2" borderId="26" xfId="1" applyFont="1" applyFill="1" applyBorder="1" applyAlignment="1" applyProtection="1">
      <alignment horizontal="left" vertical="center"/>
    </xf>
    <xf numFmtId="0" fontId="16" fillId="2" borderId="22" xfId="1" applyFont="1" applyFill="1" applyBorder="1" applyAlignment="1" applyProtection="1">
      <alignment horizontal="left" vertical="center"/>
    </xf>
    <xf numFmtId="0" fontId="16" fillId="2" borderId="19" xfId="2" applyFont="1" applyFill="1" applyBorder="1" applyAlignment="1" applyProtection="1">
      <alignment horizontal="left" vertical="center"/>
    </xf>
    <xf numFmtId="0" fontId="16" fillId="2" borderId="23" xfId="2" applyFont="1" applyFill="1" applyBorder="1" applyAlignment="1" applyProtection="1">
      <alignment horizontal="left" vertical="center"/>
    </xf>
    <xf numFmtId="0" fontId="22" fillId="2" borderId="23" xfId="2" applyFont="1" applyFill="1" applyBorder="1" applyAlignment="1" applyProtection="1">
      <alignment horizontal="left" vertical="center"/>
    </xf>
    <xf numFmtId="0" fontId="22" fillId="2" borderId="26" xfId="2" applyFont="1" applyFill="1" applyBorder="1" applyAlignment="1" applyProtection="1">
      <alignment horizontal="left" vertical="center"/>
    </xf>
    <xf numFmtId="0" fontId="16" fillId="4" borderId="11" xfId="1" applyNumberFormat="1" applyFont="1" applyFill="1" applyBorder="1" applyAlignment="1" applyProtection="1">
      <alignment horizontal="center" vertical="center"/>
      <protection locked="0"/>
    </xf>
    <xf numFmtId="165" fontId="16" fillId="4" borderId="30" xfId="1" applyNumberFormat="1" applyFont="1" applyFill="1" applyBorder="1" applyAlignment="1" applyProtection="1">
      <alignment horizontal="center" vertical="center"/>
      <protection locked="0"/>
    </xf>
    <xf numFmtId="0" fontId="16" fillId="2" borderId="10" xfId="1" applyFont="1" applyFill="1" applyBorder="1" applyAlignment="1" applyProtection="1">
      <alignment vertical="center" wrapText="1"/>
    </xf>
    <xf numFmtId="0" fontId="7" fillId="0" borderId="0" xfId="0" applyFont="1" applyProtection="1">
      <alignment vertical="center"/>
    </xf>
    <xf numFmtId="0" fontId="22" fillId="0" borderId="0" xfId="0" applyFont="1" applyProtection="1">
      <alignment vertical="center"/>
    </xf>
    <xf numFmtId="0" fontId="92" fillId="0" borderId="0" xfId="0" applyFont="1" applyAlignment="1" applyProtection="1">
      <alignment horizontal="right" vertical="center"/>
    </xf>
    <xf numFmtId="164" fontId="16" fillId="2" borderId="28" xfId="1" applyNumberFormat="1" applyFont="1" applyFill="1" applyBorder="1" applyAlignment="1" applyProtection="1">
      <alignment vertical="center"/>
    </xf>
    <xf numFmtId="164" fontId="16" fillId="2" borderId="11" xfId="1" applyNumberFormat="1" applyFont="1" applyFill="1" applyBorder="1" applyAlignment="1" applyProtection="1">
      <alignment vertical="center"/>
    </xf>
    <xf numFmtId="0" fontId="0" fillId="2" borderId="0" xfId="0" applyFill="1" applyAlignment="1" applyProtection="1">
      <alignment horizontal="right" vertical="center"/>
    </xf>
    <xf numFmtId="0" fontId="70" fillId="3" borderId="38" xfId="1" applyFont="1" applyFill="1" applyBorder="1" applyAlignment="1" applyProtection="1">
      <alignment horizontal="right" vertical="center"/>
    </xf>
    <xf numFmtId="164" fontId="16" fillId="2" borderId="5" xfId="1" applyNumberFormat="1" applyFont="1" applyFill="1" applyBorder="1" applyAlignment="1" applyProtection="1">
      <alignment vertical="center"/>
    </xf>
    <xf numFmtId="0" fontId="87" fillId="2" borderId="23" xfId="1" applyFont="1" applyFill="1" applyBorder="1" applyAlignment="1" applyProtection="1">
      <alignment horizontal="left" vertical="center"/>
    </xf>
    <xf numFmtId="0" fontId="16" fillId="2" borderId="45" xfId="1" applyFont="1" applyFill="1" applyBorder="1" applyAlignment="1" applyProtection="1">
      <alignment vertical="center"/>
    </xf>
    <xf numFmtId="0" fontId="16" fillId="2" borderId="30" xfId="1" applyFont="1" applyFill="1" applyBorder="1" applyAlignment="1" applyProtection="1">
      <alignment horizontal="right" vertical="center"/>
    </xf>
    <xf numFmtId="164" fontId="16" fillId="2" borderId="30" xfId="1" applyNumberFormat="1" applyFont="1" applyFill="1" applyBorder="1" applyAlignment="1" applyProtection="1">
      <alignment vertical="center"/>
    </xf>
    <xf numFmtId="0" fontId="16" fillId="2" borderId="30" xfId="1" applyFont="1" applyFill="1" applyBorder="1" applyAlignment="1" applyProtection="1">
      <alignment horizontal="left" vertical="center"/>
    </xf>
    <xf numFmtId="164" fontId="16" fillId="0" borderId="5" xfId="1" applyNumberFormat="1" applyFont="1" applyFill="1" applyBorder="1" applyAlignment="1" applyProtection="1">
      <alignment vertical="center"/>
    </xf>
    <xf numFmtId="0" fontId="16" fillId="0" borderId="5" xfId="1" applyFont="1" applyFill="1" applyBorder="1" applyAlignment="1" applyProtection="1">
      <alignment horizontal="left" vertical="center"/>
    </xf>
    <xf numFmtId="0" fontId="87" fillId="0" borderId="23" xfId="1" applyFont="1" applyFill="1" applyBorder="1" applyAlignment="1" applyProtection="1">
      <alignment horizontal="left" vertical="center"/>
    </xf>
    <xf numFmtId="0" fontId="87" fillId="0" borderId="24" xfId="1" applyFont="1" applyFill="1" applyBorder="1" applyAlignment="1" applyProtection="1">
      <alignment horizontal="left" vertical="center"/>
    </xf>
    <xf numFmtId="0" fontId="87" fillId="2" borderId="26" xfId="1" applyFont="1" applyFill="1" applyBorder="1" applyAlignment="1" applyProtection="1">
      <alignment horizontal="left" vertical="center"/>
    </xf>
    <xf numFmtId="0" fontId="16" fillId="0" borderId="19" xfId="1" applyFont="1" applyFill="1" applyBorder="1" applyAlignment="1" applyProtection="1">
      <alignment horizontal="left" vertical="center"/>
    </xf>
    <xf numFmtId="0" fontId="87" fillId="2" borderId="23" xfId="2" applyFont="1" applyFill="1" applyBorder="1" applyAlignment="1" applyProtection="1">
      <alignment horizontal="left" vertical="center"/>
    </xf>
    <xf numFmtId="0" fontId="37" fillId="0" borderId="9" xfId="1" applyFont="1" applyFill="1" applyBorder="1" applyAlignment="1" applyProtection="1">
      <alignment horizontal="left" vertical="center"/>
    </xf>
    <xf numFmtId="164" fontId="16" fillId="0" borderId="30" xfId="1" applyNumberFormat="1" applyFont="1" applyFill="1" applyBorder="1" applyAlignment="1" applyProtection="1">
      <alignment vertical="center"/>
    </xf>
    <xf numFmtId="0" fontId="16" fillId="0" borderId="41" xfId="1" applyFont="1" applyFill="1" applyBorder="1" applyAlignment="1" applyProtection="1">
      <alignment horizontal="left" vertical="center"/>
    </xf>
    <xf numFmtId="0" fontId="37" fillId="2" borderId="23" xfId="2" applyFont="1" applyFill="1" applyBorder="1" applyAlignment="1" applyProtection="1">
      <alignment horizontal="left" vertical="center"/>
    </xf>
    <xf numFmtId="0" fontId="87" fillId="2" borderId="26" xfId="2" applyFont="1" applyFill="1" applyBorder="1" applyAlignment="1" applyProtection="1">
      <alignment horizontal="left" vertical="center"/>
    </xf>
    <xf numFmtId="0" fontId="21" fillId="3" borderId="7" xfId="1" applyFont="1" applyFill="1" applyBorder="1" applyAlignment="1" applyProtection="1">
      <alignment horizontal="left" vertical="center"/>
    </xf>
    <xf numFmtId="0" fontId="21" fillId="3" borderId="2" xfId="1" applyFont="1" applyFill="1" applyBorder="1" applyAlignment="1" applyProtection="1">
      <alignment horizontal="left" vertical="center"/>
    </xf>
    <xf numFmtId="0" fontId="87" fillId="2" borderId="42" xfId="1" applyFont="1" applyFill="1" applyBorder="1" applyAlignment="1" applyProtection="1">
      <alignment horizontal="left" vertical="center"/>
    </xf>
    <xf numFmtId="0" fontId="16" fillId="2" borderId="41" xfId="1" applyFont="1" applyFill="1" applyBorder="1" applyAlignment="1" applyProtection="1">
      <alignment horizontal="left" vertical="center"/>
    </xf>
    <xf numFmtId="0" fontId="83" fillId="3" borderId="38" xfId="1" applyFont="1" applyFill="1" applyBorder="1" applyAlignment="1" applyProtection="1">
      <alignment horizontal="right" vertical="center"/>
    </xf>
    <xf numFmtId="0" fontId="80" fillId="8" borderId="55" xfId="0" applyFont="1" applyFill="1" applyBorder="1" applyAlignment="1" applyProtection="1">
      <alignment horizontal="center" vertical="center"/>
    </xf>
    <xf numFmtId="0" fontId="0" fillId="9" borderId="55" xfId="0" applyFont="1" applyFill="1" applyBorder="1" applyAlignment="1" applyProtection="1">
      <alignment horizontal="center" vertical="center"/>
    </xf>
    <xf numFmtId="0" fontId="0" fillId="0" borderId="55" xfId="0" applyFont="1" applyBorder="1" applyAlignment="1" applyProtection="1">
      <alignment horizontal="center" vertical="center"/>
    </xf>
    <xf numFmtId="0" fontId="53" fillId="0" borderId="0" xfId="0" applyFont="1" applyProtection="1">
      <alignment vertical="center"/>
    </xf>
    <xf numFmtId="0" fontId="46" fillId="0" borderId="0" xfId="0" applyFont="1" applyProtection="1">
      <alignment vertical="center"/>
    </xf>
    <xf numFmtId="0" fontId="45" fillId="0" borderId="0" xfId="0" applyFont="1" applyProtection="1">
      <alignment vertical="center"/>
    </xf>
    <xf numFmtId="0" fontId="0" fillId="0" borderId="0" xfId="0" applyBorder="1" applyProtection="1">
      <alignment vertical="center"/>
    </xf>
    <xf numFmtId="0" fontId="0" fillId="0" borderId="0" xfId="0" applyBorder="1" applyAlignment="1" applyProtection="1">
      <alignment horizontal="center" vertical="center"/>
    </xf>
    <xf numFmtId="0" fontId="49" fillId="0" borderId="0" xfId="0" applyFont="1" applyProtection="1">
      <alignment vertical="center"/>
    </xf>
    <xf numFmtId="0" fontId="22" fillId="0" borderId="49" xfId="0" applyFont="1" applyBorder="1" applyAlignment="1" applyProtection="1">
      <alignment vertical="center"/>
    </xf>
    <xf numFmtId="0" fontId="47" fillId="0" borderId="0" xfId="0" applyFont="1" applyBorder="1" applyAlignment="1" applyProtection="1">
      <alignment horizontal="left" vertical="center"/>
    </xf>
    <xf numFmtId="0" fontId="33" fillId="2" borderId="0" xfId="0" applyFont="1" applyFill="1" applyBorder="1" applyAlignment="1" applyProtection="1">
      <alignment horizontal="left" vertical="center"/>
    </xf>
    <xf numFmtId="0" fontId="0" fillId="2" borderId="0" xfId="0" applyFill="1" applyBorder="1" applyAlignment="1" applyProtection="1">
      <alignment horizontal="center" vertical="center"/>
    </xf>
    <xf numFmtId="0" fontId="58" fillId="2" borderId="0" xfId="0" applyFont="1" applyFill="1" applyBorder="1" applyAlignment="1" applyProtection="1">
      <alignment horizontal="left" vertical="center"/>
    </xf>
    <xf numFmtId="0" fontId="33" fillId="2" borderId="0" xfId="0" applyFont="1" applyFill="1" applyBorder="1" applyAlignment="1" applyProtection="1">
      <alignment horizontal="center" vertical="center"/>
    </xf>
    <xf numFmtId="0" fontId="16" fillId="0" borderId="0" xfId="0" applyFont="1" applyBorder="1" applyAlignment="1" applyProtection="1">
      <alignment horizontal="left" vertical="center"/>
    </xf>
    <xf numFmtId="0" fontId="43" fillId="0" borderId="0" xfId="0" applyFont="1" applyProtection="1">
      <alignment vertical="center"/>
    </xf>
    <xf numFmtId="0" fontId="61" fillId="0" borderId="0" xfId="0" applyFont="1" applyProtection="1">
      <alignment vertical="center"/>
    </xf>
    <xf numFmtId="0" fontId="50" fillId="0" borderId="0" xfId="0" applyFont="1" applyProtection="1">
      <alignment vertical="center"/>
    </xf>
    <xf numFmtId="0" fontId="16" fillId="0" borderId="0" xfId="0" applyFont="1" applyAlignment="1" applyProtection="1">
      <alignment vertical="center"/>
    </xf>
    <xf numFmtId="0" fontId="51" fillId="0" borderId="0" xfId="0" applyFont="1" applyAlignment="1" applyProtection="1">
      <alignment vertical="center"/>
    </xf>
    <xf numFmtId="0" fontId="77" fillId="0" borderId="0" xfId="0" applyFont="1" applyAlignment="1" applyProtection="1">
      <alignment vertical="center"/>
    </xf>
    <xf numFmtId="0" fontId="0" fillId="0" borderId="0" xfId="0" applyProtection="1">
      <alignment vertical="center"/>
      <protection hidden="1"/>
    </xf>
    <xf numFmtId="0" fontId="16" fillId="2" borderId="0" xfId="1" applyFont="1" applyFill="1" applyBorder="1" applyAlignment="1" applyProtection="1">
      <alignment vertical="center"/>
      <protection hidden="1"/>
    </xf>
    <xf numFmtId="0" fontId="63" fillId="2" borderId="0" xfId="1" applyFont="1" applyFill="1" applyBorder="1" applyAlignment="1" applyProtection="1">
      <alignment horizontal="center" vertical="center"/>
      <protection hidden="1"/>
    </xf>
    <xf numFmtId="0" fontId="16" fillId="2" borderId="0" xfId="1" applyFont="1" applyFill="1" applyBorder="1" applyAlignment="1" applyProtection="1">
      <alignment horizontal="center" vertical="center"/>
      <protection hidden="1"/>
    </xf>
    <xf numFmtId="0" fontId="34" fillId="2" borderId="0" xfId="1" applyFont="1" applyFill="1" applyBorder="1" applyAlignment="1" applyProtection="1">
      <alignment horizontal="left" vertical="center" wrapText="1"/>
      <protection hidden="1"/>
    </xf>
    <xf numFmtId="0" fontId="18" fillId="2" borderId="0" xfId="1" applyFont="1" applyFill="1" applyBorder="1" applyAlignment="1" applyProtection="1">
      <alignment horizontal="left" vertical="center" wrapText="1"/>
      <protection hidden="1"/>
    </xf>
    <xf numFmtId="0" fontId="0" fillId="0" borderId="0" xfId="0" applyFont="1" applyProtection="1">
      <alignment vertical="center"/>
      <protection hidden="1"/>
    </xf>
    <xf numFmtId="0" fontId="0" fillId="2" borderId="0" xfId="0" applyFill="1" applyProtection="1">
      <alignment vertical="center"/>
      <protection hidden="1"/>
    </xf>
    <xf numFmtId="0" fontId="33" fillId="2" borderId="0" xfId="0" applyFont="1" applyFill="1" applyProtection="1">
      <alignment vertical="center"/>
      <protection hidden="1"/>
    </xf>
    <xf numFmtId="0" fontId="16" fillId="2" borderId="8" xfId="1" applyFont="1" applyFill="1" applyBorder="1" applyAlignment="1" applyProtection="1">
      <alignment vertical="center"/>
      <protection hidden="1"/>
    </xf>
    <xf numFmtId="0" fontId="16" fillId="2" borderId="5" xfId="1" applyFont="1" applyFill="1" applyBorder="1" applyAlignment="1" applyProtection="1">
      <alignment horizontal="right" vertical="center"/>
      <protection hidden="1"/>
    </xf>
    <xf numFmtId="0" fontId="16" fillId="2" borderId="19" xfId="1" applyFont="1" applyFill="1" applyBorder="1" applyAlignment="1" applyProtection="1">
      <alignment vertical="center"/>
      <protection hidden="1"/>
    </xf>
    <xf numFmtId="0" fontId="16" fillId="2" borderId="23" xfId="1" applyFont="1" applyFill="1" applyBorder="1" applyAlignment="1" applyProtection="1">
      <alignment vertical="center"/>
      <protection hidden="1"/>
    </xf>
    <xf numFmtId="1" fontId="16" fillId="7" borderId="5" xfId="1" applyNumberFormat="1" applyFont="1" applyFill="1" applyBorder="1" applyAlignment="1" applyProtection="1">
      <alignment horizontal="center" vertical="center"/>
      <protection hidden="1"/>
    </xf>
    <xf numFmtId="0" fontId="16" fillId="2" borderId="8" xfId="1" applyFont="1" applyFill="1" applyBorder="1" applyAlignment="1" applyProtection="1">
      <alignment vertical="center" wrapText="1"/>
      <protection hidden="1"/>
    </xf>
    <xf numFmtId="0" fontId="16" fillId="2" borderId="23" xfId="1" applyFont="1" applyFill="1" applyBorder="1" applyAlignment="1" applyProtection="1">
      <alignment horizontal="left" vertical="center"/>
      <protection hidden="1"/>
    </xf>
    <xf numFmtId="0" fontId="16" fillId="7" borderId="19" xfId="1" applyFont="1" applyFill="1" applyBorder="1" applyAlignment="1" applyProtection="1">
      <alignment horizontal="center" vertical="center"/>
      <protection hidden="1"/>
    </xf>
    <xf numFmtId="0" fontId="16" fillId="2" borderId="36" xfId="1" applyFont="1" applyFill="1" applyBorder="1" applyAlignment="1" applyProtection="1">
      <alignment vertical="center"/>
      <protection hidden="1"/>
    </xf>
    <xf numFmtId="0" fontId="16" fillId="2" borderId="28" xfId="1" applyFont="1" applyFill="1" applyBorder="1" applyAlignment="1" applyProtection="1">
      <alignment horizontal="right" vertical="center"/>
      <protection hidden="1"/>
    </xf>
    <xf numFmtId="0" fontId="16" fillId="7" borderId="21" xfId="1" applyFont="1" applyFill="1" applyBorder="1" applyAlignment="1" applyProtection="1">
      <alignment horizontal="center" vertical="center"/>
      <protection hidden="1"/>
    </xf>
    <xf numFmtId="0" fontId="16" fillId="2" borderId="21" xfId="1" applyFont="1" applyFill="1" applyBorder="1" applyAlignment="1" applyProtection="1">
      <alignment horizontal="left" vertical="center"/>
      <protection hidden="1"/>
    </xf>
    <xf numFmtId="0" fontId="16" fillId="2" borderId="24" xfId="1" applyFont="1" applyFill="1" applyBorder="1" applyAlignment="1" applyProtection="1">
      <alignment horizontal="left" vertical="center"/>
      <protection hidden="1"/>
    </xf>
    <xf numFmtId="11" fontId="16" fillId="7" borderId="21" xfId="1" applyNumberFormat="1" applyFont="1" applyFill="1" applyBorder="1" applyAlignment="1" applyProtection="1">
      <alignment horizontal="center" vertical="center"/>
      <protection hidden="1"/>
    </xf>
    <xf numFmtId="0" fontId="0" fillId="0" borderId="0" xfId="0" applyFont="1" applyFill="1" applyBorder="1" applyProtection="1">
      <alignment vertical="center"/>
      <protection hidden="1"/>
    </xf>
    <xf numFmtId="0" fontId="16" fillId="2" borderId="19" xfId="1" applyFont="1" applyFill="1" applyBorder="1" applyAlignment="1" applyProtection="1">
      <alignment vertical="center" wrapText="1"/>
      <protection hidden="1"/>
    </xf>
    <xf numFmtId="0" fontId="16" fillId="0" borderId="0" xfId="0" applyFont="1" applyProtection="1">
      <alignment vertical="center"/>
      <protection hidden="1"/>
    </xf>
    <xf numFmtId="0" fontId="16" fillId="2" borderId="19" xfId="2" applyFont="1" applyFill="1" applyBorder="1" applyAlignment="1" applyProtection="1">
      <alignment vertical="center"/>
      <protection hidden="1"/>
    </xf>
    <xf numFmtId="0" fontId="16" fillId="4" borderId="36" xfId="1" applyFont="1" applyFill="1" applyBorder="1" applyAlignment="1" applyProtection="1">
      <alignment vertical="center"/>
      <protection hidden="1"/>
    </xf>
    <xf numFmtId="0" fontId="16" fillId="4" borderId="28" xfId="1" applyFont="1" applyFill="1" applyBorder="1" applyAlignment="1" applyProtection="1">
      <alignment horizontal="right" vertical="center"/>
      <protection hidden="1"/>
    </xf>
    <xf numFmtId="0" fontId="16" fillId="4" borderId="21" xfId="1" applyFont="1" applyFill="1" applyBorder="1" applyAlignment="1" applyProtection="1">
      <alignment vertical="center" wrapText="1"/>
      <protection hidden="1"/>
    </xf>
    <xf numFmtId="0" fontId="16" fillId="4" borderId="24" xfId="1" applyFont="1" applyFill="1" applyBorder="1" applyAlignment="1" applyProtection="1">
      <alignment horizontal="left" vertical="center"/>
      <protection hidden="1"/>
    </xf>
    <xf numFmtId="0" fontId="16" fillId="2" borderId="36" xfId="1" applyFont="1" applyFill="1" applyBorder="1" applyAlignment="1" applyProtection="1">
      <alignment vertical="center" wrapText="1"/>
      <protection hidden="1"/>
    </xf>
    <xf numFmtId="0" fontId="16" fillId="2" borderId="21" xfId="1" applyFont="1" applyFill="1" applyBorder="1" applyAlignment="1" applyProtection="1">
      <alignment vertical="center" wrapText="1"/>
      <protection hidden="1"/>
    </xf>
    <xf numFmtId="0" fontId="16" fillId="4" borderId="36" xfId="1" applyFont="1" applyFill="1" applyBorder="1" applyAlignment="1" applyProtection="1">
      <alignment vertical="center" wrapText="1"/>
      <protection hidden="1"/>
    </xf>
    <xf numFmtId="0" fontId="16" fillId="4" borderId="21" xfId="1" applyFont="1" applyFill="1" applyBorder="1" applyAlignment="1" applyProtection="1">
      <alignment horizontal="left" vertical="center"/>
      <protection hidden="1"/>
    </xf>
    <xf numFmtId="0" fontId="16" fillId="4" borderId="8" xfId="1" applyFont="1" applyFill="1" applyBorder="1" applyAlignment="1" applyProtection="1">
      <alignment vertical="center" wrapText="1"/>
      <protection hidden="1"/>
    </xf>
    <xf numFmtId="0" fontId="16" fillId="4" borderId="5" xfId="1" applyFont="1" applyFill="1" applyBorder="1" applyAlignment="1" applyProtection="1">
      <alignment horizontal="right" vertical="center"/>
      <protection hidden="1"/>
    </xf>
    <xf numFmtId="0" fontId="16" fillId="4" borderId="6" xfId="1" applyFont="1" applyFill="1" applyBorder="1" applyAlignment="1" applyProtection="1">
      <alignment horizontal="left" vertical="center"/>
      <protection hidden="1"/>
    </xf>
    <xf numFmtId="0" fontId="16" fillId="4" borderId="23" xfId="1" applyFont="1" applyFill="1" applyBorder="1" applyAlignment="1" applyProtection="1">
      <alignment horizontal="left" vertical="center"/>
      <protection hidden="1"/>
    </xf>
    <xf numFmtId="0" fontId="16" fillId="4" borderId="10" xfId="1" applyFont="1" applyFill="1" applyBorder="1" applyAlignment="1" applyProtection="1">
      <alignment vertical="center"/>
      <protection hidden="1"/>
    </xf>
    <xf numFmtId="0" fontId="16" fillId="4" borderId="11" xfId="1" applyFont="1" applyFill="1" applyBorder="1" applyAlignment="1" applyProtection="1">
      <alignment horizontal="right" vertical="center"/>
      <protection hidden="1"/>
    </xf>
    <xf numFmtId="0" fontId="16" fillId="4" borderId="25" xfId="1" applyFont="1" applyFill="1" applyBorder="1" applyAlignment="1" applyProtection="1">
      <alignment horizontal="left" vertical="center"/>
      <protection hidden="1"/>
    </xf>
    <xf numFmtId="0" fontId="16" fillId="4" borderId="26" xfId="1" applyFont="1" applyFill="1" applyBorder="1" applyAlignment="1" applyProtection="1">
      <alignment horizontal="left" vertical="center"/>
      <protection hidden="1"/>
    </xf>
    <xf numFmtId="0" fontId="0" fillId="0" borderId="0" xfId="0" applyFont="1" applyAlignment="1" applyProtection="1">
      <alignment horizontal="right" vertical="center"/>
      <protection hidden="1"/>
    </xf>
    <xf numFmtId="0" fontId="71" fillId="2" borderId="0" xfId="1" applyFont="1" applyFill="1" applyBorder="1" applyAlignment="1" applyProtection="1">
      <alignment horizontal="left" vertical="center" wrapText="1"/>
      <protection hidden="1"/>
    </xf>
    <xf numFmtId="0" fontId="25" fillId="2" borderId="8" xfId="1" applyFont="1" applyFill="1" applyBorder="1" applyAlignment="1" applyProtection="1">
      <alignment vertical="center"/>
      <protection hidden="1"/>
    </xf>
    <xf numFmtId="0" fontId="30" fillId="2" borderId="30" xfId="1" applyFont="1" applyFill="1" applyBorder="1" applyAlignment="1" applyProtection="1">
      <alignment horizontal="right" vertical="center"/>
      <protection hidden="1"/>
    </xf>
    <xf numFmtId="164" fontId="25" fillId="2" borderId="5" xfId="1" applyNumberFormat="1" applyFont="1" applyFill="1" applyBorder="1" applyAlignment="1" applyProtection="1">
      <alignment horizontal="center" vertical="center"/>
      <protection hidden="1"/>
    </xf>
    <xf numFmtId="0" fontId="7" fillId="0" borderId="0" xfId="0" applyFont="1" applyProtection="1">
      <alignment vertical="center"/>
      <protection hidden="1"/>
    </xf>
    <xf numFmtId="0" fontId="0" fillId="0" borderId="0" xfId="0" quotePrefix="1" applyFont="1" applyProtection="1">
      <alignment vertical="center"/>
      <protection hidden="1"/>
    </xf>
    <xf numFmtId="0" fontId="25" fillId="2" borderId="5" xfId="1" applyFont="1" applyFill="1" applyBorder="1" applyAlignment="1" applyProtection="1">
      <alignment horizontal="right" vertical="center"/>
      <protection hidden="1"/>
    </xf>
    <xf numFmtId="0" fontId="25" fillId="4" borderId="8" xfId="1" applyFont="1" applyFill="1" applyBorder="1" applyAlignment="1" applyProtection="1">
      <alignment vertical="center"/>
      <protection hidden="1"/>
    </xf>
    <xf numFmtId="0" fontId="25" fillId="4" borderId="5" xfId="1" applyFont="1" applyFill="1" applyBorder="1" applyAlignment="1" applyProtection="1">
      <alignment horizontal="right" vertical="center"/>
      <protection hidden="1"/>
    </xf>
    <xf numFmtId="0" fontId="0" fillId="4" borderId="19" xfId="0" applyFill="1" applyBorder="1" applyProtection="1">
      <alignment vertical="center"/>
      <protection hidden="1"/>
    </xf>
    <xf numFmtId="0" fontId="25" fillId="4" borderId="23" xfId="1" applyFont="1" applyFill="1" applyBorder="1" applyAlignment="1" applyProtection="1">
      <alignment horizontal="left" vertical="center"/>
      <protection hidden="1"/>
    </xf>
    <xf numFmtId="0" fontId="25" fillId="4" borderId="41" xfId="1" applyFont="1" applyFill="1" applyBorder="1" applyAlignment="1" applyProtection="1">
      <alignment horizontal="center" vertical="center"/>
      <protection hidden="1"/>
    </xf>
    <xf numFmtId="0" fontId="25" fillId="4" borderId="42" xfId="1" applyFont="1" applyFill="1" applyBorder="1" applyAlignment="1" applyProtection="1">
      <alignment horizontal="left" vertical="center"/>
      <protection hidden="1"/>
    </xf>
    <xf numFmtId="165" fontId="25" fillId="2" borderId="5" xfId="1" applyNumberFormat="1" applyFont="1" applyFill="1" applyBorder="1" applyAlignment="1" applyProtection="1">
      <alignment horizontal="center" vertical="center"/>
      <protection hidden="1"/>
    </xf>
    <xf numFmtId="0" fontId="25" fillId="2" borderId="19" xfId="1" applyFont="1" applyFill="1" applyBorder="1" applyAlignment="1" applyProtection="1">
      <alignment horizontal="center" vertical="center"/>
      <protection hidden="1"/>
    </xf>
    <xf numFmtId="0" fontId="25" fillId="2" borderId="23" xfId="1" applyFont="1" applyFill="1" applyBorder="1" applyAlignment="1" applyProtection="1">
      <alignment horizontal="left" vertical="center"/>
      <protection hidden="1"/>
    </xf>
    <xf numFmtId="0" fontId="37" fillId="4" borderId="19" xfId="1" applyFont="1" applyFill="1" applyBorder="1" applyAlignment="1" applyProtection="1">
      <alignment horizontal="left" vertical="center"/>
      <protection hidden="1"/>
    </xf>
    <xf numFmtId="1" fontId="16" fillId="2" borderId="5" xfId="1" applyNumberFormat="1" applyFont="1" applyFill="1" applyBorder="1" applyAlignment="1" applyProtection="1">
      <alignment horizontal="center" vertical="center"/>
      <protection hidden="1"/>
    </xf>
    <xf numFmtId="0" fontId="16" fillId="2" borderId="19" xfId="1" applyFont="1" applyFill="1" applyBorder="1" applyAlignment="1" applyProtection="1">
      <alignment horizontal="left" vertical="center"/>
      <protection hidden="1"/>
    </xf>
    <xf numFmtId="0" fontId="16" fillId="0" borderId="5" xfId="1" applyFont="1" applyFill="1" applyBorder="1" applyAlignment="1" applyProtection="1">
      <alignment horizontal="right" vertical="center"/>
      <protection hidden="1"/>
    </xf>
    <xf numFmtId="164" fontId="16" fillId="0" borderId="5" xfId="1" applyNumberFormat="1" applyFont="1" applyFill="1" applyBorder="1" applyAlignment="1" applyProtection="1">
      <alignment horizontal="center" vertical="center"/>
      <protection hidden="1"/>
    </xf>
    <xf numFmtId="0" fontId="7" fillId="0" borderId="0" xfId="0" applyFont="1" applyAlignment="1" applyProtection="1">
      <alignment horizontal="right" vertical="center"/>
      <protection hidden="1"/>
    </xf>
    <xf numFmtId="0" fontId="7" fillId="0" borderId="0" xfId="0" quotePrefix="1" applyFont="1" applyProtection="1">
      <alignment vertical="center"/>
      <protection hidden="1"/>
    </xf>
    <xf numFmtId="0" fontId="25" fillId="4" borderId="36" xfId="1" applyFont="1" applyFill="1" applyBorder="1" applyAlignment="1" applyProtection="1">
      <alignment vertical="center"/>
      <protection hidden="1"/>
    </xf>
    <xf numFmtId="164" fontId="25" fillId="4" borderId="5" xfId="1" applyNumberFormat="1" applyFont="1" applyFill="1" applyBorder="1" applyAlignment="1" applyProtection="1">
      <alignment horizontal="right" vertical="center"/>
      <protection hidden="1"/>
    </xf>
    <xf numFmtId="0" fontId="25" fillId="4" borderId="19" xfId="1" applyFont="1" applyFill="1" applyBorder="1" applyAlignment="1" applyProtection="1">
      <alignment vertical="center" wrapText="1"/>
      <protection hidden="1"/>
    </xf>
    <xf numFmtId="0" fontId="25" fillId="4" borderId="23" xfId="1" applyFont="1" applyFill="1" applyBorder="1" applyAlignment="1" applyProtection="1">
      <alignment vertical="center"/>
      <protection hidden="1"/>
    </xf>
    <xf numFmtId="0" fontId="25" fillId="2" borderId="19" xfId="1" applyFont="1" applyFill="1" applyBorder="1" applyAlignment="1" applyProtection="1">
      <alignment vertical="center" wrapText="1"/>
      <protection hidden="1"/>
    </xf>
    <xf numFmtId="0" fontId="25" fillId="2" borderId="23" xfId="1" applyFont="1" applyFill="1" applyBorder="1" applyAlignment="1" applyProtection="1">
      <alignment vertical="center"/>
      <protection hidden="1"/>
    </xf>
    <xf numFmtId="0" fontId="25" fillId="4" borderId="19" xfId="1" applyFont="1" applyFill="1" applyBorder="1" applyAlignment="1" applyProtection="1">
      <alignment vertical="center"/>
      <protection hidden="1"/>
    </xf>
    <xf numFmtId="0" fontId="25" fillId="4" borderId="10" xfId="1" applyFont="1" applyFill="1" applyBorder="1" applyAlignment="1" applyProtection="1">
      <alignment vertical="center"/>
      <protection hidden="1"/>
    </xf>
    <xf numFmtId="0" fontId="25" fillId="4" borderId="11" xfId="1" applyFont="1" applyFill="1" applyBorder="1" applyAlignment="1" applyProtection="1">
      <alignment horizontal="right" vertical="center"/>
      <protection hidden="1"/>
    </xf>
    <xf numFmtId="0" fontId="25" fillId="4" borderId="22" xfId="2" applyFont="1" applyFill="1" applyBorder="1" applyAlignment="1" applyProtection="1">
      <alignment vertical="center"/>
      <protection hidden="1"/>
    </xf>
    <xf numFmtId="0" fontId="25" fillId="4" borderId="26" xfId="1" applyFont="1" applyFill="1" applyBorder="1" applyAlignment="1" applyProtection="1">
      <alignment vertical="center"/>
      <protection hidden="1"/>
    </xf>
    <xf numFmtId="0" fontId="16" fillId="2" borderId="0" xfId="1" applyFont="1" applyFill="1" applyBorder="1" applyAlignment="1" applyProtection="1">
      <alignment horizontal="right" vertical="center"/>
      <protection hidden="1"/>
    </xf>
    <xf numFmtId="0" fontId="16" fillId="2" borderId="19" xfId="1" applyFont="1" applyFill="1" applyBorder="1" applyAlignment="1" applyProtection="1">
      <alignment horizontal="center" vertical="center"/>
      <protection hidden="1"/>
    </xf>
    <xf numFmtId="0" fontId="16" fillId="2" borderId="5" xfId="1" applyFont="1" applyFill="1" applyBorder="1" applyAlignment="1" applyProtection="1">
      <alignment horizontal="center" vertical="center"/>
      <protection hidden="1"/>
    </xf>
    <xf numFmtId="1" fontId="16" fillId="2" borderId="21" xfId="1" applyNumberFormat="1" applyFont="1" applyFill="1" applyBorder="1" applyAlignment="1" applyProtection="1">
      <alignment horizontal="center" vertical="center"/>
      <protection hidden="1"/>
    </xf>
    <xf numFmtId="0" fontId="16" fillId="2" borderId="10" xfId="1" applyFont="1" applyFill="1" applyBorder="1" applyAlignment="1" applyProtection="1">
      <alignment vertical="center"/>
      <protection hidden="1"/>
    </xf>
    <xf numFmtId="0" fontId="16" fillId="2" borderId="11" xfId="1" applyFont="1" applyFill="1" applyBorder="1" applyAlignment="1" applyProtection="1">
      <alignment horizontal="right" vertical="center"/>
      <protection hidden="1"/>
    </xf>
    <xf numFmtId="1" fontId="16" fillId="2" borderId="11" xfId="1" applyNumberFormat="1" applyFont="1" applyFill="1" applyBorder="1" applyAlignment="1" applyProtection="1">
      <alignment horizontal="center" vertical="center"/>
      <protection hidden="1"/>
    </xf>
    <xf numFmtId="0" fontId="16" fillId="2" borderId="22" xfId="1" applyFont="1" applyFill="1" applyBorder="1" applyAlignment="1" applyProtection="1">
      <alignment vertical="center"/>
      <protection hidden="1"/>
    </xf>
    <xf numFmtId="0" fontId="16" fillId="2" borderId="26" xfId="1" applyFont="1" applyFill="1" applyBorder="1" applyAlignment="1" applyProtection="1">
      <alignment vertical="center"/>
      <protection hidden="1"/>
    </xf>
    <xf numFmtId="0" fontId="16" fillId="4" borderId="19" xfId="1" applyFont="1" applyFill="1" applyBorder="1" applyAlignment="1" applyProtection="1">
      <alignment horizontal="left" vertical="center"/>
      <protection hidden="1"/>
    </xf>
    <xf numFmtId="0" fontId="16" fillId="4" borderId="23" xfId="1" applyFont="1" applyFill="1" applyBorder="1" applyAlignment="1" applyProtection="1">
      <alignment horizontal="left" vertical="center" wrapText="1"/>
      <protection hidden="1"/>
    </xf>
    <xf numFmtId="164" fontId="16" fillId="2" borderId="28" xfId="1" applyNumberFormat="1" applyFont="1" applyFill="1" applyBorder="1" applyAlignment="1" applyProtection="1">
      <alignment horizontal="center" vertical="center"/>
      <protection hidden="1"/>
    </xf>
    <xf numFmtId="164" fontId="16" fillId="4" borderId="5" xfId="1" applyNumberFormat="1" applyFont="1" applyFill="1" applyBorder="1" applyAlignment="1" applyProtection="1">
      <alignment horizontal="right" vertical="center"/>
      <protection hidden="1"/>
    </xf>
    <xf numFmtId="0" fontId="16" fillId="0" borderId="23" xfId="1" applyFont="1" applyFill="1" applyBorder="1" applyAlignment="1" applyProtection="1">
      <alignment horizontal="left" vertical="center"/>
      <protection hidden="1"/>
    </xf>
    <xf numFmtId="0" fontId="0" fillId="0" borderId="0" xfId="0" applyFill="1" applyProtection="1">
      <alignment vertical="center"/>
      <protection hidden="1"/>
    </xf>
    <xf numFmtId="0" fontId="16" fillId="2" borderId="11" xfId="1" applyNumberFormat="1" applyFont="1" applyFill="1" applyBorder="1" applyAlignment="1" applyProtection="1">
      <alignment horizontal="center" vertical="center"/>
      <protection hidden="1"/>
    </xf>
    <xf numFmtId="0" fontId="16" fillId="2" borderId="22" xfId="1" applyFont="1" applyFill="1" applyBorder="1" applyAlignment="1" applyProtection="1">
      <alignment horizontal="left" vertical="center"/>
      <protection hidden="1"/>
    </xf>
    <xf numFmtId="0" fontId="16" fillId="2" borderId="26" xfId="1" applyFont="1" applyFill="1" applyBorder="1" applyAlignment="1" applyProtection="1">
      <alignment horizontal="left" vertical="center"/>
      <protection hidden="1"/>
    </xf>
    <xf numFmtId="0" fontId="21" fillId="3" borderId="37" xfId="1" applyFont="1" applyFill="1" applyBorder="1" applyAlignment="1" applyProtection="1">
      <alignment horizontal="left" vertical="center"/>
      <protection hidden="1"/>
    </xf>
    <xf numFmtId="0" fontId="21" fillId="3" borderId="38" xfId="1" applyFont="1" applyFill="1" applyBorder="1" applyAlignment="1" applyProtection="1">
      <alignment horizontal="right" vertical="center"/>
      <protection hidden="1"/>
    </xf>
    <xf numFmtId="0" fontId="21" fillId="3" borderId="38" xfId="1" applyFont="1" applyFill="1" applyBorder="1" applyAlignment="1" applyProtection="1">
      <alignment horizontal="center" vertical="center"/>
      <protection hidden="1"/>
    </xf>
    <xf numFmtId="0" fontId="21" fillId="3" borderId="38" xfId="1" applyFont="1" applyFill="1" applyBorder="1" applyAlignment="1" applyProtection="1">
      <alignment horizontal="left" vertical="center"/>
      <protection hidden="1"/>
    </xf>
    <xf numFmtId="0" fontId="21" fillId="3" borderId="39" xfId="1" applyFont="1" applyFill="1" applyBorder="1" applyAlignment="1" applyProtection="1">
      <alignment horizontal="left" vertical="center"/>
      <protection hidden="1"/>
    </xf>
    <xf numFmtId="0" fontId="16" fillId="2" borderId="23" xfId="2" applyFont="1" applyFill="1" applyBorder="1" applyAlignment="1" applyProtection="1">
      <alignment vertical="center"/>
      <protection hidden="1"/>
    </xf>
    <xf numFmtId="0" fontId="16" fillId="4" borderId="19" xfId="2" applyFont="1" applyFill="1" applyBorder="1" applyAlignment="1" applyProtection="1">
      <alignment vertical="center"/>
      <protection hidden="1"/>
    </xf>
    <xf numFmtId="0" fontId="16" fillId="4" borderId="23" xfId="2" applyFont="1" applyFill="1" applyBorder="1" applyAlignment="1" applyProtection="1">
      <alignment vertical="center"/>
      <protection hidden="1"/>
    </xf>
    <xf numFmtId="0" fontId="16" fillId="2" borderId="28" xfId="1" applyNumberFormat="1" applyFont="1" applyFill="1" applyBorder="1" applyAlignment="1" applyProtection="1">
      <alignment horizontal="center" vertical="center"/>
      <protection hidden="1"/>
    </xf>
    <xf numFmtId="165" fontId="16" fillId="2" borderId="28" xfId="1" applyNumberFormat="1" applyFont="1" applyFill="1" applyBorder="1" applyAlignment="1" applyProtection="1">
      <alignment horizontal="center" vertical="center"/>
      <protection hidden="1"/>
    </xf>
    <xf numFmtId="0" fontId="16" fillId="0" borderId="36" xfId="1" applyFont="1" applyFill="1" applyBorder="1" applyAlignment="1" applyProtection="1">
      <alignment vertical="center"/>
      <protection hidden="1"/>
    </xf>
    <xf numFmtId="0" fontId="16" fillId="0" borderId="28" xfId="1" applyNumberFormat="1" applyFont="1" applyFill="1" applyBorder="1" applyAlignment="1" applyProtection="1">
      <alignment horizontal="center" vertical="center"/>
      <protection hidden="1"/>
    </xf>
    <xf numFmtId="0" fontId="16" fillId="2" borderId="21" xfId="2" applyFont="1" applyFill="1" applyBorder="1" applyAlignment="1" applyProtection="1">
      <alignment vertical="center"/>
      <protection hidden="1"/>
    </xf>
    <xf numFmtId="0" fontId="16" fillId="2" borderId="24" xfId="2" applyFont="1" applyFill="1" applyBorder="1" applyAlignment="1" applyProtection="1">
      <alignment vertical="center"/>
      <protection hidden="1"/>
    </xf>
    <xf numFmtId="0" fontId="16" fillId="2" borderId="56" xfId="1" applyFont="1" applyFill="1" applyBorder="1" applyAlignment="1" applyProtection="1">
      <alignment horizontal="right" vertical="center"/>
      <protection hidden="1"/>
    </xf>
    <xf numFmtId="165" fontId="16" fillId="2" borderId="11" xfId="1" applyNumberFormat="1" applyFont="1" applyFill="1" applyBorder="1" applyAlignment="1" applyProtection="1">
      <alignment horizontal="center" vertical="center"/>
      <protection hidden="1"/>
    </xf>
    <xf numFmtId="0" fontId="16" fillId="2" borderId="22" xfId="2" applyFont="1" applyFill="1" applyBorder="1" applyAlignment="1" applyProtection="1">
      <alignment vertical="center"/>
      <protection hidden="1"/>
    </xf>
    <xf numFmtId="0" fontId="16" fillId="2" borderId="26" xfId="2" applyFont="1" applyFill="1" applyBorder="1" applyAlignment="1" applyProtection="1">
      <alignment vertical="center"/>
      <protection hidden="1"/>
    </xf>
    <xf numFmtId="0" fontId="16" fillId="4" borderId="8" xfId="1" applyFont="1" applyFill="1" applyBorder="1" applyAlignment="1" applyProtection="1">
      <alignment vertical="center"/>
      <protection hidden="1"/>
    </xf>
    <xf numFmtId="0" fontId="16" fillId="4" borderId="23" xfId="2" applyFont="1" applyFill="1" applyBorder="1" applyAlignment="1" applyProtection="1">
      <alignment horizontal="left" vertical="center" wrapText="1"/>
      <protection hidden="1"/>
    </xf>
    <xf numFmtId="164" fontId="16" fillId="2" borderId="5" xfId="1" applyNumberFormat="1" applyFont="1" applyFill="1" applyBorder="1" applyAlignment="1" applyProtection="1">
      <alignment horizontal="center" vertical="center"/>
      <protection hidden="1"/>
    </xf>
    <xf numFmtId="0" fontId="16" fillId="2" borderId="41" xfId="2" applyFont="1" applyFill="1" applyBorder="1" applyAlignment="1" applyProtection="1">
      <alignment horizontal="left" vertical="center"/>
      <protection hidden="1"/>
    </xf>
    <xf numFmtId="0" fontId="16" fillId="2" borderId="42" xfId="2" applyFont="1" applyFill="1" applyBorder="1" applyAlignment="1" applyProtection="1">
      <alignment horizontal="left" vertical="center"/>
      <protection hidden="1"/>
    </xf>
    <xf numFmtId="164" fontId="16" fillId="2" borderId="11" xfId="1" applyNumberFormat="1" applyFont="1" applyFill="1" applyBorder="1" applyAlignment="1" applyProtection="1">
      <alignment horizontal="center" vertical="center"/>
      <protection hidden="1"/>
    </xf>
    <xf numFmtId="0" fontId="16" fillId="2" borderId="22" xfId="2" applyFont="1" applyFill="1" applyBorder="1" applyAlignment="1" applyProtection="1">
      <alignment horizontal="left" vertical="center"/>
      <protection hidden="1"/>
    </xf>
    <xf numFmtId="0" fontId="16" fillId="2" borderId="26" xfId="2" applyFont="1" applyFill="1" applyBorder="1" applyAlignment="1" applyProtection="1">
      <alignment horizontal="left" vertical="center"/>
      <protection hidden="1"/>
    </xf>
    <xf numFmtId="1" fontId="16" fillId="2" borderId="28" xfId="1" applyNumberFormat="1" applyFont="1" applyFill="1" applyBorder="1" applyAlignment="1" applyProtection="1">
      <alignment horizontal="center" vertical="center"/>
      <protection hidden="1"/>
    </xf>
    <xf numFmtId="0" fontId="16" fillId="2" borderId="5" xfId="1" applyNumberFormat="1" applyFont="1" applyFill="1" applyBorder="1" applyAlignment="1" applyProtection="1">
      <alignment horizontal="center" vertical="center"/>
      <protection hidden="1"/>
    </xf>
    <xf numFmtId="164" fontId="16" fillId="2" borderId="0" xfId="1" applyNumberFormat="1" applyFont="1" applyFill="1" applyBorder="1" applyAlignment="1" applyProtection="1">
      <alignment horizontal="center" vertical="center"/>
      <protection hidden="1"/>
    </xf>
    <xf numFmtId="0" fontId="16" fillId="2" borderId="0" xfId="2" applyFont="1" applyFill="1" applyBorder="1" applyAlignment="1" applyProtection="1">
      <alignment horizontal="left" vertical="center"/>
      <protection hidden="1"/>
    </xf>
    <xf numFmtId="165" fontId="16" fillId="2" borderId="5" xfId="1" applyNumberFormat="1" applyFont="1" applyFill="1" applyBorder="1" applyAlignment="1" applyProtection="1">
      <alignment horizontal="center" vertical="center"/>
      <protection hidden="1"/>
    </xf>
    <xf numFmtId="0" fontId="16" fillId="2" borderId="4" xfId="2" applyFont="1" applyFill="1" applyBorder="1" applyAlignment="1" applyProtection="1">
      <alignment horizontal="left" vertical="center"/>
      <protection hidden="1"/>
    </xf>
    <xf numFmtId="0" fontId="97" fillId="0" borderId="0" xfId="0" applyFont="1" applyProtection="1">
      <alignment vertical="center"/>
      <protection hidden="1"/>
    </xf>
    <xf numFmtId="2" fontId="16" fillId="2" borderId="5" xfId="1" applyNumberFormat="1" applyFont="1" applyFill="1" applyBorder="1" applyAlignment="1" applyProtection="1">
      <alignment horizontal="center" vertical="center"/>
      <protection hidden="1"/>
    </xf>
    <xf numFmtId="164" fontId="16" fillId="2" borderId="30" xfId="1" applyNumberFormat="1" applyFont="1" applyFill="1" applyBorder="1" applyAlignment="1" applyProtection="1">
      <alignment horizontal="center" vertical="center"/>
      <protection hidden="1"/>
    </xf>
    <xf numFmtId="0" fontId="16" fillId="2" borderId="19" xfId="2" applyFont="1" applyFill="1" applyBorder="1" applyAlignment="1" applyProtection="1">
      <alignment horizontal="left" vertical="center"/>
      <protection hidden="1"/>
    </xf>
    <xf numFmtId="0" fontId="16" fillId="2" borderId="23" xfId="2" applyFont="1" applyFill="1" applyBorder="1" applyAlignment="1" applyProtection="1">
      <alignment horizontal="left" vertical="center"/>
      <protection hidden="1"/>
    </xf>
    <xf numFmtId="1" fontId="16" fillId="2" borderId="30" xfId="1" applyNumberFormat="1" applyFont="1" applyFill="1" applyBorder="1" applyAlignment="1" applyProtection="1">
      <alignment horizontal="center" vertical="center"/>
      <protection hidden="1"/>
    </xf>
    <xf numFmtId="0" fontId="16" fillId="2" borderId="23" xfId="1" applyFont="1" applyFill="1" applyBorder="1" applyAlignment="1" applyProtection="1">
      <alignment horizontal="right" vertical="center"/>
      <protection hidden="1"/>
    </xf>
    <xf numFmtId="0" fontId="16" fillId="2" borderId="43" xfId="2" applyFont="1" applyFill="1" applyBorder="1" applyAlignment="1" applyProtection="1">
      <alignment horizontal="left" vertical="center"/>
      <protection hidden="1"/>
    </xf>
    <xf numFmtId="0" fontId="16" fillId="2" borderId="14" xfId="2" applyFont="1" applyFill="1" applyBorder="1" applyAlignment="1" applyProtection="1">
      <alignment horizontal="left" vertical="center"/>
      <protection hidden="1"/>
    </xf>
    <xf numFmtId="0" fontId="16" fillId="2" borderId="24" xfId="2" applyFont="1" applyFill="1" applyBorder="1" applyAlignment="1" applyProtection="1">
      <alignment horizontal="left" vertical="center"/>
      <protection hidden="1"/>
    </xf>
    <xf numFmtId="0" fontId="16" fillId="4" borderId="41" xfId="2" applyFont="1" applyFill="1" applyBorder="1" applyAlignment="1" applyProtection="1">
      <alignment horizontal="left" vertical="center"/>
      <protection hidden="1"/>
    </xf>
    <xf numFmtId="0" fontId="16" fillId="4" borderId="42" xfId="2" applyFont="1" applyFill="1" applyBorder="1" applyAlignment="1" applyProtection="1">
      <alignment horizontal="left" vertical="center"/>
      <protection hidden="1"/>
    </xf>
    <xf numFmtId="0" fontId="16" fillId="4" borderId="42" xfId="2" applyFont="1" applyFill="1" applyBorder="1" applyAlignment="1" applyProtection="1">
      <alignment horizontal="left" vertical="center" wrapText="1"/>
      <protection hidden="1"/>
    </xf>
    <xf numFmtId="0" fontId="16" fillId="4" borderId="19" xfId="2" applyFont="1" applyFill="1" applyBorder="1" applyAlignment="1" applyProtection="1">
      <alignment horizontal="left" vertical="center"/>
      <protection hidden="1"/>
    </xf>
    <xf numFmtId="0" fontId="16" fillId="4" borderId="24" xfId="2" applyFont="1" applyFill="1" applyBorder="1" applyAlignment="1" applyProtection="1">
      <alignment horizontal="left" vertical="center"/>
      <protection hidden="1"/>
    </xf>
    <xf numFmtId="165" fontId="16" fillId="2" borderId="30" xfId="1" applyNumberFormat="1" applyFont="1" applyFill="1" applyBorder="1" applyAlignment="1" applyProtection="1">
      <alignment horizontal="center" vertical="center"/>
      <protection hidden="1"/>
    </xf>
    <xf numFmtId="0" fontId="16" fillId="2" borderId="42" xfId="1" applyFont="1" applyFill="1" applyBorder="1" applyAlignment="1" applyProtection="1">
      <alignment horizontal="left" vertical="center"/>
      <protection hidden="1"/>
    </xf>
    <xf numFmtId="0" fontId="16" fillId="4" borderId="10" xfId="1" applyFont="1" applyFill="1" applyBorder="1" applyAlignment="1" applyProtection="1">
      <alignment vertical="center" wrapText="1"/>
      <protection hidden="1"/>
    </xf>
    <xf numFmtId="0" fontId="16" fillId="4" borderId="22" xfId="2" applyFont="1" applyFill="1" applyBorder="1" applyAlignment="1" applyProtection="1">
      <alignment horizontal="left" vertical="center"/>
      <protection hidden="1"/>
    </xf>
    <xf numFmtId="0" fontId="21" fillId="3" borderId="50" xfId="1" applyFont="1" applyFill="1" applyBorder="1" applyAlignment="1" applyProtection="1">
      <alignment horizontal="left" vertical="center"/>
      <protection hidden="1"/>
    </xf>
    <xf numFmtId="0" fontId="21" fillId="2" borderId="19" xfId="1" applyFont="1" applyFill="1" applyBorder="1" applyAlignment="1" applyProtection="1">
      <alignment horizontal="right" vertical="center"/>
      <protection hidden="1"/>
    </xf>
    <xf numFmtId="0" fontId="21" fillId="2" borderId="49" xfId="1" applyFont="1" applyFill="1" applyBorder="1" applyAlignment="1" applyProtection="1">
      <alignment horizontal="center" vertical="center"/>
      <protection hidden="1"/>
    </xf>
    <xf numFmtId="0" fontId="21" fillId="2" borderId="49" xfId="1" applyFont="1" applyFill="1" applyBorder="1" applyAlignment="1" applyProtection="1">
      <alignment horizontal="left" vertical="center"/>
      <protection hidden="1"/>
    </xf>
    <xf numFmtId="0" fontId="21" fillId="2" borderId="42" xfId="1" applyFont="1" applyFill="1" applyBorder="1" applyAlignment="1" applyProtection="1">
      <alignment horizontal="left" vertical="center"/>
      <protection hidden="1"/>
    </xf>
    <xf numFmtId="0" fontId="21" fillId="3" borderId="8" xfId="1" applyFont="1" applyFill="1" applyBorder="1" applyAlignment="1" applyProtection="1">
      <alignment vertical="center" wrapText="1"/>
      <protection hidden="1"/>
    </xf>
    <xf numFmtId="0" fontId="72" fillId="2" borderId="5" xfId="1" applyFont="1" applyFill="1" applyBorder="1" applyAlignment="1" applyProtection="1">
      <alignment horizontal="right" vertical="center"/>
      <protection hidden="1"/>
    </xf>
    <xf numFmtId="164" fontId="72" fillId="2" borderId="5" xfId="1" applyNumberFormat="1" applyFont="1" applyFill="1" applyBorder="1" applyAlignment="1" applyProtection="1">
      <alignment horizontal="center" vertical="center"/>
      <protection hidden="1"/>
    </xf>
    <xf numFmtId="0" fontId="16" fillId="2" borderId="10" xfId="1" applyFont="1" applyFill="1" applyBorder="1" applyAlignment="1" applyProtection="1">
      <alignment vertical="center" wrapText="1"/>
      <protection hidden="1"/>
    </xf>
    <xf numFmtId="1" fontId="16" fillId="4" borderId="28" xfId="1" applyNumberFormat="1" applyFont="1" applyFill="1" applyBorder="1" applyAlignment="1" applyProtection="1">
      <alignment horizontal="center" vertical="center"/>
      <protection locked="0"/>
    </xf>
    <xf numFmtId="0" fontId="89" fillId="0" borderId="0" xfId="0" applyFont="1" applyFill="1" applyAlignment="1" applyProtection="1">
      <alignment horizontal="center" vertical="center" wrapText="1"/>
    </xf>
    <xf numFmtId="0" fontId="29" fillId="2" borderId="10" xfId="3" applyFont="1" applyFill="1" applyBorder="1" applyAlignment="1" applyProtection="1">
      <alignment vertical="center"/>
    </xf>
    <xf numFmtId="0" fontId="37" fillId="2" borderId="47" xfId="3" applyFont="1" applyFill="1" applyBorder="1" applyAlignment="1" applyProtection="1">
      <alignment vertical="center"/>
    </xf>
    <xf numFmtId="164" fontId="37" fillId="2" borderId="38" xfId="3" applyNumberFormat="1" applyFont="1" applyFill="1" applyBorder="1" applyAlignment="1" applyProtection="1">
      <alignment vertical="center"/>
    </xf>
    <xf numFmtId="0" fontId="37" fillId="2" borderId="38" xfId="3" applyFont="1" applyFill="1" applyBorder="1" applyAlignment="1" applyProtection="1">
      <alignment vertical="center"/>
    </xf>
    <xf numFmtId="0" fontId="37" fillId="2" borderId="39" xfId="3" applyFont="1" applyFill="1" applyBorder="1" applyAlignment="1" applyProtection="1">
      <alignment vertical="center"/>
    </xf>
    <xf numFmtId="0" fontId="37" fillId="2" borderId="19" xfId="3" applyFont="1" applyFill="1" applyBorder="1" applyAlignment="1" applyProtection="1">
      <alignment vertical="center"/>
    </xf>
    <xf numFmtId="164" fontId="37" fillId="2" borderId="20" xfId="3" applyNumberFormat="1" applyFont="1" applyFill="1" applyBorder="1" applyAlignment="1" applyProtection="1">
      <alignment vertical="center"/>
    </xf>
    <xf numFmtId="0" fontId="38" fillId="2" borderId="48" xfId="3" applyFont="1" applyFill="1" applyBorder="1" applyAlignment="1" applyProtection="1">
      <alignment horizontal="center" vertical="center"/>
    </xf>
    <xf numFmtId="0" fontId="38" fillId="2" borderId="32" xfId="3" applyFont="1" applyFill="1" applyBorder="1" applyAlignment="1" applyProtection="1">
      <alignment horizontal="center" vertical="center"/>
    </xf>
    <xf numFmtId="0" fontId="37" fillId="2" borderId="7" xfId="3" applyNumberFormat="1" applyFont="1" applyFill="1" applyBorder="1" applyAlignment="1" applyProtection="1">
      <alignment vertical="center"/>
    </xf>
    <xf numFmtId="0" fontId="37" fillId="2" borderId="7" xfId="3" applyFont="1" applyFill="1" applyBorder="1" applyAlignment="1" applyProtection="1">
      <alignment horizontal="left" vertical="center"/>
    </xf>
    <xf numFmtId="0" fontId="37" fillId="2" borderId="47" xfId="3" applyFont="1" applyFill="1" applyBorder="1" applyAlignment="1" applyProtection="1">
      <alignment horizontal="left" vertical="center"/>
    </xf>
    <xf numFmtId="0" fontId="37" fillId="2" borderId="20" xfId="3" applyFont="1" applyFill="1" applyBorder="1" applyAlignment="1" applyProtection="1">
      <alignment vertical="center"/>
    </xf>
    <xf numFmtId="0" fontId="37" fillId="2" borderId="23" xfId="3" applyFont="1" applyFill="1" applyBorder="1" applyAlignment="1" applyProtection="1">
      <alignment vertical="center"/>
    </xf>
    <xf numFmtId="0" fontId="38" fillId="0" borderId="0" xfId="0" quotePrefix="1" applyFont="1" applyProtection="1">
      <alignment vertical="center"/>
    </xf>
    <xf numFmtId="0" fontId="30" fillId="2" borderId="19" xfId="3" applyFont="1" applyFill="1" applyBorder="1" applyAlignment="1" applyProtection="1">
      <alignment vertical="center"/>
    </xf>
    <xf numFmtId="165" fontId="30" fillId="2" borderId="20" xfId="3" applyNumberFormat="1" applyFont="1" applyFill="1" applyBorder="1" applyAlignment="1" applyProtection="1">
      <alignment vertical="center"/>
    </xf>
    <xf numFmtId="0" fontId="30" fillId="2" borderId="20" xfId="3" applyFont="1" applyFill="1" applyBorder="1" applyAlignment="1" applyProtection="1">
      <alignment vertical="center"/>
    </xf>
    <xf numFmtId="0" fontId="30" fillId="2" borderId="23" xfId="3" applyFont="1" applyFill="1" applyBorder="1" applyAlignment="1" applyProtection="1">
      <alignment vertical="center"/>
    </xf>
    <xf numFmtId="2" fontId="30" fillId="2" borderId="20" xfId="3" applyNumberFormat="1" applyFont="1" applyFill="1" applyBorder="1" applyAlignment="1" applyProtection="1">
      <alignment vertical="center"/>
    </xf>
    <xf numFmtId="164" fontId="30" fillId="2" borderId="20" xfId="3" applyNumberFormat="1" applyFont="1" applyFill="1" applyBorder="1" applyAlignment="1" applyProtection="1">
      <alignment vertical="center"/>
    </xf>
    <xf numFmtId="1" fontId="30" fillId="2" borderId="20" xfId="3" applyNumberFormat="1" applyFont="1" applyFill="1" applyBorder="1" applyAlignment="1" applyProtection="1">
      <alignment vertical="center"/>
    </xf>
    <xf numFmtId="0" fontId="36" fillId="2" borderId="0" xfId="1" applyFont="1" applyFill="1" applyAlignment="1" applyProtection="1">
      <alignment horizontal="right" vertical="center" wrapText="1"/>
      <protection hidden="1"/>
    </xf>
    <xf numFmtId="0" fontId="14" fillId="2" borderId="0" xfId="1" applyFont="1" applyFill="1" applyAlignment="1" applyProtection="1">
      <alignment horizontal="center" vertical="center" wrapText="1"/>
      <protection hidden="1"/>
    </xf>
    <xf numFmtId="0" fontId="66" fillId="0" borderId="0" xfId="0" applyFont="1" applyProtection="1">
      <alignment vertical="center"/>
      <protection hidden="1"/>
    </xf>
    <xf numFmtId="0" fontId="8" fillId="0" borderId="0" xfId="0" applyFont="1" applyProtection="1">
      <alignment vertical="center"/>
      <protection hidden="1"/>
    </xf>
    <xf numFmtId="0" fontId="8" fillId="0" borderId="0" xfId="0" quotePrefix="1" applyFont="1" applyProtection="1">
      <alignment vertical="center"/>
      <protection hidden="1"/>
    </xf>
    <xf numFmtId="0" fontId="65" fillId="2" borderId="0" xfId="0" applyFont="1" applyFill="1" applyAlignment="1" applyProtection="1">
      <alignment horizontal="right" vertical="center"/>
      <protection hidden="1"/>
    </xf>
    <xf numFmtId="0" fontId="79" fillId="2" borderId="0" xfId="0" applyFont="1" applyFill="1" applyAlignment="1" applyProtection="1">
      <alignment horizontal="right" vertical="center"/>
      <protection hidden="1"/>
    </xf>
    <xf numFmtId="0" fontId="79" fillId="2" borderId="0" xfId="0" applyFont="1" applyFill="1" applyAlignment="1" applyProtection="1">
      <alignment horizontal="center" vertical="center"/>
      <protection hidden="1"/>
    </xf>
    <xf numFmtId="0" fontId="79" fillId="2" borderId="0" xfId="0" applyFont="1" applyFill="1" applyProtection="1">
      <alignment vertical="center"/>
      <protection hidden="1"/>
    </xf>
    <xf numFmtId="0" fontId="47" fillId="2" borderId="0" xfId="0" applyFont="1" applyFill="1" applyProtection="1">
      <alignment vertical="center"/>
      <protection hidden="1"/>
    </xf>
    <xf numFmtId="0" fontId="16" fillId="2" borderId="45" xfId="4" applyFont="1" applyFill="1" applyBorder="1" applyAlignment="1" applyProtection="1">
      <alignment vertical="center"/>
      <protection hidden="1"/>
    </xf>
    <xf numFmtId="0" fontId="16" fillId="2" borderId="41" xfId="4" applyFont="1" applyFill="1" applyBorder="1" applyAlignment="1" applyProtection="1">
      <alignment horizontal="center" vertical="center"/>
      <protection hidden="1"/>
    </xf>
    <xf numFmtId="0" fontId="16" fillId="2" borderId="52" xfId="1" applyFont="1" applyFill="1" applyBorder="1" applyAlignment="1" applyProtection="1">
      <alignment vertical="center"/>
      <protection hidden="1"/>
    </xf>
    <xf numFmtId="0" fontId="16" fillId="2" borderId="20" xfId="1" applyFont="1" applyFill="1" applyBorder="1" applyAlignment="1" applyProtection="1">
      <alignment horizontal="left" vertical="center"/>
      <protection hidden="1"/>
    </xf>
    <xf numFmtId="0" fontId="85" fillId="0" borderId="23" xfId="0" applyFont="1" applyBorder="1" applyAlignment="1" applyProtection="1">
      <alignment horizontal="left" vertical="center"/>
      <protection hidden="1"/>
    </xf>
    <xf numFmtId="0" fontId="85" fillId="0" borderId="14" xfId="0" applyFont="1" applyBorder="1" applyProtection="1">
      <alignment vertical="center"/>
      <protection hidden="1"/>
    </xf>
    <xf numFmtId="0" fontId="16" fillId="2" borderId="52" xfId="1" applyFont="1" applyFill="1" applyBorder="1" applyAlignment="1" applyProtection="1">
      <alignment vertical="center" wrapText="1"/>
      <protection hidden="1"/>
    </xf>
    <xf numFmtId="0" fontId="16" fillId="2" borderId="5" xfId="1" applyFont="1" applyFill="1" applyBorder="1" applyAlignment="1" applyProtection="1">
      <alignment horizontal="right" vertical="center" wrapText="1"/>
      <protection hidden="1"/>
    </xf>
    <xf numFmtId="0" fontId="85" fillId="2" borderId="13" xfId="0" applyFont="1" applyFill="1" applyBorder="1" applyProtection="1">
      <alignment vertical="center"/>
      <protection hidden="1"/>
    </xf>
    <xf numFmtId="0" fontId="85" fillId="2" borderId="0" xfId="0" applyFont="1" applyFill="1" applyBorder="1" applyAlignment="1" applyProtection="1">
      <alignment horizontal="right" vertical="center"/>
      <protection hidden="1"/>
    </xf>
    <xf numFmtId="0" fontId="85" fillId="2" borderId="0" xfId="0" applyFont="1" applyFill="1" applyBorder="1" applyProtection="1">
      <alignment vertical="center"/>
      <protection hidden="1"/>
    </xf>
    <xf numFmtId="0" fontId="85" fillId="2" borderId="14" xfId="0" applyFont="1" applyFill="1" applyBorder="1" applyProtection="1">
      <alignment vertical="center"/>
      <protection hidden="1"/>
    </xf>
    <xf numFmtId="0" fontId="16" fillId="2" borderId="53" xfId="1" applyFont="1" applyFill="1" applyBorder="1" applyAlignment="1" applyProtection="1">
      <alignment vertical="center"/>
      <protection hidden="1"/>
    </xf>
    <xf numFmtId="0" fontId="16" fillId="0" borderId="52" xfId="1" applyFont="1" applyBorder="1" applyAlignment="1" applyProtection="1">
      <alignment vertical="center"/>
      <protection hidden="1"/>
    </xf>
    <xf numFmtId="0" fontId="16" fillId="0" borderId="5" xfId="1" applyFont="1" applyBorder="1" applyAlignment="1" applyProtection="1">
      <alignment horizontal="right" vertical="center"/>
      <protection hidden="1"/>
    </xf>
    <xf numFmtId="0" fontId="16" fillId="2" borderId="20" xfId="1" applyFont="1" applyFill="1" applyBorder="1" applyAlignment="1" applyProtection="1">
      <alignment vertical="center"/>
      <protection hidden="1"/>
    </xf>
    <xf numFmtId="0" fontId="16" fillId="2" borderId="41" xfId="1" applyFont="1" applyFill="1" applyBorder="1" applyAlignment="1" applyProtection="1">
      <alignment vertical="center"/>
      <protection hidden="1"/>
    </xf>
    <xf numFmtId="0" fontId="16" fillId="2" borderId="54" xfId="1" applyFont="1" applyFill="1" applyBorder="1" applyAlignment="1" applyProtection="1">
      <alignment vertical="center"/>
      <protection hidden="1"/>
    </xf>
    <xf numFmtId="0" fontId="16" fillId="2" borderId="21" xfId="1" applyFont="1" applyFill="1" applyBorder="1" applyAlignment="1" applyProtection="1">
      <alignment vertical="center"/>
      <protection hidden="1"/>
    </xf>
    <xf numFmtId="0" fontId="16" fillId="2" borderId="52" xfId="1" applyFont="1" applyFill="1" applyBorder="1" applyAlignment="1" applyProtection="1">
      <alignment horizontal="left" vertical="center"/>
      <protection hidden="1"/>
    </xf>
    <xf numFmtId="0" fontId="85" fillId="0" borderId="19" xfId="0" applyFont="1" applyBorder="1" applyProtection="1">
      <alignment vertical="center"/>
      <protection hidden="1"/>
    </xf>
    <xf numFmtId="0" fontId="16" fillId="2" borderId="19" xfId="1" quotePrefix="1" applyFont="1" applyFill="1" applyBorder="1" applyAlignment="1" applyProtection="1">
      <alignment vertical="center"/>
      <protection hidden="1"/>
    </xf>
    <xf numFmtId="0" fontId="22" fillId="2" borderId="8" xfId="1" applyFont="1" applyFill="1" applyBorder="1" applyAlignment="1" applyProtection="1">
      <alignment vertical="center"/>
      <protection hidden="1"/>
    </xf>
    <xf numFmtId="0" fontId="22" fillId="2" borderId="20" xfId="1" applyFont="1" applyFill="1" applyBorder="1" applyAlignment="1" applyProtection="1">
      <alignment horizontal="right" vertical="center"/>
      <protection hidden="1"/>
    </xf>
    <xf numFmtId="0" fontId="16" fillId="0" borderId="19" xfId="1" applyFont="1" applyFill="1" applyBorder="1" applyAlignment="1" applyProtection="1">
      <alignment horizontal="center" vertical="center"/>
      <protection hidden="1"/>
    </xf>
    <xf numFmtId="0" fontId="16" fillId="2" borderId="20" xfId="1" applyFont="1" applyFill="1" applyBorder="1" applyAlignment="1" applyProtection="1">
      <alignment horizontal="left" vertical="center" wrapText="1"/>
      <protection hidden="1"/>
    </xf>
    <xf numFmtId="0" fontId="16" fillId="2" borderId="23" xfId="1" applyFont="1" applyFill="1" applyBorder="1" applyAlignment="1" applyProtection="1">
      <alignment horizontal="left" vertical="center" wrapText="1"/>
      <protection hidden="1"/>
    </xf>
    <xf numFmtId="0" fontId="62" fillId="0" borderId="0" xfId="0" applyFont="1" applyProtection="1">
      <alignment vertical="center"/>
      <protection hidden="1"/>
    </xf>
    <xf numFmtId="0" fontId="16" fillId="2" borderId="27" xfId="1" applyFont="1" applyFill="1" applyBorder="1" applyAlignment="1" applyProtection="1">
      <alignment horizontal="right" vertical="center"/>
      <protection hidden="1"/>
    </xf>
    <xf numFmtId="0" fontId="16" fillId="2" borderId="6" xfId="1" applyFont="1" applyFill="1" applyBorder="1" applyAlignment="1" applyProtection="1">
      <alignment vertical="center"/>
      <protection hidden="1"/>
    </xf>
    <xf numFmtId="0" fontId="16" fillId="2" borderId="24" xfId="1" applyFont="1" applyFill="1" applyBorder="1" applyAlignment="1" applyProtection="1">
      <alignment vertical="center"/>
      <protection hidden="1"/>
    </xf>
    <xf numFmtId="1" fontId="16" fillId="2" borderId="19" xfId="1" applyNumberFormat="1" applyFont="1" applyFill="1" applyBorder="1" applyAlignment="1" applyProtection="1">
      <alignment horizontal="center" vertical="center"/>
      <protection hidden="1"/>
    </xf>
    <xf numFmtId="0" fontId="22" fillId="2" borderId="8" xfId="1" applyFont="1" applyFill="1" applyBorder="1" applyAlignment="1" applyProtection="1">
      <alignment vertical="center" wrapText="1"/>
      <protection hidden="1"/>
    </xf>
    <xf numFmtId="0" fontId="22" fillId="2" borderId="20" xfId="1" applyFont="1" applyFill="1" applyBorder="1" applyAlignment="1" applyProtection="1">
      <alignment horizontal="right" vertical="center" wrapText="1"/>
      <protection hidden="1"/>
    </xf>
    <xf numFmtId="0" fontId="16" fillId="2" borderId="14" xfId="1" applyFont="1" applyFill="1" applyBorder="1" applyAlignment="1" applyProtection="1">
      <alignment vertical="center"/>
      <protection hidden="1"/>
    </xf>
    <xf numFmtId="1" fontId="16" fillId="2" borderId="22" xfId="1" applyNumberFormat="1" applyFont="1" applyFill="1" applyBorder="1" applyAlignment="1" applyProtection="1">
      <alignment horizontal="center" vertical="center"/>
      <protection hidden="1"/>
    </xf>
    <xf numFmtId="0" fontId="22" fillId="2" borderId="25" xfId="1" applyFont="1" applyFill="1" applyBorder="1" applyAlignment="1" applyProtection="1">
      <alignment horizontal="left" vertical="center"/>
      <protection hidden="1"/>
    </xf>
    <xf numFmtId="0" fontId="22" fillId="2" borderId="26" xfId="1" applyFont="1" applyFill="1" applyBorder="1" applyAlignment="1" applyProtection="1">
      <alignment horizontal="left" vertical="center"/>
      <protection hidden="1"/>
    </xf>
    <xf numFmtId="0" fontId="16" fillId="2" borderId="0" xfId="1" applyFont="1" applyFill="1" applyBorder="1" applyAlignment="1" applyProtection="1">
      <alignment vertical="center" wrapText="1"/>
      <protection hidden="1"/>
    </xf>
    <xf numFmtId="0" fontId="16" fillId="2" borderId="0" xfId="1" applyFont="1" applyFill="1" applyBorder="1" applyAlignment="1" applyProtection="1">
      <alignment horizontal="left" vertical="center"/>
      <protection hidden="1"/>
    </xf>
    <xf numFmtId="0" fontId="16" fillId="2" borderId="50" xfId="1" applyFont="1" applyFill="1" applyBorder="1" applyAlignment="1" applyProtection="1">
      <alignment horizontal="left" vertical="center"/>
      <protection hidden="1"/>
    </xf>
    <xf numFmtId="0" fontId="16" fillId="2" borderId="8" xfId="1" applyFont="1" applyFill="1" applyBorder="1" applyAlignment="1" applyProtection="1">
      <alignment horizontal="left" vertical="center"/>
      <protection hidden="1"/>
    </xf>
    <xf numFmtId="0" fontId="16" fillId="2" borderId="53" xfId="1" applyFont="1" applyFill="1" applyBorder="1" applyAlignment="1" applyProtection="1">
      <alignment vertical="center" wrapText="1"/>
      <protection hidden="1"/>
    </xf>
    <xf numFmtId="0" fontId="16" fillId="0" borderId="22" xfId="1" applyFont="1" applyFill="1" applyBorder="1" applyAlignment="1" applyProtection="1">
      <alignment horizontal="center" vertical="center"/>
      <protection hidden="1"/>
    </xf>
    <xf numFmtId="0" fontId="16" fillId="2" borderId="25" xfId="1" applyFont="1" applyFill="1" applyBorder="1" applyAlignment="1" applyProtection="1">
      <alignment vertical="center"/>
      <protection hidden="1"/>
    </xf>
    <xf numFmtId="0" fontId="22" fillId="2" borderId="23" xfId="1" applyFont="1" applyFill="1" applyBorder="1" applyAlignment="1" applyProtection="1">
      <alignment horizontal="left" vertical="center"/>
      <protection hidden="1"/>
    </xf>
    <xf numFmtId="0" fontId="98" fillId="0" borderId="0" xfId="0" applyFont="1" applyProtection="1">
      <alignment vertical="center"/>
      <protection hidden="1"/>
    </xf>
    <xf numFmtId="0" fontId="25" fillId="2" borderId="8" xfId="1" applyFont="1" applyFill="1" applyBorder="1" applyAlignment="1" applyProtection="1">
      <alignment horizontal="left" vertical="center"/>
      <protection hidden="1"/>
    </xf>
    <xf numFmtId="0" fontId="25" fillId="2" borderId="52" xfId="1" applyFont="1" applyFill="1" applyBorder="1" applyAlignment="1" applyProtection="1">
      <alignment vertical="center"/>
      <protection hidden="1"/>
    </xf>
    <xf numFmtId="0" fontId="25" fillId="2" borderId="19" xfId="1" applyFont="1" applyFill="1" applyBorder="1" applyAlignment="1" applyProtection="1">
      <alignment vertical="center"/>
      <protection hidden="1"/>
    </xf>
    <xf numFmtId="0" fontId="25" fillId="2" borderId="53" xfId="1" applyFont="1" applyFill="1" applyBorder="1" applyAlignment="1" applyProtection="1">
      <alignment vertical="center"/>
      <protection hidden="1"/>
    </xf>
    <xf numFmtId="0" fontId="25" fillId="2" borderId="11" xfId="1" applyFont="1" applyFill="1" applyBorder="1" applyAlignment="1" applyProtection="1">
      <alignment horizontal="right" vertical="center"/>
      <protection hidden="1"/>
    </xf>
    <xf numFmtId="0" fontId="25" fillId="2" borderId="22" xfId="1" applyFont="1" applyFill="1" applyBorder="1" applyAlignment="1" applyProtection="1">
      <alignment vertical="center"/>
      <protection hidden="1"/>
    </xf>
    <xf numFmtId="0" fontId="16" fillId="2" borderId="6" xfId="1" applyFont="1" applyFill="1" applyBorder="1" applyAlignment="1" applyProtection="1">
      <alignment horizontal="left" vertical="center" wrapText="1"/>
      <protection hidden="1"/>
    </xf>
    <xf numFmtId="0" fontId="16" fillId="2" borderId="24" xfId="1" applyFont="1" applyFill="1" applyBorder="1" applyAlignment="1" applyProtection="1">
      <alignment horizontal="left" vertical="center" wrapText="1"/>
      <protection hidden="1"/>
    </xf>
    <xf numFmtId="0" fontId="16" fillId="2" borderId="49" xfId="1" applyFont="1" applyFill="1" applyBorder="1" applyAlignment="1" applyProtection="1">
      <alignment vertical="center"/>
      <protection hidden="1"/>
    </xf>
    <xf numFmtId="0" fontId="16" fillId="2" borderId="42" xfId="1" applyFont="1" applyFill="1" applyBorder="1" applyAlignment="1" applyProtection="1">
      <alignment vertical="center"/>
      <protection hidden="1"/>
    </xf>
    <xf numFmtId="0" fontId="16" fillId="0" borderId="19" xfId="0" applyFont="1" applyBorder="1" applyAlignment="1" applyProtection="1">
      <alignment horizontal="left" vertical="center"/>
      <protection hidden="1"/>
    </xf>
    <xf numFmtId="0" fontId="100" fillId="0" borderId="0" xfId="0" applyFont="1" applyProtection="1">
      <alignment vertical="center"/>
      <protection hidden="1"/>
    </xf>
    <xf numFmtId="0" fontId="101" fillId="0" borderId="0" xfId="0" applyFont="1" applyProtection="1">
      <alignment vertical="center"/>
      <protection hidden="1"/>
    </xf>
    <xf numFmtId="0" fontId="103" fillId="0" borderId="0" xfId="0" applyFont="1" applyProtection="1">
      <alignment vertical="center"/>
      <protection hidden="1"/>
    </xf>
    <xf numFmtId="0" fontId="16" fillId="0" borderId="0" xfId="0" applyFont="1" applyAlignment="1" applyProtection="1">
      <alignment horizontal="right" vertical="center"/>
    </xf>
    <xf numFmtId="0" fontId="61" fillId="0" borderId="0" xfId="0" applyFont="1" applyFill="1" applyProtection="1">
      <alignment vertical="center"/>
    </xf>
    <xf numFmtId="0" fontId="0" fillId="0" borderId="0" xfId="0" applyFill="1">
      <alignment vertical="center"/>
    </xf>
    <xf numFmtId="0" fontId="0" fillId="0" borderId="0" xfId="0">
      <alignment vertical="center"/>
    </xf>
    <xf numFmtId="0" fontId="0" fillId="0" borderId="0" xfId="0">
      <alignment vertical="center"/>
    </xf>
    <xf numFmtId="0" fontId="16" fillId="0" borderId="0" xfId="0" applyFont="1">
      <alignment vertical="center"/>
    </xf>
    <xf numFmtId="0" fontId="16" fillId="0" borderId="5" xfId="0" applyFont="1" applyBorder="1" applyAlignment="1">
      <alignment horizontal="right" vertical="center"/>
    </xf>
    <xf numFmtId="0" fontId="16" fillId="0" borderId="5" xfId="0" applyFont="1" applyBorder="1" applyAlignment="1">
      <alignment horizontal="center" vertical="center"/>
    </xf>
    <xf numFmtId="0" fontId="16" fillId="0" borderId="5" xfId="0" applyFont="1" applyBorder="1">
      <alignment vertical="center"/>
    </xf>
    <xf numFmtId="166" fontId="16" fillId="0" borderId="5" xfId="0" applyNumberFormat="1" applyFont="1" applyBorder="1" applyAlignment="1">
      <alignment horizontal="center" vertical="center"/>
    </xf>
    <xf numFmtId="165" fontId="16" fillId="0" borderId="5" xfId="0" applyNumberFormat="1" applyFont="1" applyBorder="1" applyAlignment="1">
      <alignment horizontal="center" vertical="center"/>
    </xf>
    <xf numFmtId="165" fontId="16" fillId="0" borderId="5" xfId="0" applyNumberFormat="1" applyFont="1" applyFill="1" applyBorder="1" applyAlignment="1">
      <alignment horizontal="center" vertical="center"/>
    </xf>
    <xf numFmtId="1" fontId="16" fillId="0" borderId="5" xfId="0" applyNumberFormat="1" applyFont="1" applyFill="1" applyBorder="1" applyAlignment="1">
      <alignment horizontal="center" vertical="center"/>
    </xf>
    <xf numFmtId="0" fontId="16" fillId="0" borderId="5" xfId="0" applyFont="1" applyFill="1" applyBorder="1">
      <alignment vertical="center"/>
    </xf>
    <xf numFmtId="0" fontId="16" fillId="0" borderId="5" xfId="0" applyFont="1" applyFill="1" applyBorder="1" applyAlignment="1">
      <alignment horizontal="right" vertical="center"/>
    </xf>
    <xf numFmtId="0" fontId="16" fillId="0" borderId="27" xfId="0" applyFont="1" applyBorder="1" applyAlignment="1" applyProtection="1">
      <alignment vertical="center"/>
    </xf>
    <xf numFmtId="0" fontId="16" fillId="0" borderId="20" xfId="0" applyFont="1" applyBorder="1">
      <alignment vertical="center"/>
    </xf>
    <xf numFmtId="0" fontId="50" fillId="0" borderId="19" xfId="0" applyFont="1" applyBorder="1" applyAlignment="1" applyProtection="1">
      <alignment horizontal="center" vertical="center"/>
    </xf>
    <xf numFmtId="0" fontId="30" fillId="2" borderId="19" xfId="42" applyFont="1" applyFill="1" applyBorder="1" applyAlignment="1" applyProtection="1">
      <alignment vertical="center"/>
    </xf>
    <xf numFmtId="0" fontId="37" fillId="0" borderId="20" xfId="0" applyFont="1" applyBorder="1" applyAlignment="1" applyProtection="1">
      <alignment horizontal="right" vertical="center"/>
    </xf>
    <xf numFmtId="0" fontId="0" fillId="0" borderId="0" xfId="0">
      <alignment vertical="center"/>
    </xf>
    <xf numFmtId="0" fontId="0" fillId="0" borderId="0" xfId="0" applyProtection="1">
      <alignment vertical="center"/>
    </xf>
    <xf numFmtId="0" fontId="0" fillId="0" borderId="0" xfId="0" applyFill="1" applyProtection="1">
      <alignment vertical="center"/>
    </xf>
    <xf numFmtId="0" fontId="47" fillId="0" borderId="0" xfId="0" applyFont="1" applyProtection="1">
      <alignment vertical="center"/>
    </xf>
    <xf numFmtId="0" fontId="0" fillId="2" borderId="0" xfId="0" applyFill="1" applyProtection="1">
      <alignment vertical="center"/>
      <protection hidden="1"/>
    </xf>
    <xf numFmtId="0" fontId="43" fillId="0" borderId="0" xfId="0" applyFont="1" applyAlignment="1" applyProtection="1">
      <alignment vertical="center"/>
    </xf>
    <xf numFmtId="0" fontId="104" fillId="2" borderId="39" xfId="3" applyFont="1" applyFill="1" applyBorder="1" applyAlignment="1" applyProtection="1">
      <alignment vertical="center"/>
    </xf>
    <xf numFmtId="0" fontId="99" fillId="0" borderId="0" xfId="3" applyFont="1" applyFill="1" applyBorder="1" applyAlignment="1" applyProtection="1">
      <alignment vertical="center"/>
    </xf>
    <xf numFmtId="164" fontId="37" fillId="2" borderId="19" xfId="3" applyNumberFormat="1" applyFont="1" applyFill="1" applyBorder="1" applyAlignment="1" applyProtection="1">
      <alignment vertical="center"/>
    </xf>
    <xf numFmtId="1" fontId="37" fillId="2" borderId="20" xfId="3" quotePrefix="1" applyNumberFormat="1" applyFont="1" applyFill="1" applyBorder="1" applyAlignment="1" applyProtection="1">
      <alignment horizontal="right" vertical="center"/>
    </xf>
    <xf numFmtId="0" fontId="0" fillId="2" borderId="0" xfId="0" applyFill="1" applyAlignment="1" applyProtection="1">
      <alignment horizontal="right" vertical="center"/>
      <protection hidden="1"/>
    </xf>
    <xf numFmtId="0" fontId="0" fillId="2" borderId="0" xfId="0" applyFill="1" applyAlignment="1" applyProtection="1">
      <alignment horizontal="center" vertical="center"/>
      <protection hidden="1"/>
    </xf>
    <xf numFmtId="0" fontId="47" fillId="0" borderId="0" xfId="0" applyFont="1" applyFill="1" applyProtection="1">
      <alignment vertical="center"/>
    </xf>
    <xf numFmtId="0" fontId="48" fillId="0" borderId="0" xfId="0" applyFont="1" applyFill="1" applyBorder="1">
      <alignment vertical="center"/>
    </xf>
    <xf numFmtId="0" fontId="106" fillId="0" borderId="0" xfId="0" applyFont="1" applyProtection="1">
      <alignment vertical="center"/>
      <protection hidden="1"/>
    </xf>
    <xf numFmtId="164" fontId="30" fillId="0" borderId="0" xfId="40" applyNumberFormat="1" applyFont="1" applyBorder="1" applyAlignment="1">
      <alignment horizontal="center" vertical="center" wrapText="1"/>
    </xf>
    <xf numFmtId="0" fontId="30" fillId="0" borderId="0" xfId="40" applyFont="1" applyBorder="1" applyAlignment="1">
      <alignment horizontal="center" vertical="center" wrapText="1"/>
    </xf>
    <xf numFmtId="0" fontId="0" fillId="0" borderId="0" xfId="0" applyBorder="1">
      <alignment vertical="center"/>
    </xf>
    <xf numFmtId="164" fontId="30" fillId="0" borderId="0" xfId="0" applyNumberFormat="1" applyFont="1" applyBorder="1" applyAlignment="1">
      <alignment horizontal="center" vertical="center"/>
    </xf>
    <xf numFmtId="0" fontId="30" fillId="0" borderId="0" xfId="0" applyFont="1" applyBorder="1" applyAlignment="1">
      <alignment horizontal="center" vertical="center"/>
    </xf>
    <xf numFmtId="0" fontId="0" fillId="0" borderId="62" xfId="0" applyBorder="1" applyProtection="1">
      <alignment vertical="center"/>
    </xf>
    <xf numFmtId="0" fontId="0" fillId="0" borderId="63" xfId="0" applyBorder="1" applyProtection="1">
      <alignment vertical="center"/>
    </xf>
    <xf numFmtId="0" fontId="0" fillId="0" borderId="63" xfId="0" applyBorder="1">
      <alignment vertical="center"/>
    </xf>
    <xf numFmtId="0" fontId="0" fillId="0" borderId="64" xfId="0" applyBorder="1">
      <alignment vertical="center"/>
    </xf>
    <xf numFmtId="0" fontId="0" fillId="0" borderId="65" xfId="0" applyBorder="1" applyProtection="1">
      <alignment vertical="center"/>
    </xf>
    <xf numFmtId="0" fontId="0" fillId="0" borderId="66" xfId="0" applyBorder="1">
      <alignment vertical="center"/>
    </xf>
    <xf numFmtId="0" fontId="0" fillId="0" borderId="65" xfId="0" applyBorder="1">
      <alignment vertical="center"/>
    </xf>
    <xf numFmtId="164" fontId="30" fillId="0" borderId="68" xfId="0" applyNumberFormat="1" applyFont="1" applyBorder="1" applyAlignment="1">
      <alignment horizontal="center" vertical="center"/>
    </xf>
    <xf numFmtId="0" fontId="30" fillId="0" borderId="68" xfId="0" applyFont="1" applyBorder="1" applyAlignment="1">
      <alignment horizontal="center" vertical="center"/>
    </xf>
    <xf numFmtId="0" fontId="92" fillId="0" borderId="0" xfId="0" applyFont="1">
      <alignment vertical="center"/>
    </xf>
    <xf numFmtId="0" fontId="0" fillId="0" borderId="0" xfId="0" applyBorder="1" applyAlignment="1">
      <alignment horizontal="left" vertical="center"/>
    </xf>
    <xf numFmtId="0" fontId="16" fillId="2" borderId="23" xfId="1" applyFont="1" applyFill="1" applyBorder="1" applyAlignment="1" applyProtection="1">
      <alignment horizontal="left" vertical="center"/>
      <protection hidden="1"/>
    </xf>
    <xf numFmtId="0" fontId="16" fillId="2" borderId="19" xfId="2" applyFont="1" applyFill="1" applyBorder="1" applyAlignment="1" applyProtection="1">
      <alignment horizontal="left" vertical="center"/>
      <protection hidden="1"/>
    </xf>
    <xf numFmtId="0" fontId="16" fillId="2" borderId="23" xfId="2" applyFont="1" applyFill="1" applyBorder="1" applyAlignment="1" applyProtection="1">
      <alignment horizontal="left" vertical="center"/>
      <protection hidden="1"/>
    </xf>
    <xf numFmtId="0" fontId="16" fillId="4" borderId="41" xfId="2" applyFont="1" applyFill="1" applyBorder="1" applyAlignment="1" applyProtection="1">
      <alignment horizontal="left" vertical="center"/>
      <protection hidden="1"/>
    </xf>
    <xf numFmtId="0" fontId="16" fillId="4" borderId="42" xfId="2" applyFont="1" applyFill="1" applyBorder="1" applyAlignment="1" applyProtection="1">
      <alignment horizontal="left" vertical="center"/>
      <protection hidden="1"/>
    </xf>
    <xf numFmtId="0" fontId="16" fillId="2" borderId="26" xfId="2" applyFont="1" applyFill="1" applyBorder="1" applyAlignment="1" applyProtection="1">
      <alignment horizontal="left" vertical="center"/>
      <protection hidden="1"/>
    </xf>
    <xf numFmtId="0" fontId="38" fillId="2" borderId="32" xfId="3" applyFont="1" applyFill="1" applyBorder="1" applyAlignment="1" applyProtection="1">
      <alignment horizontal="center" vertical="center"/>
    </xf>
    <xf numFmtId="0" fontId="30" fillId="0" borderId="65" xfId="0" applyFont="1" applyBorder="1" applyAlignment="1">
      <alignment horizontal="right" vertical="center"/>
    </xf>
    <xf numFmtId="0" fontId="30" fillId="0" borderId="67" xfId="0" applyFont="1" applyBorder="1" applyAlignment="1">
      <alignment horizontal="right" vertical="center"/>
    </xf>
    <xf numFmtId="0" fontId="16" fillId="0" borderId="5" xfId="1" applyNumberFormat="1" applyFont="1" applyFill="1" applyBorder="1" applyAlignment="1" applyProtection="1">
      <alignment horizontal="center" vertical="center"/>
      <protection hidden="1"/>
    </xf>
    <xf numFmtId="0" fontId="111" fillId="0" borderId="0" xfId="0" applyFont="1" applyProtection="1">
      <alignment vertical="center"/>
      <protection hidden="1"/>
    </xf>
    <xf numFmtId="0" fontId="112" fillId="0" borderId="0" xfId="0" applyFont="1" applyProtection="1">
      <alignment vertical="center"/>
      <protection hidden="1"/>
    </xf>
    <xf numFmtId="0" fontId="16" fillId="0" borderId="0" xfId="0" applyFont="1" applyFill="1" applyBorder="1" applyProtection="1">
      <alignment vertical="center"/>
      <protection hidden="1"/>
    </xf>
    <xf numFmtId="0" fontId="20" fillId="0" borderId="0" xfId="0" applyFont="1" applyProtection="1">
      <alignment vertical="center"/>
    </xf>
    <xf numFmtId="0" fontId="16" fillId="0" borderId="5" xfId="0" applyFont="1" applyBorder="1" applyAlignment="1">
      <alignment horizontal="left" vertical="center"/>
    </xf>
    <xf numFmtId="0" fontId="16" fillId="0" borderId="5" xfId="0" applyFont="1" applyBorder="1" applyAlignment="1">
      <alignment horizontal="left" vertical="center" wrapText="1"/>
    </xf>
    <xf numFmtId="164" fontId="16" fillId="0" borderId="5" xfId="0" applyNumberFormat="1" applyFont="1" applyBorder="1" applyAlignment="1">
      <alignment horizontal="center" vertical="center"/>
    </xf>
    <xf numFmtId="165" fontId="0" fillId="0" borderId="0" xfId="0" applyNumberFormat="1">
      <alignment vertical="center"/>
    </xf>
    <xf numFmtId="0" fontId="114" fillId="0" borderId="0" xfId="0" applyFont="1">
      <alignment vertical="center"/>
    </xf>
    <xf numFmtId="0" fontId="48" fillId="0" borderId="0" xfId="0" applyFont="1" applyFill="1" applyBorder="1" applyAlignment="1">
      <alignment horizontal="left" vertical="center"/>
    </xf>
    <xf numFmtId="0" fontId="48" fillId="0" borderId="0" xfId="0" applyFont="1" applyAlignment="1">
      <alignment horizontal="center" vertical="center"/>
    </xf>
    <xf numFmtId="0" fontId="89" fillId="0" borderId="0" xfId="0" quotePrefix="1" applyFont="1" applyProtection="1">
      <alignment vertical="center"/>
      <protection hidden="1"/>
    </xf>
    <xf numFmtId="0" fontId="16" fillId="4" borderId="5" xfId="0" applyFont="1" applyFill="1" applyBorder="1" applyAlignment="1" applyProtection="1">
      <alignment horizontal="center" vertical="center"/>
      <protection locked="0"/>
    </xf>
    <xf numFmtId="0" fontId="115" fillId="0" borderId="21" xfId="35" applyFont="1" applyBorder="1" applyAlignment="1">
      <alignment vertical="center"/>
    </xf>
    <xf numFmtId="0" fontId="37" fillId="0" borderId="6" xfId="0" applyFont="1" applyBorder="1">
      <alignment vertical="center"/>
    </xf>
    <xf numFmtId="0" fontId="115" fillId="0" borderId="22" xfId="35" applyFont="1" applyBorder="1" applyAlignment="1">
      <alignment vertical="center"/>
    </xf>
    <xf numFmtId="0" fontId="37" fillId="0" borderId="25" xfId="0" applyFont="1" applyBorder="1">
      <alignment vertical="center"/>
    </xf>
    <xf numFmtId="0" fontId="37" fillId="0" borderId="38" xfId="0" applyFont="1" applyBorder="1">
      <alignment vertical="center"/>
    </xf>
    <xf numFmtId="0" fontId="115" fillId="0" borderId="59" xfId="35" applyFont="1" applyBorder="1" applyAlignment="1">
      <alignment vertical="center"/>
    </xf>
    <xf numFmtId="0" fontId="37" fillId="0" borderId="17" xfId="0" applyFont="1" applyBorder="1" applyAlignment="1">
      <alignment horizontal="right" vertical="center"/>
    </xf>
    <xf numFmtId="0" fontId="37" fillId="0" borderId="17" xfId="0" applyFont="1" applyBorder="1">
      <alignment vertical="center"/>
    </xf>
    <xf numFmtId="0" fontId="115" fillId="0" borderId="60" xfId="40" applyFont="1" applyBorder="1" applyAlignment="1">
      <alignment vertical="center"/>
    </xf>
    <xf numFmtId="0" fontId="115" fillId="0" borderId="7" xfId="40" applyFont="1" applyBorder="1" applyAlignment="1">
      <alignment horizontal="right" vertical="center"/>
    </xf>
    <xf numFmtId="0" fontId="37" fillId="0" borderId="7" xfId="0" applyFont="1" applyBorder="1">
      <alignment vertical="center"/>
    </xf>
    <xf numFmtId="0" fontId="115" fillId="0" borderId="19" xfId="40" applyFont="1" applyBorder="1" applyAlignment="1">
      <alignment vertical="center"/>
    </xf>
    <xf numFmtId="0" fontId="115" fillId="0" borderId="20" xfId="40" applyFont="1" applyBorder="1" applyAlignment="1">
      <alignment horizontal="right" vertical="center"/>
    </xf>
    <xf numFmtId="0" fontId="37" fillId="0" borderId="20" xfId="0" applyFont="1" applyBorder="1">
      <alignment vertical="center"/>
    </xf>
    <xf numFmtId="0" fontId="30" fillId="0" borderId="22" xfId="40" applyFont="1" applyBorder="1" applyAlignment="1">
      <alignment vertical="center"/>
    </xf>
    <xf numFmtId="0" fontId="37" fillId="0" borderId="25" xfId="0" applyFont="1" applyBorder="1" applyAlignment="1">
      <alignment horizontal="right" vertical="center"/>
    </xf>
    <xf numFmtId="0" fontId="37" fillId="0" borderId="7" xfId="0" applyFont="1" applyBorder="1" applyAlignment="1">
      <alignment horizontal="right" vertical="center"/>
    </xf>
    <xf numFmtId="0" fontId="37" fillId="0" borderId="6" xfId="0" applyFont="1" applyFill="1" applyBorder="1">
      <alignment vertical="center"/>
    </xf>
    <xf numFmtId="0" fontId="115" fillId="0" borderId="59" xfId="40" applyFont="1" applyBorder="1" applyAlignment="1">
      <alignment vertical="center"/>
    </xf>
    <xf numFmtId="0" fontId="37" fillId="0" borderId="38" xfId="0" applyFont="1" applyBorder="1" applyAlignment="1">
      <alignment horizontal="right" vertical="center"/>
    </xf>
    <xf numFmtId="0" fontId="37" fillId="0" borderId="39" xfId="0" applyFont="1" applyBorder="1">
      <alignment vertical="center"/>
    </xf>
    <xf numFmtId="0" fontId="37" fillId="0" borderId="25" xfId="0" applyFont="1" applyFill="1" applyBorder="1">
      <alignment vertical="center"/>
    </xf>
    <xf numFmtId="0" fontId="37" fillId="0" borderId="26" xfId="0" applyFont="1" applyBorder="1">
      <alignment vertical="center"/>
    </xf>
    <xf numFmtId="0" fontId="115" fillId="0" borderId="57" xfId="40" applyFont="1" applyBorder="1" applyAlignment="1">
      <alignment vertical="center"/>
    </xf>
    <xf numFmtId="0" fontId="37" fillId="0" borderId="15" xfId="0" applyFont="1" applyBorder="1">
      <alignment vertical="center"/>
    </xf>
    <xf numFmtId="0" fontId="37" fillId="0" borderId="0" xfId="0" applyFont="1" applyBorder="1">
      <alignment vertical="center"/>
    </xf>
    <xf numFmtId="0" fontId="104" fillId="0" borderId="59" xfId="40" applyFont="1" applyBorder="1" applyAlignment="1">
      <alignment vertical="center"/>
    </xf>
    <xf numFmtId="0" fontId="104" fillId="0" borderId="17" xfId="0" applyFont="1" applyBorder="1">
      <alignment vertical="center"/>
    </xf>
    <xf numFmtId="0" fontId="115" fillId="0" borderId="60" xfId="35" applyFont="1" applyBorder="1" applyAlignment="1">
      <alignment vertical="center"/>
    </xf>
    <xf numFmtId="0" fontId="104" fillId="0" borderId="59" xfId="35" applyFont="1" applyBorder="1" applyAlignment="1">
      <alignment vertical="center"/>
    </xf>
    <xf numFmtId="0" fontId="40" fillId="2" borderId="7" xfId="3" applyFont="1" applyFill="1" applyBorder="1" applyAlignment="1" applyProtection="1">
      <alignment horizontal="left" vertical="center"/>
    </xf>
    <xf numFmtId="0" fontId="109" fillId="2" borderId="32" xfId="3" applyFont="1" applyFill="1" applyBorder="1" applyAlignment="1" applyProtection="1">
      <alignment horizontal="center" vertical="center"/>
    </xf>
    <xf numFmtId="0" fontId="37" fillId="0" borderId="20" xfId="3" applyFont="1" applyFill="1" applyBorder="1" applyAlignment="1" applyProtection="1">
      <alignment vertical="center"/>
    </xf>
    <xf numFmtId="165" fontId="16" fillId="0" borderId="5" xfId="1" applyNumberFormat="1" applyFont="1" applyFill="1" applyBorder="1" applyAlignment="1" applyProtection="1">
      <alignment horizontal="center" vertical="center"/>
      <protection hidden="1"/>
    </xf>
    <xf numFmtId="0" fontId="16" fillId="0" borderId="8" xfId="1" applyFont="1" applyFill="1" applyBorder="1" applyAlignment="1" applyProtection="1">
      <alignment vertical="center"/>
      <protection hidden="1"/>
    </xf>
    <xf numFmtId="0" fontId="113" fillId="0" borderId="0" xfId="0" applyFont="1" applyFill="1" applyProtection="1">
      <alignment vertical="center"/>
      <protection hidden="1"/>
    </xf>
    <xf numFmtId="0" fontId="16" fillId="0" borderId="0" xfId="0" applyFont="1" applyFill="1" applyProtection="1">
      <alignment vertical="center"/>
      <protection hidden="1"/>
    </xf>
    <xf numFmtId="0" fontId="16" fillId="2" borderId="41" xfId="1" applyFont="1" applyFill="1" applyBorder="1" applyAlignment="1" applyProtection="1">
      <alignment horizontal="left" vertical="center"/>
      <protection hidden="1"/>
    </xf>
    <xf numFmtId="0" fontId="7" fillId="0" borderId="0" xfId="0" applyFont="1" applyFill="1" applyProtection="1">
      <alignment vertical="center"/>
      <protection hidden="1"/>
    </xf>
    <xf numFmtId="0" fontId="102" fillId="0" borderId="0" xfId="0" applyFont="1" applyFill="1" applyProtection="1">
      <alignment vertical="center"/>
      <protection hidden="1"/>
    </xf>
    <xf numFmtId="0" fontId="112" fillId="0" borderId="0" xfId="0" applyFont="1" applyFill="1" applyProtection="1">
      <alignment vertical="center"/>
      <protection hidden="1"/>
    </xf>
    <xf numFmtId="1" fontId="16" fillId="0" borderId="5" xfId="1" applyNumberFormat="1" applyFont="1" applyFill="1" applyBorder="1" applyAlignment="1" applyProtection="1">
      <alignment horizontal="center" vertical="center"/>
      <protection hidden="1"/>
    </xf>
    <xf numFmtId="0" fontId="16" fillId="2" borderId="42" xfId="2" quotePrefix="1" applyFont="1" applyFill="1" applyBorder="1" applyAlignment="1" applyProtection="1">
      <alignment horizontal="left" vertical="center"/>
      <protection hidden="1"/>
    </xf>
    <xf numFmtId="0" fontId="16" fillId="0" borderId="23" xfId="2" applyFont="1" applyFill="1" applyBorder="1" applyAlignment="1" applyProtection="1">
      <alignment vertical="center"/>
      <protection hidden="1"/>
    </xf>
    <xf numFmtId="0" fontId="16" fillId="7" borderId="21" xfId="1" applyNumberFormat="1" applyFont="1" applyFill="1" applyBorder="1" applyAlignment="1" applyProtection="1">
      <alignment horizontal="center" vertical="center"/>
      <protection hidden="1"/>
    </xf>
    <xf numFmtId="0" fontId="16" fillId="0" borderId="28" xfId="1" applyFont="1" applyFill="1" applyBorder="1" applyAlignment="1" applyProtection="1">
      <alignment horizontal="right" vertical="center"/>
      <protection hidden="1"/>
    </xf>
    <xf numFmtId="0" fontId="113" fillId="0" borderId="0" xfId="0" applyFont="1" applyFill="1" applyBorder="1" applyProtection="1">
      <alignment vertical="center"/>
      <protection hidden="1"/>
    </xf>
    <xf numFmtId="165" fontId="16" fillId="7" borderId="5" xfId="1" applyNumberFormat="1" applyFont="1" applyFill="1" applyBorder="1" applyAlignment="1" applyProtection="1">
      <alignment horizontal="center" vertical="center"/>
      <protection hidden="1"/>
    </xf>
    <xf numFmtId="0" fontId="16" fillId="7" borderId="5" xfId="1" applyFont="1" applyFill="1" applyBorder="1" applyAlignment="1" applyProtection="1">
      <alignment horizontal="center" vertical="center"/>
      <protection hidden="1"/>
    </xf>
    <xf numFmtId="164" fontId="16" fillId="7" borderId="21" xfId="1" applyNumberFormat="1" applyFont="1" applyFill="1" applyBorder="1" applyAlignment="1" applyProtection="1">
      <alignment horizontal="center" vertical="center"/>
      <protection hidden="1"/>
    </xf>
    <xf numFmtId="0" fontId="7" fillId="0" borderId="0" xfId="0" applyFont="1" applyFill="1" applyProtection="1">
      <alignment vertical="center"/>
    </xf>
    <xf numFmtId="0" fontId="0" fillId="0" borderId="0" xfId="0" applyFill="1" applyBorder="1">
      <alignment vertical="center"/>
    </xf>
    <xf numFmtId="164" fontId="30" fillId="0" borderId="0" xfId="0" applyNumberFormat="1" applyFont="1" applyFill="1" applyBorder="1" applyAlignment="1">
      <alignment horizontal="center" vertical="center"/>
    </xf>
    <xf numFmtId="0" fontId="30" fillId="0" borderId="0" xfId="0" applyFont="1" applyFill="1" applyBorder="1" applyAlignment="1">
      <alignment horizontal="center" vertical="center"/>
    </xf>
    <xf numFmtId="164" fontId="30" fillId="0" borderId="0" xfId="40" applyNumberFormat="1" applyFont="1" applyFill="1" applyBorder="1" applyAlignment="1">
      <alignment horizontal="center" vertical="center" wrapText="1"/>
    </xf>
    <xf numFmtId="0" fontId="30" fillId="0" borderId="0" xfId="40" applyFont="1" applyFill="1" applyBorder="1" applyAlignment="1">
      <alignment horizontal="center" vertical="center" wrapText="1"/>
    </xf>
    <xf numFmtId="0" fontId="48" fillId="0" borderId="0" xfId="40" applyFont="1" applyFill="1" applyBorder="1" applyAlignment="1">
      <alignment vertical="center" wrapText="1"/>
    </xf>
    <xf numFmtId="0" fontId="0" fillId="0" borderId="0" xfId="0" applyFill="1" applyBorder="1" applyAlignment="1">
      <alignment horizontal="left" vertical="center"/>
    </xf>
    <xf numFmtId="0" fontId="30" fillId="0" borderId="0" xfId="0" applyFont="1" applyFill="1" applyBorder="1" applyAlignment="1">
      <alignment horizontal="right" vertical="center"/>
    </xf>
    <xf numFmtId="2" fontId="37" fillId="0" borderId="0" xfId="0" applyNumberFormat="1" applyFont="1" applyFill="1" applyBorder="1" applyAlignment="1">
      <alignment horizontal="center" vertical="center"/>
    </xf>
    <xf numFmtId="0" fontId="37" fillId="2" borderId="24" xfId="1" applyFont="1" applyFill="1" applyBorder="1" applyAlignment="1" applyProtection="1">
      <alignment horizontal="left" vertical="center"/>
      <protection hidden="1"/>
    </xf>
    <xf numFmtId="0" fontId="117" fillId="0" borderId="0" xfId="0" applyFont="1">
      <alignment vertical="center"/>
    </xf>
    <xf numFmtId="1" fontId="16" fillId="0" borderId="5" xfId="0" applyNumberFormat="1" applyFont="1" applyBorder="1" applyAlignment="1">
      <alignment horizontal="center" vertical="center"/>
    </xf>
    <xf numFmtId="2" fontId="16" fillId="0" borderId="5" xfId="0" applyNumberFormat="1" applyFont="1" applyFill="1" applyBorder="1" applyAlignment="1">
      <alignment horizontal="center" vertical="center"/>
    </xf>
    <xf numFmtId="1" fontId="16" fillId="4" borderId="5" xfId="0" applyNumberFormat="1" applyFont="1" applyFill="1" applyBorder="1" applyAlignment="1" applyProtection="1">
      <alignment horizontal="center" vertical="center"/>
      <protection locked="0"/>
    </xf>
    <xf numFmtId="0" fontId="16" fillId="2" borderId="23" xfId="1" applyFont="1" applyFill="1" applyBorder="1" applyAlignment="1" applyProtection="1">
      <alignment horizontal="left" vertical="center"/>
      <protection hidden="1"/>
    </xf>
    <xf numFmtId="0" fontId="16" fillId="2" borderId="24" xfId="1" applyFont="1" applyFill="1" applyBorder="1" applyAlignment="1" applyProtection="1">
      <alignment horizontal="left" vertical="center"/>
      <protection hidden="1"/>
    </xf>
    <xf numFmtId="0" fontId="107" fillId="0" borderId="61" xfId="40" applyFont="1" applyBorder="1" applyAlignment="1">
      <alignment horizontal="center" vertical="center"/>
    </xf>
    <xf numFmtId="0" fontId="111" fillId="2" borderId="0" xfId="1" applyFont="1" applyFill="1" applyAlignment="1" applyProtection="1">
      <alignment horizontal="left" vertical="center"/>
      <protection hidden="1"/>
    </xf>
    <xf numFmtId="0" fontId="0" fillId="0" borderId="0" xfId="0" applyProtection="1">
      <alignment vertical="center"/>
    </xf>
    <xf numFmtId="0" fontId="0" fillId="0" borderId="0" xfId="0" applyFont="1" applyProtection="1">
      <alignment vertical="center"/>
    </xf>
    <xf numFmtId="0" fontId="0" fillId="0" borderId="0" xfId="0" applyFont="1" applyProtection="1">
      <alignment vertical="center"/>
      <protection hidden="1"/>
    </xf>
    <xf numFmtId="0" fontId="0" fillId="2" borderId="0" xfId="0" applyFill="1" applyProtection="1">
      <alignment vertical="center"/>
      <protection hidden="1"/>
    </xf>
    <xf numFmtId="0" fontId="0" fillId="0" borderId="0" xfId="0" applyProtection="1">
      <alignment vertical="center"/>
    </xf>
    <xf numFmtId="0" fontId="0" fillId="0" borderId="0" xfId="0" applyFont="1" applyProtection="1">
      <alignment vertical="center"/>
    </xf>
    <xf numFmtId="0" fontId="16" fillId="0" borderId="0" xfId="0" applyFont="1" applyProtection="1">
      <alignment vertical="center"/>
    </xf>
    <xf numFmtId="0" fontId="0" fillId="0" borderId="0" xfId="0" applyProtection="1">
      <alignment vertical="center"/>
      <protection hidden="1"/>
    </xf>
    <xf numFmtId="0" fontId="0" fillId="0" borderId="0" xfId="0" applyFont="1" applyProtection="1">
      <alignment vertical="center"/>
      <protection hidden="1"/>
    </xf>
    <xf numFmtId="0" fontId="0" fillId="2" borderId="0" xfId="0" applyFill="1" applyProtection="1">
      <alignment vertical="center"/>
      <protection hidden="1"/>
    </xf>
    <xf numFmtId="0" fontId="21" fillId="3" borderId="37" xfId="48" applyFont="1" applyFill="1" applyBorder="1" applyAlignment="1" applyProtection="1">
      <alignment horizontal="left" vertical="center"/>
      <protection hidden="1"/>
    </xf>
    <xf numFmtId="0" fontId="21" fillId="3" borderId="38" xfId="48" applyFont="1" applyFill="1" applyBorder="1" applyAlignment="1" applyProtection="1">
      <alignment horizontal="right" vertical="center"/>
      <protection hidden="1"/>
    </xf>
    <xf numFmtId="0" fontId="21" fillId="3" borderId="38" xfId="48" applyFont="1" applyFill="1" applyBorder="1" applyAlignment="1" applyProtection="1">
      <alignment horizontal="center" vertical="center"/>
      <protection hidden="1"/>
    </xf>
    <xf numFmtId="0" fontId="21" fillId="3" borderId="38" xfId="48" applyFont="1" applyFill="1" applyBorder="1" applyAlignment="1" applyProtection="1">
      <alignment horizontal="left" vertical="center"/>
      <protection hidden="1"/>
    </xf>
    <xf numFmtId="0" fontId="21" fillId="3" borderId="39" xfId="48" applyFont="1" applyFill="1" applyBorder="1" applyAlignment="1" applyProtection="1">
      <alignment horizontal="left" vertical="center"/>
      <protection hidden="1"/>
    </xf>
    <xf numFmtId="0" fontId="16" fillId="2" borderId="21" xfId="49" applyFont="1" applyFill="1" applyBorder="1" applyAlignment="1" applyProtection="1">
      <alignment horizontal="left" vertical="center"/>
      <protection hidden="1"/>
    </xf>
    <xf numFmtId="0" fontId="16" fillId="2" borderId="20" xfId="1" applyFont="1" applyFill="1" applyBorder="1" applyAlignment="1" applyProtection="1">
      <alignment horizontal="left" vertical="center"/>
      <protection hidden="1"/>
    </xf>
    <xf numFmtId="0" fontId="16" fillId="2" borderId="23" xfId="1" applyFont="1" applyFill="1" applyBorder="1" applyAlignment="1" applyProtection="1">
      <alignment horizontal="left" vertical="center"/>
      <protection hidden="1"/>
    </xf>
    <xf numFmtId="0" fontId="21" fillId="3" borderId="37" xfId="1" applyFont="1" applyFill="1" applyBorder="1" applyAlignment="1" applyProtection="1">
      <alignment horizontal="left" vertical="center"/>
      <protection hidden="1"/>
    </xf>
    <xf numFmtId="0" fontId="21" fillId="3" borderId="38" xfId="1" applyFont="1" applyFill="1" applyBorder="1" applyAlignment="1" applyProtection="1">
      <alignment horizontal="left" vertical="center"/>
      <protection hidden="1"/>
    </xf>
    <xf numFmtId="0" fontId="21" fillId="3" borderId="39" xfId="1" applyFont="1" applyFill="1" applyBorder="1" applyAlignment="1" applyProtection="1">
      <alignment horizontal="left" vertical="center"/>
      <protection hidden="1"/>
    </xf>
    <xf numFmtId="0" fontId="16" fillId="2" borderId="19" xfId="2" applyFont="1" applyFill="1" applyBorder="1" applyAlignment="1" applyProtection="1">
      <alignment horizontal="left" vertical="center"/>
      <protection hidden="1"/>
    </xf>
    <xf numFmtId="0" fontId="16" fillId="2" borderId="22" xfId="2" applyFont="1" applyFill="1" applyBorder="1" applyAlignment="1" applyProtection="1">
      <alignment horizontal="left" vertical="center"/>
      <protection hidden="1"/>
    </xf>
    <xf numFmtId="1" fontId="16" fillId="0" borderId="11" xfId="1" applyNumberFormat="1" applyFont="1" applyFill="1" applyBorder="1" applyAlignment="1" applyProtection="1">
      <alignment horizontal="center" vertical="center"/>
      <protection hidden="1"/>
    </xf>
    <xf numFmtId="0" fontId="48" fillId="0" borderId="0" xfId="0" quotePrefix="1" applyFont="1" applyProtection="1">
      <alignment vertical="center"/>
      <protection hidden="1"/>
    </xf>
    <xf numFmtId="0" fontId="16" fillId="2" borderId="36" xfId="48" applyFont="1" applyFill="1" applyBorder="1" applyAlignment="1" applyProtection="1">
      <alignment vertical="center" wrapText="1"/>
      <protection hidden="1"/>
    </xf>
    <xf numFmtId="0" fontId="16" fillId="2" borderId="14" xfId="48" applyFont="1" applyFill="1" applyBorder="1" applyAlignment="1" applyProtection="1">
      <alignment horizontal="left" vertical="center"/>
      <protection hidden="1"/>
    </xf>
    <xf numFmtId="0" fontId="16" fillId="2" borderId="52" xfId="48" applyFont="1" applyFill="1" applyBorder="1" applyAlignment="1" applyProtection="1">
      <alignment vertical="center" wrapText="1"/>
      <protection hidden="1"/>
    </xf>
    <xf numFmtId="0" fontId="16" fillId="2" borderId="20" xfId="48" applyFont="1" applyFill="1" applyBorder="1" applyAlignment="1" applyProtection="1">
      <alignment horizontal="right" vertical="center"/>
      <protection hidden="1"/>
    </xf>
    <xf numFmtId="165" fontId="16" fillId="2" borderId="20" xfId="48" applyNumberFormat="1" applyFont="1" applyFill="1" applyBorder="1" applyAlignment="1" applyProtection="1">
      <alignment horizontal="center" vertical="center"/>
      <protection hidden="1"/>
    </xf>
    <xf numFmtId="0" fontId="16" fillId="2" borderId="20" xfId="49" applyFont="1" applyFill="1" applyBorder="1" applyAlignment="1" applyProtection="1">
      <alignment horizontal="left" vertical="center"/>
      <protection hidden="1"/>
    </xf>
    <xf numFmtId="0" fontId="16" fillId="2" borderId="23" xfId="48" applyFont="1" applyFill="1" applyBorder="1" applyAlignment="1" applyProtection="1">
      <alignment horizontal="left" vertical="center"/>
      <protection hidden="1"/>
    </xf>
    <xf numFmtId="0" fontId="16" fillId="2" borderId="50" xfId="1" applyFont="1" applyFill="1" applyBorder="1" applyAlignment="1" applyProtection="1">
      <alignment vertical="center"/>
      <protection hidden="1"/>
    </xf>
    <xf numFmtId="0" fontId="16" fillId="2" borderId="30" xfId="1" applyFont="1" applyFill="1" applyBorder="1" applyAlignment="1" applyProtection="1">
      <alignment horizontal="right" vertical="center"/>
      <protection hidden="1"/>
    </xf>
    <xf numFmtId="2" fontId="16" fillId="2" borderId="30" xfId="48" applyNumberFormat="1" applyFont="1" applyFill="1" applyBorder="1" applyAlignment="1" applyProtection="1">
      <alignment horizontal="center" vertical="center"/>
      <protection hidden="1"/>
    </xf>
    <xf numFmtId="2" fontId="16" fillId="2" borderId="28" xfId="48" applyNumberFormat="1" applyFont="1" applyFill="1" applyBorder="1" applyAlignment="1" applyProtection="1">
      <alignment horizontal="center" vertical="center"/>
      <protection hidden="1"/>
    </xf>
    <xf numFmtId="0" fontId="16" fillId="2" borderId="20" xfId="1" applyFont="1" applyFill="1" applyBorder="1" applyAlignment="1" applyProtection="1">
      <alignment horizontal="right" vertical="center"/>
      <protection hidden="1"/>
    </xf>
    <xf numFmtId="2" fontId="16" fillId="2" borderId="20" xfId="48" applyNumberFormat="1" applyFont="1" applyFill="1" applyBorder="1" applyAlignment="1" applyProtection="1">
      <alignment horizontal="center" vertical="center"/>
      <protection hidden="1"/>
    </xf>
    <xf numFmtId="0" fontId="16" fillId="2" borderId="23" xfId="49" applyFont="1" applyFill="1" applyBorder="1" applyAlignment="1" applyProtection="1">
      <alignment vertical="center"/>
      <protection hidden="1"/>
    </xf>
    <xf numFmtId="2" fontId="16" fillId="2" borderId="11" xfId="48" applyNumberFormat="1" applyFont="1" applyFill="1" applyBorder="1" applyAlignment="1" applyProtection="1">
      <alignment horizontal="center" vertical="center"/>
      <protection hidden="1"/>
    </xf>
    <xf numFmtId="0" fontId="16" fillId="2" borderId="36" xfId="44" applyFont="1" applyFill="1" applyBorder="1" applyAlignment="1" applyProtection="1">
      <alignment vertical="center"/>
      <protection hidden="1"/>
    </xf>
    <xf numFmtId="0" fontId="16" fillId="2" borderId="28" xfId="44" applyFont="1" applyFill="1" applyBorder="1" applyAlignment="1" applyProtection="1">
      <alignment horizontal="right" vertical="center"/>
      <protection hidden="1"/>
    </xf>
    <xf numFmtId="165" fontId="16" fillId="2" borderId="28" xfId="44" applyNumberFormat="1" applyFont="1" applyFill="1" applyBorder="1" applyAlignment="1" applyProtection="1">
      <alignment horizontal="center" vertical="center"/>
      <protection hidden="1"/>
    </xf>
    <xf numFmtId="0" fontId="16" fillId="2" borderId="19" xfId="45" applyFont="1" applyFill="1" applyBorder="1" applyAlignment="1" applyProtection="1">
      <alignment vertical="center"/>
      <protection hidden="1"/>
    </xf>
    <xf numFmtId="0" fontId="16" fillId="2" borderId="23" xfId="45" applyFont="1" applyFill="1" applyBorder="1" applyAlignment="1" applyProtection="1">
      <alignment vertical="center"/>
      <protection hidden="1"/>
    </xf>
    <xf numFmtId="0" fontId="16" fillId="2" borderId="36" xfId="48" applyFont="1" applyFill="1" applyBorder="1" applyAlignment="1" applyProtection="1">
      <alignment vertical="center"/>
      <protection hidden="1"/>
    </xf>
    <xf numFmtId="0" fontId="16" fillId="2" borderId="28" xfId="48" applyFont="1" applyFill="1" applyBorder="1" applyAlignment="1" applyProtection="1">
      <alignment horizontal="right" vertical="center"/>
      <protection hidden="1"/>
    </xf>
    <xf numFmtId="165" fontId="16" fillId="2" borderId="28" xfId="48" applyNumberFormat="1" applyFont="1" applyFill="1" applyBorder="1" applyAlignment="1" applyProtection="1">
      <alignment horizontal="center" vertical="center"/>
      <protection hidden="1"/>
    </xf>
    <xf numFmtId="0" fontId="16" fillId="2" borderId="19" xfId="49" applyFont="1" applyFill="1" applyBorder="1" applyAlignment="1" applyProtection="1">
      <alignment vertical="center"/>
      <protection hidden="1"/>
    </xf>
    <xf numFmtId="0" fontId="16" fillId="7" borderId="21" xfId="48" applyFont="1" applyFill="1" applyBorder="1" applyAlignment="1" applyProtection="1">
      <alignment horizontal="center" vertical="center"/>
      <protection hidden="1"/>
    </xf>
    <xf numFmtId="0" fontId="16" fillId="0" borderId="5" xfId="0" applyFont="1" applyBorder="1" applyAlignment="1">
      <alignment vertical="center" wrapText="1"/>
    </xf>
    <xf numFmtId="0" fontId="37" fillId="0" borderId="2" xfId="0" applyFont="1" applyBorder="1">
      <alignment vertical="center"/>
    </xf>
    <xf numFmtId="0" fontId="37" fillId="0" borderId="24" xfId="0" applyFont="1" applyBorder="1">
      <alignment vertical="center"/>
    </xf>
    <xf numFmtId="0" fontId="107" fillId="0" borderId="16" xfId="35" applyFont="1" applyBorder="1" applyAlignment="1">
      <alignment horizontal="center" vertical="center"/>
    </xf>
    <xf numFmtId="0" fontId="37" fillId="0" borderId="18" xfId="0" applyFont="1" applyBorder="1">
      <alignment vertical="center"/>
    </xf>
    <xf numFmtId="0" fontId="37" fillId="0" borderId="23" xfId="0" applyFont="1" applyBorder="1">
      <alignment vertical="center"/>
    </xf>
    <xf numFmtId="0" fontId="107" fillId="0" borderId="16" xfId="40" applyFont="1" applyBorder="1" applyAlignment="1">
      <alignment horizontal="center" vertical="center"/>
    </xf>
    <xf numFmtId="0" fontId="37" fillId="0" borderId="4" xfId="0" applyFont="1" applyBorder="1">
      <alignment vertical="center"/>
    </xf>
    <xf numFmtId="0" fontId="107" fillId="0" borderId="71" xfId="40" applyFont="1" applyBorder="1" applyAlignment="1">
      <alignment horizontal="center" vertical="center"/>
    </xf>
    <xf numFmtId="0" fontId="37" fillId="0" borderId="14" xfId="0" applyFont="1" applyBorder="1">
      <alignment vertical="center"/>
    </xf>
    <xf numFmtId="0" fontId="99" fillId="0" borderId="71" xfId="40" applyFont="1" applyBorder="1" applyAlignment="1">
      <alignment horizontal="center" vertical="center"/>
    </xf>
    <xf numFmtId="0" fontId="99" fillId="11" borderId="16" xfId="35" applyFont="1" applyFill="1" applyBorder="1" applyAlignment="1">
      <alignment horizontal="center" vertical="center"/>
    </xf>
    <xf numFmtId="0" fontId="115" fillId="0" borderId="19" xfId="35" applyFont="1" applyBorder="1" applyAlignment="1">
      <alignment vertical="center"/>
    </xf>
    <xf numFmtId="0" fontId="0" fillId="0" borderId="45" xfId="0" applyBorder="1" applyAlignment="1" applyProtection="1">
      <alignment horizontal="center" vertical="center"/>
      <protection hidden="1"/>
    </xf>
    <xf numFmtId="0" fontId="0" fillId="0" borderId="30" xfId="0" applyBorder="1" applyAlignment="1" applyProtection="1">
      <alignment horizontal="center" vertical="center"/>
      <protection hidden="1"/>
    </xf>
    <xf numFmtId="17" fontId="0" fillId="0" borderId="30" xfId="0" quotePrefix="1" applyNumberFormat="1" applyBorder="1" applyAlignment="1" applyProtection="1">
      <alignment horizontal="center" vertical="center"/>
      <protection hidden="1"/>
    </xf>
    <xf numFmtId="0" fontId="0" fillId="0" borderId="31" xfId="0" applyBorder="1" applyProtection="1">
      <alignment vertical="center"/>
      <protection hidden="1"/>
    </xf>
    <xf numFmtId="0" fontId="0" fillId="0" borderId="8"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17" fontId="0" fillId="0" borderId="5" xfId="0" quotePrefix="1" applyNumberFormat="1" applyBorder="1" applyAlignment="1" applyProtection="1">
      <alignment horizontal="center" vertical="center"/>
      <protection hidden="1"/>
    </xf>
    <xf numFmtId="0" fontId="0" fillId="0" borderId="9" xfId="0" quotePrefix="1" applyBorder="1" applyAlignment="1" applyProtection="1">
      <alignment vertical="center" wrapText="1"/>
      <protection hidden="1"/>
    </xf>
    <xf numFmtId="0" fontId="0" fillId="0" borderId="10" xfId="0" applyBorder="1" applyAlignment="1" applyProtection="1">
      <alignment horizontal="center" vertical="center"/>
      <protection hidden="1"/>
    </xf>
    <xf numFmtId="0" fontId="0" fillId="0" borderId="11" xfId="0" applyBorder="1" applyProtection="1">
      <alignment vertical="center"/>
      <protection hidden="1"/>
    </xf>
    <xf numFmtId="0" fontId="0" fillId="0" borderId="12" xfId="0" applyBorder="1" applyProtection="1">
      <alignment vertical="center"/>
      <protection hidden="1"/>
    </xf>
    <xf numFmtId="0" fontId="50" fillId="0" borderId="0" xfId="0" applyFont="1" applyFill="1" applyProtection="1">
      <alignment vertical="center"/>
      <protection hidden="1"/>
    </xf>
    <xf numFmtId="0" fontId="0" fillId="0" borderId="0" xfId="0" applyFont="1" applyFill="1" applyProtection="1">
      <alignment vertical="center"/>
      <protection hidden="1"/>
    </xf>
    <xf numFmtId="0" fontId="61" fillId="0" borderId="0" xfId="0" applyFont="1">
      <alignment vertical="center"/>
    </xf>
    <xf numFmtId="0" fontId="47" fillId="0" borderId="0" xfId="0" applyFont="1" applyFill="1" applyProtection="1">
      <alignment vertical="center"/>
      <protection hidden="1"/>
    </xf>
    <xf numFmtId="0" fontId="119" fillId="0" borderId="0" xfId="0" applyFont="1" applyAlignment="1">
      <alignment vertical="center" wrapText="1"/>
    </xf>
    <xf numFmtId="0" fontId="47" fillId="0" borderId="0" xfId="0" applyFont="1">
      <alignment vertical="center"/>
    </xf>
    <xf numFmtId="0" fontId="117" fillId="0" borderId="0" xfId="0" quotePrefix="1" applyFont="1">
      <alignment vertical="center"/>
    </xf>
    <xf numFmtId="0" fontId="47" fillId="0" borderId="0" xfId="0" applyFont="1" applyProtection="1">
      <alignment vertical="center"/>
      <protection hidden="1"/>
    </xf>
    <xf numFmtId="0" fontId="121" fillId="0" borderId="0" xfId="0" applyFont="1" applyFill="1">
      <alignment vertical="center"/>
    </xf>
    <xf numFmtId="0" fontId="7" fillId="0" borderId="0" xfId="0" applyFont="1" applyAlignment="1" applyProtection="1">
      <alignment horizontal="left" vertical="center"/>
    </xf>
    <xf numFmtId="0" fontId="89" fillId="0" borderId="0" xfId="0" applyFont="1" applyFill="1" applyProtection="1">
      <alignment vertical="center"/>
      <protection hidden="1"/>
    </xf>
    <xf numFmtId="0" fontId="118" fillId="0" borderId="71" xfId="0" applyFont="1" applyBorder="1" applyAlignment="1" applyProtection="1">
      <alignment horizontal="center" wrapText="1"/>
      <protection hidden="1"/>
    </xf>
    <xf numFmtId="0" fontId="118" fillId="0" borderId="58" xfId="0" applyFont="1" applyBorder="1" applyAlignment="1" applyProtection="1">
      <alignment horizontal="center" wrapText="1"/>
      <protection hidden="1"/>
    </xf>
    <xf numFmtId="0" fontId="118" fillId="0" borderId="58" xfId="0" applyFont="1" applyBorder="1" applyAlignment="1" applyProtection="1">
      <alignment horizontal="center"/>
      <protection hidden="1"/>
    </xf>
    <xf numFmtId="0" fontId="118" fillId="0" borderId="72" xfId="0" applyFont="1" applyBorder="1" applyAlignment="1" applyProtection="1">
      <protection hidden="1"/>
    </xf>
    <xf numFmtId="0" fontId="122" fillId="0" borderId="0" xfId="0" applyFont="1" applyAlignment="1">
      <alignment horizontal="left" vertical="center" wrapText="1" indent="2"/>
    </xf>
    <xf numFmtId="0" fontId="89" fillId="0" borderId="0" xfId="0" applyFont="1" applyAlignment="1">
      <alignment vertical="center" wrapText="1"/>
    </xf>
    <xf numFmtId="0" fontId="48" fillId="2" borderId="23" xfId="2" applyFont="1" applyFill="1" applyBorder="1" applyAlignment="1" applyProtection="1">
      <alignment horizontal="left" vertical="center"/>
      <protection hidden="1"/>
    </xf>
    <xf numFmtId="0" fontId="16" fillId="0" borderId="19" xfId="2" applyFont="1" applyFill="1" applyBorder="1" applyAlignment="1" applyProtection="1">
      <alignment vertical="center"/>
      <protection hidden="1"/>
    </xf>
    <xf numFmtId="165" fontId="16" fillId="0" borderId="28" xfId="1" applyNumberFormat="1" applyFont="1" applyFill="1" applyBorder="1" applyAlignment="1" applyProtection="1">
      <alignment horizontal="center" vertical="center"/>
      <protection hidden="1"/>
    </xf>
    <xf numFmtId="0" fontId="16" fillId="7" borderId="5" xfId="1" applyNumberFormat="1" applyFont="1" applyFill="1" applyBorder="1" applyAlignment="1" applyProtection="1">
      <alignment horizontal="center" vertical="center"/>
      <protection hidden="1"/>
    </xf>
    <xf numFmtId="0" fontId="89" fillId="0" borderId="0" xfId="0" applyFont="1" applyProtection="1">
      <alignment vertical="center"/>
      <protection hidden="1"/>
    </xf>
    <xf numFmtId="0" fontId="16" fillId="2" borderId="20" xfId="1" applyFont="1" applyFill="1" applyBorder="1" applyAlignment="1" applyProtection="1">
      <alignment horizontal="left" vertical="center"/>
      <protection hidden="1"/>
    </xf>
    <xf numFmtId="0" fontId="16" fillId="2" borderId="23" xfId="1" applyFont="1" applyFill="1" applyBorder="1" applyAlignment="1" applyProtection="1">
      <alignment horizontal="left" vertical="center"/>
      <protection hidden="1"/>
    </xf>
    <xf numFmtId="0" fontId="16" fillId="2" borderId="24" xfId="1" applyFont="1" applyFill="1" applyBorder="1" applyAlignment="1" applyProtection="1">
      <alignment horizontal="left" vertical="center"/>
      <protection hidden="1"/>
    </xf>
    <xf numFmtId="0" fontId="16" fillId="2" borderId="19" xfId="2" applyFont="1" applyFill="1" applyBorder="1" applyAlignment="1" applyProtection="1">
      <alignment horizontal="left" vertical="center"/>
      <protection hidden="1"/>
    </xf>
    <xf numFmtId="0" fontId="37" fillId="0" borderId="66" xfId="0" applyFont="1" applyBorder="1">
      <alignment vertical="center"/>
    </xf>
    <xf numFmtId="0" fontId="37" fillId="0" borderId="0" xfId="40" applyFont="1" applyBorder="1" applyAlignment="1">
      <alignment vertical="center"/>
    </xf>
    <xf numFmtId="0" fontId="104" fillId="0" borderId="66" xfId="40" applyFont="1" applyBorder="1" applyAlignment="1">
      <alignment vertical="center" wrapText="1"/>
    </xf>
    <xf numFmtId="0" fontId="104" fillId="0" borderId="0" xfId="0" applyFont="1" applyBorder="1">
      <alignment vertical="center"/>
    </xf>
    <xf numFmtId="0" fontId="104" fillId="0" borderId="66" xfId="0" applyFont="1" applyBorder="1">
      <alignment vertical="center"/>
    </xf>
    <xf numFmtId="0" fontId="37" fillId="0" borderId="0" xfId="0" applyFont="1" applyBorder="1" applyAlignment="1">
      <alignment horizontal="left" vertical="center"/>
    </xf>
    <xf numFmtId="0" fontId="30" fillId="0" borderId="62" xfId="0" applyFont="1" applyBorder="1" applyAlignment="1">
      <alignment horizontal="right" vertical="center"/>
    </xf>
    <xf numFmtId="164" fontId="30" fillId="0" borderId="63" xfId="0" applyNumberFormat="1" applyFont="1" applyBorder="1" applyAlignment="1">
      <alignment horizontal="center" vertical="center"/>
    </xf>
    <xf numFmtId="0" fontId="30" fillId="0" borderId="63" xfId="0" applyFont="1" applyBorder="1" applyAlignment="1">
      <alignment horizontal="center" vertical="center"/>
    </xf>
    <xf numFmtId="0" fontId="37" fillId="0" borderId="64" xfId="0" applyFont="1" applyBorder="1">
      <alignment vertical="center"/>
    </xf>
    <xf numFmtId="0" fontId="37" fillId="0" borderId="66" xfId="0" applyFont="1" applyBorder="1" applyAlignment="1">
      <alignment horizontal="left" vertical="center"/>
    </xf>
    <xf numFmtId="0" fontId="0" fillId="0" borderId="66" xfId="0" applyBorder="1" applyAlignment="1">
      <alignment horizontal="left" vertical="center"/>
    </xf>
    <xf numFmtId="0" fontId="30" fillId="12" borderId="67" xfId="0" applyFont="1" applyFill="1" applyBorder="1" applyAlignment="1">
      <alignment horizontal="right" vertical="center"/>
    </xf>
    <xf numFmtId="2" fontId="37" fillId="12" borderId="68" xfId="0" applyNumberFormat="1" applyFont="1" applyFill="1" applyBorder="1" applyAlignment="1">
      <alignment horizontal="center" vertical="center"/>
    </xf>
    <xf numFmtId="0" fontId="30" fillId="12" borderId="68" xfId="0" applyFont="1" applyFill="1" applyBorder="1" applyAlignment="1">
      <alignment horizontal="center" vertical="center"/>
    </xf>
    <xf numFmtId="0" fontId="0" fillId="0" borderId="68" xfId="0" applyBorder="1" applyAlignment="1">
      <alignment horizontal="left" vertical="center"/>
    </xf>
    <xf numFmtId="0" fontId="0" fillId="0" borderId="69" xfId="0" applyBorder="1" applyAlignment="1">
      <alignment horizontal="left" vertical="center"/>
    </xf>
    <xf numFmtId="0" fontId="0" fillId="0" borderId="0" xfId="0" applyFont="1" applyBorder="1">
      <alignment vertical="center"/>
    </xf>
    <xf numFmtId="0" fontId="64" fillId="0" borderId="0" xfId="0" quotePrefix="1" applyFont="1">
      <alignment vertical="center"/>
    </xf>
    <xf numFmtId="0" fontId="117" fillId="0" borderId="0" xfId="0" applyFont="1" applyBorder="1">
      <alignment vertical="center"/>
    </xf>
    <xf numFmtId="17" fontId="0" fillId="0" borderId="5" xfId="0" quotePrefix="1" applyNumberFormat="1" applyFill="1" applyBorder="1" applyAlignment="1" applyProtection="1">
      <alignment horizontal="center" vertical="center"/>
      <protection hidden="1"/>
    </xf>
    <xf numFmtId="0" fontId="120" fillId="0" borderId="0" xfId="0" applyFont="1" applyFill="1" applyProtection="1">
      <alignment vertical="center"/>
      <protection hidden="1"/>
    </xf>
    <xf numFmtId="0" fontId="8" fillId="0" borderId="0" xfId="0" applyFont="1" applyFill="1" applyProtection="1">
      <alignment vertical="center"/>
      <protection hidden="1"/>
    </xf>
    <xf numFmtId="0" fontId="103" fillId="0" borderId="0" xfId="0" applyFont="1" applyFill="1" applyProtection="1">
      <alignment vertical="center"/>
      <protection hidden="1"/>
    </xf>
    <xf numFmtId="0" fontId="0" fillId="0" borderId="0" xfId="0" applyFont="1" applyFill="1" applyAlignment="1" applyProtection="1">
      <alignment horizontal="right" vertical="center"/>
      <protection hidden="1"/>
    </xf>
    <xf numFmtId="0" fontId="16" fillId="0" borderId="0" xfId="0" applyFont="1" applyAlignment="1" applyProtection="1">
      <alignment vertical="center" wrapText="1"/>
      <protection hidden="1"/>
    </xf>
    <xf numFmtId="0" fontId="123" fillId="0" borderId="0" xfId="0" applyFont="1" applyFill="1" applyAlignment="1" applyProtection="1">
      <alignment horizontal="right" vertical="center"/>
      <protection hidden="1"/>
    </xf>
    <xf numFmtId="165" fontId="89" fillId="0" borderId="0" xfId="0" applyNumberFormat="1" applyFont="1" applyFill="1" applyProtection="1">
      <alignment vertical="center"/>
      <protection hidden="1"/>
    </xf>
    <xf numFmtId="0" fontId="7" fillId="0" borderId="0" xfId="0" quotePrefix="1" applyFont="1" applyFill="1" applyProtection="1">
      <alignment vertical="center"/>
      <protection hidden="1"/>
    </xf>
    <xf numFmtId="164" fontId="16" fillId="0" borderId="28" xfId="1" applyNumberFormat="1" applyFont="1" applyFill="1" applyBorder="1" applyAlignment="1" applyProtection="1">
      <alignment horizontal="center" vertical="center"/>
      <protection hidden="1"/>
    </xf>
    <xf numFmtId="0" fontId="101" fillId="0" borderId="0" xfId="0" applyFont="1" applyFill="1">
      <alignment vertical="center"/>
    </xf>
    <xf numFmtId="0" fontId="16" fillId="0" borderId="0" xfId="0" applyFont="1" applyFill="1" applyProtection="1">
      <alignment vertical="center"/>
    </xf>
    <xf numFmtId="0" fontId="89" fillId="0" borderId="0" xfId="0" applyFont="1" applyFill="1" applyProtection="1">
      <alignment vertical="center"/>
    </xf>
    <xf numFmtId="0" fontId="48" fillId="0" borderId="0" xfId="0" applyFont="1" applyFill="1" applyProtection="1">
      <alignment vertical="center"/>
    </xf>
    <xf numFmtId="0" fontId="7" fillId="0" borderId="0" xfId="0" applyFont="1" applyFill="1" applyAlignment="1" applyProtection="1">
      <alignment horizontal="right" vertical="center"/>
      <protection hidden="1"/>
    </xf>
    <xf numFmtId="0" fontId="101" fillId="0" borderId="0" xfId="0" applyFont="1" applyFill="1" applyProtection="1">
      <alignment vertical="center"/>
      <protection hidden="1"/>
    </xf>
    <xf numFmtId="0" fontId="37" fillId="0" borderId="0" xfId="0" applyFont="1" applyFill="1" applyProtection="1">
      <alignment vertical="center"/>
      <protection hidden="1"/>
    </xf>
    <xf numFmtId="0" fontId="16" fillId="4" borderId="42" xfId="2" applyFont="1" applyFill="1" applyBorder="1" applyAlignment="1" applyProtection="1">
      <alignment horizontal="left" vertical="center"/>
      <protection hidden="1"/>
    </xf>
    <xf numFmtId="0" fontId="16" fillId="2" borderId="23" xfId="1" applyFont="1" applyFill="1" applyBorder="1" applyAlignment="1" applyProtection="1">
      <alignment horizontal="left" vertical="center"/>
      <protection hidden="1"/>
    </xf>
    <xf numFmtId="0" fontId="16" fillId="4" borderId="41" xfId="2" applyFont="1" applyFill="1" applyBorder="1" applyAlignment="1" applyProtection="1">
      <alignment horizontal="left" vertical="center"/>
      <protection hidden="1"/>
    </xf>
    <xf numFmtId="0" fontId="16" fillId="4" borderId="42" xfId="2" applyFont="1" applyFill="1" applyBorder="1" applyAlignment="1" applyProtection="1">
      <alignment horizontal="left" vertical="center"/>
      <protection hidden="1"/>
    </xf>
    <xf numFmtId="0" fontId="21" fillId="3" borderId="37" xfId="1" applyFont="1" applyFill="1" applyBorder="1" applyAlignment="1" applyProtection="1">
      <alignment horizontal="left" vertical="center"/>
      <protection hidden="1"/>
    </xf>
    <xf numFmtId="0" fontId="21" fillId="3" borderId="38" xfId="1" applyFont="1" applyFill="1" applyBorder="1" applyAlignment="1" applyProtection="1">
      <alignment horizontal="left" vertical="center"/>
      <protection hidden="1"/>
    </xf>
    <xf numFmtId="0" fontId="21" fillId="3" borderId="39" xfId="1" applyFont="1" applyFill="1" applyBorder="1" applyAlignment="1" applyProtection="1">
      <alignment horizontal="left" vertical="center"/>
      <protection hidden="1"/>
    </xf>
    <xf numFmtId="0" fontId="16" fillId="2" borderId="45" xfId="1" applyFont="1" applyFill="1" applyBorder="1" applyAlignment="1" applyProtection="1">
      <alignment vertical="center"/>
      <protection hidden="1"/>
    </xf>
    <xf numFmtId="0" fontId="16" fillId="4" borderId="57" xfId="2" applyFont="1" applyFill="1" applyBorder="1" applyAlignment="1" applyProtection="1">
      <alignment horizontal="left" vertical="center"/>
      <protection hidden="1"/>
    </xf>
    <xf numFmtId="0" fontId="16" fillId="4" borderId="4" xfId="2" applyFont="1" applyFill="1" applyBorder="1" applyAlignment="1" applyProtection="1">
      <alignment horizontal="left" vertical="center" wrapText="1"/>
      <protection hidden="1"/>
    </xf>
    <xf numFmtId="0" fontId="100" fillId="0" borderId="0" xfId="0" applyFont="1" applyFill="1" applyProtection="1">
      <alignment vertical="center"/>
      <protection hidden="1"/>
    </xf>
    <xf numFmtId="0" fontId="50" fillId="0" borderId="0" xfId="0" applyFont="1" applyFill="1" applyProtection="1">
      <alignment vertical="center"/>
    </xf>
    <xf numFmtId="15" fontId="47" fillId="0" borderId="0" xfId="0" applyNumberFormat="1" applyFont="1" applyFill="1" applyProtection="1">
      <alignment vertical="center"/>
      <protection hidden="1"/>
    </xf>
    <xf numFmtId="0" fontId="99" fillId="0" borderId="0" xfId="0" applyFont="1" applyFill="1" applyProtection="1">
      <alignment vertical="center"/>
      <protection hidden="1"/>
    </xf>
    <xf numFmtId="0" fontId="20" fillId="0" borderId="0" xfId="0" applyFont="1" applyFill="1" applyProtection="1">
      <alignment vertical="center"/>
    </xf>
    <xf numFmtId="0" fontId="101" fillId="0" borderId="0" xfId="0" quotePrefix="1" applyFont="1" applyFill="1" applyProtection="1">
      <alignment vertical="center"/>
    </xf>
    <xf numFmtId="0" fontId="37" fillId="0" borderId="0" xfId="3" quotePrefix="1" applyFont="1" applyFill="1" applyBorder="1" applyAlignment="1" applyProtection="1">
      <alignment vertical="center"/>
    </xf>
    <xf numFmtId="0" fontId="47" fillId="0" borderId="0" xfId="0" applyFont="1" applyFill="1">
      <alignment vertical="center"/>
    </xf>
    <xf numFmtId="0" fontId="125" fillId="0" borderId="0" xfId="0" applyFont="1" applyFill="1">
      <alignment vertical="center"/>
    </xf>
    <xf numFmtId="0" fontId="0" fillId="0" borderId="0" xfId="0" applyFont="1" applyFill="1">
      <alignment vertical="center"/>
    </xf>
    <xf numFmtId="165" fontId="16" fillId="0" borderId="30" xfId="1" applyNumberFormat="1" applyFont="1" applyFill="1" applyBorder="1" applyAlignment="1" applyProtection="1">
      <alignment horizontal="center" vertical="center"/>
      <protection hidden="1"/>
    </xf>
    <xf numFmtId="0" fontId="2" fillId="0" borderId="44" xfId="0" quotePrefix="1" applyFont="1" applyBorder="1" applyAlignment="1" applyProtection="1">
      <alignment vertical="center" wrapText="1"/>
      <protection hidden="1"/>
    </xf>
    <xf numFmtId="0" fontId="2" fillId="0" borderId="35" xfId="0" quotePrefix="1" applyFont="1" applyBorder="1" applyAlignment="1" applyProtection="1">
      <alignment vertical="center" wrapText="1"/>
      <protection hidden="1"/>
    </xf>
    <xf numFmtId="0" fontId="16" fillId="4" borderId="19" xfId="1" applyFont="1" applyFill="1" applyBorder="1" applyAlignment="1" applyProtection="1">
      <alignment horizontal="center" vertical="center"/>
      <protection locked="0"/>
    </xf>
    <xf numFmtId="0" fontId="16" fillId="4" borderId="27" xfId="1" applyFont="1" applyFill="1" applyBorder="1" applyAlignment="1" applyProtection="1">
      <alignment horizontal="center" vertical="center"/>
      <protection locked="0"/>
    </xf>
    <xf numFmtId="0" fontId="25" fillId="4" borderId="19" xfId="1" applyFont="1" applyFill="1" applyBorder="1" applyAlignment="1" applyProtection="1">
      <alignment horizontal="center" vertical="center"/>
      <protection locked="0"/>
    </xf>
    <xf numFmtId="0" fontId="25" fillId="4" borderId="27" xfId="1" applyFont="1" applyFill="1" applyBorder="1" applyAlignment="1" applyProtection="1">
      <alignment horizontal="center" vertical="center"/>
      <protection locked="0"/>
    </xf>
    <xf numFmtId="0" fontId="16" fillId="2" borderId="20" xfId="1" applyFont="1" applyFill="1" applyBorder="1" applyAlignment="1" applyProtection="1">
      <alignment horizontal="left" vertical="center"/>
      <protection hidden="1"/>
    </xf>
    <xf numFmtId="0" fontId="16" fillId="2" borderId="23" xfId="1" applyFont="1" applyFill="1" applyBorder="1" applyAlignment="1" applyProtection="1">
      <alignment horizontal="left" vertical="center"/>
      <protection hidden="1"/>
    </xf>
    <xf numFmtId="0" fontId="25" fillId="2" borderId="40" xfId="1" applyFont="1" applyFill="1" applyBorder="1" applyAlignment="1" applyProtection="1">
      <alignment horizontal="left" vertical="center" wrapText="1"/>
      <protection hidden="1"/>
    </xf>
    <xf numFmtId="0" fontId="36" fillId="2" borderId="12" xfId="1" applyFont="1" applyFill="1" applyBorder="1" applyAlignment="1" applyProtection="1">
      <alignment horizontal="left" vertical="center" wrapText="1"/>
      <protection hidden="1"/>
    </xf>
    <xf numFmtId="0" fontId="16" fillId="2" borderId="20" xfId="1" applyFont="1" applyFill="1" applyBorder="1" applyAlignment="1" applyProtection="1">
      <alignment horizontal="left" vertical="center" wrapText="1"/>
      <protection hidden="1"/>
    </xf>
    <xf numFmtId="0" fontId="16" fillId="2" borderId="23" xfId="1" applyFont="1" applyFill="1" applyBorder="1" applyAlignment="1" applyProtection="1">
      <alignment horizontal="left" vertical="center" wrapText="1"/>
      <protection hidden="1"/>
    </xf>
    <xf numFmtId="0" fontId="25" fillId="2" borderId="20" xfId="1" applyFont="1" applyFill="1" applyBorder="1" applyAlignment="1" applyProtection="1">
      <alignment horizontal="center" vertical="center"/>
      <protection hidden="1"/>
    </xf>
    <xf numFmtId="0" fontId="25" fillId="2" borderId="23" xfId="1" applyFont="1" applyFill="1" applyBorder="1" applyAlignment="1" applyProtection="1">
      <alignment horizontal="center" vertical="center"/>
      <protection hidden="1"/>
    </xf>
    <xf numFmtId="0" fontId="16" fillId="2" borderId="20" xfId="1" applyFont="1" applyFill="1" applyBorder="1" applyAlignment="1" applyProtection="1">
      <alignment horizontal="center" vertical="center"/>
      <protection hidden="1"/>
    </xf>
    <xf numFmtId="0" fontId="16" fillId="2" borderId="23" xfId="1" applyFont="1" applyFill="1" applyBorder="1" applyAlignment="1" applyProtection="1">
      <alignment horizontal="center" vertical="center"/>
      <protection hidden="1"/>
    </xf>
    <xf numFmtId="0" fontId="16" fillId="2" borderId="40" xfId="1" applyFont="1" applyFill="1" applyBorder="1" applyAlignment="1" applyProtection="1">
      <alignment horizontal="left" vertical="center" wrapText="1"/>
      <protection hidden="1"/>
    </xf>
    <xf numFmtId="0" fontId="22" fillId="2" borderId="12" xfId="1" applyFont="1" applyFill="1" applyBorder="1" applyAlignment="1" applyProtection="1">
      <alignment horizontal="left" vertical="center" wrapText="1"/>
      <protection hidden="1"/>
    </xf>
    <xf numFmtId="0" fontId="16" fillId="2" borderId="27" xfId="1" applyFont="1" applyFill="1" applyBorder="1" applyAlignment="1" applyProtection="1">
      <alignment horizontal="left" vertical="center" wrapText="1"/>
      <protection hidden="1"/>
    </xf>
    <xf numFmtId="0" fontId="22" fillId="2" borderId="9" xfId="1" applyFont="1" applyFill="1" applyBorder="1" applyAlignment="1" applyProtection="1">
      <alignment horizontal="left" vertical="center" wrapText="1"/>
      <protection hidden="1"/>
    </xf>
    <xf numFmtId="0" fontId="16" fillId="2" borderId="5" xfId="1" applyFont="1" applyFill="1" applyBorder="1" applyAlignment="1" applyProtection="1">
      <alignment horizontal="left" vertical="center"/>
      <protection hidden="1"/>
    </xf>
    <xf numFmtId="0" fontId="16" fillId="2" borderId="9" xfId="1" applyFont="1" applyFill="1" applyBorder="1" applyAlignment="1" applyProtection="1">
      <alignment horizontal="left" vertical="center"/>
      <protection hidden="1"/>
    </xf>
    <xf numFmtId="0" fontId="52" fillId="2" borderId="27" xfId="1" applyFont="1" applyFill="1" applyBorder="1" applyAlignment="1" applyProtection="1">
      <alignment horizontal="left" vertical="center" wrapText="1"/>
      <protection hidden="1"/>
    </xf>
    <xf numFmtId="0" fontId="18" fillId="2" borderId="9" xfId="1" applyFont="1" applyFill="1" applyBorder="1" applyAlignment="1" applyProtection="1">
      <alignment horizontal="left" vertical="center" wrapText="1"/>
      <protection hidden="1"/>
    </xf>
    <xf numFmtId="0" fontId="16" fillId="2" borderId="11" xfId="1" applyFont="1" applyFill="1" applyBorder="1" applyAlignment="1" applyProtection="1">
      <alignment horizontal="left" vertical="center"/>
      <protection hidden="1"/>
    </xf>
    <xf numFmtId="0" fontId="16" fillId="2" borderId="12" xfId="1" applyFont="1" applyFill="1" applyBorder="1" applyAlignment="1" applyProtection="1">
      <alignment horizontal="left" vertical="center"/>
      <protection hidden="1"/>
    </xf>
    <xf numFmtId="0" fontId="34" fillId="2" borderId="40" xfId="1" applyFont="1" applyFill="1" applyBorder="1" applyAlignment="1" applyProtection="1">
      <alignment horizontal="left" vertical="center" wrapText="1"/>
      <protection hidden="1"/>
    </xf>
    <xf numFmtId="0" fontId="18" fillId="2" borderId="12" xfId="1" applyFont="1" applyFill="1" applyBorder="1" applyAlignment="1" applyProtection="1">
      <alignment horizontal="left" vertical="center" wrapText="1"/>
      <protection hidden="1"/>
    </xf>
    <xf numFmtId="0" fontId="26" fillId="3" borderId="37" xfId="1" applyFont="1" applyFill="1" applyBorder="1" applyAlignment="1" applyProtection="1">
      <alignment horizontal="left" vertical="center"/>
      <protection hidden="1"/>
    </xf>
    <xf numFmtId="0" fontId="26" fillId="3" borderId="38" xfId="1" applyFont="1" applyFill="1" applyBorder="1" applyAlignment="1" applyProtection="1">
      <alignment horizontal="left" vertical="center"/>
      <protection hidden="1"/>
    </xf>
    <xf numFmtId="0" fontId="26" fillId="3" borderId="39" xfId="1" applyFont="1" applyFill="1" applyBorder="1" applyAlignment="1" applyProtection="1">
      <alignment horizontal="left" vertical="center"/>
      <protection hidden="1"/>
    </xf>
    <xf numFmtId="0" fontId="25" fillId="2" borderId="27" xfId="1" applyFont="1" applyFill="1" applyBorder="1" applyAlignment="1" applyProtection="1">
      <alignment horizontal="left" vertical="center" wrapText="1"/>
      <protection hidden="1"/>
    </xf>
    <xf numFmtId="0" fontId="34" fillId="2" borderId="27" xfId="1" applyFont="1" applyFill="1" applyBorder="1" applyAlignment="1" applyProtection="1">
      <alignment horizontal="left" vertical="center" wrapText="1"/>
      <protection hidden="1"/>
    </xf>
    <xf numFmtId="0" fontId="16" fillId="2" borderId="9" xfId="1" applyFont="1" applyFill="1" applyBorder="1" applyAlignment="1" applyProtection="1">
      <alignment horizontal="left" vertical="center" wrapText="1"/>
      <protection hidden="1"/>
    </xf>
    <xf numFmtId="0" fontId="16" fillId="2" borderId="29" xfId="1" applyFont="1" applyFill="1" applyBorder="1" applyAlignment="1" applyProtection="1">
      <alignment horizontal="left" vertical="center" wrapText="1"/>
      <protection hidden="1"/>
    </xf>
    <xf numFmtId="0" fontId="16" fillId="2" borderId="31" xfId="1" applyFont="1" applyFill="1" applyBorder="1" applyAlignment="1" applyProtection="1">
      <alignment horizontal="left" vertical="center" wrapText="1"/>
      <protection hidden="1"/>
    </xf>
    <xf numFmtId="0" fontId="57" fillId="2" borderId="9" xfId="1" applyFont="1" applyFill="1" applyBorder="1" applyAlignment="1" applyProtection="1">
      <alignment horizontal="left" vertical="center" wrapText="1"/>
      <protection hidden="1"/>
    </xf>
    <xf numFmtId="0" fontId="57" fillId="2" borderId="27" xfId="1" applyFont="1" applyFill="1" applyBorder="1" applyAlignment="1" applyProtection="1">
      <alignment horizontal="left" vertical="center" wrapText="1"/>
      <protection hidden="1"/>
    </xf>
    <xf numFmtId="0" fontId="25" fillId="2" borderId="5" xfId="1" applyFont="1" applyFill="1" applyBorder="1" applyAlignment="1" applyProtection="1">
      <alignment horizontal="left" vertical="center"/>
      <protection hidden="1"/>
    </xf>
    <xf numFmtId="0" fontId="25" fillId="2" borderId="9" xfId="1" applyFont="1" applyFill="1" applyBorder="1" applyAlignment="1" applyProtection="1">
      <alignment horizontal="left" vertical="center"/>
      <protection hidden="1"/>
    </xf>
    <xf numFmtId="0" fontId="36" fillId="2" borderId="9" xfId="1" applyFont="1" applyFill="1" applyBorder="1" applyAlignment="1" applyProtection="1">
      <alignment horizontal="left" vertical="center" wrapText="1"/>
      <protection hidden="1"/>
    </xf>
    <xf numFmtId="0" fontId="16" fillId="2" borderId="20" xfId="1" quotePrefix="1" applyFont="1" applyFill="1" applyBorder="1" applyAlignment="1" applyProtection="1">
      <alignment horizontal="left" vertical="center"/>
      <protection hidden="1"/>
    </xf>
    <xf numFmtId="0" fontId="16" fillId="2" borderId="25" xfId="1" applyFont="1" applyFill="1" applyBorder="1" applyAlignment="1" applyProtection="1">
      <alignment horizontal="left" vertical="center" wrapText="1"/>
      <protection hidden="1"/>
    </xf>
    <xf numFmtId="0" fontId="94" fillId="2" borderId="26" xfId="1" applyFont="1" applyFill="1" applyBorder="1" applyAlignment="1" applyProtection="1">
      <alignment horizontal="left" vertical="center" wrapText="1"/>
      <protection hidden="1"/>
    </xf>
    <xf numFmtId="0" fontId="16" fillId="2" borderId="51" xfId="1" applyFont="1" applyFill="1" applyBorder="1" applyAlignment="1" applyProtection="1">
      <alignment horizontal="left" vertical="center" wrapText="1"/>
      <protection hidden="1"/>
    </xf>
    <xf numFmtId="0" fontId="16" fillId="2" borderId="35" xfId="1" applyFont="1" applyFill="1" applyBorder="1" applyAlignment="1" applyProtection="1">
      <alignment horizontal="left" vertical="center" wrapText="1"/>
      <protection hidden="1"/>
    </xf>
    <xf numFmtId="0" fontId="16" fillId="2" borderId="6" xfId="1" applyFont="1" applyFill="1" applyBorder="1" applyAlignment="1" applyProtection="1">
      <alignment horizontal="left" vertical="center" wrapText="1"/>
      <protection hidden="1"/>
    </xf>
    <xf numFmtId="0" fontId="16" fillId="2" borderId="24" xfId="1" applyFont="1" applyFill="1" applyBorder="1" applyAlignment="1" applyProtection="1">
      <alignment horizontal="left" vertical="center"/>
      <protection hidden="1"/>
    </xf>
    <xf numFmtId="0" fontId="26" fillId="3" borderId="32" xfId="1" applyFont="1" applyFill="1" applyBorder="1" applyAlignment="1" applyProtection="1">
      <alignment horizontal="left" vertical="center"/>
      <protection hidden="1"/>
    </xf>
    <xf numFmtId="0" fontId="26" fillId="3" borderId="46" xfId="1" applyFont="1" applyFill="1" applyBorder="1" applyAlignment="1" applyProtection="1">
      <alignment horizontal="left" vertical="center"/>
      <protection hidden="1"/>
    </xf>
    <xf numFmtId="0" fontId="26" fillId="3" borderId="33" xfId="1" applyFont="1" applyFill="1" applyBorder="1" applyAlignment="1" applyProtection="1">
      <alignment horizontal="left" vertical="center"/>
      <protection hidden="1"/>
    </xf>
    <xf numFmtId="0" fontId="26" fillId="3" borderId="34" xfId="1" applyFont="1" applyFill="1" applyBorder="1" applyAlignment="1" applyProtection="1">
      <alignment horizontal="left" vertical="center"/>
      <protection hidden="1"/>
    </xf>
    <xf numFmtId="0" fontId="29" fillId="2" borderId="3" xfId="1" applyFont="1" applyFill="1" applyBorder="1" applyAlignment="1" applyProtection="1">
      <alignment horizontal="center" vertical="center"/>
      <protection hidden="1"/>
    </xf>
    <xf numFmtId="0" fontId="29" fillId="2" borderId="15" xfId="1" applyFont="1" applyFill="1" applyBorder="1" applyAlignment="1" applyProtection="1">
      <alignment horizontal="center" vertical="center"/>
      <protection hidden="1"/>
    </xf>
    <xf numFmtId="0" fontId="29" fillId="2" borderId="4" xfId="1" applyFont="1" applyFill="1" applyBorder="1" applyAlignment="1" applyProtection="1">
      <alignment horizontal="center" vertical="center"/>
      <protection hidden="1"/>
    </xf>
    <xf numFmtId="0" fontId="25" fillId="2" borderId="16" xfId="1" applyFont="1" applyFill="1" applyBorder="1" applyAlignment="1" applyProtection="1">
      <alignment horizontal="center" vertical="center" wrapText="1"/>
      <protection hidden="1"/>
    </xf>
    <xf numFmtId="0" fontId="25" fillId="2" borderId="17" xfId="1" applyFont="1" applyFill="1" applyBorder="1" applyAlignment="1" applyProtection="1">
      <alignment horizontal="center" vertical="center" wrapText="1"/>
      <protection hidden="1"/>
    </xf>
    <xf numFmtId="0" fontId="25" fillId="2" borderId="18" xfId="1" applyFont="1" applyFill="1" applyBorder="1" applyAlignment="1" applyProtection="1">
      <alignment horizontal="center" vertical="center" wrapText="1"/>
      <protection hidden="1"/>
    </xf>
    <xf numFmtId="0" fontId="24" fillId="3" borderId="1" xfId="1" applyFont="1" applyFill="1" applyBorder="1" applyAlignment="1" applyProtection="1">
      <alignment horizontal="center" vertical="center"/>
      <protection hidden="1"/>
    </xf>
    <xf numFmtId="0" fontId="24" fillId="3" borderId="7" xfId="1" applyFont="1" applyFill="1" applyBorder="1" applyAlignment="1" applyProtection="1">
      <alignment horizontal="center" vertical="center"/>
      <protection hidden="1"/>
    </xf>
    <xf numFmtId="0" fontId="24" fillId="3" borderId="2" xfId="1" applyFont="1" applyFill="1" applyBorder="1" applyAlignment="1" applyProtection="1">
      <alignment horizontal="center" vertical="center"/>
      <protection hidden="1"/>
    </xf>
    <xf numFmtId="0" fontId="24" fillId="3" borderId="3" xfId="1" applyFont="1" applyFill="1" applyBorder="1" applyAlignment="1" applyProtection="1">
      <alignment horizontal="center" vertical="center"/>
      <protection hidden="1"/>
    </xf>
    <xf numFmtId="0" fontId="24" fillId="3" borderId="15" xfId="1" applyFont="1" applyFill="1" applyBorder="1" applyAlignment="1" applyProtection="1">
      <alignment horizontal="center" vertical="center"/>
      <protection hidden="1"/>
    </xf>
    <xf numFmtId="0" fontId="24" fillId="3" borderId="4" xfId="1" applyFont="1" applyFill="1" applyBorder="1" applyAlignment="1" applyProtection="1">
      <alignment horizontal="center" vertical="center"/>
      <protection hidden="1"/>
    </xf>
    <xf numFmtId="0" fontId="17" fillId="3" borderId="32" xfId="1" applyFont="1" applyFill="1" applyBorder="1" applyAlignment="1" applyProtection="1">
      <alignment horizontal="left" vertical="center"/>
      <protection hidden="1"/>
    </xf>
    <xf numFmtId="0" fontId="17" fillId="3" borderId="46" xfId="1" applyFont="1" applyFill="1" applyBorder="1" applyAlignment="1" applyProtection="1">
      <alignment horizontal="left" vertical="center"/>
      <protection hidden="1"/>
    </xf>
    <xf numFmtId="0" fontId="17" fillId="3" borderId="33" xfId="1" applyFont="1" applyFill="1" applyBorder="1" applyAlignment="1" applyProtection="1">
      <alignment horizontal="left" vertical="center"/>
      <protection hidden="1"/>
    </xf>
    <xf numFmtId="0" fontId="17" fillId="3" borderId="34" xfId="1" applyFont="1" applyFill="1" applyBorder="1" applyAlignment="1" applyProtection="1">
      <alignment horizontal="left" vertical="center"/>
      <protection hidden="1"/>
    </xf>
    <xf numFmtId="0" fontId="16" fillId="2" borderId="49" xfId="4" applyFont="1" applyFill="1" applyBorder="1" applyAlignment="1" applyProtection="1">
      <alignment horizontal="left" vertical="center"/>
      <protection hidden="1"/>
    </xf>
    <xf numFmtId="0" fontId="85" fillId="0" borderId="42" xfId="0" applyFont="1" applyBorder="1" applyAlignment="1" applyProtection="1">
      <alignment horizontal="left" vertical="center"/>
      <protection hidden="1"/>
    </xf>
    <xf numFmtId="0" fontId="85" fillId="0" borderId="23" xfId="0" applyFont="1" applyBorder="1" applyAlignment="1" applyProtection="1">
      <alignment horizontal="left" vertical="center"/>
      <protection hidden="1"/>
    </xf>
    <xf numFmtId="0" fontId="17" fillId="3" borderId="37" xfId="1" applyFont="1" applyFill="1" applyBorder="1" applyAlignment="1" applyProtection="1">
      <alignment horizontal="left" vertical="center"/>
      <protection hidden="1"/>
    </xf>
    <xf numFmtId="0" fontId="17" fillId="3" borderId="38" xfId="1" applyFont="1" applyFill="1" applyBorder="1" applyAlignment="1" applyProtection="1">
      <alignment horizontal="left" vertical="center"/>
      <protection hidden="1"/>
    </xf>
    <xf numFmtId="0" fontId="17" fillId="3" borderId="39" xfId="1" applyFont="1" applyFill="1" applyBorder="1" applyAlignment="1" applyProtection="1">
      <alignment horizontal="left" vertical="center"/>
      <protection hidden="1"/>
    </xf>
    <xf numFmtId="0" fontId="16" fillId="2" borderId="25" xfId="1" applyFont="1" applyFill="1" applyBorder="1" applyAlignment="1" applyProtection="1">
      <alignment horizontal="left" vertical="center"/>
      <protection hidden="1"/>
    </xf>
    <xf numFmtId="0" fontId="85" fillId="0" borderId="26" xfId="0" applyFont="1" applyBorder="1" applyAlignment="1" applyProtection="1">
      <alignment horizontal="left" vertical="center"/>
      <protection hidden="1"/>
    </xf>
    <xf numFmtId="0" fontId="14" fillId="3" borderId="0" xfId="1" applyFont="1" applyFill="1" applyAlignment="1" applyProtection="1">
      <alignment horizontal="center" vertical="center" wrapText="1"/>
      <protection hidden="1"/>
    </xf>
    <xf numFmtId="0" fontId="15" fillId="2" borderId="1" xfId="1" applyFont="1" applyFill="1" applyBorder="1" applyAlignment="1" applyProtection="1">
      <alignment horizontal="left" vertical="center"/>
      <protection hidden="1"/>
    </xf>
    <xf numFmtId="0" fontId="15" fillId="2" borderId="7" xfId="1" applyFont="1" applyFill="1" applyBorder="1" applyAlignment="1" applyProtection="1">
      <alignment horizontal="left" vertical="center"/>
      <protection hidden="1"/>
    </xf>
    <xf numFmtId="0" fontId="15" fillId="2" borderId="2" xfId="1" applyFont="1" applyFill="1" applyBorder="1" applyAlignment="1" applyProtection="1">
      <alignment horizontal="left" vertical="center"/>
      <protection hidden="1"/>
    </xf>
    <xf numFmtId="0" fontId="16" fillId="2" borderId="13" xfId="1" applyFont="1" applyFill="1" applyBorder="1" applyAlignment="1" applyProtection="1">
      <alignment horizontal="center" vertical="center" wrapText="1"/>
      <protection hidden="1"/>
    </xf>
    <xf numFmtId="0" fontId="16" fillId="2" borderId="0" xfId="1" applyFont="1" applyFill="1" applyBorder="1" applyAlignment="1" applyProtection="1">
      <alignment horizontal="center" vertical="center" wrapText="1"/>
      <protection hidden="1"/>
    </xf>
    <xf numFmtId="0" fontId="16" fillId="2" borderId="14" xfId="1" applyFont="1" applyFill="1" applyBorder="1" applyAlignment="1" applyProtection="1">
      <alignment horizontal="center" vertical="center" wrapText="1"/>
      <protection hidden="1"/>
    </xf>
    <xf numFmtId="0" fontId="16" fillId="2" borderId="3" xfId="1" applyFont="1" applyFill="1" applyBorder="1" applyAlignment="1" applyProtection="1">
      <alignment horizontal="center" vertical="center" wrapText="1"/>
      <protection hidden="1"/>
    </xf>
    <xf numFmtId="0" fontId="16" fillId="2" borderId="15" xfId="1" applyFont="1" applyFill="1" applyBorder="1" applyAlignment="1" applyProtection="1">
      <alignment horizontal="center" vertical="center" wrapText="1"/>
      <protection hidden="1"/>
    </xf>
    <xf numFmtId="0" fontId="16" fillId="2" borderId="4" xfId="1" applyFont="1" applyFill="1" applyBorder="1" applyAlignment="1" applyProtection="1">
      <alignment horizontal="center" vertical="center" wrapText="1"/>
      <protection hidden="1"/>
    </xf>
    <xf numFmtId="0" fontId="23" fillId="2" borderId="1" xfId="1" applyFont="1" applyFill="1" applyBorder="1" applyAlignment="1" applyProtection="1">
      <alignment horizontal="center" vertical="center" wrapText="1"/>
      <protection hidden="1"/>
    </xf>
    <xf numFmtId="0" fontId="23" fillId="2" borderId="7" xfId="1" applyFont="1" applyFill="1" applyBorder="1" applyAlignment="1" applyProtection="1">
      <alignment horizontal="center" vertical="center" wrapText="1"/>
      <protection hidden="1"/>
    </xf>
    <xf numFmtId="0" fontId="23" fillId="2" borderId="2" xfId="1" applyFont="1" applyFill="1" applyBorder="1" applyAlignment="1" applyProtection="1">
      <alignment horizontal="center" vertical="center" wrapText="1"/>
      <protection hidden="1"/>
    </xf>
    <xf numFmtId="0" fontId="20" fillId="2" borderId="13" xfId="1" applyFont="1" applyFill="1" applyBorder="1" applyAlignment="1" applyProtection="1">
      <alignment horizontal="center" vertical="center"/>
      <protection hidden="1"/>
    </xf>
    <xf numFmtId="0" fontId="20" fillId="2" borderId="0" xfId="1" applyFont="1" applyFill="1" applyBorder="1" applyAlignment="1" applyProtection="1">
      <alignment horizontal="center" vertical="center"/>
      <protection hidden="1"/>
    </xf>
    <xf numFmtId="0" fontId="20" fillId="2" borderId="14" xfId="1" applyFont="1" applyFill="1" applyBorder="1" applyAlignment="1" applyProtection="1">
      <alignment horizontal="center" vertical="center"/>
      <protection hidden="1"/>
    </xf>
    <xf numFmtId="0" fontId="29" fillId="2" borderId="15" xfId="1" applyFont="1" applyFill="1" applyBorder="1" applyAlignment="1" applyProtection="1">
      <alignment horizontal="center" vertical="center" wrapText="1"/>
      <protection hidden="1"/>
    </xf>
    <xf numFmtId="0" fontId="16" fillId="4" borderId="20" xfId="1" applyFont="1" applyFill="1" applyBorder="1" applyAlignment="1" applyProtection="1">
      <alignment horizontal="center" vertical="center"/>
      <protection locked="0"/>
    </xf>
    <xf numFmtId="0" fontId="16" fillId="2" borderId="26" xfId="1" applyFont="1" applyFill="1" applyBorder="1" applyAlignment="1" applyProtection="1">
      <alignment horizontal="left" vertical="center" wrapText="1"/>
      <protection hidden="1"/>
    </xf>
    <xf numFmtId="0" fontId="43" fillId="2" borderId="9" xfId="1" applyFont="1" applyFill="1" applyBorder="1" applyAlignment="1" applyProtection="1">
      <alignment horizontal="left" vertical="center" wrapText="1"/>
      <protection hidden="1"/>
    </xf>
    <xf numFmtId="0" fontId="18" fillId="2" borderId="27" xfId="1" applyFont="1" applyFill="1" applyBorder="1" applyAlignment="1" applyProtection="1">
      <alignment horizontal="left" vertical="center" wrapText="1"/>
      <protection hidden="1"/>
    </xf>
    <xf numFmtId="0" fontId="16" fillId="2" borderId="19" xfId="2" applyFont="1" applyFill="1" applyBorder="1" applyAlignment="1" applyProtection="1">
      <alignment horizontal="left" vertical="center"/>
      <protection hidden="1"/>
    </xf>
    <xf numFmtId="0" fontId="16" fillId="2" borderId="23" xfId="2" applyFont="1" applyFill="1" applyBorder="1" applyAlignment="1" applyProtection="1">
      <alignment horizontal="left" vertical="center"/>
      <protection hidden="1"/>
    </xf>
    <xf numFmtId="0" fontId="21" fillId="3" borderId="32" xfId="1" applyFont="1" applyFill="1" applyBorder="1" applyAlignment="1" applyProtection="1">
      <alignment horizontal="left" vertical="center"/>
      <protection hidden="1"/>
    </xf>
    <xf numFmtId="0" fontId="21" fillId="3" borderId="33" xfId="1" applyFont="1" applyFill="1" applyBorder="1" applyAlignment="1" applyProtection="1">
      <alignment horizontal="left" vertical="center"/>
      <protection hidden="1"/>
    </xf>
    <xf numFmtId="0" fontId="21" fillId="3" borderId="34" xfId="1" applyFont="1" applyFill="1" applyBorder="1" applyAlignment="1" applyProtection="1">
      <alignment horizontal="left" vertical="center"/>
      <protection hidden="1"/>
    </xf>
    <xf numFmtId="0" fontId="21" fillId="3" borderId="37" xfId="1" applyFont="1" applyFill="1" applyBorder="1" applyAlignment="1" applyProtection="1">
      <alignment horizontal="left" vertical="center"/>
      <protection hidden="1"/>
    </xf>
    <xf numFmtId="0" fontId="21" fillId="3" borderId="38" xfId="1" applyFont="1" applyFill="1" applyBorder="1" applyAlignment="1" applyProtection="1">
      <alignment horizontal="left" vertical="center"/>
      <protection hidden="1"/>
    </xf>
    <xf numFmtId="0" fontId="21" fillId="3" borderId="39" xfId="1" applyFont="1" applyFill="1" applyBorder="1" applyAlignment="1" applyProtection="1">
      <alignment horizontal="left" vertical="center"/>
      <protection hidden="1"/>
    </xf>
    <xf numFmtId="0" fontId="16" fillId="2" borderId="21" xfId="48" applyFont="1" applyFill="1" applyBorder="1" applyAlignment="1" applyProtection="1">
      <alignment horizontal="center" vertical="center"/>
      <protection hidden="1"/>
    </xf>
    <xf numFmtId="0" fontId="16" fillId="2" borderId="51" xfId="48" applyFont="1" applyFill="1" applyBorder="1" applyAlignment="1" applyProtection="1">
      <alignment horizontal="center" vertical="center"/>
      <protection hidden="1"/>
    </xf>
    <xf numFmtId="0" fontId="16" fillId="2" borderId="44" xfId="49" applyFont="1" applyFill="1" applyBorder="1" applyAlignment="1" applyProtection="1">
      <alignment horizontal="left" vertical="center" wrapText="1"/>
      <protection hidden="1"/>
    </xf>
    <xf numFmtId="0" fontId="16" fillId="2" borderId="44" xfId="48" applyFont="1" applyFill="1" applyBorder="1" applyAlignment="1" applyProtection="1">
      <alignment horizontal="left" vertical="center" wrapText="1"/>
      <protection hidden="1"/>
    </xf>
    <xf numFmtId="0" fontId="16" fillId="2" borderId="70" xfId="48" applyFont="1" applyFill="1" applyBorder="1" applyAlignment="1" applyProtection="1">
      <alignment horizontal="left" vertical="center" wrapText="1"/>
      <protection hidden="1"/>
    </xf>
    <xf numFmtId="0" fontId="30" fillId="2" borderId="19" xfId="1" applyFont="1" applyFill="1" applyBorder="1" applyAlignment="1" applyProtection="1">
      <alignment horizontal="left" vertical="center"/>
      <protection hidden="1"/>
    </xf>
    <xf numFmtId="0" fontId="30" fillId="2" borderId="23" xfId="1" applyFont="1" applyFill="1" applyBorder="1" applyAlignment="1" applyProtection="1">
      <alignment horizontal="left" vertical="center"/>
      <protection hidden="1"/>
    </xf>
    <xf numFmtId="0" fontId="30" fillId="2" borderId="21" xfId="1" applyFont="1" applyFill="1" applyBorder="1" applyAlignment="1" applyProtection="1">
      <alignment horizontal="left" vertical="center"/>
      <protection hidden="1"/>
    </xf>
    <xf numFmtId="0" fontId="30" fillId="2" borderId="24" xfId="1" applyFont="1" applyFill="1" applyBorder="1" applyAlignment="1" applyProtection="1">
      <alignment horizontal="left" vertical="center"/>
      <protection hidden="1"/>
    </xf>
    <xf numFmtId="0" fontId="16" fillId="2" borderId="22" xfId="2" applyFont="1" applyFill="1" applyBorder="1" applyAlignment="1" applyProtection="1">
      <alignment horizontal="left" vertical="center"/>
      <protection hidden="1"/>
    </xf>
    <xf numFmtId="0" fontId="16" fillId="2" borderId="26" xfId="2" applyFont="1" applyFill="1" applyBorder="1" applyAlignment="1" applyProtection="1">
      <alignment horizontal="left" vertical="center"/>
      <protection hidden="1"/>
    </xf>
    <xf numFmtId="0" fontId="16" fillId="2" borderId="19" xfId="1" applyFont="1" applyFill="1" applyBorder="1" applyAlignment="1" applyProtection="1">
      <alignment horizontal="center" vertical="center"/>
      <protection hidden="1"/>
    </xf>
    <xf numFmtId="0" fontId="16" fillId="2" borderId="27" xfId="1" applyFont="1" applyFill="1" applyBorder="1" applyAlignment="1" applyProtection="1">
      <alignment horizontal="center" vertical="center"/>
      <protection hidden="1"/>
    </xf>
    <xf numFmtId="0" fontId="16" fillId="2" borderId="35" xfId="2" applyFont="1" applyFill="1" applyBorder="1" applyAlignment="1" applyProtection="1">
      <alignment horizontal="center" vertical="center" wrapText="1"/>
      <protection hidden="1"/>
    </xf>
    <xf numFmtId="0" fontId="16" fillId="2" borderId="44" xfId="2" applyFont="1" applyFill="1" applyBorder="1" applyAlignment="1" applyProtection="1">
      <alignment horizontal="center" vertical="center"/>
      <protection hidden="1"/>
    </xf>
    <xf numFmtId="0" fontId="16" fillId="2" borderId="31" xfId="2" applyFont="1" applyFill="1" applyBorder="1" applyAlignment="1" applyProtection="1">
      <alignment horizontal="center" vertical="center"/>
      <protection hidden="1"/>
    </xf>
    <xf numFmtId="0" fontId="22" fillId="10" borderId="0" xfId="0" applyFont="1" applyFill="1" applyAlignment="1">
      <alignment horizontal="center" vertical="center"/>
    </xf>
    <xf numFmtId="0" fontId="25" fillId="0" borderId="19" xfId="0" applyFont="1" applyBorder="1" applyAlignment="1" applyProtection="1">
      <alignment horizontal="left" vertical="center"/>
    </xf>
    <xf numFmtId="0" fontId="25" fillId="0" borderId="20" xfId="0" applyFont="1" applyBorder="1" applyAlignment="1" applyProtection="1">
      <alignment horizontal="left" vertical="center"/>
    </xf>
    <xf numFmtId="0" fontId="25" fillId="0" borderId="27" xfId="0" applyFont="1" applyBorder="1" applyAlignment="1" applyProtection="1">
      <alignment horizontal="left" vertical="center"/>
    </xf>
    <xf numFmtId="0" fontId="16" fillId="4" borderId="5" xfId="0" applyFont="1" applyFill="1" applyBorder="1" applyAlignment="1" applyProtection="1">
      <alignment horizontal="center" vertical="center"/>
      <protection locked="0"/>
    </xf>
    <xf numFmtId="0" fontId="25" fillId="0" borderId="5" xfId="0" applyFont="1" applyBorder="1" applyAlignment="1" applyProtection="1">
      <alignment horizontal="left" vertical="center"/>
    </xf>
    <xf numFmtId="0" fontId="25" fillId="0" borderId="5" xfId="0" applyFont="1" applyFill="1" applyBorder="1" applyAlignment="1" applyProtection="1">
      <alignment horizontal="left" vertical="center"/>
    </xf>
    <xf numFmtId="1" fontId="16" fillId="0" borderId="5" xfId="0" applyNumberFormat="1" applyFont="1" applyBorder="1" applyAlignment="1" applyProtection="1">
      <alignment horizontal="center" vertical="center"/>
      <protection hidden="1"/>
    </xf>
    <xf numFmtId="0" fontId="16" fillId="2" borderId="5" xfId="0" applyFont="1" applyFill="1" applyBorder="1" applyAlignment="1" applyProtection="1">
      <alignment horizontal="center" vertical="center"/>
      <protection hidden="1"/>
    </xf>
    <xf numFmtId="0" fontId="16" fillId="0" borderId="5" xfId="0" applyFont="1" applyBorder="1" applyAlignment="1" applyProtection="1">
      <alignment horizontal="center" vertical="center"/>
      <protection hidden="1"/>
    </xf>
    <xf numFmtId="0" fontId="16" fillId="0" borderId="5" xfId="0" applyFont="1" applyBorder="1" applyAlignment="1" applyProtection="1">
      <alignment horizontal="left" vertical="center"/>
    </xf>
    <xf numFmtId="2" fontId="16" fillId="0" borderId="5" xfId="0" applyNumberFormat="1" applyFont="1" applyBorder="1" applyAlignment="1" applyProtection="1">
      <alignment horizontal="center" vertical="center"/>
      <protection hidden="1"/>
    </xf>
    <xf numFmtId="0" fontId="16" fillId="0" borderId="0" xfId="0" applyFont="1" applyAlignment="1" applyProtection="1">
      <alignment horizontal="right" vertical="center"/>
    </xf>
    <xf numFmtId="0" fontId="16" fillId="0" borderId="0" xfId="0" applyFont="1" applyAlignment="1" applyProtection="1">
      <alignment horizontal="center" vertical="center"/>
    </xf>
    <xf numFmtId="0" fontId="16" fillId="4" borderId="19" xfId="0" applyFont="1" applyFill="1" applyBorder="1" applyAlignment="1" applyProtection="1">
      <alignment horizontal="center" vertical="center"/>
      <protection locked="0"/>
    </xf>
    <xf numFmtId="0" fontId="16" fillId="4" borderId="20" xfId="0" applyFont="1" applyFill="1" applyBorder="1" applyAlignment="1" applyProtection="1">
      <alignment horizontal="center" vertical="center"/>
      <protection locked="0"/>
    </xf>
    <xf numFmtId="0" fontId="16" fillId="4" borderId="27" xfId="0" applyFont="1" applyFill="1" applyBorder="1" applyAlignment="1" applyProtection="1">
      <alignment horizontal="center" vertical="center"/>
      <protection locked="0"/>
    </xf>
    <xf numFmtId="0" fontId="3" fillId="0" borderId="5" xfId="0" applyFont="1" applyBorder="1" applyAlignment="1" applyProtection="1">
      <alignment horizontal="left" vertical="center"/>
    </xf>
    <xf numFmtId="0" fontId="59" fillId="0" borderId="19" xfId="0" applyFont="1" applyBorder="1" applyAlignment="1" applyProtection="1">
      <alignment horizontal="left"/>
    </xf>
    <xf numFmtId="0" fontId="59" fillId="0" borderId="20" xfId="0" applyFont="1" applyBorder="1" applyAlignment="1" applyProtection="1">
      <alignment horizontal="left"/>
    </xf>
    <xf numFmtId="0" fontId="59" fillId="0" borderId="27" xfId="0" applyFont="1" applyBorder="1" applyAlignment="1" applyProtection="1">
      <alignment horizontal="left"/>
    </xf>
    <xf numFmtId="0" fontId="8" fillId="0" borderId="5" xfId="0" applyFont="1" applyBorder="1" applyAlignment="1" applyProtection="1">
      <alignment horizontal="left" vertical="center"/>
    </xf>
    <xf numFmtId="1" fontId="16" fillId="0" borderId="19" xfId="0" applyNumberFormat="1" applyFont="1" applyBorder="1" applyAlignment="1" applyProtection="1">
      <alignment horizontal="center" vertical="center"/>
      <protection hidden="1"/>
    </xf>
    <xf numFmtId="1" fontId="16" fillId="0" borderId="20" xfId="0" applyNumberFormat="1" applyFont="1" applyBorder="1" applyAlignment="1" applyProtection="1">
      <alignment horizontal="center" vertical="center"/>
      <protection hidden="1"/>
    </xf>
    <xf numFmtId="1" fontId="16" fillId="0" borderId="27" xfId="0" applyNumberFormat="1" applyFont="1" applyBorder="1" applyAlignment="1" applyProtection="1">
      <alignment horizontal="center" vertical="center"/>
      <protection hidden="1"/>
    </xf>
    <xf numFmtId="0" fontId="107" fillId="0" borderId="1" xfId="40" applyFont="1" applyBorder="1" applyAlignment="1">
      <alignment horizontal="center" vertical="center"/>
    </xf>
    <xf numFmtId="0" fontId="107" fillId="0" borderId="13" xfId="40" applyFont="1" applyBorder="1" applyAlignment="1">
      <alignment horizontal="center" vertical="center"/>
    </xf>
    <xf numFmtId="0" fontId="107" fillId="0" borderId="3" xfId="40" applyFont="1" applyBorder="1" applyAlignment="1">
      <alignment horizontal="center" vertical="center"/>
    </xf>
    <xf numFmtId="0" fontId="107" fillId="0" borderId="73" xfId="40" applyFont="1" applyBorder="1" applyAlignment="1">
      <alignment horizontal="center" vertical="center"/>
    </xf>
    <xf numFmtId="0" fontId="107" fillId="0" borderId="61" xfId="40" applyFont="1" applyBorder="1" applyAlignment="1">
      <alignment horizontal="center" vertical="center"/>
    </xf>
    <xf numFmtId="0" fontId="107" fillId="0" borderId="48" xfId="40" applyFont="1" applyBorder="1" applyAlignment="1">
      <alignment horizontal="center" vertical="center"/>
    </xf>
    <xf numFmtId="0" fontId="107" fillId="0" borderId="48" xfId="35" applyFont="1" applyBorder="1" applyAlignment="1">
      <alignment horizontal="center" vertical="center"/>
    </xf>
    <xf numFmtId="0" fontId="107" fillId="0" borderId="61" xfId="35" applyFont="1" applyBorder="1" applyAlignment="1">
      <alignment horizontal="center" vertical="center"/>
    </xf>
    <xf numFmtId="0" fontId="43" fillId="0" borderId="0" xfId="0" applyFont="1" applyAlignment="1" applyProtection="1">
      <alignment horizontal="center" vertical="center" wrapText="1"/>
    </xf>
    <xf numFmtId="0" fontId="107" fillId="0" borderId="1" xfId="35" applyFont="1" applyBorder="1" applyAlignment="1">
      <alignment horizontal="center" vertical="center"/>
    </xf>
    <xf numFmtId="0" fontId="107" fillId="0" borderId="13" xfId="35" applyFont="1" applyBorder="1" applyAlignment="1">
      <alignment horizontal="center" vertical="center"/>
    </xf>
    <xf numFmtId="0" fontId="107" fillId="0" borderId="3" xfId="35" applyFont="1" applyBorder="1" applyAlignment="1">
      <alignment horizontal="center" vertical="center"/>
    </xf>
    <xf numFmtId="0" fontId="109" fillId="0" borderId="48" xfId="0" applyFont="1" applyBorder="1" applyAlignment="1">
      <alignment horizontal="center" vertical="center"/>
    </xf>
    <xf numFmtId="0" fontId="109" fillId="0" borderId="13" xfId="0" applyFont="1" applyBorder="1" applyAlignment="1">
      <alignment horizontal="center" vertical="center"/>
    </xf>
    <xf numFmtId="0" fontId="109" fillId="0" borderId="3" xfId="0" applyFont="1" applyBorder="1" applyAlignment="1">
      <alignment horizontal="center" vertical="center"/>
    </xf>
    <xf numFmtId="0" fontId="37" fillId="6" borderId="16" xfId="3" applyFont="1" applyFill="1" applyBorder="1" applyAlignment="1" applyProtection="1">
      <alignment horizontal="center" vertical="center"/>
    </xf>
    <xf numFmtId="0" fontId="37" fillId="6" borderId="17" xfId="3" applyFont="1" applyFill="1" applyBorder="1" applyAlignment="1" applyProtection="1">
      <alignment horizontal="center" vertical="center"/>
    </xf>
    <xf numFmtId="0" fontId="37" fillId="6" borderId="18" xfId="3" applyFont="1" applyFill="1" applyBorder="1" applyAlignment="1" applyProtection="1">
      <alignment horizontal="center" vertical="center"/>
    </xf>
    <xf numFmtId="0" fontId="38" fillId="2" borderId="32" xfId="3" applyFont="1" applyFill="1" applyBorder="1" applyAlignment="1" applyProtection="1">
      <alignment horizontal="center" vertical="center"/>
    </xf>
    <xf numFmtId="0" fontId="38" fillId="2" borderId="8" xfId="3" applyFont="1" applyFill="1" applyBorder="1" applyAlignment="1" applyProtection="1">
      <alignment horizontal="center" vertical="center"/>
    </xf>
    <xf numFmtId="0" fontId="37" fillId="2" borderId="46" xfId="3" applyFont="1" applyFill="1" applyBorder="1" applyAlignment="1" applyProtection="1">
      <alignment horizontal="left" vertical="center"/>
    </xf>
    <xf numFmtId="0" fontId="37" fillId="2" borderId="33" xfId="3" applyFont="1" applyFill="1" applyBorder="1" applyAlignment="1" applyProtection="1">
      <alignment horizontal="left" vertical="center"/>
    </xf>
    <xf numFmtId="0" fontId="37" fillId="2" borderId="34" xfId="3" applyFont="1" applyFill="1" applyBorder="1" applyAlignment="1" applyProtection="1">
      <alignment horizontal="left" vertical="center"/>
    </xf>
    <xf numFmtId="0" fontId="37" fillId="2" borderId="27" xfId="3" applyFont="1" applyFill="1" applyBorder="1" applyAlignment="1" applyProtection="1">
      <alignment horizontal="left" vertical="center"/>
    </xf>
    <xf numFmtId="0" fontId="37" fillId="2" borderId="9" xfId="3" applyFont="1" applyFill="1" applyBorder="1" applyAlignment="1" applyProtection="1">
      <alignment horizontal="left" vertical="center"/>
    </xf>
    <xf numFmtId="0" fontId="38" fillId="2" borderId="32" xfId="3" applyFont="1" applyFill="1" applyBorder="1" applyAlignment="1" applyProtection="1">
      <alignment horizontal="center" vertical="center" wrapText="1"/>
    </xf>
    <xf numFmtId="0" fontId="38" fillId="2" borderId="45" xfId="3" applyFont="1" applyFill="1" applyBorder="1" applyAlignment="1" applyProtection="1">
      <alignment horizontal="center" vertical="center"/>
    </xf>
    <xf numFmtId="0" fontId="44" fillId="5" borderId="32" xfId="3" applyFont="1" applyFill="1" applyBorder="1" applyAlignment="1" applyProtection="1">
      <alignment horizontal="center" vertical="center"/>
    </xf>
    <xf numFmtId="0" fontId="23" fillId="5" borderId="33" xfId="3" applyFont="1" applyFill="1" applyBorder="1" applyAlignment="1" applyProtection="1">
      <alignment horizontal="center" vertical="center"/>
    </xf>
    <xf numFmtId="0" fontId="23" fillId="5" borderId="34" xfId="3" applyFont="1" applyFill="1" applyBorder="1" applyAlignment="1" applyProtection="1">
      <alignment horizontal="center" vertical="center"/>
    </xf>
    <xf numFmtId="0" fontId="29" fillId="2" borderId="11" xfId="3" applyFont="1" applyFill="1" applyBorder="1" applyAlignment="1" applyProtection="1">
      <alignment horizontal="left" vertical="center"/>
    </xf>
    <xf numFmtId="0" fontId="29" fillId="2" borderId="12" xfId="3" applyFont="1" applyFill="1" applyBorder="1" applyAlignment="1" applyProtection="1">
      <alignment horizontal="left" vertical="center"/>
    </xf>
    <xf numFmtId="0" fontId="25" fillId="0" borderId="0" xfId="0" applyFont="1" applyFill="1" applyBorder="1" applyAlignment="1">
      <alignment horizontal="left" vertical="center"/>
    </xf>
    <xf numFmtId="0" fontId="21" fillId="3" borderId="37" xfId="1" applyFont="1" applyFill="1" applyBorder="1" applyAlignment="1" applyProtection="1">
      <alignment horizontal="left" vertical="center"/>
    </xf>
    <xf numFmtId="0" fontId="21" fillId="3" borderId="38" xfId="1" applyFont="1" applyFill="1" applyBorder="1" applyAlignment="1" applyProtection="1">
      <alignment horizontal="left" vertical="center"/>
    </xf>
    <xf numFmtId="0" fontId="21" fillId="3" borderId="39" xfId="1" applyFont="1" applyFill="1" applyBorder="1" applyAlignment="1" applyProtection="1">
      <alignment horizontal="left" vertical="center"/>
    </xf>
    <xf numFmtId="0" fontId="30" fillId="0" borderId="0" xfId="0" applyFont="1" applyBorder="1" applyAlignment="1">
      <alignment horizontal="left" vertical="center"/>
    </xf>
    <xf numFmtId="0" fontId="30" fillId="0" borderId="66" xfId="0" applyFont="1" applyBorder="1" applyAlignment="1">
      <alignment horizontal="left" vertical="center"/>
    </xf>
    <xf numFmtId="0" fontId="30" fillId="0" borderId="68" xfId="0" applyFont="1" applyBorder="1" applyAlignment="1">
      <alignment horizontal="left" vertical="center"/>
    </xf>
    <xf numFmtId="0" fontId="30" fillId="0" borderId="69" xfId="0" applyFont="1" applyBorder="1" applyAlignment="1">
      <alignment horizontal="left" vertical="center"/>
    </xf>
  </cellXfs>
  <cellStyles count="52">
    <cellStyle name="Normal" xfId="0" builtinId="0"/>
    <cellStyle name="Normal 2" xfId="1" xr:uid="{00000000-0005-0000-0000-000001000000}"/>
    <cellStyle name="Normal 2 2" xfId="5" xr:uid="{00000000-0005-0000-0000-000002000000}"/>
    <cellStyle name="Normal 2 2 2" xfId="23" xr:uid="{00000000-0005-0000-0000-000003000000}"/>
    <cellStyle name="Normal 2 2 2 2" xfId="40" xr:uid="{00000000-0005-0000-0000-000004000000}"/>
    <cellStyle name="Normal 2 2 3" xfId="13" xr:uid="{00000000-0005-0000-0000-000005000000}"/>
    <cellStyle name="Normal 2 2 4" xfId="31" xr:uid="{00000000-0005-0000-0000-000006000000}"/>
    <cellStyle name="Normal 2 2 5" xfId="48" xr:uid="{00000000-0005-0000-0000-000007000000}"/>
    <cellStyle name="Normal 2 3" xfId="19" xr:uid="{00000000-0005-0000-0000-000008000000}"/>
    <cellStyle name="Normal 2 3 2" xfId="36" xr:uid="{00000000-0005-0000-0000-000009000000}"/>
    <cellStyle name="Normal 2 4" xfId="9" xr:uid="{00000000-0005-0000-0000-00000A000000}"/>
    <cellStyle name="Normal 2 5" xfId="27" xr:uid="{00000000-0005-0000-0000-00000B000000}"/>
    <cellStyle name="Normal 2 6" xfId="44" xr:uid="{00000000-0005-0000-0000-00000C000000}"/>
    <cellStyle name="Normal 3" xfId="2" xr:uid="{00000000-0005-0000-0000-00000D000000}"/>
    <cellStyle name="Normal 3 2" xfId="6" xr:uid="{00000000-0005-0000-0000-00000E000000}"/>
    <cellStyle name="Normal 3 2 2" xfId="24" xr:uid="{00000000-0005-0000-0000-00000F000000}"/>
    <cellStyle name="Normal 3 2 2 2" xfId="41" xr:uid="{00000000-0005-0000-0000-000010000000}"/>
    <cellStyle name="Normal 3 2 3" xfId="14" xr:uid="{00000000-0005-0000-0000-000011000000}"/>
    <cellStyle name="Normal 3 2 4" xfId="32" xr:uid="{00000000-0005-0000-0000-000012000000}"/>
    <cellStyle name="Normal 3 2 5" xfId="49" xr:uid="{00000000-0005-0000-0000-000013000000}"/>
    <cellStyle name="Normal 3 3" xfId="20" xr:uid="{00000000-0005-0000-0000-000014000000}"/>
    <cellStyle name="Normal 3 3 2" xfId="37" xr:uid="{00000000-0005-0000-0000-000015000000}"/>
    <cellStyle name="Normal 3 4" xfId="10" xr:uid="{00000000-0005-0000-0000-000016000000}"/>
    <cellStyle name="Normal 3 5" xfId="28" xr:uid="{00000000-0005-0000-0000-000017000000}"/>
    <cellStyle name="Normal 3 6" xfId="45" xr:uid="{00000000-0005-0000-0000-000018000000}"/>
    <cellStyle name="Normal 4" xfId="3" xr:uid="{00000000-0005-0000-0000-000019000000}"/>
    <cellStyle name="Normal 4 2" xfId="7" xr:uid="{00000000-0005-0000-0000-00001A000000}"/>
    <cellStyle name="Normal 4 2 2" xfId="25" xr:uid="{00000000-0005-0000-0000-00001B000000}"/>
    <cellStyle name="Normal 4 2 2 2" xfId="42" xr:uid="{00000000-0005-0000-0000-00001C000000}"/>
    <cellStyle name="Normal 4 2 3" xfId="15" xr:uid="{00000000-0005-0000-0000-00001D000000}"/>
    <cellStyle name="Normal 4 2 4" xfId="33" xr:uid="{00000000-0005-0000-0000-00001E000000}"/>
    <cellStyle name="Normal 4 2 5" xfId="50" xr:uid="{00000000-0005-0000-0000-00001F000000}"/>
    <cellStyle name="Normal 4 3" xfId="21" xr:uid="{00000000-0005-0000-0000-000020000000}"/>
    <cellStyle name="Normal 4 3 2" xfId="38" xr:uid="{00000000-0005-0000-0000-000021000000}"/>
    <cellStyle name="Normal 4 4" xfId="11" xr:uid="{00000000-0005-0000-0000-000022000000}"/>
    <cellStyle name="Normal 4 5" xfId="29" xr:uid="{00000000-0005-0000-0000-000023000000}"/>
    <cellStyle name="Normal 4 6" xfId="46" xr:uid="{00000000-0005-0000-0000-000024000000}"/>
    <cellStyle name="Normal 5" xfId="4" xr:uid="{00000000-0005-0000-0000-000025000000}"/>
    <cellStyle name="Normal 5 2" xfId="8" xr:uid="{00000000-0005-0000-0000-000026000000}"/>
    <cellStyle name="Normal 5 2 2" xfId="26" xr:uid="{00000000-0005-0000-0000-000027000000}"/>
    <cellStyle name="Normal 5 2 2 2" xfId="43" xr:uid="{00000000-0005-0000-0000-000028000000}"/>
    <cellStyle name="Normal 5 2 3" xfId="16" xr:uid="{00000000-0005-0000-0000-000029000000}"/>
    <cellStyle name="Normal 5 2 4" xfId="34" xr:uid="{00000000-0005-0000-0000-00002A000000}"/>
    <cellStyle name="Normal 5 2 5" xfId="51" xr:uid="{00000000-0005-0000-0000-00002B000000}"/>
    <cellStyle name="Normal 5 3" xfId="22" xr:uid="{00000000-0005-0000-0000-00002C000000}"/>
    <cellStyle name="Normal 5 3 2" xfId="39" xr:uid="{00000000-0005-0000-0000-00002D000000}"/>
    <cellStyle name="Normal 5 4" xfId="12" xr:uid="{00000000-0005-0000-0000-00002E000000}"/>
    <cellStyle name="Normal 5 5" xfId="30" xr:uid="{00000000-0005-0000-0000-00002F000000}"/>
    <cellStyle name="Normal 5 6" xfId="47" xr:uid="{00000000-0005-0000-0000-000030000000}"/>
    <cellStyle name="Normal 6" xfId="18" xr:uid="{00000000-0005-0000-0000-000031000000}"/>
    <cellStyle name="Normal 7" xfId="17" xr:uid="{00000000-0005-0000-0000-000032000000}"/>
    <cellStyle name="Normal 7 2" xfId="35" xr:uid="{00000000-0005-0000-0000-000033000000}"/>
  </cellStyles>
  <dxfs count="8">
    <dxf>
      <alignment horizontal="center" vertical="center" textRotation="0" wrapText="0" indent="0" justifyLastLine="0" shrinkToFit="0" readingOrder="0"/>
      <protection locked="1" hidden="0"/>
    </dxf>
    <dxf>
      <alignment horizontal="center" vertical="center" textRotation="0" wrapText="0" indent="0" justifyLastLine="0" shrinkToFit="0" readingOrder="0"/>
      <protection locked="1" hidden="0"/>
    </dxf>
    <dxf>
      <alignment horizontal="center" vertical="center" textRotation="0" wrapText="0" indent="0" justifyLastLine="0" shrinkToFit="0" readingOrder="0"/>
      <protection locked="1"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FF00FF"/>
      <color rgb="FF0000FF"/>
      <color rgb="FF65DA24"/>
      <color rgb="FFFF66FF"/>
      <color rgb="FF15C926"/>
      <color rgb="FFCC00CC"/>
      <color rgb="FF00CCFF"/>
      <color rgb="FF336699"/>
      <color rgb="FF66CC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9.png"/><Relationship Id="rId4" Type="http://schemas.openxmlformats.org/officeDocument/2006/relationships/image" Target="../media/image8.GIF"/></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s>
</file>

<file path=xl/drawings/_rels/drawing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7</xdr:col>
      <xdr:colOff>159543</xdr:colOff>
      <xdr:row>10</xdr:row>
      <xdr:rowOff>492936</xdr:rowOff>
    </xdr:from>
    <xdr:to>
      <xdr:col>13</xdr:col>
      <xdr:colOff>91916</xdr:colOff>
      <xdr:row>20</xdr:row>
      <xdr:rowOff>58063</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41893" y="2893236"/>
          <a:ext cx="3643313" cy="22892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169069</xdr:colOff>
      <xdr:row>20</xdr:row>
      <xdr:rowOff>114457</xdr:rowOff>
    </xdr:from>
    <xdr:to>
      <xdr:col>13</xdr:col>
      <xdr:colOff>93821</xdr:colOff>
      <xdr:row>30</xdr:row>
      <xdr:rowOff>134119</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51419" y="5248432"/>
          <a:ext cx="3643312" cy="2210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89646</xdr:colOff>
      <xdr:row>45</xdr:row>
      <xdr:rowOff>72076</xdr:rowOff>
    </xdr:from>
    <xdr:to>
      <xdr:col>14</xdr:col>
      <xdr:colOff>130800</xdr:colOff>
      <xdr:row>60</xdr:row>
      <xdr:rowOff>91915</xdr:rowOff>
    </xdr:to>
    <xdr:pic>
      <xdr:nvPicPr>
        <xdr:cNvPr id="10" name="Picture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271996" y="10635301"/>
          <a:ext cx="4367409" cy="3302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66743</xdr:colOff>
      <xdr:row>170</xdr:row>
      <xdr:rowOff>57967</xdr:rowOff>
    </xdr:from>
    <xdr:to>
      <xdr:col>12</xdr:col>
      <xdr:colOff>515778</xdr:colOff>
      <xdr:row>181</xdr:row>
      <xdr:rowOff>112123</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2487343" y="37062592"/>
          <a:ext cx="4152355" cy="2359206"/>
        </a:xfrm>
        <a:prstGeom prst="rect">
          <a:avLst/>
        </a:prstGeom>
      </xdr:spPr>
    </xdr:pic>
    <xdr:clientData/>
  </xdr:twoCellAnchor>
  <xdr:twoCellAnchor>
    <xdr:from>
      <xdr:col>6</xdr:col>
      <xdr:colOff>65796</xdr:colOff>
      <xdr:row>99</xdr:row>
      <xdr:rowOff>30630</xdr:rowOff>
    </xdr:from>
    <xdr:to>
      <xdr:col>11</xdr:col>
      <xdr:colOff>555172</xdr:colOff>
      <xdr:row>108</xdr:row>
      <xdr:rowOff>130618</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2143496" y="23643105"/>
          <a:ext cx="3489751" cy="2157388"/>
          <a:chOff x="12172572" y="19977137"/>
          <a:chExt cx="3493546" cy="1882737"/>
        </a:xfrm>
      </xdr:grpSpPr>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96" b="11040"/>
          <a:stretch/>
        </xdr:blipFill>
        <xdr:spPr>
          <a:xfrm>
            <a:off x="12172572" y="19977137"/>
            <a:ext cx="3493546" cy="1882737"/>
          </a:xfrm>
          <a:prstGeom prst="rect">
            <a:avLst/>
          </a:prstGeom>
        </xdr:spPr>
      </xdr:pic>
      <xdr:sp macro="" textlink="">
        <xdr:nvSpPr>
          <xdr:cNvPr id="17" name="TextBox 56">
            <a:extLst>
              <a:ext uri="{FF2B5EF4-FFF2-40B4-BE49-F238E27FC236}">
                <a16:creationId xmlns:a16="http://schemas.microsoft.com/office/drawing/2014/main" id="{00000000-0008-0000-0100-000011000000}"/>
              </a:ext>
            </a:extLst>
          </xdr:cNvPr>
          <xdr:cNvSpPr txBox="1"/>
        </xdr:nvSpPr>
        <xdr:spPr>
          <a:xfrm>
            <a:off x="13109998" y="20446575"/>
            <a:ext cx="1723818" cy="296817"/>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400" b="1">
                <a:solidFill>
                  <a:srgbClr val="FFFF00"/>
                </a:solidFill>
              </a:rPr>
              <a:t>Voltage across R</a:t>
            </a:r>
            <a:r>
              <a:rPr lang="en-US" sz="1200" b="1">
                <a:solidFill>
                  <a:srgbClr val="FFFF00"/>
                </a:solidFill>
              </a:rPr>
              <a:t>cs</a:t>
            </a:r>
            <a:endParaRPr lang="en-US" sz="1200" b="1" baseline="-25000">
              <a:solidFill>
                <a:srgbClr val="FFFF00"/>
              </a:solidFill>
            </a:endParaRPr>
          </a:p>
        </xdr:txBody>
      </xdr:sp>
      <xdr:sp macro="" textlink="">
        <xdr:nvSpPr>
          <xdr:cNvPr id="18" name="TextBox 56">
            <a:extLst>
              <a:ext uri="{FF2B5EF4-FFF2-40B4-BE49-F238E27FC236}">
                <a16:creationId xmlns:a16="http://schemas.microsoft.com/office/drawing/2014/main" id="{00000000-0008-0000-0100-000012000000}"/>
              </a:ext>
            </a:extLst>
          </xdr:cNvPr>
          <xdr:cNvSpPr txBox="1"/>
        </xdr:nvSpPr>
        <xdr:spPr>
          <a:xfrm>
            <a:off x="13081395" y="21021056"/>
            <a:ext cx="2028853" cy="41477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400" b="1">
                <a:solidFill>
                  <a:srgbClr val="00CCFF"/>
                </a:solidFill>
              </a:rPr>
              <a:t>V</a:t>
            </a:r>
            <a:r>
              <a:rPr lang="en-US" sz="1000" b="1">
                <a:solidFill>
                  <a:srgbClr val="00CCFF"/>
                </a:solidFill>
              </a:rPr>
              <a:t>GS</a:t>
            </a:r>
            <a:r>
              <a:rPr lang="en-US" sz="1400" b="1" baseline="0">
                <a:solidFill>
                  <a:srgbClr val="00CCFF"/>
                </a:solidFill>
              </a:rPr>
              <a:t> </a:t>
            </a:r>
            <a:r>
              <a:rPr lang="en-US" sz="1400" b="1">
                <a:solidFill>
                  <a:srgbClr val="00CCFF"/>
                </a:solidFill>
              </a:rPr>
              <a:t>of low-side MOSFET</a:t>
            </a:r>
            <a:endParaRPr lang="en-US" sz="1400" b="1" baseline="-25000">
              <a:solidFill>
                <a:srgbClr val="00CCFF"/>
              </a:solidFill>
            </a:endParaRPr>
          </a:p>
        </xdr:txBody>
      </xdr:sp>
    </xdr:grpSp>
    <xdr:clientData/>
  </xdr:twoCellAnchor>
  <xdr:twoCellAnchor>
    <xdr:from>
      <xdr:col>6</xdr:col>
      <xdr:colOff>110217</xdr:colOff>
      <xdr:row>79</xdr:row>
      <xdr:rowOff>17690</xdr:rowOff>
    </xdr:from>
    <xdr:to>
      <xdr:col>12</xdr:col>
      <xdr:colOff>228600</xdr:colOff>
      <xdr:row>90</xdr:row>
      <xdr:rowOff>152400</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12187917" y="18715265"/>
          <a:ext cx="3718833" cy="2916010"/>
          <a:chOff x="12549847" y="15476734"/>
          <a:chExt cx="3833135" cy="2020664"/>
        </a:xfrm>
      </xdr:grpSpPr>
      <mc:AlternateContent xmlns:mc="http://schemas.openxmlformats.org/markup-compatibility/2006">
        <mc:Choice xmlns:a14="http://schemas.microsoft.com/office/drawing/2010/main" Requires="a14">
          <xdr:sp macro="" textlink="">
            <xdr:nvSpPr>
              <xdr:cNvPr id="4173" name="Object 77" hidden="1">
                <a:extLst>
                  <a:ext uri="{63B3BB69-23CF-44E3-9099-C40C66FF867C}">
                    <a14:compatExt spid="_x0000_s4173"/>
                  </a:ext>
                  <a:ext uri="{FF2B5EF4-FFF2-40B4-BE49-F238E27FC236}">
                    <a16:creationId xmlns:a16="http://schemas.microsoft.com/office/drawing/2014/main" id="{00000000-0008-0000-0100-00004D100000}"/>
                  </a:ext>
                </a:extLst>
              </xdr:cNvPr>
              <xdr:cNvSpPr/>
            </xdr:nvSpPr>
            <xdr:spPr bwMode="auto">
              <a:xfrm>
                <a:off x="12549847" y="15476734"/>
                <a:ext cx="3833135" cy="2020664"/>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mc:Choice>
        <mc:Fallback/>
      </mc:AlternateContent>
      <xdr:sp macro="" textlink="">
        <xdr:nvSpPr>
          <xdr:cNvPr id="19" name="TextBox 56">
            <a:extLst>
              <a:ext uri="{FF2B5EF4-FFF2-40B4-BE49-F238E27FC236}">
                <a16:creationId xmlns:a16="http://schemas.microsoft.com/office/drawing/2014/main" id="{00000000-0008-0000-0100-000013000000}"/>
              </a:ext>
            </a:extLst>
          </xdr:cNvPr>
          <xdr:cNvSpPr txBox="1"/>
        </xdr:nvSpPr>
        <xdr:spPr>
          <a:xfrm>
            <a:off x="13740184" y="16170269"/>
            <a:ext cx="2347392" cy="432749"/>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400" b="1">
                <a:solidFill>
                  <a:srgbClr val="CC00CC"/>
                </a:solidFill>
              </a:rPr>
              <a:t>Current of primary winding</a:t>
            </a:r>
            <a:endParaRPr lang="en-US" sz="1200" b="1" baseline="-25000">
              <a:solidFill>
                <a:srgbClr val="CC00CC"/>
              </a:solidFill>
            </a:endParaRPr>
          </a:p>
        </xdr:txBody>
      </xdr:sp>
    </xdr:grpSp>
    <xdr:clientData/>
  </xdr:twoCellAnchor>
  <xdr:twoCellAnchor>
    <xdr:from>
      <xdr:col>6</xdr:col>
      <xdr:colOff>114840</xdr:colOff>
      <xdr:row>32</xdr:row>
      <xdr:rowOff>175873</xdr:rowOff>
    </xdr:from>
    <xdr:to>
      <xdr:col>12</xdr:col>
      <xdr:colOff>262320</xdr:colOff>
      <xdr:row>40</xdr:row>
      <xdr:rowOff>13538</xdr:rowOff>
    </xdr:to>
    <xdr:grpSp>
      <xdr:nvGrpSpPr>
        <xdr:cNvPr id="26" name="Group 25">
          <a:extLst>
            <a:ext uri="{FF2B5EF4-FFF2-40B4-BE49-F238E27FC236}">
              <a16:creationId xmlns:a16="http://schemas.microsoft.com/office/drawing/2014/main" id="{00000000-0008-0000-0100-00001A000000}"/>
            </a:ext>
          </a:extLst>
        </xdr:cNvPr>
        <xdr:cNvGrpSpPr/>
      </xdr:nvGrpSpPr>
      <xdr:grpSpPr>
        <a:xfrm>
          <a:off x="12192540" y="7757773"/>
          <a:ext cx="3747930" cy="1742665"/>
          <a:chOff x="12534896" y="4605000"/>
          <a:chExt cx="4336302" cy="1467528"/>
        </a:xfrm>
      </xdr:grpSpPr>
      <xdr:grpSp>
        <xdr:nvGrpSpPr>
          <xdr:cNvPr id="2" name="Group 1">
            <a:extLst>
              <a:ext uri="{FF2B5EF4-FFF2-40B4-BE49-F238E27FC236}">
                <a16:creationId xmlns:a16="http://schemas.microsoft.com/office/drawing/2014/main" id="{00000000-0008-0000-0100-000002000000}"/>
              </a:ext>
            </a:extLst>
          </xdr:cNvPr>
          <xdr:cNvGrpSpPr/>
        </xdr:nvGrpSpPr>
        <xdr:grpSpPr>
          <a:xfrm>
            <a:off x="12534896" y="4605000"/>
            <a:ext cx="4336302" cy="1467528"/>
            <a:chOff x="12324867" y="5674179"/>
            <a:chExt cx="2946381" cy="1454389"/>
          </a:xfrm>
          <a:solidFill>
            <a:schemeClr val="bg1"/>
          </a:solidFill>
        </xdr:grpSpPr>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5268" r="48290" b="56663"/>
            <a:stretch/>
          </xdr:blipFill>
          <xdr:spPr>
            <a:xfrm>
              <a:off x="12324867" y="5674179"/>
              <a:ext cx="2140597" cy="1450627"/>
            </a:xfrm>
            <a:prstGeom prst="rect">
              <a:avLst/>
            </a:prstGeom>
            <a:grpFill/>
          </xdr:spPr>
        </xdr:pic>
        <xdr:sp macro="" textlink="">
          <xdr:nvSpPr>
            <xdr:cNvPr id="13" name="TextBox 56">
              <a:extLst>
                <a:ext uri="{FF2B5EF4-FFF2-40B4-BE49-F238E27FC236}">
                  <a16:creationId xmlns:a16="http://schemas.microsoft.com/office/drawing/2014/main" id="{00000000-0008-0000-0100-00000D000000}"/>
                </a:ext>
              </a:extLst>
            </xdr:cNvPr>
            <xdr:cNvSpPr txBox="1"/>
          </xdr:nvSpPr>
          <xdr:spPr>
            <a:xfrm>
              <a:off x="14475258" y="5980811"/>
              <a:ext cx="795990" cy="529086"/>
            </a:xfrm>
            <a:prstGeom prst="rect">
              <a:avLst/>
            </a:prstGeom>
            <a:grp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l-GR" sz="1600" b="1">
                  <a:solidFill>
                    <a:srgbClr val="00B050"/>
                  </a:solidFill>
                </a:rPr>
                <a:t>Δ</a:t>
              </a:r>
              <a:r>
                <a:rPr lang="en-US" sz="1600" b="1">
                  <a:solidFill>
                    <a:srgbClr val="00B050"/>
                  </a:solidFill>
                </a:rPr>
                <a:t>V</a:t>
              </a:r>
              <a:r>
                <a:rPr lang="en-US" sz="1600" b="1" baseline="-25000">
                  <a:solidFill>
                    <a:srgbClr val="00B050"/>
                  </a:solidFill>
                </a:rPr>
                <a:t>o(ABM)</a:t>
              </a:r>
            </a:p>
          </xdr:txBody>
        </xdr:sp>
        <xdr:sp macro="" textlink="">
          <xdr:nvSpPr>
            <xdr:cNvPr id="14" name="TextBox 57">
              <a:extLst>
                <a:ext uri="{FF2B5EF4-FFF2-40B4-BE49-F238E27FC236}">
                  <a16:creationId xmlns:a16="http://schemas.microsoft.com/office/drawing/2014/main" id="{00000000-0008-0000-0100-00000E000000}"/>
                </a:ext>
              </a:extLst>
            </xdr:cNvPr>
            <xdr:cNvSpPr txBox="1"/>
          </xdr:nvSpPr>
          <xdr:spPr>
            <a:xfrm>
              <a:off x="12709909" y="6749933"/>
              <a:ext cx="771137" cy="37863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l-GR" sz="1600" b="1">
                  <a:solidFill>
                    <a:srgbClr val="7030A0"/>
                  </a:solidFill>
                </a:rPr>
                <a:t>Δ</a:t>
              </a:r>
              <a:r>
                <a:rPr lang="en-US" sz="1600" b="1">
                  <a:solidFill>
                    <a:srgbClr val="7030A0"/>
                  </a:solidFill>
                </a:rPr>
                <a:t>i</a:t>
              </a:r>
              <a:r>
                <a:rPr lang="en-US" sz="1600" b="1" baseline="-25000">
                  <a:solidFill>
                    <a:srgbClr val="7030A0"/>
                  </a:solidFill>
                </a:rPr>
                <a:t>FB(ABM)</a:t>
              </a:r>
            </a:p>
          </xdr:txBody>
        </xdr:sp>
      </xdr:grpSp>
      <xdr:grpSp>
        <xdr:nvGrpSpPr>
          <xdr:cNvPr id="24" name="Group 23">
            <a:extLst>
              <a:ext uri="{FF2B5EF4-FFF2-40B4-BE49-F238E27FC236}">
                <a16:creationId xmlns:a16="http://schemas.microsoft.com/office/drawing/2014/main" id="{00000000-0008-0000-0100-000018000000}"/>
              </a:ext>
            </a:extLst>
          </xdr:cNvPr>
          <xdr:cNvGrpSpPr/>
        </xdr:nvGrpSpPr>
        <xdr:grpSpPr>
          <a:xfrm>
            <a:off x="15144206" y="4618103"/>
            <a:ext cx="424790" cy="1112906"/>
            <a:chOff x="15144206" y="4618103"/>
            <a:chExt cx="424790" cy="1112906"/>
          </a:xfrm>
        </xdr:grpSpPr>
        <xdr:cxnSp macro="">
          <xdr:nvCxnSpPr>
            <xdr:cNvPr id="7" name="Straight Arrow Connector 6">
              <a:extLst>
                <a:ext uri="{FF2B5EF4-FFF2-40B4-BE49-F238E27FC236}">
                  <a16:creationId xmlns:a16="http://schemas.microsoft.com/office/drawing/2014/main" id="{00000000-0008-0000-0100-000007000000}"/>
                </a:ext>
              </a:extLst>
            </xdr:cNvPr>
            <xdr:cNvCxnSpPr/>
          </xdr:nvCxnSpPr>
          <xdr:spPr>
            <a:xfrm flipH="1" flipV="1">
              <a:off x="15452080" y="4618103"/>
              <a:ext cx="8965" cy="1112906"/>
            </a:xfrm>
            <a:prstGeom prst="straightConnector1">
              <a:avLst/>
            </a:prstGeom>
            <a:ln w="38100">
              <a:solidFill>
                <a:srgbClr val="00B050"/>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a:extLst>
                <a:ext uri="{FF2B5EF4-FFF2-40B4-BE49-F238E27FC236}">
                  <a16:creationId xmlns:a16="http://schemas.microsoft.com/office/drawing/2014/main" id="{00000000-0008-0000-0100-00000B000000}"/>
                </a:ext>
              </a:extLst>
            </xdr:cNvPr>
            <xdr:cNvCxnSpPr/>
          </xdr:nvCxnSpPr>
          <xdr:spPr>
            <a:xfrm flipV="1">
              <a:off x="15144206" y="4622241"/>
              <a:ext cx="417174" cy="2010"/>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a:extLst>
                <a:ext uri="{FF2B5EF4-FFF2-40B4-BE49-F238E27FC236}">
                  <a16:creationId xmlns:a16="http://schemas.microsoft.com/office/drawing/2014/main" id="{00000000-0008-0000-0100-000019000000}"/>
                </a:ext>
              </a:extLst>
            </xdr:cNvPr>
            <xdr:cNvCxnSpPr/>
          </xdr:nvCxnSpPr>
          <xdr:spPr>
            <a:xfrm flipV="1">
              <a:off x="15151822" y="5728406"/>
              <a:ext cx="417174" cy="2010"/>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6</xdr:col>
      <xdr:colOff>114299</xdr:colOff>
      <xdr:row>66</xdr:row>
      <xdr:rowOff>209549</xdr:rowOff>
    </xdr:from>
    <xdr:to>
      <xdr:col>13</xdr:col>
      <xdr:colOff>74174</xdr:colOff>
      <xdr:row>78</xdr:row>
      <xdr:rowOff>93345</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639674" y="14211299"/>
          <a:ext cx="4293751" cy="2409826"/>
        </a:xfrm>
        <a:prstGeom prst="rect">
          <a:avLst/>
        </a:prstGeom>
      </xdr:spPr>
    </xdr:pic>
    <xdr:clientData/>
  </xdr:twoCellAnchor>
  <xdr:twoCellAnchor editAs="oneCell">
    <xdr:from>
      <xdr:col>6</xdr:col>
      <xdr:colOff>200025</xdr:colOff>
      <xdr:row>158</xdr:row>
      <xdr:rowOff>53340</xdr:rowOff>
    </xdr:from>
    <xdr:to>
      <xdr:col>9</xdr:col>
      <xdr:colOff>479487</xdr:colOff>
      <xdr:row>167</xdr:row>
      <xdr:rowOff>95250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5"/>
        <a:stretch>
          <a:fillRect/>
        </a:stretch>
      </xdr:blipFill>
      <xdr:spPr>
        <a:xfrm>
          <a:off x="12620625" y="33867090"/>
          <a:ext cx="2144457" cy="19469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20525</xdr:colOff>
      <xdr:row>2</xdr:row>
      <xdr:rowOff>15240</xdr:rowOff>
    </xdr:from>
    <xdr:to>
      <xdr:col>11</xdr:col>
      <xdr:colOff>58249</xdr:colOff>
      <xdr:row>10</xdr:row>
      <xdr:rowOff>2771</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78575" y="377190"/>
          <a:ext cx="3081914" cy="16829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169407</xdr:colOff>
      <xdr:row>9</xdr:row>
      <xdr:rowOff>161232</xdr:rowOff>
    </xdr:from>
    <xdr:to>
      <xdr:col>10</xdr:col>
      <xdr:colOff>400064</xdr:colOff>
      <xdr:row>17</xdr:row>
      <xdr:rowOff>133350</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27457" y="2009082"/>
          <a:ext cx="2665247" cy="18447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20</xdr:row>
      <xdr:rowOff>152400</xdr:rowOff>
    </xdr:from>
    <xdr:to>
      <xdr:col>11</xdr:col>
      <xdr:colOff>382026</xdr:colOff>
      <xdr:row>28</xdr:row>
      <xdr:rowOff>94233</xdr:rowOff>
    </xdr:to>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96150" y="4467225"/>
          <a:ext cx="3391926" cy="1945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83820</xdr:colOff>
      <xdr:row>26</xdr:row>
      <xdr:rowOff>76200</xdr:rowOff>
    </xdr:from>
    <xdr:to>
      <xdr:col>11</xdr:col>
      <xdr:colOff>312420</xdr:colOff>
      <xdr:row>27</xdr:row>
      <xdr:rowOff>167640</xdr:rowOff>
    </xdr:to>
    <xdr:sp macro="" textlink="">
      <xdr:nvSpPr>
        <xdr:cNvPr id="10" name="U-Turn Arrow 9">
          <a:extLst>
            <a:ext uri="{FF2B5EF4-FFF2-40B4-BE49-F238E27FC236}">
              <a16:creationId xmlns:a16="http://schemas.microsoft.com/office/drawing/2014/main" id="{00000000-0008-0000-0300-00000A000000}"/>
            </a:ext>
          </a:extLst>
        </xdr:cNvPr>
        <xdr:cNvSpPr/>
      </xdr:nvSpPr>
      <xdr:spPr>
        <a:xfrm>
          <a:off x="2278380" y="8549640"/>
          <a:ext cx="4069080" cy="281940"/>
        </a:xfrm>
        <a:prstGeom prst="utur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solidFill>
              <a:schemeClr val="tx1"/>
            </a:solidFill>
          </a:endParaRPr>
        </a:p>
      </xdr:txBody>
    </xdr:sp>
    <xdr:clientData/>
  </xdr:twoCellAnchor>
  <xdr:twoCellAnchor>
    <xdr:from>
      <xdr:col>1</xdr:col>
      <xdr:colOff>7731</xdr:colOff>
      <xdr:row>28</xdr:row>
      <xdr:rowOff>15239</xdr:rowOff>
    </xdr:from>
    <xdr:to>
      <xdr:col>8</xdr:col>
      <xdr:colOff>134471</xdr:colOff>
      <xdr:row>38</xdr:row>
      <xdr:rowOff>67234</xdr:rowOff>
    </xdr:to>
    <xdr:grpSp>
      <xdr:nvGrpSpPr>
        <xdr:cNvPr id="24" name="Group 23">
          <a:extLst>
            <a:ext uri="{FF2B5EF4-FFF2-40B4-BE49-F238E27FC236}">
              <a16:creationId xmlns:a16="http://schemas.microsoft.com/office/drawing/2014/main" id="{00000000-0008-0000-0300-000018000000}"/>
            </a:ext>
          </a:extLst>
        </xdr:cNvPr>
        <xdr:cNvGrpSpPr/>
      </xdr:nvGrpSpPr>
      <xdr:grpSpPr>
        <a:xfrm>
          <a:off x="255381" y="6101714"/>
          <a:ext cx="4355840" cy="1956995"/>
          <a:chOff x="299084" y="13070092"/>
          <a:chExt cx="4416767" cy="1956995"/>
        </a:xfrm>
      </xdr:grpSpPr>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9084" y="13070092"/>
            <a:ext cx="4416767" cy="1956995"/>
          </a:xfrm>
          <a:prstGeom prst="rect">
            <a:avLst/>
          </a:prstGeom>
        </xdr:spPr>
      </xdr:pic>
      <xdr:sp macro="" textlink="">
        <xdr:nvSpPr>
          <xdr:cNvPr id="11" name="Oval 10">
            <a:extLst>
              <a:ext uri="{FF2B5EF4-FFF2-40B4-BE49-F238E27FC236}">
                <a16:creationId xmlns:a16="http://schemas.microsoft.com/office/drawing/2014/main" id="{00000000-0008-0000-0300-00000B000000}"/>
              </a:ext>
            </a:extLst>
          </xdr:cNvPr>
          <xdr:cNvSpPr/>
        </xdr:nvSpPr>
        <xdr:spPr>
          <a:xfrm>
            <a:off x="1714500" y="14037833"/>
            <a:ext cx="866663" cy="518608"/>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8</xdr:col>
      <xdr:colOff>431048</xdr:colOff>
      <xdr:row>28</xdr:row>
      <xdr:rowOff>12839</xdr:rowOff>
    </xdr:from>
    <xdr:to>
      <xdr:col>15</xdr:col>
      <xdr:colOff>432450</xdr:colOff>
      <xdr:row>38</xdr:row>
      <xdr:rowOff>67234</xdr:rowOff>
    </xdr:to>
    <xdr:grpSp>
      <xdr:nvGrpSpPr>
        <xdr:cNvPr id="25" name="Group 24">
          <a:extLst>
            <a:ext uri="{FF2B5EF4-FFF2-40B4-BE49-F238E27FC236}">
              <a16:creationId xmlns:a16="http://schemas.microsoft.com/office/drawing/2014/main" id="{00000000-0008-0000-0300-000019000000}"/>
            </a:ext>
          </a:extLst>
        </xdr:cNvPr>
        <xdr:cNvGrpSpPr/>
      </xdr:nvGrpSpPr>
      <xdr:grpSpPr>
        <a:xfrm>
          <a:off x="4907798" y="6099314"/>
          <a:ext cx="4592452" cy="1959395"/>
          <a:chOff x="5182342" y="13067692"/>
          <a:chExt cx="4394108" cy="1959395"/>
        </a:xfrm>
      </xdr:grpSpPr>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82342" y="13067692"/>
            <a:ext cx="4394108" cy="1959395"/>
          </a:xfrm>
          <a:prstGeom prst="rect">
            <a:avLst/>
          </a:prstGeom>
        </xdr:spPr>
      </xdr:pic>
      <xdr:sp macro="" textlink="">
        <xdr:nvSpPr>
          <xdr:cNvPr id="12" name="Oval 11">
            <a:extLst>
              <a:ext uri="{FF2B5EF4-FFF2-40B4-BE49-F238E27FC236}">
                <a16:creationId xmlns:a16="http://schemas.microsoft.com/office/drawing/2014/main" id="{00000000-0008-0000-0300-00000C000000}"/>
              </a:ext>
            </a:extLst>
          </xdr:cNvPr>
          <xdr:cNvSpPr/>
        </xdr:nvSpPr>
        <xdr:spPr>
          <a:xfrm>
            <a:off x="6459070" y="14113136"/>
            <a:ext cx="735105" cy="432099"/>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14</xdr:col>
      <xdr:colOff>86994</xdr:colOff>
      <xdr:row>4</xdr:row>
      <xdr:rowOff>77067</xdr:rowOff>
    </xdr:from>
    <xdr:to>
      <xdr:col>19</xdr:col>
      <xdr:colOff>379325</xdr:colOff>
      <xdr:row>13</xdr:row>
      <xdr:rowOff>133309</xdr:rowOff>
    </xdr:to>
    <xdr:pic>
      <xdr:nvPicPr>
        <xdr:cNvPr id="17" name="Picture 16">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3"/>
        <a:stretch>
          <a:fillRect/>
        </a:stretch>
      </xdr:blipFill>
      <xdr:spPr>
        <a:xfrm>
          <a:off x="8547435" y="4615449"/>
          <a:ext cx="3396361" cy="2329827"/>
        </a:xfrm>
        <a:prstGeom prst="rect">
          <a:avLst/>
        </a:prstGeom>
      </xdr:spPr>
    </xdr:pic>
    <xdr:clientData/>
  </xdr:twoCellAnchor>
  <xdr:oneCellAnchor>
    <xdr:from>
      <xdr:col>1</xdr:col>
      <xdr:colOff>121920</xdr:colOff>
      <xdr:row>46</xdr:row>
      <xdr:rowOff>45720</xdr:rowOff>
    </xdr:from>
    <xdr:ext cx="4977628" cy="1636371"/>
    <xdr:pic>
      <xdr:nvPicPr>
        <xdr:cNvPr id="26" name="Picture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4"/>
        <a:stretch>
          <a:fillRect/>
        </a:stretch>
      </xdr:blipFill>
      <xdr:spPr>
        <a:xfrm>
          <a:off x="426720" y="8365375"/>
          <a:ext cx="4977628" cy="1636371"/>
        </a:xfrm>
        <a:prstGeom prst="rect">
          <a:avLst/>
        </a:prstGeom>
        <a:ln>
          <a:solidFill>
            <a:srgbClr val="000000"/>
          </a:solidFill>
        </a:ln>
      </xdr:spPr>
    </xdr:pic>
    <xdr:clientData/>
  </xdr:oneCellAnchor>
  <xdr:oneCellAnchor>
    <xdr:from>
      <xdr:col>9</xdr:col>
      <xdr:colOff>50536</xdr:colOff>
      <xdr:row>46</xdr:row>
      <xdr:rowOff>38548</xdr:rowOff>
    </xdr:from>
    <xdr:ext cx="5068719" cy="1646701"/>
    <xdr:pic>
      <xdr:nvPicPr>
        <xdr:cNvPr id="27" name="Picture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5"/>
        <a:stretch>
          <a:fillRect/>
        </a:stretch>
      </xdr:blipFill>
      <xdr:spPr>
        <a:xfrm>
          <a:off x="5620063" y="15327039"/>
          <a:ext cx="5068719" cy="1646701"/>
        </a:xfrm>
        <a:prstGeom prst="rect">
          <a:avLst/>
        </a:prstGeom>
        <a:ln>
          <a:solidFill>
            <a:srgbClr val="000000"/>
          </a:solidFill>
        </a:ln>
      </xdr:spPr>
    </xdr:pic>
    <xdr:clientData/>
  </xdr:oneCellAnchor>
  <xdr:twoCellAnchor>
    <xdr:from>
      <xdr:col>4</xdr:col>
      <xdr:colOff>266700</xdr:colOff>
      <xdr:row>44</xdr:row>
      <xdr:rowOff>83820</xdr:rowOff>
    </xdr:from>
    <xdr:to>
      <xdr:col>13</xdr:col>
      <xdr:colOff>182880</xdr:colOff>
      <xdr:row>45</xdr:row>
      <xdr:rowOff>175260</xdr:rowOff>
    </xdr:to>
    <xdr:sp macro="" textlink="">
      <xdr:nvSpPr>
        <xdr:cNvPr id="28" name="U-Turn Arrow 27">
          <a:extLst>
            <a:ext uri="{FF2B5EF4-FFF2-40B4-BE49-F238E27FC236}">
              <a16:creationId xmlns:a16="http://schemas.microsoft.com/office/drawing/2014/main" id="{00000000-0008-0000-0300-00001C000000}"/>
            </a:ext>
          </a:extLst>
        </xdr:cNvPr>
        <xdr:cNvSpPr/>
      </xdr:nvSpPr>
      <xdr:spPr>
        <a:xfrm>
          <a:off x="2940627" y="8043256"/>
          <a:ext cx="5250180" cy="271549"/>
        </a:xfrm>
        <a:prstGeom prst="utur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solidFill>
              <a:schemeClr val="tx1"/>
            </a:solidFill>
          </a:endParaRPr>
        </a:p>
      </xdr:txBody>
    </xdr:sp>
    <xdr:clientData/>
  </xdr:twoCellAnchor>
  <xdr:twoCellAnchor>
    <xdr:from>
      <xdr:col>4</xdr:col>
      <xdr:colOff>228600</xdr:colOff>
      <xdr:row>55</xdr:row>
      <xdr:rowOff>99060</xdr:rowOff>
    </xdr:from>
    <xdr:to>
      <xdr:col>13</xdr:col>
      <xdr:colOff>190500</xdr:colOff>
      <xdr:row>56</xdr:row>
      <xdr:rowOff>182880</xdr:rowOff>
    </xdr:to>
    <xdr:sp macro="" textlink="">
      <xdr:nvSpPr>
        <xdr:cNvPr id="29" name="U-Turn Arrow 28">
          <a:extLst>
            <a:ext uri="{FF2B5EF4-FFF2-40B4-BE49-F238E27FC236}">
              <a16:creationId xmlns:a16="http://schemas.microsoft.com/office/drawing/2014/main" id="{00000000-0008-0000-0300-00001D000000}"/>
            </a:ext>
          </a:extLst>
        </xdr:cNvPr>
        <xdr:cNvSpPr/>
      </xdr:nvSpPr>
      <xdr:spPr>
        <a:xfrm rot="10800000">
          <a:off x="2902527" y="10039696"/>
          <a:ext cx="5295900" cy="263929"/>
        </a:xfrm>
        <a:prstGeom prst="utur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solidFill>
              <a:schemeClr val="tx1"/>
            </a:solidFill>
          </a:endParaRPr>
        </a:p>
      </xdr:txBody>
    </xdr:sp>
    <xdr:clientData/>
  </xdr:twoCellAnchor>
  <xdr:twoCellAnchor>
    <xdr:from>
      <xdr:col>9</xdr:col>
      <xdr:colOff>314325</xdr:colOff>
      <xdr:row>29</xdr:row>
      <xdr:rowOff>76200</xdr:rowOff>
    </xdr:from>
    <xdr:to>
      <xdr:col>26</xdr:col>
      <xdr:colOff>420003</xdr:colOff>
      <xdr:row>84</xdr:row>
      <xdr:rowOff>37646</xdr:rowOff>
    </xdr:to>
    <xdr:grpSp>
      <xdr:nvGrpSpPr>
        <xdr:cNvPr id="16" name="Group 15">
          <a:extLst>
            <a:ext uri="{FF2B5EF4-FFF2-40B4-BE49-F238E27FC236}">
              <a16:creationId xmlns:a16="http://schemas.microsoft.com/office/drawing/2014/main" id="{00000000-0008-0000-0300-000010000000}"/>
            </a:ext>
          </a:extLst>
        </xdr:cNvPr>
        <xdr:cNvGrpSpPr/>
      </xdr:nvGrpSpPr>
      <xdr:grpSpPr>
        <a:xfrm>
          <a:off x="5476875" y="6353175"/>
          <a:ext cx="10716528" cy="10400846"/>
          <a:chOff x="304800" y="11485418"/>
          <a:chExt cx="10915687" cy="9841469"/>
        </a:xfrm>
      </xdr:grpSpPr>
      <xdr:pic>
        <xdr:nvPicPr>
          <xdr:cNvPr id="30" name="Picture 29">
            <a:extLst>
              <a:ext uri="{FF2B5EF4-FFF2-40B4-BE49-F238E27FC236}">
                <a16:creationId xmlns:a16="http://schemas.microsoft.com/office/drawing/2014/main" id="{00000000-0008-0000-0300-00001E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4800" y="11485418"/>
            <a:ext cx="10915687" cy="984146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1" name="TextBox 20">
            <a:extLst>
              <a:ext uri="{FF2B5EF4-FFF2-40B4-BE49-F238E27FC236}">
                <a16:creationId xmlns:a16="http://schemas.microsoft.com/office/drawing/2014/main" id="{00000000-0008-0000-0300-000015000000}"/>
              </a:ext>
            </a:extLst>
          </xdr:cNvPr>
          <xdr:cNvSpPr txBox="1"/>
        </xdr:nvSpPr>
        <xdr:spPr>
          <a:xfrm>
            <a:off x="6851295" y="11561614"/>
            <a:ext cx="891708" cy="3195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200" b="1">
                <a:solidFill>
                  <a:srgbClr val="FF0000"/>
                </a:solidFill>
                <a:latin typeface="Arial" panose="020B0604020202020204" pitchFamily="34" charset="0"/>
                <a:cs typeface="Arial" panose="020B0604020202020204" pitchFamily="34" charset="0"/>
              </a:rPr>
              <a:t>Sec - Res</a:t>
            </a:r>
          </a:p>
        </xdr:txBody>
      </xdr:sp>
      <xdr:sp macro="" textlink="">
        <xdr:nvSpPr>
          <xdr:cNvPr id="15" name="Rectangle 14">
            <a:extLst>
              <a:ext uri="{FF2B5EF4-FFF2-40B4-BE49-F238E27FC236}">
                <a16:creationId xmlns:a16="http://schemas.microsoft.com/office/drawing/2014/main" id="{00000000-0008-0000-0300-00000F000000}"/>
              </a:ext>
            </a:extLst>
          </xdr:cNvPr>
          <xdr:cNvSpPr/>
        </xdr:nvSpPr>
        <xdr:spPr>
          <a:xfrm>
            <a:off x="7704624" y="11570356"/>
            <a:ext cx="1605631" cy="145984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25399</xdr:colOff>
      <xdr:row>2</xdr:row>
      <xdr:rowOff>25400</xdr:rowOff>
    </xdr:from>
    <xdr:to>
      <xdr:col>20</xdr:col>
      <xdr:colOff>527386</xdr:colOff>
      <xdr:row>49</xdr:row>
      <xdr:rowOff>111879</xdr:rowOff>
    </xdr:to>
    <xdr:grpSp>
      <xdr:nvGrpSpPr>
        <xdr:cNvPr id="5" name="Group 4">
          <a:extLst>
            <a:ext uri="{FF2B5EF4-FFF2-40B4-BE49-F238E27FC236}">
              <a16:creationId xmlns:a16="http://schemas.microsoft.com/office/drawing/2014/main" id="{00000000-0008-0000-0400-000005000000}"/>
            </a:ext>
          </a:extLst>
        </xdr:cNvPr>
        <xdr:cNvGrpSpPr/>
      </xdr:nvGrpSpPr>
      <xdr:grpSpPr>
        <a:xfrm>
          <a:off x="8340724" y="415925"/>
          <a:ext cx="10808037" cy="10335379"/>
          <a:chOff x="8888045" y="400538"/>
          <a:chExt cx="9645987" cy="10185910"/>
        </a:xfrm>
      </xdr:grpSpPr>
      <xdr:pic>
        <xdr:nvPicPr>
          <xdr:cNvPr id="7" name="Picture 6">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88045" y="400538"/>
            <a:ext cx="9645987" cy="1018591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Right Arrow 3">
            <a:extLst>
              <a:ext uri="{FF2B5EF4-FFF2-40B4-BE49-F238E27FC236}">
                <a16:creationId xmlns:a16="http://schemas.microsoft.com/office/drawing/2014/main" id="{00000000-0008-0000-0400-000004000000}"/>
              </a:ext>
            </a:extLst>
          </xdr:cNvPr>
          <xdr:cNvSpPr/>
        </xdr:nvSpPr>
        <xdr:spPr>
          <a:xfrm>
            <a:off x="17241076" y="439437"/>
            <a:ext cx="1246216" cy="397319"/>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sp macro="" textlink="">
        <xdr:nvSpPr>
          <xdr:cNvPr id="3" name="Rectangle 2">
            <a:extLst>
              <a:ext uri="{FF2B5EF4-FFF2-40B4-BE49-F238E27FC236}">
                <a16:creationId xmlns:a16="http://schemas.microsoft.com/office/drawing/2014/main" id="{00000000-0008-0000-0400-000003000000}"/>
              </a:ext>
            </a:extLst>
          </xdr:cNvPr>
          <xdr:cNvSpPr/>
        </xdr:nvSpPr>
        <xdr:spPr>
          <a:xfrm>
            <a:off x="15406985" y="476989"/>
            <a:ext cx="1456661" cy="149248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231322</xdr:colOff>
      <xdr:row>2</xdr:row>
      <xdr:rowOff>169144</xdr:rowOff>
    </xdr:from>
    <xdr:to>
      <xdr:col>13</xdr:col>
      <xdr:colOff>436705</xdr:colOff>
      <xdr:row>5</xdr:row>
      <xdr:rowOff>135380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093382" y="22716724"/>
          <a:ext cx="3607713" cy="61393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C76:C78" totalsRowShown="0" headerRowDxfId="2" dataDxfId="1">
  <autoFilter ref="C76:C78" xr:uid="{00000000-0009-0000-0100-000001000000}"/>
  <tableColumns count="1">
    <tableColumn id="1" xr3:uid="{00000000-0010-0000-0000-000001000000}" name="V input typ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4.emf"/><Relationship Id="rId4" Type="http://schemas.openxmlformats.org/officeDocument/2006/relationships/package" Target="../embeddings/Microsoft_Visio_Drawing.vsdx"/></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135"/>
  <sheetViews>
    <sheetView topLeftCell="A64" zoomScaleNormal="100" workbookViewId="0">
      <selection activeCell="D117" sqref="D117"/>
    </sheetView>
  </sheetViews>
  <sheetFormatPr defaultColWidth="9" defaultRowHeight="15"/>
  <cols>
    <col min="1" max="1" width="3.7109375" style="11" customWidth="1"/>
    <col min="2" max="2" width="65.7109375" style="11" customWidth="1"/>
    <col min="3" max="3" width="13.7109375" style="35" customWidth="1"/>
    <col min="4" max="4" width="13.7109375" style="11" customWidth="1"/>
    <col min="5" max="5" width="6.7109375" style="11" customWidth="1"/>
    <col min="6" max="6" width="13.7109375" style="11" customWidth="1"/>
    <col min="7" max="7" width="46.85546875" style="11" customWidth="1"/>
    <col min="8" max="18" width="9" style="11"/>
    <col min="19" max="19" width="9.140625" style="11" customWidth="1"/>
    <col min="20" max="20" width="9" style="11" customWidth="1"/>
    <col min="21" max="16384" width="9" style="11"/>
  </cols>
  <sheetData>
    <row r="1" spans="1:23" ht="36" customHeight="1">
      <c r="A1" s="169"/>
      <c r="B1" s="790" t="s">
        <v>1160</v>
      </c>
      <c r="C1" s="790"/>
      <c r="D1" s="790"/>
      <c r="E1" s="790"/>
      <c r="F1" s="790"/>
      <c r="G1" s="790"/>
      <c r="H1" s="703"/>
      <c r="I1" s="435"/>
      <c r="J1" s="631"/>
      <c r="K1" s="631"/>
      <c r="L1" s="631"/>
      <c r="M1" s="631"/>
      <c r="N1" s="185"/>
      <c r="O1" s="85"/>
      <c r="P1" s="84"/>
      <c r="Q1" s="85"/>
      <c r="R1" s="85"/>
      <c r="S1" s="85"/>
      <c r="T1" s="85"/>
      <c r="U1" s="86"/>
      <c r="V1" s="87"/>
      <c r="W1" s="87"/>
    </row>
    <row r="2" spans="1:23" ht="24" customHeight="1" thickBot="1">
      <c r="A2" s="169"/>
      <c r="B2" s="342" t="s">
        <v>98</v>
      </c>
      <c r="C2" s="806" t="s">
        <v>1153</v>
      </c>
      <c r="D2" s="806"/>
      <c r="E2" s="555"/>
      <c r="F2" s="36"/>
      <c r="G2" s="343"/>
      <c r="H2" s="704"/>
      <c r="I2" s="633"/>
      <c r="J2" s="633"/>
      <c r="K2" s="435"/>
      <c r="L2" s="705"/>
      <c r="M2" s="631"/>
      <c r="N2" s="185"/>
      <c r="O2" s="85"/>
      <c r="P2" s="84"/>
      <c r="Q2" s="85"/>
      <c r="R2" s="85"/>
      <c r="S2" s="85"/>
      <c r="T2" s="85"/>
      <c r="U2" s="86"/>
      <c r="V2" s="87"/>
      <c r="W2" s="87"/>
    </row>
    <row r="3" spans="1:23" ht="15.75">
      <c r="A3" s="169"/>
      <c r="B3" s="791" t="s">
        <v>103</v>
      </c>
      <c r="C3" s="792"/>
      <c r="D3" s="792"/>
      <c r="E3" s="792"/>
      <c r="F3" s="792"/>
      <c r="G3" s="793"/>
      <c r="H3" s="630"/>
      <c r="I3" s="633"/>
      <c r="J3" s="633"/>
      <c r="K3" s="633"/>
      <c r="L3" s="631"/>
      <c r="M3" s="631"/>
      <c r="N3" s="185"/>
      <c r="O3" s="88"/>
      <c r="P3" s="84"/>
      <c r="Q3" s="85"/>
      <c r="R3" s="85"/>
      <c r="S3" s="85"/>
      <c r="T3" s="85"/>
      <c r="U3" s="86"/>
      <c r="V3" s="87"/>
      <c r="W3" s="87"/>
    </row>
    <row r="4" spans="1:23">
      <c r="A4" s="162"/>
      <c r="B4" s="794" t="s">
        <v>198</v>
      </c>
      <c r="C4" s="795"/>
      <c r="D4" s="795"/>
      <c r="E4" s="795"/>
      <c r="F4" s="795"/>
      <c r="G4" s="796"/>
      <c r="H4" s="631"/>
      <c r="I4" s="631"/>
      <c r="J4" s="631"/>
      <c r="K4" s="631"/>
      <c r="L4" s="631"/>
      <c r="M4" s="631"/>
      <c r="N4" s="185"/>
      <c r="O4" s="88"/>
      <c r="P4" s="84"/>
      <c r="Q4" s="85"/>
      <c r="R4" s="85"/>
      <c r="S4" s="85"/>
      <c r="T4" s="85"/>
      <c r="U4" s="85"/>
      <c r="V4" s="87"/>
      <c r="W4" s="87"/>
    </row>
    <row r="5" spans="1:23">
      <c r="A5" s="169"/>
      <c r="B5" s="794"/>
      <c r="C5" s="795"/>
      <c r="D5" s="795"/>
      <c r="E5" s="795"/>
      <c r="F5" s="795"/>
      <c r="G5" s="796"/>
      <c r="H5" s="346"/>
      <c r="I5" s="168"/>
      <c r="J5" s="168"/>
      <c r="K5" s="168"/>
      <c r="L5" s="168"/>
      <c r="M5" s="168"/>
      <c r="N5" s="185"/>
      <c r="O5" s="88"/>
      <c r="P5" s="84"/>
      <c r="Q5" s="85"/>
      <c r="R5" s="85"/>
      <c r="S5" s="85"/>
      <c r="T5" s="85"/>
      <c r="U5" s="86"/>
      <c r="V5" s="87"/>
      <c r="W5" s="87"/>
    </row>
    <row r="6" spans="1:23" ht="15.75">
      <c r="A6" s="169"/>
      <c r="B6" s="794"/>
      <c r="C6" s="795"/>
      <c r="D6" s="795"/>
      <c r="E6" s="795"/>
      <c r="F6" s="795"/>
      <c r="G6" s="796"/>
      <c r="H6" s="345"/>
      <c r="I6" s="168"/>
      <c r="J6" s="344"/>
      <c r="K6" s="168"/>
      <c r="L6" s="168"/>
      <c r="M6" s="168"/>
      <c r="N6" s="185"/>
      <c r="O6" s="88"/>
      <c r="P6" s="84"/>
      <c r="Q6" s="85"/>
      <c r="R6" s="85"/>
      <c r="S6" s="85"/>
      <c r="T6" s="85"/>
      <c r="U6" s="86"/>
      <c r="V6" s="87"/>
      <c r="W6" s="87"/>
    </row>
    <row r="7" spans="1:23" ht="15.75" thickBot="1">
      <c r="A7" s="169"/>
      <c r="B7" s="797"/>
      <c r="C7" s="798"/>
      <c r="D7" s="798"/>
      <c r="E7" s="798"/>
      <c r="F7" s="798"/>
      <c r="G7" s="799"/>
      <c r="H7" s="345"/>
      <c r="I7" s="168"/>
      <c r="J7" s="168"/>
      <c r="K7" s="168"/>
      <c r="L7" s="168"/>
      <c r="M7" s="168"/>
      <c r="N7" s="185"/>
      <c r="O7" s="88"/>
      <c r="P7" s="84"/>
      <c r="Q7" s="85"/>
      <c r="R7" s="85"/>
      <c r="S7" s="85"/>
      <c r="T7" s="85"/>
      <c r="U7" s="86"/>
      <c r="V7" s="87"/>
      <c r="W7" s="87"/>
    </row>
    <row r="8" spans="1:23" ht="20.25">
      <c r="A8" s="169"/>
      <c r="B8" s="800" t="s">
        <v>1161</v>
      </c>
      <c r="C8" s="801"/>
      <c r="D8" s="801"/>
      <c r="E8" s="801"/>
      <c r="F8" s="801"/>
      <c r="G8" s="802"/>
      <c r="H8" s="345"/>
      <c r="I8" s="168"/>
      <c r="J8" s="168"/>
      <c r="K8" s="168"/>
      <c r="L8" s="168"/>
      <c r="M8" s="168"/>
      <c r="N8" s="185"/>
      <c r="O8" s="88"/>
      <c r="P8" s="84"/>
      <c r="Q8" s="85"/>
      <c r="R8" s="85"/>
      <c r="S8" s="85"/>
      <c r="T8" s="85"/>
      <c r="U8" s="87"/>
      <c r="V8" s="87"/>
      <c r="W8" s="87"/>
    </row>
    <row r="9" spans="1:23" ht="21">
      <c r="A9" s="169"/>
      <c r="B9" s="803" t="s">
        <v>1041</v>
      </c>
      <c r="C9" s="804"/>
      <c r="D9" s="804"/>
      <c r="E9" s="804"/>
      <c r="F9" s="804"/>
      <c r="G9" s="805"/>
      <c r="H9" s="346"/>
      <c r="I9" s="168"/>
      <c r="J9" s="168"/>
      <c r="K9" s="168"/>
      <c r="L9" s="168"/>
      <c r="M9" s="168"/>
      <c r="N9" s="185"/>
      <c r="O9" s="88"/>
      <c r="P9" s="84"/>
      <c r="Q9" s="90"/>
      <c r="R9" s="85"/>
      <c r="S9" s="85"/>
      <c r="T9" s="85"/>
      <c r="U9" s="87"/>
      <c r="V9" s="87"/>
      <c r="W9" s="87"/>
    </row>
    <row r="10" spans="1:23" ht="18.75" thickBot="1">
      <c r="A10" s="169"/>
      <c r="B10" s="766" t="s">
        <v>199</v>
      </c>
      <c r="C10" s="767"/>
      <c r="D10" s="767"/>
      <c r="E10" s="767"/>
      <c r="F10" s="767"/>
      <c r="G10" s="768"/>
      <c r="H10" s="345"/>
      <c r="I10" s="168"/>
      <c r="J10" s="168"/>
      <c r="K10" s="344"/>
      <c r="L10" s="168"/>
      <c r="M10" s="168"/>
      <c r="N10" s="185"/>
      <c r="O10" s="88"/>
      <c r="P10" s="84"/>
      <c r="Q10" s="91"/>
      <c r="R10" s="85"/>
      <c r="S10" s="85"/>
      <c r="T10" s="85"/>
      <c r="U10" s="87"/>
      <c r="V10" s="87"/>
      <c r="W10" s="87"/>
    </row>
    <row r="11" spans="1:23" ht="55.9" customHeight="1" thickBot="1">
      <c r="A11" s="169"/>
      <c r="B11" s="769" t="s">
        <v>235</v>
      </c>
      <c r="C11" s="770"/>
      <c r="D11" s="770"/>
      <c r="E11" s="770"/>
      <c r="F11" s="770"/>
      <c r="G11" s="771"/>
      <c r="H11" s="346"/>
      <c r="I11" s="168"/>
      <c r="J11" s="168"/>
      <c r="K11" s="168"/>
      <c r="L11" s="168"/>
      <c r="M11" s="168"/>
      <c r="N11" s="185"/>
      <c r="O11" s="88"/>
      <c r="P11" s="84"/>
      <c r="Q11" s="91"/>
      <c r="R11" s="85"/>
      <c r="S11" s="85"/>
      <c r="T11" s="85"/>
      <c r="U11" s="87"/>
      <c r="V11" s="87"/>
      <c r="W11" s="87"/>
    </row>
    <row r="12" spans="1:23" ht="15.75">
      <c r="A12" s="169"/>
      <c r="B12" s="772" t="s">
        <v>0</v>
      </c>
      <c r="C12" s="773"/>
      <c r="D12" s="773"/>
      <c r="E12" s="773"/>
      <c r="F12" s="773"/>
      <c r="G12" s="774"/>
      <c r="H12" s="168"/>
      <c r="I12" s="168"/>
      <c r="J12" s="168"/>
      <c r="K12" s="168"/>
      <c r="L12" s="168"/>
      <c r="M12" s="168"/>
      <c r="N12" s="185"/>
      <c r="O12" s="88"/>
      <c r="P12" s="84"/>
      <c r="Q12" s="29"/>
      <c r="R12" s="84"/>
      <c r="S12" s="84"/>
      <c r="T12" s="84"/>
    </row>
    <row r="13" spans="1:23" ht="16.5" thickBot="1">
      <c r="A13" s="169"/>
      <c r="B13" s="775"/>
      <c r="C13" s="776"/>
      <c r="D13" s="776"/>
      <c r="E13" s="776"/>
      <c r="F13" s="776"/>
      <c r="G13" s="777"/>
      <c r="H13" s="168"/>
      <c r="I13" s="168"/>
      <c r="J13" s="168"/>
      <c r="K13" s="168"/>
      <c r="L13" s="168"/>
      <c r="M13" s="168"/>
      <c r="N13" s="185"/>
      <c r="O13" s="88"/>
      <c r="P13" s="84"/>
      <c r="Q13" s="29"/>
      <c r="R13" s="84"/>
      <c r="S13" s="84"/>
      <c r="T13" s="84"/>
    </row>
    <row r="14" spans="1:23" ht="16.5" thickBot="1">
      <c r="A14" s="169"/>
      <c r="B14" s="347"/>
      <c r="C14" s="348" t="s">
        <v>313</v>
      </c>
      <c r="D14" s="349" t="s">
        <v>196</v>
      </c>
      <c r="E14" s="350" t="s">
        <v>197</v>
      </c>
      <c r="F14" s="351"/>
      <c r="G14" s="162"/>
      <c r="H14" s="168"/>
      <c r="I14" s="290"/>
      <c r="J14" s="168"/>
      <c r="K14" s="168"/>
      <c r="L14" s="168"/>
      <c r="M14" s="168"/>
      <c r="N14" s="185"/>
      <c r="O14" s="88"/>
      <c r="P14" s="84"/>
      <c r="Q14" s="29"/>
      <c r="R14" s="84"/>
      <c r="S14" s="84"/>
      <c r="T14" s="84"/>
    </row>
    <row r="15" spans="1:23" ht="18" customHeight="1">
      <c r="A15" s="169"/>
      <c r="B15" s="785" t="s">
        <v>161</v>
      </c>
      <c r="C15" s="786"/>
      <c r="D15" s="786"/>
      <c r="E15" s="786"/>
      <c r="F15" s="786"/>
      <c r="G15" s="787"/>
      <c r="H15" s="168"/>
      <c r="I15" s="168"/>
      <c r="J15" s="168"/>
      <c r="K15" s="168"/>
      <c r="L15" s="168"/>
      <c r="M15" s="168"/>
      <c r="N15" s="185"/>
      <c r="O15" s="88"/>
      <c r="P15" s="84"/>
      <c r="Q15" s="29"/>
      <c r="R15" s="84"/>
      <c r="S15" s="84"/>
      <c r="T15" s="84"/>
    </row>
    <row r="16" spans="1:23" ht="18.75" customHeight="1">
      <c r="A16" s="169"/>
      <c r="B16" s="352" t="s">
        <v>160</v>
      </c>
      <c r="C16" s="172" t="s">
        <v>537</v>
      </c>
      <c r="D16" s="81" t="s">
        <v>143</v>
      </c>
      <c r="E16" s="353"/>
      <c r="F16" s="782" t="s">
        <v>949</v>
      </c>
      <c r="G16" s="783"/>
      <c r="H16" s="168"/>
      <c r="I16" s="168"/>
      <c r="J16" s="168"/>
      <c r="K16" s="168"/>
      <c r="L16" s="168"/>
      <c r="M16" s="168"/>
      <c r="N16" s="185"/>
      <c r="O16" s="85"/>
      <c r="P16" s="84"/>
      <c r="Q16" s="84"/>
      <c r="R16" s="84"/>
      <c r="S16" s="84"/>
      <c r="T16" s="84"/>
    </row>
    <row r="17" spans="1:20" ht="18.75" customHeight="1">
      <c r="A17" s="169"/>
      <c r="B17" s="354" t="s">
        <v>312</v>
      </c>
      <c r="C17" s="172" t="s">
        <v>538</v>
      </c>
      <c r="D17" s="76">
        <v>600</v>
      </c>
      <c r="E17" s="173" t="str">
        <f>IF(Vin_type="AC","Vrms","V")</f>
        <v>V</v>
      </c>
      <c r="F17" s="355" t="s">
        <v>227</v>
      </c>
      <c r="G17" s="356"/>
      <c r="H17" s="168"/>
      <c r="I17" s="168"/>
      <c r="J17" s="168"/>
      <c r="K17" s="168"/>
      <c r="L17" s="168"/>
      <c r="M17" s="168"/>
      <c r="N17" s="168"/>
      <c r="O17" s="84"/>
      <c r="P17" s="84"/>
      <c r="Q17" s="84"/>
      <c r="R17" s="84"/>
      <c r="S17" s="84"/>
      <c r="T17" s="84"/>
    </row>
    <row r="18" spans="1:20" ht="18.75" customHeight="1">
      <c r="A18" s="169"/>
      <c r="B18" s="354" t="s">
        <v>311</v>
      </c>
      <c r="C18" s="172" t="s">
        <v>539</v>
      </c>
      <c r="D18" s="43">
        <v>560</v>
      </c>
      <c r="E18" s="173" t="str">
        <f>IF(Vin_type="AC","Vrms","V")</f>
        <v>V</v>
      </c>
      <c r="F18" s="720" t="s">
        <v>228</v>
      </c>
      <c r="G18" s="721"/>
      <c r="H18" s="168"/>
      <c r="I18" s="168"/>
      <c r="J18" s="168"/>
      <c r="K18" s="168"/>
      <c r="L18" s="168"/>
      <c r="M18" s="168"/>
      <c r="N18" s="168"/>
      <c r="O18" s="84"/>
      <c r="P18" s="84"/>
      <c r="Q18" s="84"/>
      <c r="R18" s="84"/>
      <c r="S18" s="84"/>
      <c r="T18" s="84"/>
    </row>
    <row r="19" spans="1:20" ht="18.600000000000001" customHeight="1">
      <c r="A19" s="169"/>
      <c r="B19" s="354" t="s">
        <v>310</v>
      </c>
      <c r="C19" s="172" t="s">
        <v>540</v>
      </c>
      <c r="D19" s="82">
        <v>254</v>
      </c>
      <c r="E19" s="173" t="str">
        <f>IF(Vin_type="AC","Vrms","V")</f>
        <v>V</v>
      </c>
      <c r="F19" s="355" t="s">
        <v>950</v>
      </c>
      <c r="G19" s="357"/>
      <c r="H19" s="168"/>
      <c r="I19" s="168"/>
      <c r="J19" s="168"/>
      <c r="K19" s="168"/>
      <c r="L19" s="168"/>
      <c r="M19" s="168"/>
      <c r="N19" s="168"/>
      <c r="O19" s="84"/>
      <c r="P19" s="84"/>
      <c r="Q19" s="29"/>
      <c r="R19" s="84"/>
      <c r="S19" s="84"/>
      <c r="T19" s="84"/>
    </row>
    <row r="20" spans="1:20" s="35" customFormat="1" ht="18" customHeight="1">
      <c r="A20" s="169"/>
      <c r="B20" s="354" t="s">
        <v>359</v>
      </c>
      <c r="C20" s="172" t="s">
        <v>541</v>
      </c>
      <c r="D20" s="76">
        <v>220</v>
      </c>
      <c r="E20" s="173" t="str">
        <f>IF(Vin_type="AC","Vrms","V")</f>
        <v>V</v>
      </c>
      <c r="F20" s="724" t="s">
        <v>373</v>
      </c>
      <c r="G20" s="725"/>
      <c r="H20" s="168"/>
      <c r="I20" s="168"/>
      <c r="J20" s="168"/>
      <c r="K20" s="168"/>
      <c r="L20" s="168"/>
      <c r="M20" s="168"/>
      <c r="N20" s="168"/>
      <c r="O20" s="84"/>
      <c r="P20" s="84"/>
      <c r="Q20" s="29"/>
      <c r="R20" s="84"/>
      <c r="S20" s="84"/>
      <c r="T20" s="84"/>
    </row>
    <row r="21" spans="1:20" s="35" customFormat="1" ht="18" customHeight="1">
      <c r="A21" s="169"/>
      <c r="B21" s="358" t="s">
        <v>542</v>
      </c>
      <c r="C21" s="359" t="s">
        <v>543</v>
      </c>
      <c r="D21" s="288">
        <f>0.83*VINPUT_Brownin</f>
        <v>182.6</v>
      </c>
      <c r="E21" s="173" t="str">
        <f>IF(Vin_type="AC","Vrms","V")</f>
        <v>V</v>
      </c>
      <c r="F21" s="724" t="s">
        <v>234</v>
      </c>
      <c r="G21" s="725"/>
      <c r="H21" s="168"/>
      <c r="I21" s="168"/>
      <c r="J21" s="168"/>
      <c r="K21" s="168"/>
      <c r="L21" s="168"/>
      <c r="M21" s="168"/>
      <c r="N21" s="168"/>
      <c r="O21" s="84"/>
      <c r="P21" s="84"/>
      <c r="Q21" s="29"/>
      <c r="R21" s="84"/>
      <c r="S21" s="84"/>
      <c r="T21" s="84"/>
    </row>
    <row r="22" spans="1:20" ht="18" customHeight="1">
      <c r="A22" s="169"/>
      <c r="B22" s="354" t="s">
        <v>309</v>
      </c>
      <c r="C22" s="172" t="s">
        <v>544</v>
      </c>
      <c r="D22" s="43">
        <v>220</v>
      </c>
      <c r="E22" s="173" t="str">
        <f>IF(Vin_type="AC","V","V")</f>
        <v>V</v>
      </c>
      <c r="F22" s="720" t="s">
        <v>545</v>
      </c>
      <c r="G22" s="784"/>
      <c r="H22" s="168"/>
      <c r="I22" s="168"/>
      <c r="J22" s="168"/>
      <c r="K22" s="168"/>
      <c r="L22" s="168"/>
      <c r="M22" s="168"/>
      <c r="N22" s="168"/>
      <c r="O22" s="84"/>
      <c r="P22" s="84"/>
      <c r="Q22" s="84"/>
      <c r="R22" s="84"/>
      <c r="S22" s="84"/>
      <c r="T22" s="84"/>
    </row>
    <row r="23" spans="1:20" ht="18" customHeight="1">
      <c r="A23" s="169"/>
      <c r="B23" s="360"/>
      <c r="C23" s="361"/>
      <c r="D23" s="362"/>
      <c r="E23" s="362"/>
      <c r="F23" s="362"/>
      <c r="G23" s="363"/>
      <c r="H23" s="168"/>
      <c r="I23" s="168"/>
      <c r="J23" s="168"/>
      <c r="K23" s="168"/>
      <c r="L23" s="168"/>
      <c r="M23" s="168"/>
      <c r="N23" s="168"/>
      <c r="O23" s="84"/>
      <c r="P23" s="84"/>
      <c r="Q23" s="84"/>
      <c r="R23" s="84"/>
      <c r="S23" s="84"/>
      <c r="T23" s="84"/>
    </row>
    <row r="24" spans="1:20" ht="18.75">
      <c r="A24" s="169"/>
      <c r="B24" s="354" t="s">
        <v>308</v>
      </c>
      <c r="C24" s="172" t="s">
        <v>546</v>
      </c>
      <c r="D24" s="76">
        <v>47</v>
      </c>
      <c r="E24" s="173" t="s">
        <v>2</v>
      </c>
      <c r="F24" s="720" t="s">
        <v>951</v>
      </c>
      <c r="G24" s="721"/>
      <c r="H24" s="168"/>
      <c r="I24" s="168"/>
      <c r="J24" s="168"/>
      <c r="K24" s="168"/>
      <c r="L24" s="168"/>
      <c r="M24" s="168"/>
      <c r="N24" s="168"/>
      <c r="O24" s="84"/>
      <c r="P24" s="84"/>
      <c r="Q24" s="84"/>
      <c r="R24" s="84"/>
      <c r="S24" s="84"/>
      <c r="T24" s="84"/>
    </row>
    <row r="25" spans="1:20" ht="18.75" customHeight="1" thickBot="1">
      <c r="A25" s="169"/>
      <c r="B25" s="364" t="s">
        <v>307</v>
      </c>
      <c r="C25" s="245" t="s">
        <v>824</v>
      </c>
      <c r="D25" s="83">
        <v>0.93</v>
      </c>
      <c r="E25" s="247"/>
      <c r="F25" s="788" t="s">
        <v>200</v>
      </c>
      <c r="G25" s="789"/>
      <c r="H25" s="168"/>
      <c r="I25" s="168"/>
      <c r="J25" s="168"/>
      <c r="K25" s="168"/>
      <c r="L25" s="168"/>
      <c r="M25" s="168"/>
      <c r="N25" s="168"/>
      <c r="O25" s="84"/>
      <c r="P25" s="84"/>
      <c r="Q25" s="84"/>
      <c r="R25" s="84"/>
      <c r="S25" s="84"/>
      <c r="T25" s="84"/>
    </row>
    <row r="26" spans="1:20" ht="15.75" thickBot="1">
      <c r="A26" s="169"/>
      <c r="B26" s="163"/>
      <c r="C26" s="163"/>
      <c r="D26" s="165"/>
      <c r="E26" s="163"/>
      <c r="F26" s="166"/>
      <c r="G26" s="167"/>
      <c r="H26" s="168"/>
      <c r="I26" s="168"/>
      <c r="J26" s="168"/>
      <c r="K26" s="168"/>
      <c r="L26" s="168"/>
      <c r="M26" s="168"/>
      <c r="N26" s="168"/>
      <c r="O26" s="84"/>
      <c r="P26" s="84"/>
      <c r="Q26" s="84"/>
      <c r="R26" s="84"/>
      <c r="S26" s="84"/>
      <c r="T26" s="84"/>
    </row>
    <row r="27" spans="1:20" ht="18" customHeight="1">
      <c r="A27" s="169"/>
      <c r="B27" s="778" t="s">
        <v>4</v>
      </c>
      <c r="C27" s="779"/>
      <c r="D27" s="780"/>
      <c r="E27" s="780"/>
      <c r="F27" s="780"/>
      <c r="G27" s="781"/>
      <c r="H27" s="168"/>
      <c r="I27" s="168"/>
      <c r="J27" s="168"/>
      <c r="K27" s="168"/>
      <c r="L27" s="168"/>
      <c r="M27" s="168"/>
      <c r="N27" s="168"/>
      <c r="O27" s="84"/>
      <c r="P27" s="84"/>
      <c r="Q27" s="84"/>
      <c r="R27" s="84"/>
      <c r="S27" s="84"/>
      <c r="T27" s="84"/>
    </row>
    <row r="28" spans="1:20" ht="18.75">
      <c r="A28" s="169"/>
      <c r="B28" s="365" t="s">
        <v>1136</v>
      </c>
      <c r="C28" s="366" t="s">
        <v>531</v>
      </c>
      <c r="D28" s="78">
        <v>5</v>
      </c>
      <c r="E28" s="734" t="s">
        <v>116</v>
      </c>
      <c r="F28" s="734"/>
      <c r="G28" s="735"/>
      <c r="H28" s="168"/>
      <c r="I28" s="168"/>
      <c r="J28" s="168"/>
      <c r="K28" s="168"/>
      <c r="L28" s="168"/>
      <c r="M28" s="168"/>
      <c r="N28" s="168"/>
      <c r="O28" s="84"/>
      <c r="P28" s="84"/>
      <c r="Q28" s="84"/>
      <c r="R28" s="84"/>
      <c r="S28" s="84"/>
      <c r="T28" s="84"/>
    </row>
    <row r="29" spans="1:20" ht="18" customHeight="1">
      <c r="A29" s="169"/>
      <c r="B29" s="354" t="s">
        <v>1137</v>
      </c>
      <c r="C29" s="172" t="s">
        <v>270</v>
      </c>
      <c r="D29" s="76">
        <v>115</v>
      </c>
      <c r="E29" s="734" t="s">
        <v>3</v>
      </c>
      <c r="F29" s="734"/>
      <c r="G29" s="735"/>
      <c r="H29" s="168"/>
      <c r="I29" s="168"/>
      <c r="J29" s="168"/>
      <c r="K29" s="168"/>
      <c r="L29" s="168"/>
      <c r="M29" s="168"/>
      <c r="N29" s="168"/>
      <c r="O29" s="84"/>
      <c r="P29" s="84"/>
      <c r="Q29" s="84"/>
      <c r="R29" s="84"/>
      <c r="S29" s="84"/>
      <c r="T29" s="84"/>
    </row>
    <row r="30" spans="1:20" ht="18.75">
      <c r="A30" s="169"/>
      <c r="B30" s="365" t="s">
        <v>306</v>
      </c>
      <c r="C30" s="366" t="s">
        <v>532</v>
      </c>
      <c r="D30" s="79">
        <v>40</v>
      </c>
      <c r="E30" s="173" t="s">
        <v>7</v>
      </c>
      <c r="F30" s="367" t="s">
        <v>952</v>
      </c>
      <c r="G30" s="174"/>
      <c r="H30" s="168"/>
      <c r="I30" s="168"/>
      <c r="J30" s="168"/>
      <c r="K30" s="168"/>
      <c r="L30" s="168"/>
      <c r="M30" s="168"/>
      <c r="N30" s="168"/>
      <c r="O30" s="84"/>
      <c r="P30" s="84"/>
      <c r="Q30" s="84"/>
      <c r="R30" s="84"/>
      <c r="S30" s="84"/>
      <c r="T30" s="84"/>
    </row>
    <row r="31" spans="1:20" ht="18.75">
      <c r="A31" s="169"/>
      <c r="B31" s="365" t="s">
        <v>305</v>
      </c>
      <c r="C31" s="366" t="s">
        <v>533</v>
      </c>
      <c r="D31" s="278">
        <f>PO_FL/VOUT</f>
        <v>8</v>
      </c>
      <c r="E31" s="734" t="s">
        <v>5</v>
      </c>
      <c r="F31" s="734"/>
      <c r="G31" s="735"/>
      <c r="H31" s="168"/>
      <c r="I31" s="168"/>
      <c r="J31" s="168"/>
      <c r="K31" s="168"/>
      <c r="L31" s="168"/>
      <c r="M31" s="168"/>
      <c r="N31" s="168"/>
      <c r="O31" s="84"/>
      <c r="P31" s="84"/>
      <c r="Q31" s="84"/>
      <c r="R31" s="84"/>
      <c r="S31" s="84"/>
      <c r="T31" s="84"/>
    </row>
    <row r="32" spans="1:20" s="35" customFormat="1" ht="18" customHeight="1">
      <c r="A32" s="169"/>
      <c r="B32" s="354" t="s">
        <v>1138</v>
      </c>
      <c r="C32" s="172" t="s">
        <v>271</v>
      </c>
      <c r="D32" s="76">
        <v>150</v>
      </c>
      <c r="E32" s="368" t="s">
        <v>3</v>
      </c>
      <c r="F32" s="748" t="s">
        <v>201</v>
      </c>
      <c r="G32" s="749"/>
      <c r="H32" s="411"/>
      <c r="I32" s="168"/>
      <c r="J32" s="168"/>
      <c r="K32" s="168"/>
      <c r="L32" s="168"/>
      <c r="M32" s="168"/>
      <c r="N32" s="168"/>
      <c r="O32" s="84"/>
      <c r="P32" s="84"/>
      <c r="Q32" s="84"/>
      <c r="R32" s="84"/>
      <c r="S32" s="84"/>
      <c r="T32" s="84"/>
    </row>
    <row r="33" spans="1:21" ht="18.75">
      <c r="A33" s="169"/>
      <c r="B33" s="365" t="s">
        <v>304</v>
      </c>
      <c r="C33" s="366" t="s">
        <v>534</v>
      </c>
      <c r="D33" s="278">
        <f>PO_FL*OPP*0.01/VOUT</f>
        <v>12</v>
      </c>
      <c r="E33" s="734" t="s">
        <v>5</v>
      </c>
      <c r="F33" s="734"/>
      <c r="G33" s="735"/>
      <c r="H33" s="168"/>
      <c r="I33" s="168"/>
      <c r="J33" s="168"/>
      <c r="K33" s="168"/>
      <c r="L33" s="168"/>
      <c r="M33" s="168"/>
      <c r="N33" s="168"/>
      <c r="O33" s="84"/>
      <c r="P33" s="84"/>
      <c r="Q33" s="84"/>
      <c r="R33" s="84"/>
      <c r="S33" s="84"/>
      <c r="T33" s="84"/>
    </row>
    <row r="34" spans="1:21" ht="18" customHeight="1">
      <c r="A34" s="169"/>
      <c r="B34" s="365" t="s">
        <v>1139</v>
      </c>
      <c r="C34" s="366" t="s">
        <v>272</v>
      </c>
      <c r="D34" s="76">
        <v>40</v>
      </c>
      <c r="E34" s="224" t="s">
        <v>3</v>
      </c>
      <c r="F34" s="724" t="str">
        <f>IF(BUR&gt;79.9,"Percentage seems high; review Section 8.3.1 of datasheet",IF(BUR&lt;30.1,"Percentage seems low; review Section 8.3.1 of datasheet","Start with 50% - 60%, at voltage set at cell D18"))</f>
        <v>Start with 50% - 60%, at voltage set at cell D18</v>
      </c>
      <c r="G34" s="725"/>
      <c r="H34" s="630"/>
      <c r="J34" s="637"/>
      <c r="K34" s="168"/>
      <c r="N34" s="168"/>
      <c r="O34" s="84"/>
      <c r="P34" s="84"/>
      <c r="Q34" s="84"/>
      <c r="R34" s="84"/>
      <c r="S34" s="84"/>
      <c r="T34" s="84"/>
    </row>
    <row r="35" spans="1:21" ht="33" customHeight="1">
      <c r="A35" s="169"/>
      <c r="B35" s="369" t="s">
        <v>303</v>
      </c>
      <c r="C35" s="180" t="s">
        <v>825</v>
      </c>
      <c r="D35" s="80">
        <v>145</v>
      </c>
      <c r="E35" s="370" t="s">
        <v>8</v>
      </c>
      <c r="F35" s="760" t="s">
        <v>1179</v>
      </c>
      <c r="G35" s="761"/>
      <c r="H35" s="631"/>
      <c r="I35" s="633"/>
      <c r="J35" s="168"/>
      <c r="K35" s="168"/>
      <c r="L35" s="168"/>
      <c r="M35" s="168"/>
      <c r="N35" s="168"/>
      <c r="O35" s="84"/>
      <c r="P35" s="84"/>
      <c r="Q35" s="84"/>
      <c r="R35" s="84"/>
      <c r="S35" s="84"/>
      <c r="T35" s="84"/>
    </row>
    <row r="36" spans="1:21" ht="18.75">
      <c r="A36" s="169"/>
      <c r="B36" s="365" t="s">
        <v>302</v>
      </c>
      <c r="C36" s="366" t="s">
        <v>535</v>
      </c>
      <c r="D36" s="78">
        <v>2</v>
      </c>
      <c r="E36" s="173" t="s">
        <v>8</v>
      </c>
      <c r="F36" s="367" t="s">
        <v>9</v>
      </c>
      <c r="G36" s="174"/>
      <c r="H36" s="631"/>
      <c r="I36" s="168"/>
      <c r="J36" s="168"/>
      <c r="K36" s="168"/>
      <c r="L36" s="168"/>
      <c r="M36" s="168"/>
      <c r="N36" s="168"/>
      <c r="O36" s="84"/>
      <c r="P36" s="84"/>
      <c r="Q36" s="84"/>
      <c r="R36" s="84"/>
      <c r="S36" s="84"/>
      <c r="T36" s="84"/>
    </row>
    <row r="37" spans="1:21" ht="19.5" thickBot="1">
      <c r="A37" s="169"/>
      <c r="B37" s="364" t="s">
        <v>314</v>
      </c>
      <c r="C37" s="245" t="s">
        <v>536</v>
      </c>
      <c r="D37" s="1">
        <v>200</v>
      </c>
      <c r="E37" s="247" t="s">
        <v>105</v>
      </c>
      <c r="F37" s="756" t="s">
        <v>202</v>
      </c>
      <c r="G37" s="757"/>
      <c r="H37" s="631"/>
      <c r="I37" s="168"/>
      <c r="J37" s="168"/>
      <c r="K37" s="168"/>
      <c r="L37" s="168"/>
      <c r="M37" s="168"/>
      <c r="N37" s="168"/>
      <c r="O37" s="84"/>
      <c r="P37" s="84"/>
      <c r="Q37" s="84"/>
      <c r="R37" s="84"/>
      <c r="S37" s="84"/>
      <c r="T37" s="84"/>
    </row>
    <row r="38" spans="1:21" ht="15.75" thickBot="1">
      <c r="A38" s="169"/>
      <c r="B38" s="163"/>
      <c r="C38" s="163"/>
      <c r="D38" s="165"/>
      <c r="E38" s="163"/>
      <c r="F38" s="166"/>
      <c r="G38" s="167"/>
      <c r="H38" s="631"/>
      <c r="I38" s="168"/>
      <c r="J38" s="168"/>
      <c r="K38" s="168"/>
      <c r="L38" s="168"/>
      <c r="M38" s="168"/>
      <c r="N38" s="168"/>
      <c r="O38" s="84"/>
      <c r="P38" s="84"/>
      <c r="Q38" s="84"/>
      <c r="R38" s="84"/>
      <c r="S38" s="84"/>
      <c r="T38" s="84"/>
    </row>
    <row r="39" spans="1:21" ht="18" customHeight="1">
      <c r="A39" s="169"/>
      <c r="B39" s="762" t="s">
        <v>1052</v>
      </c>
      <c r="C39" s="763"/>
      <c r="D39" s="764"/>
      <c r="E39" s="764"/>
      <c r="F39" s="764"/>
      <c r="G39" s="765"/>
      <c r="H39" s="630"/>
      <c r="I39" s="168"/>
      <c r="J39" s="168"/>
      <c r="K39" s="168"/>
      <c r="L39" s="168"/>
      <c r="M39" s="168"/>
      <c r="N39" s="168"/>
      <c r="O39" s="84"/>
      <c r="P39" s="84"/>
      <c r="Q39" s="84"/>
      <c r="R39" s="84"/>
      <c r="S39" s="84"/>
      <c r="T39" s="84"/>
    </row>
    <row r="40" spans="1:21" ht="18.75">
      <c r="A40" s="169"/>
      <c r="B40" s="371" t="s">
        <v>1132</v>
      </c>
      <c r="C40" s="172" t="s">
        <v>1114</v>
      </c>
      <c r="D40" s="30">
        <v>80</v>
      </c>
      <c r="E40" s="224" t="s">
        <v>3</v>
      </c>
      <c r="F40" s="720" t="s">
        <v>979</v>
      </c>
      <c r="G40" s="721"/>
      <c r="H40" s="679"/>
      <c r="I40" s="168"/>
      <c r="J40" s="211"/>
      <c r="K40" s="168"/>
      <c r="L40" s="168"/>
      <c r="M40" s="168"/>
      <c r="N40" s="168"/>
      <c r="O40" s="84"/>
      <c r="P40" s="84"/>
      <c r="Q40" s="84"/>
      <c r="R40" s="84"/>
      <c r="S40" s="84"/>
      <c r="T40" s="84"/>
    </row>
    <row r="41" spans="1:21" ht="18.75">
      <c r="A41" s="169"/>
      <c r="B41" s="371" t="s">
        <v>323</v>
      </c>
      <c r="C41" s="172" t="s">
        <v>517</v>
      </c>
      <c r="D41" s="223">
        <f>IF(Vin_type="AC",((VINPUT_max*1.414+NPS*VOUT)/(Kder_HB/100)),((VINPUT_max+NPS*VOUT)/(Kder_HB/100)))</f>
        <v>1125</v>
      </c>
      <c r="E41" s="224" t="s">
        <v>6</v>
      </c>
      <c r="F41" s="720"/>
      <c r="G41" s="721"/>
      <c r="H41" s="678"/>
      <c r="I41" s="168"/>
      <c r="J41" s="211"/>
      <c r="K41" s="168"/>
      <c r="L41" s="168"/>
      <c r="M41" s="168"/>
      <c r="N41" s="168"/>
      <c r="O41" s="84"/>
      <c r="P41" s="84"/>
      <c r="Q41" s="84"/>
      <c r="R41" s="84"/>
      <c r="S41" s="84"/>
      <c r="T41" s="84"/>
    </row>
    <row r="42" spans="1:21" ht="18.75">
      <c r="A42" s="169"/>
      <c r="B42" s="354" t="s">
        <v>301</v>
      </c>
      <c r="C42" s="172" t="s">
        <v>518</v>
      </c>
      <c r="D42" s="76">
        <v>1200</v>
      </c>
      <c r="E42" s="370" t="s">
        <v>6</v>
      </c>
      <c r="F42" s="758" t="s">
        <v>1</v>
      </c>
      <c r="G42" s="759"/>
      <c r="H42" s="680"/>
      <c r="I42" s="168"/>
      <c r="J42" s="168"/>
      <c r="K42" s="168"/>
      <c r="L42" s="168"/>
      <c r="M42" s="168"/>
      <c r="N42" s="168"/>
      <c r="O42" s="84"/>
      <c r="P42" s="84"/>
      <c r="Q42" s="84"/>
      <c r="R42" s="84"/>
      <c r="S42" s="84"/>
      <c r="T42" s="84"/>
    </row>
    <row r="43" spans="1:21" ht="18" customHeight="1">
      <c r="A43" s="169"/>
      <c r="B43" s="354" t="s">
        <v>1133</v>
      </c>
      <c r="C43" s="172" t="s">
        <v>273</v>
      </c>
      <c r="D43" s="43">
        <v>0</v>
      </c>
      <c r="E43" s="372"/>
      <c r="F43" s="724" t="s">
        <v>1134</v>
      </c>
      <c r="G43" s="725"/>
      <c r="H43" s="254"/>
      <c r="I43" s="168"/>
      <c r="J43" s="168"/>
      <c r="K43" s="168"/>
      <c r="L43" s="168"/>
      <c r="M43" s="168"/>
      <c r="N43" s="168"/>
      <c r="O43" s="84"/>
      <c r="P43" s="84"/>
      <c r="Q43" s="84"/>
      <c r="R43" s="84"/>
      <c r="S43" s="84"/>
      <c r="T43" s="84"/>
    </row>
    <row r="44" spans="1:21" ht="18.75">
      <c r="A44" s="169"/>
      <c r="B44" s="354" t="s">
        <v>1115</v>
      </c>
      <c r="C44" s="172" t="s">
        <v>519</v>
      </c>
      <c r="D44" s="241">
        <f>IF(SET=0,11.2*10^11,5.6*10^11)</f>
        <v>1120000000000</v>
      </c>
      <c r="E44" s="373" t="s">
        <v>520</v>
      </c>
      <c r="F44" s="724" t="s">
        <v>1135</v>
      </c>
      <c r="G44" s="725"/>
      <c r="H44" s="630"/>
      <c r="I44" s="168"/>
      <c r="J44" s="168"/>
      <c r="K44" s="168"/>
      <c r="L44" s="168"/>
      <c r="M44" s="168"/>
      <c r="N44" s="168"/>
      <c r="O44" s="84"/>
      <c r="P44" s="84"/>
      <c r="Q44" s="84"/>
      <c r="R44" s="84"/>
      <c r="S44" s="84"/>
      <c r="T44" s="84"/>
    </row>
    <row r="45" spans="1:21" ht="18.75" customHeight="1">
      <c r="A45" s="169"/>
      <c r="B45" s="374" t="s">
        <v>319</v>
      </c>
      <c r="C45" s="375"/>
      <c r="D45" s="376"/>
      <c r="E45" s="370"/>
      <c r="F45" s="405"/>
      <c r="G45" s="406"/>
      <c r="H45" s="379" t="s">
        <v>375</v>
      </c>
      <c r="I45" s="168"/>
      <c r="J45" s="168"/>
      <c r="K45" s="168"/>
      <c r="L45" s="168"/>
      <c r="M45" s="168"/>
      <c r="N45" s="168"/>
      <c r="O45" s="84"/>
      <c r="P45" s="84"/>
      <c r="Q45" s="84"/>
      <c r="R45" s="84"/>
      <c r="S45" s="84"/>
      <c r="T45" s="84"/>
    </row>
    <row r="46" spans="1:21" ht="18.75" customHeight="1">
      <c r="A46" s="169"/>
      <c r="B46" s="171" t="s">
        <v>229</v>
      </c>
      <c r="C46" s="716" t="s">
        <v>1181</v>
      </c>
      <c r="D46" s="807"/>
      <c r="E46" s="173"/>
      <c r="F46" s="720" t="s">
        <v>324</v>
      </c>
      <c r="G46" s="721"/>
      <c r="H46" s="168"/>
      <c r="I46" s="168"/>
      <c r="J46" s="168"/>
      <c r="K46" s="168"/>
      <c r="L46" s="168"/>
      <c r="M46" s="168"/>
      <c r="N46" s="168"/>
      <c r="O46" s="84"/>
      <c r="P46" s="84"/>
      <c r="Q46" s="84"/>
      <c r="R46" s="84"/>
      <c r="S46" s="84"/>
      <c r="T46" s="84"/>
    </row>
    <row r="47" spans="1:21" ht="18.75">
      <c r="A47" s="169"/>
      <c r="B47" s="354" t="s">
        <v>378</v>
      </c>
      <c r="C47" s="172" t="s">
        <v>521</v>
      </c>
      <c r="D47" s="77">
        <v>0.06</v>
      </c>
      <c r="E47" s="368" t="s">
        <v>10</v>
      </c>
      <c r="F47" s="407"/>
      <c r="G47" s="408"/>
      <c r="H47" s="168"/>
      <c r="I47" s="168"/>
      <c r="J47" s="168"/>
      <c r="K47" s="168"/>
      <c r="L47" s="168"/>
      <c r="M47" s="168"/>
      <c r="N47" s="168"/>
      <c r="O47" s="84"/>
      <c r="P47" s="84"/>
      <c r="Q47" s="84"/>
      <c r="R47" s="84"/>
      <c r="S47" s="84"/>
      <c r="T47" s="84"/>
    </row>
    <row r="48" spans="1:21" ht="18.75" customHeight="1">
      <c r="A48" s="169"/>
      <c r="B48" s="354" t="s">
        <v>1116</v>
      </c>
      <c r="C48" s="172" t="s">
        <v>522</v>
      </c>
      <c r="D48" s="76">
        <v>200</v>
      </c>
      <c r="E48" s="173" t="s">
        <v>13</v>
      </c>
      <c r="F48" s="367"/>
      <c r="G48" s="174" t="s">
        <v>374</v>
      </c>
      <c r="H48" s="168"/>
      <c r="I48" s="168"/>
      <c r="J48" s="168"/>
      <c r="K48" s="168"/>
      <c r="L48" s="168"/>
      <c r="M48" s="168"/>
      <c r="N48" s="168"/>
      <c r="O48" s="84"/>
      <c r="P48" s="84"/>
      <c r="Q48" s="84"/>
      <c r="R48" s="84"/>
      <c r="S48" s="84"/>
      <c r="T48" s="84"/>
      <c r="U48" s="89"/>
    </row>
    <row r="49" spans="1:20" ht="18.75" customHeight="1">
      <c r="A49" s="169"/>
      <c r="B49" s="354" t="s">
        <v>1117</v>
      </c>
      <c r="C49" s="172" t="s">
        <v>523</v>
      </c>
      <c r="D49" s="76">
        <v>70</v>
      </c>
      <c r="E49" s="173" t="s">
        <v>13</v>
      </c>
      <c r="F49" s="367"/>
      <c r="G49" s="174" t="s">
        <v>374</v>
      </c>
      <c r="H49" s="168"/>
      <c r="I49" s="168"/>
      <c r="J49" s="168"/>
      <c r="K49" s="168"/>
      <c r="L49" s="168"/>
      <c r="M49" s="168"/>
      <c r="N49" s="168"/>
      <c r="O49" s="84"/>
      <c r="P49" s="84"/>
      <c r="Q49" s="84"/>
      <c r="R49" s="84"/>
      <c r="S49" s="84"/>
      <c r="T49" s="84"/>
    </row>
    <row r="50" spans="1:20" ht="18.75">
      <c r="A50" s="169"/>
      <c r="B50" s="354" t="s">
        <v>380</v>
      </c>
      <c r="C50" s="172" t="s">
        <v>524</v>
      </c>
      <c r="D50" s="76">
        <v>70</v>
      </c>
      <c r="E50" s="173" t="s">
        <v>12</v>
      </c>
      <c r="F50" s="367"/>
      <c r="G50" s="174" t="s">
        <v>374</v>
      </c>
      <c r="H50" s="168"/>
      <c r="I50" s="168"/>
      <c r="J50" s="168"/>
      <c r="K50" s="168"/>
      <c r="L50" s="168"/>
      <c r="M50" s="168"/>
      <c r="N50" s="168"/>
      <c r="O50" s="84"/>
      <c r="P50" s="84"/>
      <c r="Q50" s="84"/>
      <c r="R50" s="84"/>
      <c r="S50" s="84"/>
      <c r="T50" s="84"/>
    </row>
    <row r="51" spans="1:20" ht="18.75">
      <c r="A51" s="169"/>
      <c r="B51" s="354" t="s">
        <v>317</v>
      </c>
      <c r="C51" s="172" t="s">
        <v>525</v>
      </c>
      <c r="D51" s="76">
        <v>30</v>
      </c>
      <c r="E51" s="370" t="s">
        <v>14</v>
      </c>
      <c r="F51" s="381"/>
      <c r="G51" s="382"/>
      <c r="H51" s="168"/>
      <c r="I51" s="168"/>
      <c r="J51" s="168"/>
      <c r="K51" s="168"/>
      <c r="L51" s="168"/>
      <c r="M51" s="168"/>
      <c r="N51" s="168"/>
      <c r="O51" s="84"/>
      <c r="P51" s="84"/>
      <c r="Q51" s="84"/>
      <c r="R51" s="84"/>
      <c r="S51" s="84"/>
      <c r="T51" s="84"/>
    </row>
    <row r="52" spans="1:20" ht="18.75">
      <c r="A52" s="169"/>
      <c r="B52" s="354" t="s">
        <v>318</v>
      </c>
      <c r="C52" s="172" t="s">
        <v>826</v>
      </c>
      <c r="D52" s="383">
        <f>IF(Vin_type="AC",((COSS_QH_bg*Vxh*(10^-12)+COSS_QH_sm*(10^-12)*(VBulk_min_tgt+NPS*VOUT-Vxh))/(VBulk_min_tgt+VOUT*NPS))*10^12,((COSS_QH_bg*Vxh*(10^-12)+COSS_QH_sm*(10^-12)*(VBulk_min_tgt+NPS*VOUT-Vxh))/(VBulk_min_tgt+VOUT*NPS))*10^12)</f>
        <v>87.500000000000014</v>
      </c>
      <c r="E52" s="173" t="s">
        <v>13</v>
      </c>
      <c r="F52" s="355"/>
      <c r="G52" s="174"/>
      <c r="H52" s="345"/>
      <c r="I52" s="168"/>
      <c r="J52" s="211"/>
      <c r="K52" s="168"/>
      <c r="L52" s="168"/>
      <c r="M52" s="168"/>
      <c r="N52" s="168"/>
      <c r="O52" s="84"/>
      <c r="P52" s="84"/>
      <c r="Q52" s="84"/>
      <c r="R52" s="84"/>
      <c r="S52" s="84"/>
      <c r="T52" s="84"/>
    </row>
    <row r="53" spans="1:20" ht="18.75" customHeight="1">
      <c r="A53" s="169"/>
      <c r="B53" s="384" t="s">
        <v>320</v>
      </c>
      <c r="C53" s="385"/>
      <c r="D53" s="376"/>
      <c r="E53" s="368"/>
      <c r="F53" s="163"/>
      <c r="G53" s="386"/>
      <c r="H53" s="168"/>
      <c r="I53" s="168"/>
      <c r="J53" s="211"/>
      <c r="K53" s="168"/>
      <c r="L53" s="168"/>
      <c r="M53" s="168"/>
      <c r="N53" s="168"/>
      <c r="O53" s="84"/>
      <c r="P53" s="84"/>
      <c r="Q53" s="84"/>
      <c r="R53" s="84"/>
      <c r="S53" s="84"/>
      <c r="T53" s="84"/>
    </row>
    <row r="54" spans="1:20" ht="18.75" customHeight="1">
      <c r="A54" s="169"/>
      <c r="B54" s="171" t="s">
        <v>230</v>
      </c>
      <c r="C54" s="716" t="s">
        <v>1181</v>
      </c>
      <c r="D54" s="807"/>
      <c r="E54" s="173"/>
      <c r="F54" s="720" t="s">
        <v>1051</v>
      </c>
      <c r="G54" s="721"/>
      <c r="H54" s="168"/>
      <c r="I54" s="168"/>
      <c r="J54" s="168"/>
      <c r="K54" s="168"/>
      <c r="L54" s="168"/>
      <c r="M54" s="168"/>
      <c r="N54" s="168"/>
      <c r="O54" s="84"/>
      <c r="P54" s="84"/>
      <c r="Q54" s="84"/>
      <c r="R54" s="84"/>
      <c r="S54" s="84"/>
      <c r="T54" s="84"/>
    </row>
    <row r="55" spans="1:20" ht="18.75">
      <c r="A55" s="169"/>
      <c r="B55" s="354" t="s">
        <v>379</v>
      </c>
      <c r="C55" s="172" t="s">
        <v>526</v>
      </c>
      <c r="D55" s="77">
        <v>0.06</v>
      </c>
      <c r="E55" s="173" t="s">
        <v>10</v>
      </c>
      <c r="F55" s="381"/>
      <c r="G55" s="382"/>
      <c r="H55" s="168"/>
      <c r="I55" s="168"/>
      <c r="J55" s="168"/>
      <c r="K55" s="168"/>
      <c r="L55" s="168"/>
      <c r="M55" s="168"/>
      <c r="N55" s="168"/>
      <c r="O55" s="84"/>
      <c r="P55" s="84"/>
      <c r="Q55" s="84"/>
      <c r="R55" s="84"/>
      <c r="S55" s="84"/>
      <c r="T55" s="84"/>
    </row>
    <row r="56" spans="1:20" ht="18.75">
      <c r="A56" s="169"/>
      <c r="B56" s="354" t="s">
        <v>1119</v>
      </c>
      <c r="C56" s="172" t="s">
        <v>527</v>
      </c>
      <c r="D56" s="76">
        <v>200</v>
      </c>
      <c r="E56" s="173" t="s">
        <v>13</v>
      </c>
      <c r="F56" s="381"/>
      <c r="G56" s="174" t="s">
        <v>374</v>
      </c>
      <c r="H56" s="168"/>
      <c r="I56" s="168"/>
      <c r="J56" s="168"/>
      <c r="K56" s="168"/>
      <c r="L56" s="168"/>
      <c r="M56" s="168"/>
      <c r="N56" s="168"/>
      <c r="O56" s="84"/>
      <c r="P56" s="84"/>
      <c r="Q56" s="84"/>
      <c r="R56" s="84"/>
      <c r="S56" s="84"/>
      <c r="T56" s="84"/>
    </row>
    <row r="57" spans="1:20" ht="18.75">
      <c r="A57" s="169"/>
      <c r="B57" s="354" t="s">
        <v>1118</v>
      </c>
      <c r="C57" s="172" t="s">
        <v>528</v>
      </c>
      <c r="D57" s="76">
        <v>70</v>
      </c>
      <c r="E57" s="173" t="s">
        <v>13</v>
      </c>
      <c r="F57" s="381"/>
      <c r="G57" s="174" t="s">
        <v>374</v>
      </c>
      <c r="H57" s="168"/>
      <c r="I57" s="168"/>
      <c r="J57" s="168"/>
      <c r="K57" s="168"/>
      <c r="L57" s="168"/>
      <c r="M57" s="168"/>
      <c r="N57" s="168"/>
      <c r="O57" s="84"/>
      <c r="P57" s="84"/>
      <c r="Q57" s="84"/>
      <c r="R57" s="84"/>
      <c r="S57" s="84"/>
      <c r="T57" s="84"/>
    </row>
    <row r="58" spans="1:20" ht="18.75">
      <c r="A58" s="169"/>
      <c r="B58" s="354" t="s">
        <v>381</v>
      </c>
      <c r="C58" s="172" t="s">
        <v>529</v>
      </c>
      <c r="D58" s="76">
        <v>70</v>
      </c>
      <c r="E58" s="173" t="s">
        <v>12</v>
      </c>
      <c r="F58" s="381"/>
      <c r="G58" s="174" t="s">
        <v>374</v>
      </c>
      <c r="H58" s="168"/>
      <c r="I58" s="168"/>
      <c r="J58" s="168"/>
      <c r="K58" s="168"/>
      <c r="L58" s="168"/>
      <c r="M58" s="168"/>
      <c r="N58" s="168"/>
      <c r="O58" s="84"/>
      <c r="P58" s="84"/>
      <c r="Q58" s="84"/>
      <c r="R58" s="84"/>
      <c r="S58" s="84"/>
      <c r="T58" s="84"/>
    </row>
    <row r="59" spans="1:20" ht="18.75">
      <c r="A59" s="169"/>
      <c r="B59" s="354" t="s">
        <v>317</v>
      </c>
      <c r="C59" s="172" t="s">
        <v>530</v>
      </c>
      <c r="D59" s="76">
        <v>30</v>
      </c>
      <c r="E59" s="173" t="s">
        <v>5</v>
      </c>
      <c r="F59" s="367"/>
      <c r="G59" s="174"/>
      <c r="H59" s="168"/>
      <c r="I59" s="168"/>
      <c r="J59" s="168"/>
      <c r="K59" s="168"/>
      <c r="L59" s="168"/>
      <c r="M59" s="168"/>
      <c r="N59" s="168"/>
      <c r="O59" s="84"/>
      <c r="P59" s="84"/>
      <c r="Q59" s="84"/>
      <c r="R59" s="84"/>
      <c r="S59" s="84"/>
      <c r="T59" s="84"/>
    </row>
    <row r="60" spans="1:20" ht="19.5" thickBot="1">
      <c r="A60" s="169"/>
      <c r="B60" s="364" t="s">
        <v>318</v>
      </c>
      <c r="C60" s="245" t="s">
        <v>827</v>
      </c>
      <c r="D60" s="387">
        <f>IF(Vin_type="AC",((COSS_QL_bg*Vxl*(10^-12)+COSS_QL_sm*(10^-12)*(VBulk_min_tgt+NPS*VOUT-Vxl))/(VBulk_min_tgt+VOUT*NPS))*10^12,((COSS_QL_bg*Vxl*(10^-12)+COSS_QL_sm*(10^-12)*(VBulk_min_tgt+NPS*VOUT-Vxl))/(VBulk_min_tgt+VOUT*NPS))*10^12)</f>
        <v>87.500000000000014</v>
      </c>
      <c r="E60" s="247" t="s">
        <v>13</v>
      </c>
      <c r="F60" s="388"/>
      <c r="G60" s="389"/>
      <c r="H60" s="345"/>
      <c r="I60" s="168"/>
      <c r="J60" s="211"/>
      <c r="K60" s="168"/>
      <c r="L60" s="168"/>
      <c r="M60" s="168"/>
      <c r="N60" s="168"/>
      <c r="O60" s="84"/>
      <c r="P60" s="84"/>
      <c r="Q60" s="84"/>
      <c r="R60" s="84"/>
      <c r="S60" s="84"/>
      <c r="T60" s="84"/>
    </row>
    <row r="61" spans="1:20" ht="15.75" thickBot="1">
      <c r="A61" s="169"/>
      <c r="B61" s="390"/>
      <c r="C61" s="390"/>
      <c r="D61" s="165"/>
      <c r="E61" s="391"/>
      <c r="F61" s="391"/>
      <c r="G61" s="391"/>
      <c r="H61" s="168"/>
      <c r="I61" s="168"/>
      <c r="J61" s="211"/>
      <c r="K61" s="168"/>
      <c r="L61" s="168"/>
      <c r="M61" s="168"/>
      <c r="N61" s="168"/>
      <c r="O61" s="84"/>
      <c r="P61" s="84"/>
      <c r="Q61" s="84"/>
      <c r="R61" s="84"/>
      <c r="S61" s="84"/>
      <c r="T61" s="84"/>
    </row>
    <row r="62" spans="1:20" ht="18" customHeight="1">
      <c r="A62" s="169"/>
      <c r="B62" s="742" t="s">
        <v>1053</v>
      </c>
      <c r="C62" s="743"/>
      <c r="D62" s="743"/>
      <c r="E62" s="743"/>
      <c r="F62" s="743"/>
      <c r="G62" s="744"/>
      <c r="H62" s="630"/>
      <c r="I62" s="168"/>
      <c r="J62" s="168"/>
      <c r="K62" s="168"/>
      <c r="L62" s="168"/>
      <c r="M62" s="168"/>
      <c r="N62" s="168"/>
      <c r="O62" s="84"/>
      <c r="P62" s="84"/>
      <c r="Q62" s="84"/>
      <c r="R62" s="84"/>
      <c r="S62" s="84"/>
      <c r="T62" s="84"/>
    </row>
    <row r="63" spans="1:20" s="35" customFormat="1" ht="18.75" customHeight="1">
      <c r="A63" s="169"/>
      <c r="B63" s="392" t="s">
        <v>237</v>
      </c>
      <c r="C63" s="716" t="s">
        <v>729</v>
      </c>
      <c r="D63" s="717"/>
      <c r="E63" s="728"/>
      <c r="F63" s="728"/>
      <c r="G63" s="729"/>
      <c r="H63" s="410"/>
      <c r="J63" s="168"/>
      <c r="K63" s="168"/>
      <c r="L63" s="168"/>
      <c r="M63" s="168"/>
      <c r="N63" s="168"/>
      <c r="O63" s="84"/>
      <c r="P63" s="84"/>
      <c r="Q63" s="84"/>
      <c r="R63" s="84"/>
      <c r="S63" s="84"/>
      <c r="T63" s="84"/>
    </row>
    <row r="64" spans="1:20" ht="18.75">
      <c r="A64" s="169"/>
      <c r="B64" s="354" t="s">
        <v>300</v>
      </c>
      <c r="C64" s="172" t="s">
        <v>512</v>
      </c>
      <c r="D64" s="43">
        <v>0</v>
      </c>
      <c r="E64" s="370" t="s">
        <v>35</v>
      </c>
      <c r="F64" s="652" t="s">
        <v>1101</v>
      </c>
      <c r="G64" s="378"/>
      <c r="H64" s="412"/>
      <c r="I64" s="168"/>
      <c r="J64" s="168"/>
      <c r="K64" s="168"/>
      <c r="L64" s="168"/>
      <c r="M64" s="168"/>
      <c r="N64" s="168"/>
      <c r="O64" s="84"/>
      <c r="P64" s="84"/>
      <c r="Q64" s="84"/>
      <c r="R64" s="84"/>
      <c r="S64" s="84"/>
      <c r="T64" s="84"/>
    </row>
    <row r="65" spans="1:20" ht="18.75">
      <c r="A65" s="169"/>
      <c r="B65" s="354" t="s">
        <v>299</v>
      </c>
      <c r="C65" s="172" t="s">
        <v>513</v>
      </c>
      <c r="D65" s="43">
        <v>11</v>
      </c>
      <c r="E65" s="370" t="s">
        <v>47</v>
      </c>
      <c r="F65" s="377"/>
      <c r="G65" s="378"/>
      <c r="H65" s="168"/>
      <c r="I65" s="168"/>
      <c r="J65" s="168"/>
      <c r="K65" s="168"/>
      <c r="L65" s="168"/>
      <c r="M65" s="168"/>
      <c r="N65" s="168"/>
      <c r="O65" s="84"/>
      <c r="P65" s="84"/>
      <c r="Q65" s="84"/>
      <c r="R65" s="84"/>
      <c r="S65" s="84"/>
      <c r="T65" s="84"/>
    </row>
    <row r="66" spans="1:20" ht="18.75">
      <c r="A66" s="169"/>
      <c r="B66" s="354" t="s">
        <v>321</v>
      </c>
      <c r="C66" s="172" t="s">
        <v>514</v>
      </c>
      <c r="D66" s="75">
        <v>1</v>
      </c>
      <c r="E66" s="370" t="s">
        <v>63</v>
      </c>
      <c r="F66" s="377"/>
      <c r="G66" s="378"/>
      <c r="H66" s="168"/>
      <c r="I66" s="168"/>
      <c r="J66" s="168"/>
      <c r="K66" s="168"/>
      <c r="L66" s="168"/>
      <c r="M66" s="168"/>
      <c r="N66" s="168"/>
      <c r="O66" s="84"/>
      <c r="P66" s="84"/>
      <c r="Q66" s="84"/>
      <c r="R66" s="84"/>
      <c r="S66" s="84"/>
      <c r="T66" s="84"/>
    </row>
    <row r="67" spans="1:20" ht="18.75">
      <c r="A67" s="169"/>
      <c r="B67" s="354" t="s">
        <v>322</v>
      </c>
      <c r="C67" s="172" t="s">
        <v>515</v>
      </c>
      <c r="D67" s="43">
        <v>10</v>
      </c>
      <c r="E67" s="370" t="s">
        <v>13</v>
      </c>
      <c r="F67" s="377"/>
      <c r="G67" s="378"/>
      <c r="H67" s="168"/>
      <c r="I67" s="168"/>
      <c r="J67" s="168"/>
      <c r="K67" s="168"/>
      <c r="L67" s="168"/>
      <c r="M67" s="168"/>
      <c r="N67" s="168"/>
      <c r="O67" s="84"/>
      <c r="P67" s="84"/>
      <c r="Q67" s="84"/>
      <c r="R67" s="84"/>
      <c r="S67" s="84"/>
      <c r="T67" s="84"/>
    </row>
    <row r="68" spans="1:20" ht="19.5" thickBot="1">
      <c r="A68" s="169"/>
      <c r="B68" s="364" t="s">
        <v>298</v>
      </c>
      <c r="C68" s="245" t="s">
        <v>516</v>
      </c>
      <c r="D68" s="1">
        <v>1.1000000000000001</v>
      </c>
      <c r="E68" s="247" t="s">
        <v>58</v>
      </c>
      <c r="F68" s="756" t="s">
        <v>236</v>
      </c>
      <c r="G68" s="808"/>
      <c r="H68" s="168"/>
      <c r="I68" s="168"/>
      <c r="J68" s="168"/>
      <c r="K68" s="168"/>
      <c r="L68" s="168"/>
      <c r="M68" s="168"/>
      <c r="N68" s="168"/>
      <c r="O68" s="84"/>
      <c r="P68" s="84"/>
      <c r="Q68" s="84"/>
      <c r="R68" s="84"/>
      <c r="S68" s="84"/>
      <c r="T68" s="84"/>
    </row>
    <row r="69" spans="1:20" ht="15.75" thickBot="1">
      <c r="A69" s="169"/>
      <c r="B69" s="390"/>
      <c r="C69" s="390"/>
      <c r="D69" s="165"/>
      <c r="E69" s="391"/>
      <c r="F69" s="391"/>
      <c r="G69" s="391"/>
      <c r="H69" s="168"/>
      <c r="I69" s="168"/>
      <c r="J69" s="168"/>
      <c r="K69" s="168"/>
      <c r="L69" s="168"/>
      <c r="M69" s="168"/>
      <c r="N69" s="168"/>
      <c r="O69" s="84"/>
      <c r="P69" s="84"/>
      <c r="Q69" s="84"/>
      <c r="R69" s="84"/>
      <c r="S69" s="84"/>
      <c r="T69" s="84"/>
    </row>
    <row r="70" spans="1:20" ht="18" customHeight="1">
      <c r="A70" s="169"/>
      <c r="B70" s="742" t="s">
        <v>203</v>
      </c>
      <c r="C70" s="743"/>
      <c r="D70" s="743"/>
      <c r="E70" s="743"/>
      <c r="F70" s="743"/>
      <c r="G70" s="744"/>
      <c r="H70" s="290"/>
      <c r="I70" s="168"/>
      <c r="J70" s="168"/>
      <c r="K70" s="168"/>
      <c r="L70" s="168"/>
      <c r="M70" s="168"/>
      <c r="N70" s="168"/>
      <c r="O70" s="84"/>
      <c r="P70" s="84"/>
      <c r="Q70" s="84"/>
      <c r="R70" s="84"/>
      <c r="S70" s="84"/>
      <c r="T70" s="84"/>
    </row>
    <row r="71" spans="1:20" ht="18.75">
      <c r="A71" s="162"/>
      <c r="B71" s="371" t="s">
        <v>501</v>
      </c>
      <c r="C71" s="172" t="s">
        <v>502</v>
      </c>
      <c r="D71" s="288" t="str">
        <f>IF(Vin_type="AC",((2*PO_FL/η_min)*(0.25+ASIN(VBulk_min_tgt/(VIN_min*1.414))/6.2832)/(((VIN_min*1.414-2)^2-(VBulk_min_tgt)^2)*fLINE_min)*1)*10^6,"(N/A)")</f>
        <v>(N/A)</v>
      </c>
      <c r="E71" s="224" t="s">
        <v>54</v>
      </c>
      <c r="F71" s="755" t="s">
        <v>978</v>
      </c>
      <c r="G71" s="721"/>
      <c r="H71" s="345"/>
      <c r="I71" s="168"/>
      <c r="J71" s="211"/>
      <c r="K71" s="168"/>
      <c r="L71" s="168"/>
      <c r="M71" s="168"/>
      <c r="N71" s="168"/>
      <c r="O71" s="84"/>
      <c r="P71" s="84"/>
      <c r="Q71" s="84"/>
      <c r="R71" s="84"/>
      <c r="S71" s="84"/>
      <c r="T71" s="84"/>
    </row>
    <row r="72" spans="1:20" ht="18.75">
      <c r="A72" s="169"/>
      <c r="B72" s="371" t="s">
        <v>977</v>
      </c>
      <c r="C72" s="172" t="s">
        <v>503</v>
      </c>
      <c r="D72" s="30">
        <v>10</v>
      </c>
      <c r="E72" s="224" t="s">
        <v>54</v>
      </c>
      <c r="F72" s="355" t="s">
        <v>1054</v>
      </c>
      <c r="G72" s="177"/>
      <c r="H72" s="168"/>
      <c r="I72" s="168"/>
      <c r="J72" s="211"/>
      <c r="K72" s="168"/>
      <c r="L72" s="168"/>
      <c r="M72" s="168"/>
      <c r="N72" s="168"/>
      <c r="O72" s="84"/>
      <c r="P72" s="84"/>
      <c r="Q72" s="84"/>
      <c r="R72" s="84"/>
      <c r="S72" s="84"/>
      <c r="T72" s="84"/>
    </row>
    <row r="73" spans="1:20" ht="18.75">
      <c r="A73" s="169"/>
      <c r="B73" s="371" t="s">
        <v>297</v>
      </c>
      <c r="C73" s="172" t="s">
        <v>504</v>
      </c>
      <c r="D73" s="223">
        <f>IF(CBULK_act="",CBULK_rec,CBULK_act)</f>
        <v>10</v>
      </c>
      <c r="E73" s="224" t="s">
        <v>54</v>
      </c>
      <c r="F73" s="355"/>
      <c r="G73" s="177"/>
      <c r="H73" s="168"/>
      <c r="I73" s="168"/>
      <c r="J73" s="168"/>
      <c r="K73" s="168"/>
      <c r="L73" s="168"/>
      <c r="M73" s="168"/>
      <c r="N73" s="168"/>
      <c r="O73" s="84"/>
      <c r="P73" s="84"/>
      <c r="Q73" s="84"/>
      <c r="R73" s="84"/>
      <c r="S73" s="84"/>
      <c r="T73" s="84"/>
    </row>
    <row r="74" spans="1:20" ht="18.75">
      <c r="A74" s="169"/>
      <c r="B74" s="371" t="s">
        <v>296</v>
      </c>
      <c r="C74" s="172" t="s">
        <v>1107</v>
      </c>
      <c r="D74" s="223">
        <f>IF(Vin_type="AC",ROUNDUP(VINPUT_max*1.414,-2),ROUNDUP(VINPUT_max,-2))</f>
        <v>600</v>
      </c>
      <c r="E74" s="224" t="s">
        <v>12</v>
      </c>
      <c r="F74" s="355" t="s">
        <v>316</v>
      </c>
      <c r="G74" s="177"/>
      <c r="H74" s="345"/>
      <c r="I74" s="168"/>
      <c r="J74" s="211"/>
      <c r="K74" s="168"/>
      <c r="L74" s="168"/>
      <c r="M74" s="168"/>
      <c r="N74" s="168"/>
      <c r="O74" s="84"/>
      <c r="P74" s="84"/>
      <c r="Q74" s="84"/>
      <c r="R74" s="84"/>
      <c r="S74" s="84"/>
      <c r="T74" s="84"/>
    </row>
    <row r="75" spans="1:20">
      <c r="A75" s="169"/>
      <c r="B75" s="393"/>
      <c r="C75" s="380"/>
      <c r="D75" s="223"/>
      <c r="E75" s="224"/>
      <c r="F75" s="355"/>
      <c r="G75" s="177"/>
      <c r="H75" s="345"/>
      <c r="I75" s="168"/>
      <c r="J75" s="211"/>
      <c r="K75" s="168"/>
      <c r="L75" s="168"/>
      <c r="M75" s="168"/>
      <c r="N75" s="168"/>
      <c r="O75" s="84"/>
      <c r="P75" s="84"/>
      <c r="Q75" s="84"/>
      <c r="R75" s="84"/>
      <c r="S75" s="84"/>
      <c r="T75" s="84"/>
    </row>
    <row r="76" spans="1:20" ht="18.75">
      <c r="A76" s="169"/>
      <c r="B76" s="371" t="s">
        <v>505</v>
      </c>
      <c r="C76" s="172" t="s">
        <v>506</v>
      </c>
      <c r="D76" s="30">
        <v>5</v>
      </c>
      <c r="E76" s="224" t="s">
        <v>507</v>
      </c>
      <c r="F76" s="355"/>
      <c r="G76" s="177"/>
      <c r="H76" s="168"/>
      <c r="I76" s="168"/>
      <c r="J76" s="168"/>
      <c r="K76" s="168"/>
      <c r="L76" s="168"/>
      <c r="M76" s="168"/>
      <c r="N76" s="168"/>
      <c r="O76" s="84"/>
      <c r="P76" s="84"/>
      <c r="Q76" s="84"/>
      <c r="R76" s="84"/>
      <c r="S76" s="84"/>
      <c r="T76" s="84"/>
    </row>
    <row r="77" spans="1:20" ht="18.75">
      <c r="A77" s="169"/>
      <c r="B77" s="371" t="s">
        <v>1055</v>
      </c>
      <c r="C77" s="172" t="s">
        <v>1057</v>
      </c>
      <c r="D77" s="4">
        <v>1</v>
      </c>
      <c r="E77" s="224" t="s">
        <v>12</v>
      </c>
      <c r="F77" s="355" t="s">
        <v>1056</v>
      </c>
      <c r="G77" s="177"/>
      <c r="H77" s="168"/>
      <c r="I77" s="168"/>
      <c r="J77" s="168"/>
      <c r="K77" s="168"/>
      <c r="L77" s="168"/>
      <c r="M77" s="168"/>
      <c r="N77" s="168"/>
      <c r="O77" s="84"/>
      <c r="P77" s="84"/>
      <c r="Q77" s="84"/>
      <c r="R77" s="84"/>
      <c r="S77" s="84"/>
      <c r="T77" s="84"/>
    </row>
    <row r="78" spans="1:20" ht="18.75">
      <c r="A78" s="169"/>
      <c r="B78" s="354" t="s">
        <v>508</v>
      </c>
      <c r="C78" s="172" t="s">
        <v>509</v>
      </c>
      <c r="D78" s="223">
        <f>(IOUT*(0.35/(Fcr_min*10^3)+50*10^-6)/(Vo_drop-IOUT*RCO*0.001))*10^6*1</f>
        <v>1875</v>
      </c>
      <c r="E78" s="224" t="s">
        <v>54</v>
      </c>
      <c r="F78" s="755" t="s">
        <v>337</v>
      </c>
      <c r="G78" s="721"/>
      <c r="H78" s="168"/>
      <c r="I78" s="211"/>
      <c r="J78" s="168"/>
      <c r="K78" s="168"/>
      <c r="L78" s="168"/>
      <c r="M78" s="168"/>
      <c r="N78" s="168"/>
      <c r="O78" s="84"/>
      <c r="P78" s="84"/>
      <c r="Q78" s="84"/>
      <c r="R78" s="84"/>
      <c r="S78" s="84"/>
      <c r="T78" s="84"/>
    </row>
    <row r="79" spans="1:20" ht="16.149999999999999" customHeight="1">
      <c r="A79" s="169"/>
      <c r="B79" s="371" t="s">
        <v>976</v>
      </c>
      <c r="C79" s="172" t="s">
        <v>510</v>
      </c>
      <c r="D79" s="76">
        <v>2200</v>
      </c>
      <c r="E79" s="224" t="s">
        <v>54</v>
      </c>
      <c r="F79" s="732" t="s">
        <v>1054</v>
      </c>
      <c r="G79" s="747"/>
      <c r="H79" s="168"/>
      <c r="I79" s="168"/>
      <c r="J79" s="345"/>
      <c r="K79" s="168"/>
      <c r="L79" s="168"/>
      <c r="M79" s="168"/>
      <c r="N79" s="168"/>
      <c r="O79" s="84"/>
      <c r="P79" s="84"/>
      <c r="Q79" s="84"/>
      <c r="R79" s="84"/>
      <c r="S79" s="84"/>
      <c r="T79" s="84"/>
    </row>
    <row r="80" spans="1:20" ht="19.5" thickBot="1">
      <c r="A80" s="169"/>
      <c r="B80" s="394" t="s">
        <v>295</v>
      </c>
      <c r="C80" s="245" t="s">
        <v>511</v>
      </c>
      <c r="D80" s="395">
        <f>IF(COUT_act="",COUT_rec,COUT_act)</f>
        <v>2200</v>
      </c>
      <c r="E80" s="247" t="s">
        <v>54</v>
      </c>
      <c r="F80" s="396"/>
      <c r="G80" s="248"/>
      <c r="H80" s="168"/>
      <c r="I80" s="168"/>
      <c r="J80" s="168"/>
      <c r="K80" s="168"/>
      <c r="L80" s="168"/>
      <c r="M80" s="168"/>
      <c r="N80" s="168"/>
      <c r="O80" s="84"/>
      <c r="P80" s="84"/>
      <c r="Q80" s="84"/>
      <c r="R80" s="84"/>
      <c r="S80" s="84"/>
      <c r="T80" s="84"/>
    </row>
    <row r="81" spans="1:20" ht="15.75" thickBot="1">
      <c r="A81" s="169"/>
      <c r="B81" s="163"/>
      <c r="C81" s="163"/>
      <c r="D81" s="165"/>
      <c r="E81" s="163"/>
      <c r="F81" s="166"/>
      <c r="G81" s="167"/>
      <c r="H81" s="168"/>
      <c r="I81" s="168"/>
      <c r="J81" s="168"/>
      <c r="K81" s="168"/>
      <c r="L81" s="168"/>
      <c r="M81" s="168"/>
      <c r="N81" s="168"/>
      <c r="O81" s="84"/>
      <c r="P81" s="84"/>
      <c r="Q81" s="84"/>
      <c r="R81" s="84"/>
      <c r="S81" s="84"/>
      <c r="T81" s="84"/>
    </row>
    <row r="82" spans="1:20" ht="18" customHeight="1">
      <c r="A82" s="169"/>
      <c r="B82" s="742" t="s">
        <v>1059</v>
      </c>
      <c r="C82" s="743"/>
      <c r="D82" s="743"/>
      <c r="E82" s="743"/>
      <c r="F82" s="743"/>
      <c r="G82" s="744"/>
      <c r="H82" s="168"/>
      <c r="I82" s="168"/>
      <c r="J82" s="168"/>
      <c r="K82" s="168"/>
      <c r="L82" s="168"/>
      <c r="M82" s="168"/>
      <c r="N82" s="168"/>
      <c r="O82" s="84"/>
      <c r="P82" s="84"/>
      <c r="Q82" s="84"/>
      <c r="R82" s="84"/>
      <c r="S82" s="84"/>
      <c r="T82" s="84"/>
    </row>
    <row r="83" spans="1:20" ht="18.75" customHeight="1">
      <c r="A83" s="169"/>
      <c r="B83" s="392" t="s">
        <v>231</v>
      </c>
      <c r="C83" s="716" t="s">
        <v>1180</v>
      </c>
      <c r="D83" s="717"/>
      <c r="E83" s="728"/>
      <c r="F83" s="728"/>
      <c r="G83" s="729"/>
      <c r="H83" s="410"/>
      <c r="I83" s="168"/>
      <c r="J83" s="168"/>
      <c r="K83" s="168"/>
      <c r="L83" s="168"/>
      <c r="M83" s="168"/>
      <c r="N83" s="168"/>
      <c r="O83" s="84"/>
      <c r="P83" s="84"/>
      <c r="Q83" s="84"/>
      <c r="R83" s="84"/>
      <c r="S83" s="84"/>
      <c r="T83" s="84"/>
    </row>
    <row r="84" spans="1:20" ht="18.75">
      <c r="A84" s="169"/>
      <c r="B84" s="371" t="s">
        <v>289</v>
      </c>
      <c r="C84" s="172" t="s">
        <v>495</v>
      </c>
      <c r="D84" s="30">
        <v>90</v>
      </c>
      <c r="E84" s="224" t="s">
        <v>3</v>
      </c>
      <c r="F84" s="720"/>
      <c r="G84" s="721"/>
      <c r="H84" s="412"/>
      <c r="I84" s="168"/>
      <c r="J84" s="168"/>
      <c r="K84" s="168"/>
      <c r="L84" s="168"/>
      <c r="M84" s="168"/>
      <c r="N84" s="168"/>
      <c r="O84" s="84"/>
      <c r="P84" s="84"/>
      <c r="Q84" s="84"/>
      <c r="R84" s="84"/>
      <c r="S84" s="84"/>
      <c r="T84" s="84"/>
    </row>
    <row r="85" spans="1:20" ht="18.75" customHeight="1">
      <c r="A85" s="169"/>
      <c r="B85" s="371" t="s">
        <v>323</v>
      </c>
      <c r="C85" s="172" t="s">
        <v>496</v>
      </c>
      <c r="D85" s="223">
        <f>IF(Vin_type="AC",((VINPUT_max*SQRT(2)/NPS)+VOUT*OVP_tgt*0.01+ΔVSPIKE_SR)/(Kder_SR/100),((VINPUT_max/NPS)+VOUT*OVP_tgt*0.01+ΔVSPIKE_SR)/(Kder_SR/100))</f>
        <v>50.833333333333329</v>
      </c>
      <c r="E85" s="224" t="s">
        <v>6</v>
      </c>
      <c r="F85" s="724"/>
      <c r="G85" s="725"/>
      <c r="H85" s="345"/>
      <c r="I85" s="168"/>
      <c r="J85" s="211"/>
      <c r="K85" s="168"/>
      <c r="L85" s="168"/>
      <c r="M85" s="168"/>
      <c r="N85" s="168"/>
      <c r="O85" s="84"/>
      <c r="P85" s="84"/>
      <c r="Q85" s="84"/>
      <c r="R85" s="84"/>
      <c r="S85" s="84"/>
      <c r="T85" s="84"/>
    </row>
    <row r="86" spans="1:20" ht="19.899999999999999" customHeight="1">
      <c r="A86" s="169"/>
      <c r="B86" s="354" t="s">
        <v>290</v>
      </c>
      <c r="C86" s="172" t="s">
        <v>497</v>
      </c>
      <c r="D86" s="76">
        <v>200</v>
      </c>
      <c r="E86" s="173" t="s">
        <v>6</v>
      </c>
      <c r="F86" s="355"/>
      <c r="G86" s="177"/>
      <c r="H86" s="168"/>
      <c r="I86" s="168"/>
      <c r="J86" s="211"/>
      <c r="K86" s="168"/>
      <c r="L86" s="168"/>
      <c r="M86" s="168"/>
      <c r="N86" s="168"/>
      <c r="O86" s="84"/>
      <c r="P86" s="84"/>
      <c r="Q86" s="84"/>
      <c r="R86" s="84"/>
      <c r="S86" s="84"/>
      <c r="T86" s="84"/>
    </row>
    <row r="87" spans="1:20" ht="18.75" customHeight="1">
      <c r="A87" s="169"/>
      <c r="B87" s="371" t="s">
        <v>1120</v>
      </c>
      <c r="C87" s="172" t="s">
        <v>498</v>
      </c>
      <c r="D87" s="30">
        <v>1750</v>
      </c>
      <c r="E87" s="224" t="s">
        <v>13</v>
      </c>
      <c r="F87" s="355"/>
      <c r="G87" s="177"/>
      <c r="H87" s="168"/>
      <c r="I87" s="168"/>
      <c r="J87" s="168"/>
      <c r="K87" s="168"/>
      <c r="L87" s="168"/>
      <c r="M87" s="168"/>
      <c r="N87" s="168"/>
      <c r="O87" s="84"/>
      <c r="P87" s="84"/>
      <c r="Q87" s="84"/>
      <c r="R87" s="84"/>
      <c r="S87" s="84"/>
      <c r="T87" s="84"/>
    </row>
    <row r="88" spans="1:20" ht="18.75" customHeight="1">
      <c r="A88" s="169"/>
      <c r="B88" s="371" t="s">
        <v>1121</v>
      </c>
      <c r="C88" s="172" t="s">
        <v>499</v>
      </c>
      <c r="D88" s="30">
        <v>450</v>
      </c>
      <c r="E88" s="224" t="s">
        <v>13</v>
      </c>
      <c r="F88" s="355"/>
      <c r="G88" s="177"/>
      <c r="H88" s="168"/>
      <c r="I88" s="168"/>
      <c r="J88" s="168"/>
      <c r="K88" s="168"/>
      <c r="L88" s="168"/>
      <c r="M88" s="168"/>
      <c r="N88" s="168"/>
      <c r="O88" s="84"/>
      <c r="P88" s="84"/>
      <c r="Q88" s="84"/>
      <c r="R88" s="84"/>
      <c r="S88" s="84"/>
      <c r="T88" s="84"/>
    </row>
    <row r="89" spans="1:20" ht="18.75" customHeight="1">
      <c r="A89" s="169"/>
      <c r="B89" s="371" t="s">
        <v>382</v>
      </c>
      <c r="C89" s="172" t="s">
        <v>500</v>
      </c>
      <c r="D89" s="30">
        <v>25</v>
      </c>
      <c r="E89" s="224" t="s">
        <v>12</v>
      </c>
      <c r="F89" s="355"/>
      <c r="G89" s="177"/>
      <c r="H89" s="168"/>
      <c r="I89" s="168"/>
      <c r="J89" s="168"/>
      <c r="K89" s="168"/>
      <c r="L89" s="168"/>
      <c r="M89" s="168"/>
      <c r="N89" s="168"/>
      <c r="O89" s="84"/>
      <c r="P89" s="84"/>
      <c r="Q89" s="84"/>
      <c r="R89" s="84"/>
      <c r="S89" s="84"/>
      <c r="T89" s="84"/>
    </row>
    <row r="90" spans="1:20" ht="18.75">
      <c r="A90" s="169"/>
      <c r="B90" s="371" t="s">
        <v>291</v>
      </c>
      <c r="C90" s="172" t="s">
        <v>828</v>
      </c>
      <c r="D90" s="223">
        <f>IF(Vin_type="AC",(Coss_SR_bg*Vx_SR+Coss_SR_sm*(VOUT+VBulk_min_tgt/NPS-Vx_SR))/(VOUT+VBulk_min_tgt/NPS),(Coss_SR_bg*Vx_SR+Coss_SR_sm*(VOUT+VBulk_min_tgt/NPS-Vx_SR))/(VOUT+VBulk_min_tgt/NPS))</f>
        <v>4200</v>
      </c>
      <c r="E90" s="224" t="s">
        <v>13</v>
      </c>
      <c r="F90" s="355"/>
      <c r="G90" s="397"/>
      <c r="H90" s="345"/>
      <c r="I90" s="168"/>
      <c r="J90" s="211"/>
      <c r="K90" s="168"/>
      <c r="L90" s="168"/>
      <c r="M90" s="168"/>
      <c r="N90" s="168"/>
      <c r="O90" s="84"/>
      <c r="P90" s="84"/>
      <c r="Q90" s="84"/>
      <c r="R90" s="84"/>
      <c r="S90" s="84"/>
      <c r="T90" s="84"/>
    </row>
    <row r="91" spans="1:20" ht="18.75">
      <c r="A91" s="169"/>
      <c r="B91" s="354" t="s">
        <v>292</v>
      </c>
      <c r="C91" s="172" t="s">
        <v>829</v>
      </c>
      <c r="D91" s="76">
        <v>400</v>
      </c>
      <c r="E91" s="173" t="s">
        <v>13</v>
      </c>
      <c r="F91" s="724" t="s">
        <v>1058</v>
      </c>
      <c r="G91" s="725"/>
      <c r="H91" s="398"/>
      <c r="I91" s="168"/>
      <c r="J91" s="211"/>
      <c r="K91" s="168"/>
      <c r="L91" s="168"/>
      <c r="M91" s="168"/>
      <c r="N91" s="168"/>
      <c r="O91" s="84"/>
      <c r="P91" s="84"/>
      <c r="Q91" s="84"/>
      <c r="R91" s="84"/>
      <c r="S91" s="84"/>
      <c r="T91" s="84"/>
    </row>
    <row r="92" spans="1:20" ht="18.75">
      <c r="A92" s="169"/>
      <c r="B92" s="354" t="s">
        <v>293</v>
      </c>
      <c r="C92" s="172" t="s">
        <v>830</v>
      </c>
      <c r="D92" s="74">
        <v>0</v>
      </c>
      <c r="E92" s="173" t="s">
        <v>15</v>
      </c>
      <c r="F92" s="732" t="s">
        <v>971</v>
      </c>
      <c r="G92" s="733"/>
      <c r="H92" s="168"/>
      <c r="I92" s="168"/>
      <c r="J92" s="168"/>
      <c r="K92" s="168"/>
      <c r="L92" s="168"/>
      <c r="M92" s="168"/>
      <c r="N92" s="168"/>
      <c r="O92" s="84"/>
      <c r="P92" s="84"/>
      <c r="Q92" s="84"/>
      <c r="R92" s="84"/>
      <c r="S92" s="84"/>
      <c r="T92" s="84"/>
    </row>
    <row r="93" spans="1:20" ht="19.5" thickBot="1">
      <c r="A93" s="169"/>
      <c r="B93" s="364" t="s">
        <v>294</v>
      </c>
      <c r="C93" s="245" t="s">
        <v>831</v>
      </c>
      <c r="D93" s="1">
        <v>200</v>
      </c>
      <c r="E93" s="247" t="s">
        <v>106</v>
      </c>
      <c r="F93" s="730" t="s">
        <v>1131</v>
      </c>
      <c r="G93" s="731"/>
      <c r="H93" s="168"/>
      <c r="I93" s="168"/>
      <c r="J93" s="168"/>
      <c r="K93" s="168"/>
      <c r="L93" s="168"/>
      <c r="M93" s="168"/>
      <c r="N93" s="168"/>
      <c r="O93" s="84"/>
      <c r="P93" s="84"/>
      <c r="Q93" s="84"/>
      <c r="R93" s="84"/>
      <c r="S93" s="84"/>
      <c r="T93" s="84"/>
    </row>
    <row r="94" spans="1:20" ht="15.75" thickBot="1">
      <c r="A94" s="169"/>
      <c r="B94" s="163"/>
      <c r="C94" s="163"/>
      <c r="D94" s="165"/>
      <c r="E94" s="163"/>
      <c r="F94" s="166"/>
      <c r="G94" s="167"/>
      <c r="H94" s="168"/>
      <c r="I94" s="168"/>
      <c r="J94" s="168"/>
      <c r="K94" s="168"/>
      <c r="L94" s="168"/>
      <c r="M94" s="168"/>
      <c r="N94" s="168"/>
      <c r="O94" s="84"/>
      <c r="P94" s="84"/>
      <c r="Q94" s="84"/>
      <c r="R94" s="84"/>
      <c r="S94" s="84"/>
      <c r="T94" s="84"/>
    </row>
    <row r="95" spans="1:20" ht="18" customHeight="1">
      <c r="A95" s="169"/>
      <c r="B95" s="742" t="s">
        <v>17</v>
      </c>
      <c r="C95" s="743"/>
      <c r="D95" s="743"/>
      <c r="E95" s="743"/>
      <c r="F95" s="743"/>
      <c r="G95" s="744"/>
      <c r="H95" s="410"/>
      <c r="I95" s="168"/>
      <c r="J95" s="168"/>
      <c r="K95" s="168"/>
      <c r="L95" s="168"/>
      <c r="M95" s="168"/>
      <c r="N95" s="168"/>
      <c r="O95" s="84"/>
      <c r="P95" s="84"/>
      <c r="Q95" s="84"/>
      <c r="R95" s="84"/>
      <c r="S95" s="84"/>
      <c r="T95" s="84"/>
    </row>
    <row r="96" spans="1:20" ht="18" customHeight="1">
      <c r="A96" s="254"/>
      <c r="B96" s="399" t="s">
        <v>232</v>
      </c>
      <c r="C96" s="718" t="s">
        <v>730</v>
      </c>
      <c r="D96" s="719"/>
      <c r="E96" s="726"/>
      <c r="F96" s="726"/>
      <c r="G96" s="727"/>
      <c r="H96" s="412"/>
      <c r="I96" s="168"/>
      <c r="J96" s="168"/>
      <c r="K96" s="168"/>
      <c r="L96" s="168"/>
      <c r="M96" s="168"/>
      <c r="N96" s="168"/>
      <c r="O96" s="84"/>
      <c r="P96" s="84"/>
      <c r="Q96" s="84"/>
      <c r="R96" s="84"/>
      <c r="S96" s="84"/>
      <c r="T96" s="84"/>
    </row>
    <row r="97" spans="1:20" ht="18.75">
      <c r="A97" s="254"/>
      <c r="B97" s="400" t="s">
        <v>286</v>
      </c>
      <c r="C97" s="212" t="s">
        <v>832</v>
      </c>
      <c r="D97" s="31">
        <v>0.2</v>
      </c>
      <c r="E97" s="401" t="s">
        <v>15</v>
      </c>
      <c r="F97" s="751"/>
      <c r="G97" s="750"/>
      <c r="H97" s="168"/>
      <c r="I97" s="168"/>
      <c r="J97" s="168"/>
      <c r="K97" s="168"/>
      <c r="L97" s="168"/>
      <c r="M97" s="168"/>
      <c r="N97" s="168"/>
      <c r="O97" s="84"/>
      <c r="P97" s="84"/>
      <c r="Q97" s="84"/>
      <c r="R97" s="84"/>
      <c r="S97" s="84"/>
      <c r="T97" s="84"/>
    </row>
    <row r="98" spans="1:20" ht="18.75">
      <c r="A98" s="254"/>
      <c r="B98" s="400" t="s">
        <v>975</v>
      </c>
      <c r="C98" s="212" t="s">
        <v>833</v>
      </c>
      <c r="D98" s="25">
        <v>1</v>
      </c>
      <c r="E98" s="752" t="s">
        <v>18</v>
      </c>
      <c r="F98" s="752"/>
      <c r="G98" s="753"/>
      <c r="H98" s="168"/>
      <c r="I98" s="168"/>
      <c r="J98" s="168"/>
      <c r="K98" s="168"/>
      <c r="L98" s="168"/>
      <c r="M98" s="168"/>
      <c r="N98" s="168"/>
      <c r="O98" s="84"/>
      <c r="P98" s="84"/>
      <c r="Q98" s="84"/>
      <c r="R98" s="84"/>
      <c r="S98" s="84"/>
      <c r="T98" s="84"/>
    </row>
    <row r="99" spans="1:20" ht="18.75">
      <c r="A99" s="254"/>
      <c r="B99" s="400" t="s">
        <v>974</v>
      </c>
      <c r="C99" s="212" t="s">
        <v>835</v>
      </c>
      <c r="D99" s="25">
        <v>0.5</v>
      </c>
      <c r="E99" s="401" t="s">
        <v>6</v>
      </c>
      <c r="F99" s="745" t="s">
        <v>164</v>
      </c>
      <c r="G99" s="754"/>
      <c r="H99" s="168"/>
      <c r="I99" s="168"/>
      <c r="J99" s="168"/>
      <c r="K99" s="168"/>
      <c r="L99" s="168"/>
      <c r="M99" s="168"/>
      <c r="N99" s="168"/>
      <c r="O99" s="84"/>
      <c r="P99" s="84"/>
      <c r="Q99" s="84"/>
      <c r="R99" s="84"/>
      <c r="S99" s="84"/>
      <c r="T99" s="84"/>
    </row>
    <row r="100" spans="1:20" ht="18.75">
      <c r="A100" s="254"/>
      <c r="B100" s="400" t="s">
        <v>287</v>
      </c>
      <c r="C100" s="212" t="s">
        <v>834</v>
      </c>
      <c r="D100" s="32">
        <v>3</v>
      </c>
      <c r="E100" s="401" t="s">
        <v>8</v>
      </c>
      <c r="F100" s="746"/>
      <c r="G100" s="750"/>
      <c r="H100" s="631"/>
      <c r="I100" s="168"/>
      <c r="J100" s="168"/>
      <c r="K100" s="168"/>
      <c r="L100" s="168"/>
      <c r="M100" s="168"/>
      <c r="N100" s="168"/>
      <c r="O100" s="84"/>
      <c r="P100" s="84"/>
      <c r="Q100" s="84"/>
      <c r="R100" s="84"/>
      <c r="S100" s="84"/>
      <c r="T100" s="84"/>
    </row>
    <row r="101" spans="1:20" ht="18.75">
      <c r="A101" s="254"/>
      <c r="B101" s="369" t="s">
        <v>1127</v>
      </c>
      <c r="C101" s="180" t="s">
        <v>1128</v>
      </c>
      <c r="D101" s="80">
        <v>1.1000000000000001</v>
      </c>
      <c r="E101" s="173"/>
      <c r="F101" s="732" t="s">
        <v>1063</v>
      </c>
      <c r="G101" s="733"/>
      <c r="H101" s="630"/>
      <c r="I101" s="168"/>
      <c r="J101" s="168"/>
      <c r="K101" s="168"/>
      <c r="L101" s="168"/>
      <c r="M101" s="168"/>
      <c r="N101" s="168"/>
      <c r="O101" s="84"/>
      <c r="P101" s="84"/>
      <c r="Q101" s="84"/>
      <c r="R101" s="84"/>
      <c r="S101" s="84"/>
      <c r="T101" s="84"/>
    </row>
    <row r="102" spans="1:20" ht="18.75">
      <c r="A102" s="254"/>
      <c r="B102" s="369" t="s">
        <v>1129</v>
      </c>
      <c r="C102" s="180" t="s">
        <v>1130</v>
      </c>
      <c r="D102" s="80">
        <v>0.5</v>
      </c>
      <c r="E102" s="173"/>
      <c r="F102" s="732" t="s">
        <v>1063</v>
      </c>
      <c r="G102" s="733"/>
      <c r="H102" s="630"/>
      <c r="I102" s="168"/>
      <c r="J102" s="168"/>
      <c r="K102" s="168"/>
      <c r="L102" s="168"/>
      <c r="M102" s="168"/>
      <c r="N102" s="168"/>
      <c r="O102" s="84"/>
      <c r="P102" s="84"/>
      <c r="Q102" s="84"/>
      <c r="R102" s="84"/>
      <c r="S102" s="84"/>
      <c r="T102" s="84"/>
    </row>
    <row r="103" spans="1:20" ht="19.5" thickBot="1">
      <c r="A103" s="254"/>
      <c r="B103" s="402" t="s">
        <v>288</v>
      </c>
      <c r="C103" s="403" t="s">
        <v>836</v>
      </c>
      <c r="D103" s="26">
        <v>0.8</v>
      </c>
      <c r="E103" s="404"/>
      <c r="F103" s="722" t="s">
        <v>158</v>
      </c>
      <c r="G103" s="723"/>
      <c r="H103" s="168"/>
      <c r="I103" s="168"/>
      <c r="J103" s="168"/>
      <c r="K103" s="168"/>
      <c r="L103" s="168"/>
      <c r="M103" s="168"/>
      <c r="N103" s="168"/>
      <c r="O103" s="84"/>
      <c r="P103" s="84"/>
      <c r="Q103" s="84"/>
      <c r="R103" s="84"/>
      <c r="S103" s="84"/>
      <c r="T103" s="84"/>
    </row>
    <row r="104" spans="1:20" ht="15.75" thickBot="1">
      <c r="A104" s="169"/>
      <c r="B104" s="163"/>
      <c r="C104" s="163"/>
      <c r="D104" s="165"/>
      <c r="E104" s="163"/>
      <c r="F104" s="166"/>
      <c r="G104" s="167"/>
      <c r="H104" s="168"/>
      <c r="I104" s="168"/>
      <c r="J104" s="168"/>
      <c r="K104" s="168"/>
      <c r="L104" s="168"/>
      <c r="M104" s="168"/>
      <c r="N104" s="168"/>
      <c r="O104" s="84"/>
      <c r="P104" s="84"/>
      <c r="Q104" s="84"/>
      <c r="R104" s="84"/>
      <c r="S104" s="84"/>
      <c r="T104" s="84"/>
    </row>
    <row r="105" spans="1:20" ht="18" customHeight="1">
      <c r="A105" s="169"/>
      <c r="B105" s="742" t="s">
        <v>315</v>
      </c>
      <c r="C105" s="743"/>
      <c r="D105" s="743"/>
      <c r="E105" s="743"/>
      <c r="F105" s="743"/>
      <c r="G105" s="744"/>
      <c r="H105" s="168"/>
      <c r="I105" s="168"/>
      <c r="J105" s="168"/>
      <c r="K105" s="168"/>
      <c r="L105" s="168"/>
      <c r="M105" s="168"/>
      <c r="N105" s="168"/>
      <c r="O105" s="84"/>
      <c r="P105" s="84"/>
      <c r="Q105" s="84"/>
      <c r="R105" s="84"/>
      <c r="S105" s="84"/>
      <c r="T105" s="84"/>
    </row>
    <row r="106" spans="1:20" ht="18" customHeight="1">
      <c r="A106" s="169"/>
      <c r="B106" s="399" t="s">
        <v>232</v>
      </c>
      <c r="C106" s="716" t="s">
        <v>157</v>
      </c>
      <c r="D106" s="717"/>
      <c r="E106" s="728"/>
      <c r="F106" s="728"/>
      <c r="G106" s="729"/>
      <c r="H106" s="168"/>
      <c r="I106" s="168"/>
      <c r="J106" s="168"/>
      <c r="K106" s="168"/>
      <c r="L106" s="168"/>
      <c r="M106" s="168"/>
      <c r="N106" s="168"/>
      <c r="O106" s="84"/>
      <c r="P106" s="84"/>
      <c r="Q106" s="84"/>
      <c r="R106" s="84"/>
      <c r="S106" s="84"/>
      <c r="T106" s="84"/>
    </row>
    <row r="107" spans="1:20" ht="18.75">
      <c r="A107" s="169"/>
      <c r="B107" s="354" t="s">
        <v>284</v>
      </c>
      <c r="C107" s="172" t="s">
        <v>837</v>
      </c>
      <c r="D107" s="76">
        <v>35</v>
      </c>
      <c r="E107" s="186" t="s">
        <v>165</v>
      </c>
      <c r="F107" s="736"/>
      <c r="G107" s="737"/>
      <c r="H107" s="168"/>
      <c r="I107" s="168"/>
      <c r="J107" s="168"/>
      <c r="K107" s="168"/>
      <c r="L107" s="168"/>
      <c r="M107" s="168"/>
      <c r="N107" s="168"/>
      <c r="O107" s="84"/>
      <c r="P107" s="84"/>
      <c r="Q107" s="84"/>
      <c r="R107" s="84"/>
      <c r="S107" s="84"/>
      <c r="T107" s="84"/>
    </row>
    <row r="108" spans="1:20" ht="18.75">
      <c r="A108" s="169"/>
      <c r="B108" s="354" t="s">
        <v>285</v>
      </c>
      <c r="C108" s="172" t="s">
        <v>838</v>
      </c>
      <c r="D108" s="4">
        <v>2.5</v>
      </c>
      <c r="E108" s="734" t="s">
        <v>15</v>
      </c>
      <c r="F108" s="734"/>
      <c r="G108" s="735"/>
      <c r="H108" s="168"/>
      <c r="I108" s="168"/>
      <c r="J108" s="168"/>
      <c r="K108" s="168"/>
      <c r="L108" s="168"/>
      <c r="M108" s="168"/>
      <c r="N108" s="168"/>
      <c r="O108" s="84"/>
      <c r="P108" s="84"/>
      <c r="Q108" s="84"/>
      <c r="R108" s="84"/>
      <c r="S108" s="84"/>
      <c r="T108" s="84"/>
    </row>
    <row r="109" spans="1:20" ht="18.75">
      <c r="A109" s="169"/>
      <c r="B109" s="400" t="s">
        <v>972</v>
      </c>
      <c r="C109" s="212" t="s">
        <v>839</v>
      </c>
      <c r="D109" s="76">
        <v>30</v>
      </c>
      <c r="E109" s="734" t="s">
        <v>159</v>
      </c>
      <c r="F109" s="734"/>
      <c r="G109" s="735"/>
      <c r="H109" s="168"/>
      <c r="I109" s="168"/>
      <c r="J109" s="168"/>
      <c r="K109" s="168"/>
      <c r="L109" s="168"/>
      <c r="M109" s="168"/>
      <c r="N109" s="168"/>
      <c r="O109" s="84"/>
      <c r="P109" s="84"/>
      <c r="Q109" s="84"/>
      <c r="R109" s="84"/>
      <c r="S109" s="84"/>
      <c r="T109" s="84"/>
    </row>
    <row r="110" spans="1:20" ht="19.5" thickBot="1">
      <c r="A110" s="169"/>
      <c r="B110" s="364" t="s">
        <v>973</v>
      </c>
      <c r="C110" s="245" t="s">
        <v>274</v>
      </c>
      <c r="D110" s="1">
        <v>150</v>
      </c>
      <c r="E110" s="738" t="s">
        <v>64</v>
      </c>
      <c r="F110" s="738"/>
      <c r="G110" s="739"/>
      <c r="H110" s="168"/>
      <c r="I110" s="168"/>
      <c r="J110" s="168"/>
      <c r="K110" s="168"/>
      <c r="L110" s="168"/>
      <c r="M110" s="168"/>
      <c r="N110" s="168"/>
      <c r="O110" s="84"/>
      <c r="P110" s="84"/>
      <c r="Q110" s="84"/>
      <c r="R110" s="84"/>
      <c r="S110" s="84"/>
      <c r="T110" s="84"/>
    </row>
    <row r="111" spans="1:20" ht="15.75" thickBot="1">
      <c r="A111" s="169"/>
      <c r="B111" s="163"/>
      <c r="C111" s="163"/>
      <c r="D111" s="165"/>
      <c r="E111" s="163"/>
      <c r="F111" s="166"/>
      <c r="G111" s="167"/>
      <c r="H111" s="168"/>
      <c r="I111" s="168"/>
      <c r="J111" s="168"/>
      <c r="K111" s="168"/>
      <c r="L111" s="168"/>
      <c r="M111" s="168"/>
      <c r="N111" s="168"/>
      <c r="O111" s="84"/>
      <c r="P111" s="84"/>
      <c r="Q111" s="84"/>
      <c r="R111" s="84"/>
      <c r="S111" s="84"/>
      <c r="T111" s="84"/>
    </row>
    <row r="112" spans="1:20" ht="17.25" customHeight="1">
      <c r="A112" s="169"/>
      <c r="B112" s="742" t="s">
        <v>1050</v>
      </c>
      <c r="C112" s="743"/>
      <c r="D112" s="743"/>
      <c r="E112" s="743"/>
      <c r="F112" s="743"/>
      <c r="G112" s="744"/>
      <c r="H112" s="168"/>
      <c r="I112" s="168"/>
      <c r="J112" s="168"/>
      <c r="K112" s="168"/>
      <c r="L112" s="168"/>
      <c r="M112" s="168"/>
      <c r="N112" s="168"/>
      <c r="O112" s="84"/>
      <c r="P112" s="84"/>
      <c r="Q112" s="84"/>
      <c r="R112" s="84"/>
      <c r="S112" s="84"/>
      <c r="T112" s="84"/>
    </row>
    <row r="113" spans="1:24" ht="18" customHeight="1">
      <c r="A113" s="169"/>
      <c r="B113" s="399" t="s">
        <v>232</v>
      </c>
      <c r="C113" s="716" t="s">
        <v>162</v>
      </c>
      <c r="D113" s="717"/>
      <c r="E113" s="728"/>
      <c r="F113" s="728"/>
      <c r="G113" s="729"/>
      <c r="H113" s="168"/>
      <c r="I113" s="168"/>
      <c r="J113" s="168"/>
      <c r="K113" s="168"/>
      <c r="L113" s="168"/>
      <c r="M113" s="168"/>
      <c r="N113" s="168"/>
      <c r="O113" s="84"/>
      <c r="P113" s="84"/>
      <c r="Q113" s="84"/>
      <c r="R113" s="84"/>
      <c r="S113" s="84"/>
      <c r="T113" s="84"/>
    </row>
    <row r="114" spans="1:24" ht="18.75">
      <c r="A114" s="169"/>
      <c r="B114" s="354" t="s">
        <v>280</v>
      </c>
      <c r="C114" s="172" t="s">
        <v>840</v>
      </c>
      <c r="D114" s="76">
        <v>1.7</v>
      </c>
      <c r="E114" s="173" t="s">
        <v>13</v>
      </c>
      <c r="F114" s="732" t="s">
        <v>383</v>
      </c>
      <c r="G114" s="747"/>
      <c r="H114" s="398"/>
      <c r="I114" s="168"/>
      <c r="J114" s="168"/>
      <c r="K114" s="168"/>
      <c r="L114" s="168"/>
      <c r="M114" s="168"/>
      <c r="N114" s="168"/>
      <c r="O114" s="84"/>
      <c r="P114" s="84"/>
      <c r="Q114" s="84"/>
      <c r="R114" s="84"/>
      <c r="S114" s="84"/>
      <c r="T114" s="84"/>
      <c r="X114" s="560"/>
    </row>
    <row r="115" spans="1:24" ht="18.75">
      <c r="A115" s="169"/>
      <c r="B115" s="354" t="s">
        <v>384</v>
      </c>
      <c r="C115" s="172" t="s">
        <v>841</v>
      </c>
      <c r="D115" s="76">
        <v>20</v>
      </c>
      <c r="E115" s="173" t="s">
        <v>15</v>
      </c>
      <c r="F115" s="720"/>
      <c r="G115" s="721"/>
      <c r="H115" s="168"/>
      <c r="I115" s="168"/>
      <c r="J115" s="168"/>
      <c r="K115" s="168"/>
      <c r="L115" s="168"/>
      <c r="M115" s="168"/>
      <c r="N115" s="168"/>
      <c r="O115" s="84"/>
      <c r="P115" s="84"/>
      <c r="Q115" s="84"/>
      <c r="R115" s="84"/>
      <c r="S115" s="84"/>
      <c r="T115" s="84"/>
    </row>
    <row r="116" spans="1:24" ht="18.75">
      <c r="A116" s="169"/>
      <c r="B116" s="354" t="s">
        <v>281</v>
      </c>
      <c r="C116" s="172" t="s">
        <v>842</v>
      </c>
      <c r="D116" s="76">
        <v>4</v>
      </c>
      <c r="E116" s="173" t="s">
        <v>19</v>
      </c>
      <c r="F116" s="745"/>
      <c r="G116" s="737"/>
      <c r="H116" s="168"/>
      <c r="I116" s="168"/>
      <c r="J116" s="168"/>
      <c r="K116" s="168"/>
      <c r="L116" s="168"/>
      <c r="M116" s="168"/>
      <c r="N116" s="168"/>
      <c r="O116" s="84"/>
      <c r="P116" s="84"/>
      <c r="Q116" s="84"/>
      <c r="R116" s="84"/>
      <c r="S116" s="84"/>
      <c r="T116" s="84"/>
    </row>
    <row r="117" spans="1:24" ht="18.75">
      <c r="A117" s="169"/>
      <c r="B117" s="354" t="s">
        <v>282</v>
      </c>
      <c r="C117" s="172" t="s">
        <v>843</v>
      </c>
      <c r="D117" s="76">
        <v>28</v>
      </c>
      <c r="E117" s="173" t="s">
        <v>13</v>
      </c>
      <c r="F117" s="746"/>
      <c r="G117" s="737"/>
      <c r="H117" s="168"/>
      <c r="I117" s="168"/>
      <c r="J117" s="168"/>
      <c r="K117" s="168"/>
      <c r="L117" s="168"/>
      <c r="M117" s="168"/>
      <c r="N117" s="168"/>
      <c r="O117" s="84"/>
      <c r="P117" s="84"/>
      <c r="Q117" s="84"/>
      <c r="R117" s="84"/>
      <c r="S117" s="84"/>
      <c r="T117" s="84"/>
    </row>
    <row r="118" spans="1:24" ht="19.5" thickBot="1">
      <c r="A118" s="169"/>
      <c r="B118" s="364" t="s">
        <v>283</v>
      </c>
      <c r="C118" s="245" t="s">
        <v>844</v>
      </c>
      <c r="D118" s="1">
        <v>2</v>
      </c>
      <c r="E118" s="247" t="s">
        <v>15</v>
      </c>
      <c r="F118" s="740"/>
      <c r="G118" s="741"/>
      <c r="H118" s="168"/>
      <c r="I118" s="168"/>
      <c r="J118" s="168"/>
      <c r="K118" s="168"/>
      <c r="L118" s="168"/>
      <c r="M118" s="168"/>
      <c r="N118" s="168"/>
      <c r="O118" s="84"/>
      <c r="P118" s="84"/>
      <c r="Q118" s="84"/>
      <c r="R118" s="84"/>
      <c r="S118" s="84"/>
      <c r="T118" s="84"/>
    </row>
    <row r="119" spans="1:24" ht="15.75" thickBot="1">
      <c r="A119" s="169"/>
      <c r="B119" s="163"/>
      <c r="C119" s="163"/>
      <c r="D119" s="165"/>
      <c r="E119" s="163"/>
      <c r="F119" s="166"/>
      <c r="G119" s="167"/>
      <c r="H119" s="168"/>
      <c r="I119" s="168"/>
      <c r="J119" s="168"/>
      <c r="K119" s="168"/>
      <c r="L119" s="168"/>
      <c r="M119" s="168"/>
      <c r="N119" s="168"/>
      <c r="O119" s="84"/>
      <c r="P119" s="84"/>
      <c r="Q119" s="84"/>
      <c r="R119" s="84"/>
      <c r="S119" s="84"/>
      <c r="T119" s="84"/>
    </row>
    <row r="120" spans="1:24" ht="18" customHeight="1">
      <c r="A120" s="169"/>
      <c r="B120" s="742" t="s">
        <v>969</v>
      </c>
      <c r="C120" s="743"/>
      <c r="D120" s="743"/>
      <c r="E120" s="743"/>
      <c r="F120" s="743"/>
      <c r="G120" s="744"/>
      <c r="H120" s="168"/>
      <c r="I120" s="168"/>
      <c r="J120" s="168"/>
      <c r="K120" s="168"/>
      <c r="L120" s="168"/>
      <c r="M120" s="168"/>
      <c r="N120" s="168"/>
      <c r="O120" s="84"/>
      <c r="P120" s="84"/>
      <c r="Q120" s="84"/>
      <c r="R120" s="84"/>
      <c r="S120" s="84"/>
      <c r="T120" s="84"/>
    </row>
    <row r="121" spans="1:24" ht="18" customHeight="1">
      <c r="A121" s="169"/>
      <c r="B121" s="399" t="s">
        <v>232</v>
      </c>
      <c r="C121" s="716" t="s">
        <v>163</v>
      </c>
      <c r="D121" s="717"/>
      <c r="E121" s="728"/>
      <c r="F121" s="728"/>
      <c r="G121" s="729"/>
      <c r="H121" s="168"/>
      <c r="I121" s="168"/>
      <c r="J121" s="168"/>
      <c r="K121" s="168"/>
      <c r="L121" s="168"/>
      <c r="M121" s="168"/>
      <c r="N121" s="168"/>
      <c r="O121" s="84"/>
      <c r="P121" s="84"/>
      <c r="Q121" s="84"/>
      <c r="R121" s="84"/>
      <c r="S121" s="84"/>
      <c r="T121" s="84"/>
    </row>
    <row r="122" spans="1:24" ht="18.75">
      <c r="A122" s="169"/>
      <c r="B122" s="354" t="s">
        <v>279</v>
      </c>
      <c r="C122" s="172" t="s">
        <v>845</v>
      </c>
      <c r="D122" s="76">
        <v>4.68</v>
      </c>
      <c r="E122" s="173" t="s">
        <v>13</v>
      </c>
      <c r="F122" s="810"/>
      <c r="G122" s="737"/>
      <c r="H122" s="168"/>
      <c r="I122" s="564"/>
      <c r="J122" s="168"/>
      <c r="K122" s="168"/>
      <c r="L122" s="168"/>
      <c r="M122" s="168"/>
      <c r="N122" s="168"/>
      <c r="O122" s="84"/>
      <c r="P122" s="84"/>
      <c r="Q122" s="84"/>
      <c r="R122" s="84"/>
      <c r="S122" s="84"/>
      <c r="T122" s="84"/>
    </row>
    <row r="123" spans="1:24" ht="18.75">
      <c r="A123" s="169"/>
      <c r="B123" s="354" t="s">
        <v>278</v>
      </c>
      <c r="C123" s="172" t="s">
        <v>846</v>
      </c>
      <c r="D123" s="76">
        <v>2</v>
      </c>
      <c r="E123" s="173" t="s">
        <v>13</v>
      </c>
      <c r="F123" s="745" t="s">
        <v>275</v>
      </c>
      <c r="G123" s="809"/>
      <c r="H123" s="168"/>
      <c r="I123" s="168"/>
      <c r="J123" s="168"/>
      <c r="K123" s="168"/>
      <c r="L123" s="168"/>
      <c r="M123" s="168"/>
      <c r="N123" s="168"/>
      <c r="O123" s="84"/>
      <c r="P123" s="84"/>
      <c r="Q123" s="84"/>
      <c r="R123" s="84"/>
      <c r="S123" s="84"/>
      <c r="T123" s="84"/>
    </row>
    <row r="124" spans="1:24" ht="18.75">
      <c r="A124" s="169"/>
      <c r="B124" s="354" t="s">
        <v>277</v>
      </c>
      <c r="C124" s="172" t="s">
        <v>847</v>
      </c>
      <c r="D124" s="76">
        <v>1.25</v>
      </c>
      <c r="E124" s="173" t="s">
        <v>15</v>
      </c>
      <c r="F124" s="746"/>
      <c r="G124" s="737"/>
      <c r="H124" s="168"/>
      <c r="I124" s="168"/>
      <c r="J124" s="168"/>
      <c r="K124" s="168"/>
      <c r="L124" s="168"/>
      <c r="M124" s="168"/>
      <c r="N124" s="168"/>
      <c r="O124" s="84"/>
      <c r="P124" s="84"/>
      <c r="Q124" s="84"/>
      <c r="R124" s="84"/>
      <c r="S124" s="84"/>
      <c r="T124" s="84"/>
    </row>
    <row r="125" spans="1:24" ht="19.5" customHeight="1" thickBot="1">
      <c r="A125" s="565"/>
      <c r="B125" s="364" t="s">
        <v>276</v>
      </c>
      <c r="C125" s="245" t="s">
        <v>848</v>
      </c>
      <c r="D125" s="1">
        <v>1.25</v>
      </c>
      <c r="E125" s="247" t="s">
        <v>16</v>
      </c>
      <c r="F125" s="740"/>
      <c r="G125" s="741"/>
      <c r="H125" s="168"/>
      <c r="I125" s="168"/>
      <c r="J125" s="168"/>
      <c r="K125" s="168"/>
      <c r="L125" s="168"/>
      <c r="M125" s="168"/>
      <c r="N125" s="168"/>
      <c r="O125" s="84"/>
      <c r="P125" s="84"/>
      <c r="Q125" s="84"/>
      <c r="R125" s="84"/>
      <c r="S125" s="84"/>
      <c r="T125" s="84"/>
    </row>
    <row r="126" spans="1:24" ht="15.75" thickBot="1">
      <c r="A126" s="565"/>
      <c r="B126" s="565"/>
      <c r="C126" s="565"/>
      <c r="D126" s="565"/>
      <c r="E126" s="565"/>
      <c r="F126" s="565"/>
      <c r="G126" s="565"/>
      <c r="H126" s="564"/>
      <c r="I126" s="564"/>
      <c r="J126" s="564"/>
      <c r="K126" s="564"/>
      <c r="L126" s="564"/>
      <c r="M126" s="564"/>
      <c r="N126" s="564"/>
      <c r="O126" s="84"/>
      <c r="P126" s="84"/>
      <c r="Q126" s="84"/>
      <c r="R126" s="84"/>
      <c r="S126" s="84"/>
      <c r="T126" s="84"/>
    </row>
    <row r="127" spans="1:24">
      <c r="A127" s="565"/>
      <c r="B127" s="742" t="s">
        <v>1103</v>
      </c>
      <c r="C127" s="743"/>
      <c r="D127" s="743"/>
      <c r="E127" s="743"/>
      <c r="F127" s="743"/>
      <c r="G127" s="744"/>
      <c r="H127" s="630"/>
      <c r="I127" s="564"/>
      <c r="J127" s="564"/>
      <c r="K127" s="564"/>
      <c r="L127" s="564"/>
      <c r="M127" s="564"/>
      <c r="N127" s="564"/>
      <c r="O127" s="84"/>
      <c r="P127" s="84"/>
      <c r="Q127" s="84"/>
      <c r="R127" s="84"/>
      <c r="S127" s="84"/>
      <c r="T127" s="84"/>
    </row>
    <row r="128" spans="1:24" s="560" customFormat="1" ht="18.75">
      <c r="A128" s="565"/>
      <c r="B128" s="371" t="s">
        <v>934</v>
      </c>
      <c r="C128" s="172" t="s">
        <v>959</v>
      </c>
      <c r="D128" s="76">
        <v>85</v>
      </c>
      <c r="E128" s="224" t="s">
        <v>935</v>
      </c>
      <c r="F128" s="724" t="s">
        <v>1102</v>
      </c>
      <c r="G128" s="725"/>
      <c r="H128" s="564"/>
      <c r="I128" s="564"/>
      <c r="J128" s="564"/>
      <c r="K128" s="564"/>
      <c r="L128" s="564"/>
      <c r="M128" s="564"/>
      <c r="N128" s="564"/>
      <c r="O128" s="561"/>
      <c r="P128" s="561"/>
      <c r="Q128" s="561"/>
      <c r="R128" s="561"/>
      <c r="S128" s="561"/>
      <c r="T128" s="561"/>
    </row>
    <row r="129" spans="1:14" ht="14.45" customHeight="1">
      <c r="A129" s="565"/>
      <c r="B129" s="393" t="s">
        <v>968</v>
      </c>
      <c r="C129" s="716" t="s">
        <v>936</v>
      </c>
      <c r="D129" s="717"/>
      <c r="E129" s="372"/>
      <c r="F129" s="724"/>
      <c r="G129" s="725"/>
      <c r="H129" s="563"/>
      <c r="I129" s="563"/>
      <c r="J129" s="563"/>
      <c r="K129" s="563"/>
      <c r="L129" s="563"/>
      <c r="M129" s="563"/>
      <c r="N129" s="563"/>
    </row>
    <row r="130" spans="1:14" ht="18.75">
      <c r="A130" s="565"/>
      <c r="B130" s="354" t="s">
        <v>960</v>
      </c>
      <c r="C130" s="172" t="s">
        <v>961</v>
      </c>
      <c r="D130" s="76">
        <v>100</v>
      </c>
      <c r="E130" s="173" t="s">
        <v>167</v>
      </c>
      <c r="F130" s="732" t="s">
        <v>946</v>
      </c>
      <c r="G130" s="747"/>
      <c r="H130" s="563"/>
      <c r="I130" s="563"/>
      <c r="J130" s="563"/>
      <c r="K130" s="563"/>
      <c r="L130" s="563"/>
      <c r="M130" s="563"/>
      <c r="N130" s="563"/>
    </row>
    <row r="131" spans="1:14" ht="16.149999999999999" customHeight="1">
      <c r="A131" s="565"/>
      <c r="B131" s="354" t="s">
        <v>932</v>
      </c>
      <c r="C131" s="172" t="s">
        <v>962</v>
      </c>
      <c r="D131" s="76">
        <v>1</v>
      </c>
      <c r="E131" s="173" t="s">
        <v>371</v>
      </c>
      <c r="F131" s="732" t="s">
        <v>946</v>
      </c>
      <c r="G131" s="747"/>
      <c r="H131" s="563"/>
      <c r="I131" s="563"/>
      <c r="J131" s="563"/>
      <c r="K131" s="563"/>
      <c r="L131" s="563"/>
      <c r="M131" s="563"/>
      <c r="N131" s="563"/>
    </row>
    <row r="132" spans="1:14" s="560" customFormat="1" ht="16.149999999999999" customHeight="1">
      <c r="A132" s="565"/>
      <c r="B132" s="354" t="s">
        <v>963</v>
      </c>
      <c r="C132" s="172" t="s">
        <v>964</v>
      </c>
      <c r="D132" s="76">
        <v>3974</v>
      </c>
      <c r="E132" s="173"/>
      <c r="F132" s="732" t="s">
        <v>946</v>
      </c>
      <c r="G132" s="747"/>
      <c r="H132" s="563"/>
      <c r="I132" s="563"/>
      <c r="J132" s="563"/>
      <c r="K132" s="563"/>
      <c r="L132" s="563"/>
      <c r="M132" s="563"/>
      <c r="N132" s="563"/>
    </row>
    <row r="133" spans="1:14" s="560" customFormat="1" ht="16.149999999999999" customHeight="1">
      <c r="A133" s="565"/>
      <c r="B133" s="354" t="s">
        <v>933</v>
      </c>
      <c r="C133" s="172" t="s">
        <v>965</v>
      </c>
      <c r="D133" s="76">
        <v>3</v>
      </c>
      <c r="E133" s="173" t="s">
        <v>371</v>
      </c>
      <c r="F133" s="732" t="s">
        <v>946</v>
      </c>
      <c r="G133" s="747"/>
      <c r="H133" s="563" t="s">
        <v>947</v>
      </c>
      <c r="I133" s="563"/>
      <c r="J133" s="563"/>
      <c r="K133" s="563"/>
      <c r="L133" s="563"/>
      <c r="M133" s="563"/>
      <c r="N133" s="563"/>
    </row>
    <row r="134" spans="1:14" s="560" customFormat="1" ht="30" customHeight="1">
      <c r="A134" s="565"/>
      <c r="B134" s="354" t="s">
        <v>939</v>
      </c>
      <c r="C134" s="172" t="s">
        <v>966</v>
      </c>
      <c r="D134" s="528">
        <f>1/((LN(RNTCTH/_R25)/B25_85)+(1/298.15)) - 273.15</f>
        <v>87.557548591462194</v>
      </c>
      <c r="E134" s="224" t="s">
        <v>935</v>
      </c>
      <c r="F134" s="724" t="s">
        <v>970</v>
      </c>
      <c r="G134" s="725"/>
      <c r="H134" s="563"/>
      <c r="I134" s="563"/>
      <c r="J134" s="563"/>
      <c r="K134" s="563"/>
      <c r="L134" s="563"/>
      <c r="M134" s="563"/>
      <c r="N134" s="563"/>
    </row>
    <row r="135" spans="1:14" ht="19.149999999999999" customHeight="1" thickBot="1">
      <c r="A135" s="565"/>
      <c r="B135" s="364" t="s">
        <v>937</v>
      </c>
      <c r="C135" s="245" t="s">
        <v>967</v>
      </c>
      <c r="D135" s="579">
        <f>1/((LN(RNTCR/_R25)/B25_85)+(1/298.15)) - 273.15</f>
        <v>61.948903137959348</v>
      </c>
      <c r="E135" s="256" t="s">
        <v>935</v>
      </c>
      <c r="F135" s="756" t="s">
        <v>938</v>
      </c>
      <c r="G135" s="808"/>
      <c r="H135" s="563"/>
      <c r="I135" s="563"/>
      <c r="J135" s="563"/>
      <c r="K135" s="563"/>
      <c r="L135" s="563"/>
      <c r="M135" s="563"/>
      <c r="N135" s="563"/>
    </row>
  </sheetData>
  <sheetProtection algorithmName="SHA-512" hashValue="OUFPIUHirLZWF2QVunDgrdLcMa8wQ8mP1jv85IKNjubEqXYQWBs6DCcwZPBGHH4gpcwjALEZ5OeL5+vllOqz9Q==" saltValue="fgaNI0ts9JdRwqDmqNPCMA==" spinCount="100000" sheet="1" selectLockedCells="1"/>
  <mergeCells count="94">
    <mergeCell ref="F135:G135"/>
    <mergeCell ref="F132:G132"/>
    <mergeCell ref="F133:G133"/>
    <mergeCell ref="F134:G134"/>
    <mergeCell ref="B127:G127"/>
    <mergeCell ref="C129:D129"/>
    <mergeCell ref="F130:G130"/>
    <mergeCell ref="F131:G131"/>
    <mergeCell ref="F128:G128"/>
    <mergeCell ref="F129:G129"/>
    <mergeCell ref="F125:G125"/>
    <mergeCell ref="F123:G123"/>
    <mergeCell ref="B120:G120"/>
    <mergeCell ref="F122:G122"/>
    <mergeCell ref="F124:G124"/>
    <mergeCell ref="C121:D121"/>
    <mergeCell ref="E121:G121"/>
    <mergeCell ref="B62:G62"/>
    <mergeCell ref="C46:D46"/>
    <mergeCell ref="B82:G82"/>
    <mergeCell ref="F68:G68"/>
    <mergeCell ref="B70:G70"/>
    <mergeCell ref="C54:D54"/>
    <mergeCell ref="F54:G54"/>
    <mergeCell ref="B1:G1"/>
    <mergeCell ref="B3:G3"/>
    <mergeCell ref="B4:G7"/>
    <mergeCell ref="B8:G8"/>
    <mergeCell ref="B9:G9"/>
    <mergeCell ref="C2:D2"/>
    <mergeCell ref="F43:G43"/>
    <mergeCell ref="F46:G46"/>
    <mergeCell ref="E63:G63"/>
    <mergeCell ref="C63:D63"/>
    <mergeCell ref="B10:G10"/>
    <mergeCell ref="B11:G11"/>
    <mergeCell ref="B12:G13"/>
    <mergeCell ref="F20:G20"/>
    <mergeCell ref="B27:G27"/>
    <mergeCell ref="F24:G24"/>
    <mergeCell ref="F18:G18"/>
    <mergeCell ref="F21:G21"/>
    <mergeCell ref="F16:G16"/>
    <mergeCell ref="F22:G22"/>
    <mergeCell ref="B15:G15"/>
    <mergeCell ref="F25:G25"/>
    <mergeCell ref="F37:G37"/>
    <mergeCell ref="F34:G34"/>
    <mergeCell ref="F42:G42"/>
    <mergeCell ref="F35:G35"/>
    <mergeCell ref="E33:G33"/>
    <mergeCell ref="B39:G39"/>
    <mergeCell ref="F41:G41"/>
    <mergeCell ref="F44:G44"/>
    <mergeCell ref="E29:G29"/>
    <mergeCell ref="F32:G32"/>
    <mergeCell ref="E28:G28"/>
    <mergeCell ref="B105:G105"/>
    <mergeCell ref="B95:G95"/>
    <mergeCell ref="F100:G100"/>
    <mergeCell ref="F97:G97"/>
    <mergeCell ref="E98:G98"/>
    <mergeCell ref="F99:G99"/>
    <mergeCell ref="F101:G101"/>
    <mergeCell ref="F71:G71"/>
    <mergeCell ref="F78:G78"/>
    <mergeCell ref="F79:G79"/>
    <mergeCell ref="E31:G31"/>
    <mergeCell ref="F40:G40"/>
    <mergeCell ref="C113:D113"/>
    <mergeCell ref="E113:G113"/>
    <mergeCell ref="F118:G118"/>
    <mergeCell ref="B112:G112"/>
    <mergeCell ref="F116:G116"/>
    <mergeCell ref="F117:G117"/>
    <mergeCell ref="F114:G114"/>
    <mergeCell ref="E109:G109"/>
    <mergeCell ref="F107:G107"/>
    <mergeCell ref="E110:G110"/>
    <mergeCell ref="E108:G108"/>
    <mergeCell ref="F115:G115"/>
    <mergeCell ref="C106:D106"/>
    <mergeCell ref="C96:D96"/>
    <mergeCell ref="C83:D83"/>
    <mergeCell ref="F84:G84"/>
    <mergeCell ref="F103:G103"/>
    <mergeCell ref="F91:G91"/>
    <mergeCell ref="E96:G96"/>
    <mergeCell ref="E83:G83"/>
    <mergeCell ref="E106:G106"/>
    <mergeCell ref="F85:G85"/>
    <mergeCell ref="F93:G93"/>
    <mergeCell ref="F92:G92"/>
    <mergeCell ref="F102:G102"/>
  </mergeCells>
  <phoneticPr fontId="32" type="noConversion"/>
  <conditionalFormatting sqref="F34:G34">
    <cfRule type="containsText" dxfId="7" priority="1" operator="containsText" text="seems">
      <formula>NOT(ISERROR(SEARCH("seems",F34)))</formula>
    </cfRule>
  </conditionalFormatting>
  <pageMargins left="0.7" right="0.7" top="0.75" bottom="0.75" header="0.3" footer="0.3"/>
  <pageSetup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Hidden!$C$77:$C$78</xm:f>
          </x14:formula1>
          <xm:sqref>D16</xm:sqref>
        </x14:dataValidation>
        <x14:dataValidation type="list" allowBlank="1" showInputMessage="1" showErrorMessage="1" xr:uid="{00000000-0002-0000-0000-000001000000}">
          <x14:formula1>
            <xm:f>Hidden!$D$77:$D$78</xm:f>
          </x14:formula1>
          <xm:sqref>D43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F318"/>
  <sheetViews>
    <sheetView tabSelected="1" topLeftCell="A37" zoomScaleNormal="100" workbookViewId="0">
      <selection activeCell="D55" sqref="D55"/>
    </sheetView>
  </sheetViews>
  <sheetFormatPr defaultColWidth="9" defaultRowHeight="15"/>
  <cols>
    <col min="1" max="1" width="3.7109375" style="11" customWidth="1"/>
    <col min="2" max="2" width="64.42578125" style="11" customWidth="1"/>
    <col min="3" max="3" width="15.7109375" style="20" customWidth="1"/>
    <col min="4" max="4" width="13.7109375" style="21" customWidth="1"/>
    <col min="5" max="5" width="5.85546875" style="11" customWidth="1"/>
    <col min="6" max="6" width="77.7109375" style="11" customWidth="1"/>
    <col min="7" max="7" width="9" style="98" customWidth="1"/>
    <col min="8" max="10" width="9" style="11"/>
    <col min="11" max="11" width="9" style="11" customWidth="1"/>
    <col min="12" max="13" width="9" style="11"/>
    <col min="14" max="14" width="9" style="11" customWidth="1"/>
    <col min="15" max="16384" width="9" style="11"/>
  </cols>
  <sheetData>
    <row r="1" spans="1:29" ht="16.5" thickBot="1">
      <c r="A1" s="162"/>
      <c r="B1" s="163"/>
      <c r="C1" s="164"/>
      <c r="D1" s="165"/>
      <c r="E1" s="166"/>
      <c r="F1" s="167"/>
      <c r="G1" s="187"/>
      <c r="H1" s="168"/>
      <c r="I1" s="168"/>
      <c r="J1" s="84"/>
      <c r="K1" s="84"/>
      <c r="L1" s="84"/>
      <c r="M1" s="84"/>
      <c r="N1" s="84"/>
      <c r="O1" s="84"/>
      <c r="P1" s="84"/>
      <c r="Q1" s="84"/>
      <c r="R1" s="84"/>
      <c r="S1" s="84"/>
      <c r="T1" s="84"/>
      <c r="U1" s="84"/>
      <c r="V1" s="84"/>
      <c r="W1" s="84"/>
      <c r="X1" s="84"/>
      <c r="Y1" s="84"/>
      <c r="Z1" s="84"/>
      <c r="AA1" s="84"/>
      <c r="AB1" s="84"/>
      <c r="AC1" s="84"/>
    </row>
    <row r="2" spans="1:29" ht="18" customHeight="1">
      <c r="A2" s="169"/>
      <c r="B2" s="813" t="s">
        <v>728</v>
      </c>
      <c r="C2" s="814"/>
      <c r="D2" s="814"/>
      <c r="E2" s="814"/>
      <c r="F2" s="815"/>
      <c r="G2" s="474"/>
      <c r="H2" s="168"/>
      <c r="I2" s="168"/>
      <c r="J2" s="84"/>
      <c r="K2" s="84"/>
      <c r="L2" s="84"/>
      <c r="M2" s="84"/>
      <c r="N2" s="84"/>
      <c r="O2" s="84"/>
      <c r="P2" s="84"/>
      <c r="Q2" s="84"/>
      <c r="R2" s="84"/>
      <c r="S2" s="84"/>
      <c r="T2" s="84"/>
      <c r="U2" s="84"/>
      <c r="V2" s="84"/>
      <c r="W2" s="84"/>
      <c r="X2" s="84"/>
      <c r="Y2" s="84"/>
      <c r="Z2" s="84"/>
      <c r="AA2" s="84"/>
      <c r="AB2" s="84"/>
      <c r="AC2" s="84"/>
    </row>
    <row r="3" spans="1:29" ht="18.75">
      <c r="A3" s="170"/>
      <c r="B3" s="171" t="s">
        <v>204</v>
      </c>
      <c r="C3" s="172" t="s">
        <v>548</v>
      </c>
      <c r="D3" s="534">
        <v>10.6</v>
      </c>
      <c r="E3" s="173" t="s">
        <v>6</v>
      </c>
      <c r="F3" s="174" t="s">
        <v>145</v>
      </c>
      <c r="I3" s="168"/>
      <c r="J3" s="84"/>
      <c r="K3" s="84"/>
      <c r="L3" s="84"/>
      <c r="M3" s="84"/>
      <c r="N3" s="84"/>
      <c r="O3" s="84"/>
      <c r="P3" s="84"/>
      <c r="Q3" s="84"/>
      <c r="R3" s="84"/>
      <c r="S3" s="84"/>
      <c r="T3" s="84"/>
      <c r="U3" s="84"/>
      <c r="V3" s="84"/>
      <c r="W3" s="84"/>
      <c r="X3" s="84"/>
      <c r="Y3" s="84"/>
      <c r="Z3" s="84"/>
      <c r="AA3" s="84"/>
      <c r="AB3" s="84"/>
      <c r="AC3" s="84"/>
    </row>
    <row r="4" spans="1:29" ht="18.75">
      <c r="A4" s="170"/>
      <c r="B4" s="171" t="s">
        <v>209</v>
      </c>
      <c r="C4" s="172" t="s">
        <v>549</v>
      </c>
      <c r="D4" s="650">
        <v>17</v>
      </c>
      <c r="E4" s="173" t="s">
        <v>6</v>
      </c>
      <c r="F4" s="174" t="s">
        <v>145</v>
      </c>
      <c r="G4" s="187"/>
      <c r="H4" s="168"/>
      <c r="I4" s="168"/>
      <c r="J4" s="84"/>
      <c r="K4" s="84"/>
      <c r="L4" s="84"/>
      <c r="M4" s="84"/>
      <c r="N4" s="84"/>
      <c r="O4" s="84"/>
      <c r="P4" s="84"/>
      <c r="Q4" s="84"/>
      <c r="R4" s="84"/>
      <c r="S4" s="84"/>
      <c r="T4" s="84"/>
      <c r="U4" s="84"/>
      <c r="V4" s="84"/>
      <c r="W4" s="84"/>
      <c r="X4" s="84"/>
      <c r="Y4" s="84"/>
      <c r="Z4" s="84"/>
      <c r="AA4" s="84"/>
      <c r="AB4" s="84"/>
      <c r="AC4" s="84"/>
    </row>
    <row r="5" spans="1:29" ht="18.75">
      <c r="A5" s="170"/>
      <c r="B5" s="171" t="s">
        <v>1099</v>
      </c>
      <c r="C5" s="172" t="s">
        <v>550</v>
      </c>
      <c r="D5" s="175">
        <v>34</v>
      </c>
      <c r="E5" s="173" t="s">
        <v>6</v>
      </c>
      <c r="F5" s="174" t="s">
        <v>241</v>
      </c>
      <c r="G5" s="187"/>
      <c r="H5" s="168"/>
      <c r="I5" s="168"/>
      <c r="J5" s="84"/>
      <c r="K5" s="84"/>
      <c r="L5" s="84"/>
      <c r="M5" s="84"/>
      <c r="N5" s="84"/>
      <c r="O5" s="84"/>
      <c r="P5" s="84"/>
      <c r="Q5" s="84"/>
      <c r="R5" s="84"/>
      <c r="S5" s="84"/>
      <c r="T5" s="84"/>
      <c r="U5" s="84"/>
      <c r="V5" s="84"/>
      <c r="W5" s="84"/>
      <c r="X5" s="84"/>
      <c r="Y5" s="84"/>
      <c r="Z5" s="84"/>
      <c r="AA5" s="84"/>
      <c r="AB5" s="84"/>
      <c r="AC5" s="84"/>
    </row>
    <row r="6" spans="1:29" ht="18.75">
      <c r="A6" s="170"/>
      <c r="B6" s="176" t="s">
        <v>117</v>
      </c>
      <c r="C6" s="172" t="s">
        <v>551</v>
      </c>
      <c r="D6" s="534">
        <v>2.2000000000000002</v>
      </c>
      <c r="E6" s="173" t="s">
        <v>6</v>
      </c>
      <c r="F6" s="174" t="s">
        <v>145</v>
      </c>
      <c r="G6" s="187"/>
      <c r="H6" s="168"/>
      <c r="I6" s="168"/>
      <c r="J6" s="84"/>
      <c r="K6" s="84"/>
      <c r="L6" s="84"/>
      <c r="M6" s="84"/>
      <c r="N6" s="84"/>
      <c r="O6" s="84"/>
      <c r="P6" s="84"/>
      <c r="Q6" s="84"/>
      <c r="R6" s="84"/>
      <c r="S6" s="84"/>
      <c r="T6" s="84"/>
      <c r="U6" s="84"/>
      <c r="V6" s="84"/>
      <c r="W6" s="84"/>
      <c r="X6" s="84"/>
      <c r="Y6" s="84"/>
      <c r="Z6" s="84"/>
      <c r="AA6" s="84"/>
      <c r="AB6" s="84"/>
      <c r="AC6" s="84"/>
    </row>
    <row r="7" spans="1:29" s="35" customFormat="1" ht="18.75">
      <c r="A7" s="170"/>
      <c r="B7" s="171" t="s">
        <v>723</v>
      </c>
      <c r="C7" s="172" t="s">
        <v>1015</v>
      </c>
      <c r="D7" s="175">
        <v>408.6</v>
      </c>
      <c r="E7" s="173" t="s">
        <v>165</v>
      </c>
      <c r="F7" s="552" t="s">
        <v>576</v>
      </c>
      <c r="G7" s="677"/>
      <c r="H7" s="168"/>
      <c r="I7" s="168"/>
      <c r="J7" s="84"/>
      <c r="K7" s="84"/>
      <c r="L7" s="84"/>
      <c r="M7" s="84"/>
      <c r="N7" s="84"/>
      <c r="O7" s="84"/>
      <c r="P7" s="84"/>
      <c r="Q7" s="84"/>
      <c r="R7" s="84"/>
      <c r="S7" s="84"/>
      <c r="T7" s="84"/>
      <c r="U7" s="84"/>
      <c r="V7" s="84"/>
      <c r="W7" s="84"/>
      <c r="X7" s="84"/>
      <c r="Y7" s="84"/>
      <c r="Z7" s="84"/>
      <c r="AA7" s="84"/>
      <c r="AB7" s="84"/>
      <c r="AC7" s="84"/>
    </row>
    <row r="8" spans="1:29" s="35" customFormat="1" ht="18.75">
      <c r="A8" s="170"/>
      <c r="B8" s="171" t="s">
        <v>722</v>
      </c>
      <c r="C8" s="172" t="s">
        <v>1016</v>
      </c>
      <c r="D8" s="175">
        <v>365</v>
      </c>
      <c r="E8" s="173" t="s">
        <v>165</v>
      </c>
      <c r="F8" s="552" t="s">
        <v>576</v>
      </c>
      <c r="G8" s="523"/>
      <c r="H8" s="168"/>
      <c r="I8" s="168"/>
      <c r="J8" s="84"/>
      <c r="K8" s="84"/>
      <c r="L8" s="84"/>
      <c r="M8" s="84"/>
      <c r="N8" s="84"/>
      <c r="O8" s="84"/>
      <c r="P8" s="84"/>
      <c r="Q8" s="84"/>
      <c r="R8" s="84"/>
      <c r="S8" s="84"/>
      <c r="T8" s="84"/>
      <c r="U8" s="84"/>
      <c r="V8" s="84"/>
      <c r="W8" s="84"/>
      <c r="X8" s="84"/>
      <c r="Y8" s="84"/>
      <c r="Z8" s="84"/>
      <c r="AA8" s="84"/>
      <c r="AB8" s="84"/>
      <c r="AC8" s="84"/>
    </row>
    <row r="9" spans="1:29" ht="18.75">
      <c r="A9" s="170"/>
      <c r="B9" s="171" t="s">
        <v>724</v>
      </c>
      <c r="C9" s="172" t="s">
        <v>1017</v>
      </c>
      <c r="D9" s="175">
        <v>313</v>
      </c>
      <c r="E9" s="173" t="s">
        <v>165</v>
      </c>
      <c r="F9" s="552" t="s">
        <v>576</v>
      </c>
      <c r="G9" s="677"/>
      <c r="H9" s="168"/>
      <c r="I9" s="168"/>
      <c r="J9" s="84"/>
      <c r="K9" s="84"/>
      <c r="L9" s="84"/>
      <c r="M9" s="84"/>
      <c r="N9" s="84"/>
      <c r="O9" s="84"/>
      <c r="P9" s="84"/>
      <c r="Q9" s="84"/>
      <c r="R9" s="84"/>
      <c r="S9" s="84"/>
      <c r="T9" s="84"/>
      <c r="U9" s="84"/>
      <c r="V9" s="84"/>
      <c r="W9" s="84"/>
      <c r="X9" s="84"/>
      <c r="Y9" s="84"/>
      <c r="Z9" s="84"/>
      <c r="AA9" s="84"/>
      <c r="AB9" s="84"/>
      <c r="AC9" s="84"/>
    </row>
    <row r="10" spans="1:29" s="35" customFormat="1" ht="18.75">
      <c r="A10" s="170"/>
      <c r="B10" s="171" t="s">
        <v>725</v>
      </c>
      <c r="C10" s="172" t="s">
        <v>1018</v>
      </c>
      <c r="D10" s="175">
        <v>336.4</v>
      </c>
      <c r="E10" s="173" t="s">
        <v>165</v>
      </c>
      <c r="F10" s="552" t="s">
        <v>576</v>
      </c>
      <c r="G10" s="677"/>
      <c r="H10" s="168"/>
      <c r="I10" s="168"/>
      <c r="J10" s="84"/>
      <c r="K10" s="84"/>
      <c r="L10" s="84"/>
      <c r="M10" s="84"/>
      <c r="N10" s="84"/>
      <c r="O10" s="84"/>
      <c r="P10" s="84"/>
      <c r="Q10" s="84"/>
      <c r="R10" s="84"/>
      <c r="S10" s="84"/>
      <c r="T10" s="84"/>
      <c r="U10" s="84"/>
      <c r="V10" s="84"/>
      <c r="W10" s="84"/>
      <c r="X10" s="84"/>
      <c r="Y10" s="84"/>
      <c r="Z10" s="84"/>
      <c r="AA10" s="84"/>
      <c r="AB10" s="84"/>
      <c r="AC10" s="84"/>
    </row>
    <row r="11" spans="1:29" s="35" customFormat="1" ht="18.75">
      <c r="A11" s="170"/>
      <c r="B11" s="171" t="s">
        <v>726</v>
      </c>
      <c r="C11" s="172" t="s">
        <v>1019</v>
      </c>
      <c r="D11" s="175">
        <v>305</v>
      </c>
      <c r="E11" s="173" t="s">
        <v>165</v>
      </c>
      <c r="F11" s="552" t="s">
        <v>576</v>
      </c>
      <c r="G11" s="523"/>
      <c r="H11" s="168"/>
      <c r="I11" s="168"/>
      <c r="J11" s="84"/>
      <c r="K11" s="84"/>
      <c r="L11" s="84"/>
      <c r="M11" s="84"/>
      <c r="N11" s="84"/>
      <c r="O11" s="84"/>
      <c r="P11" s="84"/>
      <c r="Q11" s="84"/>
      <c r="R11" s="84"/>
      <c r="S11" s="84"/>
      <c r="T11" s="84"/>
      <c r="U11" s="84"/>
      <c r="V11" s="84"/>
      <c r="W11" s="84"/>
      <c r="X11" s="84"/>
      <c r="Y11" s="84"/>
      <c r="Z11" s="84"/>
      <c r="AA11" s="84"/>
      <c r="AB11" s="84"/>
      <c r="AC11" s="84"/>
    </row>
    <row r="12" spans="1:29" s="35" customFormat="1" ht="18.75">
      <c r="A12" s="170"/>
      <c r="B12" s="171" t="s">
        <v>727</v>
      </c>
      <c r="C12" s="172" t="s">
        <v>1020</v>
      </c>
      <c r="D12" s="175">
        <v>255</v>
      </c>
      <c r="E12" s="173" t="s">
        <v>165</v>
      </c>
      <c r="F12" s="552" t="s">
        <v>576</v>
      </c>
      <c r="G12" s="677"/>
      <c r="H12" s="168"/>
      <c r="I12" s="168"/>
      <c r="J12" s="84"/>
      <c r="K12" s="84"/>
      <c r="L12" s="84"/>
      <c r="M12" s="84"/>
      <c r="N12" s="84"/>
      <c r="O12" s="84"/>
      <c r="P12" s="84"/>
      <c r="Q12" s="84"/>
      <c r="R12" s="84"/>
      <c r="S12" s="84"/>
      <c r="T12" s="84"/>
      <c r="U12" s="84"/>
      <c r="V12" s="84"/>
      <c r="W12" s="84"/>
      <c r="X12" s="84"/>
      <c r="Y12" s="84"/>
      <c r="Z12" s="84"/>
      <c r="AA12" s="84"/>
      <c r="AB12" s="84"/>
      <c r="AC12" s="84"/>
    </row>
    <row r="13" spans="1:29" ht="18.75">
      <c r="A13" s="169"/>
      <c r="B13" s="171" t="s">
        <v>205</v>
      </c>
      <c r="C13" s="172" t="s">
        <v>552</v>
      </c>
      <c r="D13" s="178">
        <v>4.55</v>
      </c>
      <c r="E13" s="173" t="s">
        <v>6</v>
      </c>
      <c r="F13" s="174" t="s">
        <v>145</v>
      </c>
      <c r="G13" s="523"/>
      <c r="H13" s="168"/>
      <c r="I13" s="168"/>
      <c r="J13" s="84"/>
      <c r="K13" s="84"/>
      <c r="L13" s="84"/>
      <c r="M13" s="84"/>
      <c r="N13" s="84"/>
      <c r="O13" s="84"/>
      <c r="P13" s="84"/>
      <c r="Q13" s="84"/>
      <c r="R13" s="84"/>
      <c r="S13" s="84"/>
      <c r="T13" s="84"/>
      <c r="U13" s="84"/>
      <c r="V13" s="84"/>
      <c r="W13" s="84"/>
      <c r="X13" s="84"/>
      <c r="Y13" s="84"/>
      <c r="Z13" s="84"/>
      <c r="AA13" s="84"/>
      <c r="AB13" s="84"/>
      <c r="AC13" s="84"/>
    </row>
    <row r="14" spans="1:29" ht="18.75">
      <c r="A14" s="169"/>
      <c r="B14" s="176" t="s">
        <v>980</v>
      </c>
      <c r="C14" s="172" t="s">
        <v>553</v>
      </c>
      <c r="D14" s="535">
        <v>26</v>
      </c>
      <c r="E14" s="173" t="s">
        <v>144</v>
      </c>
      <c r="F14" s="653" t="s">
        <v>145</v>
      </c>
      <c r="G14" s="523"/>
      <c r="H14" s="168"/>
      <c r="I14" s="168"/>
      <c r="J14" s="84"/>
      <c r="K14" s="84"/>
      <c r="L14" s="84"/>
      <c r="M14" s="84"/>
      <c r="N14" s="84"/>
      <c r="O14" s="84"/>
      <c r="P14" s="84"/>
      <c r="Q14" s="84"/>
      <c r="R14" s="84"/>
      <c r="S14" s="84"/>
      <c r="T14" s="84"/>
      <c r="U14" s="84"/>
      <c r="V14" s="84"/>
      <c r="W14" s="84"/>
      <c r="X14" s="84"/>
      <c r="Y14" s="84"/>
      <c r="Z14" s="84"/>
      <c r="AA14" s="84"/>
      <c r="AB14" s="84"/>
      <c r="AC14" s="84"/>
    </row>
    <row r="15" spans="1:29" ht="18.75">
      <c r="A15" s="169"/>
      <c r="B15" s="179" t="s">
        <v>225</v>
      </c>
      <c r="C15" s="180" t="s">
        <v>554</v>
      </c>
      <c r="D15" s="181">
        <v>0.8</v>
      </c>
      <c r="E15" s="173" t="s">
        <v>6</v>
      </c>
      <c r="F15" s="174" t="s">
        <v>145</v>
      </c>
      <c r="G15" s="523"/>
      <c r="H15" s="168"/>
      <c r="I15" s="168"/>
      <c r="J15" s="84"/>
      <c r="K15" s="84"/>
      <c r="L15" s="84"/>
      <c r="M15" s="84"/>
      <c r="N15" s="84"/>
      <c r="O15" s="84"/>
      <c r="P15" s="84"/>
      <c r="Q15" s="84"/>
      <c r="R15" s="84"/>
      <c r="S15" s="84"/>
      <c r="T15" s="84"/>
      <c r="U15" s="84"/>
      <c r="V15" s="84"/>
      <c r="W15" s="84"/>
      <c r="X15" s="84"/>
      <c r="Y15" s="84"/>
      <c r="Z15" s="84"/>
      <c r="AA15" s="84"/>
      <c r="AB15" s="84"/>
      <c r="AC15" s="84"/>
    </row>
    <row r="16" spans="1:29" ht="18.75">
      <c r="A16" s="169"/>
      <c r="B16" s="179" t="s">
        <v>336</v>
      </c>
      <c r="C16" s="180" t="s">
        <v>555</v>
      </c>
      <c r="D16" s="181">
        <v>0.6</v>
      </c>
      <c r="E16" s="173" t="s">
        <v>6</v>
      </c>
      <c r="F16" s="654" t="s">
        <v>1098</v>
      </c>
      <c r="G16" s="523"/>
      <c r="H16" s="168"/>
      <c r="I16" s="168"/>
      <c r="J16" s="84"/>
      <c r="K16" s="84"/>
      <c r="L16" s="84"/>
      <c r="M16" s="84"/>
      <c r="N16" s="84"/>
      <c r="O16" s="84"/>
      <c r="P16" s="84"/>
      <c r="Q16" s="84"/>
      <c r="R16" s="84"/>
      <c r="S16" s="84"/>
      <c r="T16" s="84"/>
      <c r="U16" s="84"/>
      <c r="V16" s="84"/>
      <c r="W16" s="84"/>
      <c r="X16" s="84"/>
      <c r="Y16" s="84"/>
      <c r="Z16" s="84"/>
      <c r="AA16" s="84"/>
      <c r="AB16" s="84"/>
      <c r="AC16" s="84"/>
    </row>
    <row r="17" spans="1:29" ht="18.75">
      <c r="A17" s="169"/>
      <c r="B17" s="179" t="s">
        <v>242</v>
      </c>
      <c r="C17" s="180" t="s">
        <v>556</v>
      </c>
      <c r="D17" s="181">
        <v>0.42749999999999999</v>
      </c>
      <c r="E17" s="182" t="s">
        <v>6</v>
      </c>
      <c r="F17" s="654" t="s">
        <v>1098</v>
      </c>
      <c r="G17" s="677"/>
      <c r="H17" s="168"/>
      <c r="I17" s="168"/>
      <c r="J17" s="84"/>
      <c r="K17" s="84"/>
      <c r="L17" s="84"/>
      <c r="M17" s="84"/>
      <c r="N17" s="84"/>
      <c r="O17" s="84"/>
      <c r="P17" s="84"/>
      <c r="Q17" s="84"/>
      <c r="R17" s="84"/>
      <c r="S17" s="84"/>
      <c r="T17" s="84"/>
      <c r="U17" s="84"/>
      <c r="V17" s="84"/>
      <c r="W17" s="84"/>
      <c r="X17" s="84"/>
      <c r="Y17" s="84"/>
      <c r="Z17" s="84"/>
      <c r="AA17" s="84"/>
      <c r="AB17" s="84"/>
      <c r="AC17" s="84"/>
    </row>
    <row r="18" spans="1:29" ht="18.75">
      <c r="A18" s="169"/>
      <c r="B18" s="179" t="s">
        <v>206</v>
      </c>
      <c r="C18" s="180" t="s">
        <v>557</v>
      </c>
      <c r="D18" s="536">
        <v>0.28699999999999998</v>
      </c>
      <c r="E18" s="182" t="s">
        <v>146</v>
      </c>
      <c r="F18" s="654" t="s">
        <v>145</v>
      </c>
      <c r="G18" s="523"/>
      <c r="H18" s="168"/>
      <c r="I18" s="168"/>
      <c r="J18" s="84"/>
      <c r="K18" s="84"/>
      <c r="L18" s="84"/>
      <c r="M18" s="84"/>
      <c r="N18" s="84"/>
      <c r="O18" s="84"/>
      <c r="P18" s="84"/>
      <c r="Q18" s="84"/>
      <c r="R18" s="84"/>
      <c r="S18" s="84"/>
      <c r="T18" s="84"/>
      <c r="U18" s="84"/>
      <c r="V18" s="84"/>
      <c r="W18" s="84"/>
      <c r="X18" s="84"/>
      <c r="Y18" s="84"/>
      <c r="Z18" s="84"/>
      <c r="AA18" s="84"/>
      <c r="AB18" s="84"/>
      <c r="AC18" s="84"/>
    </row>
    <row r="19" spans="1:29" ht="18.75">
      <c r="A19" s="169"/>
      <c r="B19" s="179" t="s">
        <v>207</v>
      </c>
      <c r="C19" s="180" t="s">
        <v>558</v>
      </c>
      <c r="D19" s="181">
        <v>25</v>
      </c>
      <c r="E19" s="182" t="s">
        <v>147</v>
      </c>
      <c r="F19" s="654" t="s">
        <v>145</v>
      </c>
      <c r="G19" s="523"/>
      <c r="H19" s="168"/>
      <c r="I19" s="168"/>
      <c r="J19" s="84"/>
      <c r="K19" s="84"/>
      <c r="L19" s="84"/>
      <c r="M19" s="84"/>
      <c r="N19" s="84"/>
      <c r="O19" s="84"/>
      <c r="P19" s="84"/>
      <c r="Q19" s="84"/>
      <c r="R19" s="84"/>
      <c r="S19" s="84"/>
      <c r="T19" s="84"/>
      <c r="U19" s="84"/>
      <c r="V19" s="84"/>
      <c r="W19" s="84"/>
      <c r="X19" s="84"/>
      <c r="Y19" s="84"/>
      <c r="Z19" s="84"/>
      <c r="AA19" s="84"/>
      <c r="AB19" s="84"/>
      <c r="AC19" s="84"/>
    </row>
    <row r="20" spans="1:29" ht="18.75">
      <c r="A20" s="169"/>
      <c r="B20" s="179" t="s">
        <v>194</v>
      </c>
      <c r="C20" s="180" t="s">
        <v>559</v>
      </c>
      <c r="D20" s="184">
        <f>5.25*10^9</f>
        <v>5250000000</v>
      </c>
      <c r="E20" s="182" t="s">
        <v>520</v>
      </c>
      <c r="F20" s="654" t="s">
        <v>1095</v>
      </c>
      <c r="G20" s="630"/>
      <c r="H20" s="631"/>
      <c r="I20" s="168"/>
      <c r="J20" s="84"/>
      <c r="K20" s="84"/>
      <c r="L20" s="84"/>
      <c r="M20" s="84"/>
      <c r="N20" s="84"/>
      <c r="O20" s="84"/>
      <c r="P20" s="84"/>
      <c r="Q20" s="84"/>
      <c r="R20" s="84"/>
      <c r="S20" s="84"/>
      <c r="T20" s="84"/>
      <c r="U20" s="84"/>
      <c r="V20" s="84"/>
      <c r="W20" s="84"/>
      <c r="X20" s="84"/>
      <c r="Y20" s="84"/>
      <c r="Z20" s="84"/>
      <c r="AA20" s="84"/>
      <c r="AB20" s="84"/>
      <c r="AC20" s="84"/>
    </row>
    <row r="21" spans="1:29" ht="18.75">
      <c r="A21" s="169"/>
      <c r="B21" s="179" t="s">
        <v>560</v>
      </c>
      <c r="C21" s="180" t="s">
        <v>561</v>
      </c>
      <c r="D21" s="181">
        <v>3.98</v>
      </c>
      <c r="E21" s="182" t="s">
        <v>148</v>
      </c>
      <c r="F21" s="654" t="s">
        <v>145</v>
      </c>
      <c r="G21" s="523"/>
      <c r="H21" s="168"/>
      <c r="I21" s="168"/>
      <c r="J21" s="84"/>
      <c r="K21" s="84"/>
      <c r="L21" s="84"/>
      <c r="M21" s="84"/>
      <c r="N21" s="84"/>
      <c r="O21" s="84"/>
      <c r="P21" s="84"/>
      <c r="Q21" s="84"/>
      <c r="R21" s="84"/>
      <c r="S21" s="84"/>
      <c r="T21" s="84"/>
      <c r="U21" s="84"/>
      <c r="V21" s="84"/>
      <c r="W21" s="84"/>
      <c r="X21" s="84"/>
      <c r="Y21" s="84"/>
      <c r="Z21" s="84"/>
      <c r="AA21" s="84"/>
      <c r="AB21" s="84"/>
      <c r="AC21" s="84"/>
    </row>
    <row r="22" spans="1:29" ht="18.75">
      <c r="A22" s="169"/>
      <c r="B22" s="521" t="s">
        <v>794</v>
      </c>
      <c r="C22" s="532" t="s">
        <v>819</v>
      </c>
      <c r="D22" s="181">
        <v>12.8</v>
      </c>
      <c r="E22" s="182" t="s">
        <v>149</v>
      </c>
      <c r="F22" s="654" t="s">
        <v>576</v>
      </c>
      <c r="G22" s="522"/>
      <c r="H22" s="168"/>
      <c r="I22" s="168"/>
      <c r="J22" s="84"/>
      <c r="K22" s="84"/>
      <c r="L22" s="84"/>
      <c r="M22" s="84"/>
      <c r="N22" s="84"/>
      <c r="O22" s="84"/>
      <c r="P22" s="84"/>
      <c r="Q22" s="84"/>
      <c r="R22" s="84"/>
      <c r="S22" s="84"/>
      <c r="T22" s="84"/>
      <c r="U22" s="84"/>
      <c r="V22" s="84"/>
      <c r="W22" s="84"/>
      <c r="X22" s="84"/>
      <c r="Y22" s="84"/>
      <c r="Z22" s="84"/>
      <c r="AA22" s="84"/>
      <c r="AB22" s="84"/>
      <c r="AC22" s="84"/>
    </row>
    <row r="23" spans="1:29" ht="18.75">
      <c r="A23" s="169"/>
      <c r="B23" s="171" t="s">
        <v>547</v>
      </c>
      <c r="C23" s="180" t="s">
        <v>562</v>
      </c>
      <c r="D23" s="181">
        <v>3</v>
      </c>
      <c r="E23" s="182" t="s">
        <v>150</v>
      </c>
      <c r="F23" s="654" t="s">
        <v>145</v>
      </c>
      <c r="G23" s="523"/>
      <c r="H23" s="168"/>
      <c r="I23" s="168"/>
      <c r="J23" s="84"/>
      <c r="K23" s="84"/>
      <c r="L23" s="84"/>
      <c r="M23" s="84"/>
      <c r="N23" s="84"/>
      <c r="O23" s="84"/>
      <c r="P23" s="84"/>
      <c r="Q23" s="84"/>
      <c r="R23" s="84"/>
      <c r="S23" s="84"/>
      <c r="T23" s="84"/>
      <c r="U23" s="84"/>
      <c r="V23" s="84"/>
      <c r="W23" s="84"/>
      <c r="X23" s="84"/>
      <c r="Y23" s="84"/>
      <c r="Z23" s="84"/>
      <c r="AA23" s="84"/>
      <c r="AB23" s="84"/>
      <c r="AC23" s="84"/>
    </row>
    <row r="24" spans="1:29" ht="18.75">
      <c r="A24" s="169"/>
      <c r="B24" s="179" t="s">
        <v>224</v>
      </c>
      <c r="C24" s="180" t="s">
        <v>1097</v>
      </c>
      <c r="D24" s="181">
        <v>0.57999999999999996</v>
      </c>
      <c r="E24" s="182" t="s">
        <v>150</v>
      </c>
      <c r="F24" s="654" t="s">
        <v>1096</v>
      </c>
      <c r="G24" s="476"/>
      <c r="H24" s="168"/>
      <c r="I24" s="168"/>
      <c r="J24" s="84"/>
      <c r="K24" s="84"/>
      <c r="L24" s="84"/>
      <c r="M24" s="84"/>
      <c r="N24" s="84"/>
      <c r="O24" s="84"/>
      <c r="P24" s="84"/>
      <c r="Q24" s="84"/>
      <c r="R24" s="84"/>
      <c r="S24" s="84"/>
      <c r="T24" s="84"/>
      <c r="U24" s="84"/>
      <c r="V24" s="84"/>
      <c r="W24" s="84"/>
      <c r="X24" s="84"/>
      <c r="Y24" s="84"/>
      <c r="Z24" s="84"/>
      <c r="AA24" s="84"/>
      <c r="AB24" s="84"/>
      <c r="AC24" s="84"/>
    </row>
    <row r="25" spans="1:29" ht="18.75">
      <c r="A25" s="169"/>
      <c r="B25" s="179" t="s">
        <v>251</v>
      </c>
      <c r="C25" s="180" t="s">
        <v>563</v>
      </c>
      <c r="D25" s="181">
        <v>4.7</v>
      </c>
      <c r="E25" s="186" t="s">
        <v>151</v>
      </c>
      <c r="F25" s="654" t="s">
        <v>145</v>
      </c>
      <c r="G25" s="677"/>
      <c r="H25" s="168"/>
      <c r="I25" s="168"/>
      <c r="J25" s="84"/>
      <c r="K25" s="84"/>
      <c r="L25" s="84"/>
      <c r="M25" s="84"/>
      <c r="N25" s="84"/>
      <c r="O25" s="84"/>
      <c r="P25" s="84"/>
      <c r="Q25" s="84"/>
      <c r="R25" s="84"/>
      <c r="S25" s="84"/>
      <c r="T25" s="84"/>
      <c r="U25" s="84"/>
      <c r="V25" s="84"/>
      <c r="W25" s="84"/>
      <c r="X25" s="84"/>
      <c r="Y25" s="84"/>
      <c r="Z25" s="84"/>
      <c r="AA25" s="84"/>
      <c r="AB25" s="84"/>
      <c r="AC25" s="84"/>
    </row>
    <row r="26" spans="1:29" ht="18.75">
      <c r="A26" s="169"/>
      <c r="B26" s="268" t="s">
        <v>793</v>
      </c>
      <c r="C26" s="532" t="s">
        <v>820</v>
      </c>
      <c r="D26" s="181">
        <v>2.2000000000000002</v>
      </c>
      <c r="E26" s="173" t="s">
        <v>792</v>
      </c>
      <c r="F26" s="654" t="s">
        <v>145</v>
      </c>
      <c r="G26" s="533"/>
      <c r="H26" s="168"/>
      <c r="I26" s="168"/>
      <c r="J26" s="84"/>
      <c r="K26" s="84"/>
      <c r="L26" s="84"/>
      <c r="M26" s="84"/>
      <c r="N26" s="84"/>
      <c r="O26" s="84"/>
      <c r="P26" s="84"/>
      <c r="Q26" s="84"/>
      <c r="R26" s="84"/>
      <c r="S26" s="84"/>
      <c r="T26" s="84"/>
      <c r="U26" s="84"/>
      <c r="V26" s="84"/>
      <c r="W26" s="84"/>
      <c r="X26" s="84"/>
      <c r="Y26" s="84"/>
      <c r="Z26" s="84"/>
      <c r="AA26" s="84"/>
      <c r="AB26" s="84"/>
      <c r="AC26" s="84"/>
    </row>
    <row r="27" spans="1:29" s="556" customFormat="1" ht="18.75">
      <c r="A27" s="559"/>
      <c r="B27" s="601" t="s">
        <v>923</v>
      </c>
      <c r="C27" s="602" t="s">
        <v>1009</v>
      </c>
      <c r="D27" s="605">
        <v>11.18</v>
      </c>
      <c r="E27" s="604" t="s">
        <v>167</v>
      </c>
      <c r="F27" s="587" t="s">
        <v>576</v>
      </c>
      <c r="G27" s="677"/>
      <c r="H27" s="558"/>
      <c r="I27" s="558"/>
      <c r="J27" s="557"/>
      <c r="K27" s="557"/>
      <c r="L27" s="557"/>
      <c r="M27" s="557"/>
      <c r="N27" s="557"/>
      <c r="O27" s="557"/>
      <c r="P27" s="557"/>
      <c r="Q27" s="557"/>
      <c r="R27" s="557"/>
      <c r="S27" s="557"/>
      <c r="T27" s="557"/>
      <c r="U27" s="557"/>
      <c r="V27" s="557"/>
      <c r="W27" s="557"/>
      <c r="X27" s="557"/>
      <c r="Y27" s="557"/>
      <c r="Z27" s="557"/>
      <c r="AA27" s="557"/>
      <c r="AB27" s="557"/>
      <c r="AC27" s="557"/>
    </row>
    <row r="28" spans="1:29" s="556" customFormat="1" ht="18.75">
      <c r="A28" s="559"/>
      <c r="B28" s="601" t="s">
        <v>924</v>
      </c>
      <c r="C28" s="602" t="s">
        <v>1010</v>
      </c>
      <c r="D28" s="605">
        <v>9.91</v>
      </c>
      <c r="E28" s="604" t="s">
        <v>167</v>
      </c>
      <c r="F28" s="587" t="s">
        <v>576</v>
      </c>
      <c r="G28" s="533"/>
      <c r="H28" s="558"/>
      <c r="I28" s="558"/>
      <c r="J28" s="557"/>
      <c r="K28" s="557"/>
      <c r="L28" s="557"/>
      <c r="M28" s="557"/>
      <c r="N28" s="557"/>
      <c r="O28" s="557"/>
      <c r="P28" s="557"/>
      <c r="Q28" s="557"/>
      <c r="R28" s="557"/>
      <c r="S28" s="557"/>
      <c r="T28" s="557"/>
      <c r="U28" s="557"/>
      <c r="V28" s="557"/>
      <c r="W28" s="557"/>
      <c r="X28" s="557"/>
      <c r="Y28" s="557"/>
      <c r="Z28" s="557"/>
      <c r="AA28" s="557"/>
      <c r="AB28" s="557"/>
      <c r="AC28" s="557"/>
    </row>
    <row r="29" spans="1:29" s="556" customFormat="1" ht="18.75">
      <c r="A29" s="559"/>
      <c r="B29" s="601" t="s">
        <v>925</v>
      </c>
      <c r="C29" s="602" t="s">
        <v>1011</v>
      </c>
      <c r="D29" s="605">
        <v>8.9</v>
      </c>
      <c r="E29" s="604" t="s">
        <v>167</v>
      </c>
      <c r="F29" s="587" t="s">
        <v>576</v>
      </c>
      <c r="G29" s="677"/>
      <c r="H29" s="558"/>
      <c r="I29" s="558"/>
      <c r="J29" s="557"/>
      <c r="K29" s="557"/>
      <c r="L29" s="557"/>
      <c r="M29" s="557"/>
      <c r="N29" s="557"/>
      <c r="O29" s="557"/>
      <c r="P29" s="557"/>
      <c r="Q29" s="557"/>
      <c r="R29" s="557"/>
      <c r="S29" s="557"/>
      <c r="T29" s="557"/>
      <c r="U29" s="557"/>
      <c r="V29" s="557"/>
      <c r="W29" s="557"/>
      <c r="X29" s="557"/>
      <c r="Y29" s="557"/>
      <c r="Z29" s="557"/>
      <c r="AA29" s="557"/>
      <c r="AB29" s="557"/>
      <c r="AC29" s="557"/>
    </row>
    <row r="30" spans="1:29" s="556" customFormat="1" ht="18.75">
      <c r="A30" s="559"/>
      <c r="B30" s="601" t="s">
        <v>926</v>
      </c>
      <c r="C30" s="602" t="s">
        <v>1012</v>
      </c>
      <c r="D30" s="605">
        <v>26.4</v>
      </c>
      <c r="E30" s="604" t="s">
        <v>167</v>
      </c>
      <c r="F30" s="587" t="s">
        <v>576</v>
      </c>
      <c r="G30" s="677"/>
      <c r="H30" s="558"/>
      <c r="I30" s="558"/>
      <c r="J30" s="557"/>
      <c r="K30" s="557"/>
      <c r="L30" s="557"/>
      <c r="M30" s="557"/>
      <c r="N30" s="557"/>
      <c r="O30" s="557"/>
      <c r="P30" s="557"/>
      <c r="Q30" s="557"/>
      <c r="R30" s="557"/>
      <c r="S30" s="557"/>
      <c r="T30" s="557"/>
      <c r="U30" s="557"/>
      <c r="V30" s="557"/>
      <c r="W30" s="557"/>
      <c r="X30" s="557"/>
      <c r="Y30" s="557"/>
      <c r="Z30" s="557"/>
      <c r="AA30" s="557"/>
      <c r="AB30" s="557"/>
      <c r="AC30" s="557"/>
    </row>
    <row r="31" spans="1:29" s="556" customFormat="1" ht="18.75">
      <c r="A31" s="559"/>
      <c r="B31" s="601" t="s">
        <v>927</v>
      </c>
      <c r="C31" s="602" t="s">
        <v>1013</v>
      </c>
      <c r="D31" s="605">
        <v>23</v>
      </c>
      <c r="E31" s="604" t="s">
        <v>167</v>
      </c>
      <c r="F31" s="587" t="s">
        <v>576</v>
      </c>
      <c r="G31" s="533"/>
      <c r="H31" s="558"/>
      <c r="I31" s="558"/>
      <c r="J31" s="557"/>
      <c r="K31" s="557"/>
      <c r="L31" s="557"/>
      <c r="M31" s="557"/>
      <c r="N31" s="557"/>
      <c r="O31" s="557"/>
      <c r="P31" s="557"/>
      <c r="Q31" s="557"/>
      <c r="R31" s="557"/>
      <c r="S31" s="557"/>
      <c r="T31" s="557"/>
      <c r="U31" s="557"/>
      <c r="V31" s="557"/>
      <c r="W31" s="557"/>
      <c r="X31" s="557"/>
      <c r="Y31" s="557"/>
      <c r="Z31" s="557"/>
      <c r="AA31" s="557"/>
      <c r="AB31" s="557"/>
      <c r="AC31" s="557"/>
    </row>
    <row r="32" spans="1:29" s="556" customFormat="1" ht="18.75">
      <c r="A32" s="559"/>
      <c r="B32" s="601" t="s">
        <v>928</v>
      </c>
      <c r="C32" s="602" t="s">
        <v>1014</v>
      </c>
      <c r="D32" s="605">
        <v>21.2</v>
      </c>
      <c r="E32" s="604" t="s">
        <v>167</v>
      </c>
      <c r="F32" s="587" t="s">
        <v>576</v>
      </c>
      <c r="G32" s="677"/>
      <c r="H32" s="558"/>
      <c r="I32" s="558"/>
      <c r="J32" s="557"/>
      <c r="K32" s="557"/>
      <c r="L32" s="557"/>
      <c r="M32" s="557"/>
      <c r="N32" s="557"/>
      <c r="O32" s="557"/>
      <c r="P32" s="557"/>
      <c r="Q32" s="557"/>
      <c r="R32" s="557"/>
      <c r="S32" s="557"/>
      <c r="T32" s="557"/>
      <c r="U32" s="557"/>
      <c r="V32" s="557"/>
      <c r="W32" s="557"/>
      <c r="X32" s="557"/>
      <c r="Y32" s="557"/>
      <c r="Z32" s="557"/>
      <c r="AA32" s="557"/>
      <c r="AB32" s="557"/>
      <c r="AC32" s="557"/>
    </row>
    <row r="33" spans="1:29" ht="18.75">
      <c r="A33" s="169"/>
      <c r="B33" s="179" t="s">
        <v>906</v>
      </c>
      <c r="C33" s="180" t="s">
        <v>796</v>
      </c>
      <c r="D33" s="181">
        <v>5</v>
      </c>
      <c r="E33" s="182" t="s">
        <v>6</v>
      </c>
      <c r="F33" s="547" t="s">
        <v>145</v>
      </c>
      <c r="G33" s="187"/>
      <c r="H33" s="168"/>
      <c r="I33" s="168"/>
      <c r="J33" s="84"/>
      <c r="K33" s="84"/>
      <c r="L33" s="84"/>
      <c r="M33" s="84"/>
      <c r="N33" s="84"/>
      <c r="O33" s="84"/>
      <c r="P33" s="84"/>
      <c r="Q33" s="84"/>
      <c r="R33" s="84"/>
      <c r="S33" s="84"/>
      <c r="T33" s="84"/>
      <c r="U33" s="84"/>
      <c r="V33" s="84"/>
      <c r="W33" s="84"/>
      <c r="X33" s="84"/>
      <c r="Y33" s="84"/>
      <c r="Z33" s="84"/>
      <c r="AA33" s="84"/>
      <c r="AB33" s="84"/>
      <c r="AC33" s="84"/>
    </row>
    <row r="34" spans="1:29" ht="18.75">
      <c r="A34" s="169"/>
      <c r="B34" s="179" t="s">
        <v>252</v>
      </c>
      <c r="C34" s="180" t="s">
        <v>564</v>
      </c>
      <c r="D34" s="181">
        <v>4.25</v>
      </c>
      <c r="E34" s="182" t="s">
        <v>6</v>
      </c>
      <c r="F34" s="553" t="s">
        <v>145</v>
      </c>
      <c r="G34" s="187"/>
      <c r="H34" s="168"/>
      <c r="I34" s="168"/>
      <c r="J34" s="84"/>
      <c r="K34" s="84"/>
      <c r="L34" s="84"/>
      <c r="M34" s="84"/>
      <c r="N34" s="84"/>
      <c r="O34" s="84"/>
      <c r="P34" s="84"/>
      <c r="Q34" s="84"/>
      <c r="R34" s="84"/>
      <c r="S34" s="84"/>
      <c r="T34" s="84"/>
      <c r="U34" s="84"/>
      <c r="V34" s="84"/>
      <c r="W34" s="84"/>
      <c r="X34" s="84"/>
      <c r="Y34" s="84"/>
      <c r="Z34" s="84"/>
      <c r="AA34" s="84"/>
      <c r="AB34" s="84"/>
      <c r="AC34" s="84"/>
    </row>
    <row r="35" spans="1:29" ht="18.75">
      <c r="A35" s="169"/>
      <c r="B35" s="179" t="s">
        <v>818</v>
      </c>
      <c r="C35" s="180" t="s">
        <v>565</v>
      </c>
      <c r="D35" s="531">
        <v>8300</v>
      </c>
      <c r="E35" s="188" t="s">
        <v>168</v>
      </c>
      <c r="F35" s="183" t="s">
        <v>145</v>
      </c>
      <c r="G35" s="187"/>
      <c r="H35" s="168"/>
      <c r="I35" s="168"/>
      <c r="J35" s="84"/>
      <c r="K35" s="84"/>
      <c r="L35" s="84"/>
      <c r="M35" s="84"/>
      <c r="N35" s="84"/>
      <c r="O35" s="84"/>
      <c r="P35" s="84"/>
      <c r="Q35" s="84"/>
      <c r="R35" s="84"/>
      <c r="S35" s="84"/>
      <c r="T35" s="84"/>
      <c r="U35" s="84"/>
      <c r="V35" s="84"/>
      <c r="W35" s="84"/>
      <c r="X35" s="84"/>
      <c r="Y35" s="84"/>
      <c r="Z35" s="84"/>
      <c r="AA35" s="84"/>
      <c r="AB35" s="84"/>
      <c r="AC35" s="84"/>
    </row>
    <row r="36" spans="1:29" ht="18.75">
      <c r="A36" s="169"/>
      <c r="B36" s="179" t="s">
        <v>223</v>
      </c>
      <c r="C36" s="180" t="s">
        <v>566</v>
      </c>
      <c r="D36" s="181">
        <v>75</v>
      </c>
      <c r="E36" s="186" t="s">
        <v>152</v>
      </c>
      <c r="F36" s="183" t="s">
        <v>145</v>
      </c>
      <c r="G36" s="187"/>
      <c r="H36" s="168"/>
      <c r="I36" s="168"/>
      <c r="J36" s="84"/>
      <c r="K36" s="84"/>
      <c r="L36" s="84"/>
      <c r="M36" s="84"/>
      <c r="N36" s="84"/>
      <c r="O36" s="84"/>
      <c r="P36" s="84"/>
      <c r="Q36" s="84"/>
      <c r="R36" s="84"/>
      <c r="S36" s="84"/>
      <c r="T36" s="84"/>
      <c r="U36" s="84"/>
      <c r="V36" s="84"/>
      <c r="W36" s="84"/>
      <c r="X36" s="84"/>
      <c r="Y36" s="84"/>
      <c r="Z36" s="84"/>
      <c r="AA36" s="84"/>
      <c r="AB36" s="84"/>
      <c r="AC36" s="84"/>
    </row>
    <row r="37" spans="1:29" ht="18.75">
      <c r="A37" s="169"/>
      <c r="B37" s="189" t="s">
        <v>1140</v>
      </c>
      <c r="C37" s="190" t="s">
        <v>567</v>
      </c>
      <c r="D37" s="96">
        <v>100</v>
      </c>
      <c r="E37" s="191" t="s">
        <v>153</v>
      </c>
      <c r="F37" s="192" t="s">
        <v>575</v>
      </c>
      <c r="G37" s="187"/>
      <c r="H37" s="168"/>
      <c r="I37" s="168"/>
      <c r="J37" s="84"/>
      <c r="K37" s="84"/>
      <c r="L37" s="84"/>
      <c r="M37" s="84"/>
      <c r="N37" s="84"/>
      <c r="O37" s="84"/>
      <c r="P37" s="84"/>
      <c r="Q37" s="84"/>
      <c r="R37" s="84"/>
      <c r="S37" s="84"/>
      <c r="T37" s="84"/>
      <c r="U37" s="84"/>
      <c r="V37" s="84"/>
      <c r="W37" s="84"/>
      <c r="X37" s="84"/>
      <c r="Y37" s="84"/>
      <c r="Z37" s="84"/>
      <c r="AA37" s="84"/>
      <c r="AB37" s="84"/>
      <c r="AC37" s="84"/>
    </row>
    <row r="38" spans="1:29" ht="18.75">
      <c r="A38" s="169"/>
      <c r="B38" s="193" t="s">
        <v>253</v>
      </c>
      <c r="C38" s="180" t="s">
        <v>568</v>
      </c>
      <c r="D38" s="181">
        <v>34.4</v>
      </c>
      <c r="E38" s="194" t="s">
        <v>155</v>
      </c>
      <c r="F38" s="183" t="s">
        <v>145</v>
      </c>
      <c r="G38" s="187"/>
      <c r="H38" s="168"/>
      <c r="I38" s="168"/>
      <c r="J38" s="84"/>
      <c r="K38" s="84"/>
      <c r="L38" s="84"/>
      <c r="M38" s="84"/>
      <c r="N38" s="84"/>
      <c r="O38" s="84"/>
      <c r="P38" s="84"/>
      <c r="Q38" s="84"/>
      <c r="R38" s="84"/>
      <c r="S38" s="84"/>
      <c r="T38" s="84"/>
      <c r="U38" s="84"/>
      <c r="V38" s="84"/>
      <c r="W38" s="84"/>
      <c r="X38" s="84"/>
      <c r="Y38" s="84"/>
      <c r="Z38" s="84"/>
      <c r="AA38" s="84"/>
      <c r="AB38" s="84"/>
      <c r="AC38" s="84"/>
    </row>
    <row r="39" spans="1:29" s="35" customFormat="1" ht="18.75">
      <c r="A39" s="169"/>
      <c r="B39" s="193" t="s">
        <v>254</v>
      </c>
      <c r="C39" s="180" t="s">
        <v>569</v>
      </c>
      <c r="D39" s="181">
        <v>24.5</v>
      </c>
      <c r="E39" s="194" t="s">
        <v>154</v>
      </c>
      <c r="F39" s="183" t="s">
        <v>145</v>
      </c>
      <c r="G39" s="187"/>
      <c r="H39" s="168"/>
      <c r="I39" s="168"/>
      <c r="J39" s="84"/>
      <c r="K39" s="84"/>
      <c r="L39" s="84"/>
      <c r="M39" s="84"/>
      <c r="N39" s="84"/>
      <c r="O39" s="84"/>
      <c r="P39" s="84"/>
      <c r="Q39" s="84"/>
      <c r="R39" s="84"/>
      <c r="S39" s="84"/>
      <c r="T39" s="84"/>
      <c r="U39" s="84"/>
      <c r="V39" s="84"/>
      <c r="W39" s="84"/>
      <c r="X39" s="84"/>
      <c r="Y39" s="84"/>
      <c r="Z39" s="84"/>
      <c r="AA39" s="84"/>
      <c r="AB39" s="84"/>
      <c r="AC39" s="84"/>
    </row>
    <row r="40" spans="1:29" ht="18.75">
      <c r="A40" s="169"/>
      <c r="B40" s="193" t="s">
        <v>208</v>
      </c>
      <c r="C40" s="180" t="s">
        <v>570</v>
      </c>
      <c r="D40" s="178">
        <v>1.5</v>
      </c>
      <c r="E40" s="186" t="s">
        <v>156</v>
      </c>
      <c r="F40" s="177" t="s">
        <v>145</v>
      </c>
      <c r="G40" s="187"/>
      <c r="H40" s="168"/>
      <c r="I40" s="168"/>
      <c r="J40" s="84"/>
      <c r="K40" s="84"/>
      <c r="L40" s="84"/>
      <c r="M40" s="84"/>
      <c r="N40" s="84"/>
      <c r="O40" s="84"/>
      <c r="P40" s="84"/>
      <c r="Q40" s="84"/>
      <c r="R40" s="84"/>
      <c r="S40" s="84"/>
      <c r="T40" s="84"/>
      <c r="U40" s="84"/>
      <c r="V40" s="84"/>
      <c r="W40" s="84"/>
      <c r="X40" s="84"/>
      <c r="Y40" s="84"/>
      <c r="Z40" s="84"/>
      <c r="AA40" s="84"/>
      <c r="AB40" s="84"/>
      <c r="AC40" s="84"/>
    </row>
    <row r="41" spans="1:29" ht="18.75">
      <c r="A41" s="169"/>
      <c r="B41" s="195" t="s">
        <v>1141</v>
      </c>
      <c r="C41" s="190" t="s">
        <v>571</v>
      </c>
      <c r="D41" s="96">
        <v>6</v>
      </c>
      <c r="E41" s="191" t="s">
        <v>131</v>
      </c>
      <c r="F41" s="192" t="s">
        <v>256</v>
      </c>
      <c r="G41" s="187"/>
      <c r="H41" s="168"/>
      <c r="I41" s="168"/>
      <c r="J41" s="84"/>
      <c r="K41" s="84"/>
      <c r="L41" s="84"/>
      <c r="M41" s="84"/>
      <c r="N41" s="84"/>
      <c r="O41" s="84"/>
      <c r="P41" s="84"/>
      <c r="Q41" s="84"/>
      <c r="R41" s="84"/>
      <c r="S41" s="84"/>
      <c r="T41" s="84"/>
      <c r="U41" s="84"/>
      <c r="V41" s="84"/>
      <c r="W41" s="84"/>
      <c r="X41" s="84"/>
      <c r="Y41" s="84"/>
      <c r="Z41" s="84"/>
      <c r="AA41" s="84"/>
      <c r="AB41" s="84"/>
      <c r="AC41" s="84"/>
    </row>
    <row r="42" spans="1:29" ht="18.75">
      <c r="A42" s="169"/>
      <c r="B42" s="189" t="s">
        <v>572</v>
      </c>
      <c r="C42" s="190" t="s">
        <v>573</v>
      </c>
      <c r="D42" s="80">
        <v>3</v>
      </c>
      <c r="E42" s="196" t="s">
        <v>137</v>
      </c>
      <c r="F42" s="192" t="s">
        <v>1112</v>
      </c>
      <c r="G42" s="187"/>
      <c r="H42" s="168"/>
      <c r="I42" s="168"/>
      <c r="J42" s="84"/>
      <c r="K42" s="84"/>
      <c r="L42" s="84"/>
      <c r="M42" s="84"/>
      <c r="N42" s="84"/>
      <c r="O42" s="84"/>
      <c r="P42" s="84"/>
      <c r="Q42" s="84"/>
      <c r="R42" s="84"/>
      <c r="S42" s="84"/>
      <c r="T42" s="84"/>
      <c r="U42" s="84"/>
      <c r="V42" s="84"/>
      <c r="W42" s="84"/>
      <c r="X42" s="84"/>
      <c r="Y42" s="84"/>
      <c r="Z42" s="84"/>
      <c r="AA42" s="84"/>
      <c r="AB42" s="84"/>
      <c r="AC42" s="84"/>
    </row>
    <row r="43" spans="1:29" ht="19.5" customHeight="1">
      <c r="A43" s="169"/>
      <c r="B43" s="197" t="s">
        <v>1113</v>
      </c>
      <c r="C43" s="198" t="s">
        <v>574</v>
      </c>
      <c r="D43" s="76">
        <v>30</v>
      </c>
      <c r="E43" s="199" t="s">
        <v>6</v>
      </c>
      <c r="F43" s="200" t="s">
        <v>226</v>
      </c>
      <c r="G43" s="187"/>
      <c r="H43" s="168"/>
      <c r="I43" s="168"/>
      <c r="J43" s="84"/>
      <c r="K43" s="84"/>
      <c r="L43" s="84"/>
      <c r="M43" s="84"/>
      <c r="N43" s="84"/>
      <c r="O43" s="84"/>
      <c r="P43" s="84"/>
      <c r="Q43" s="84"/>
      <c r="R43" s="84"/>
      <c r="S43" s="84"/>
      <c r="T43" s="84"/>
      <c r="U43" s="84"/>
      <c r="V43" s="84"/>
      <c r="W43" s="84"/>
      <c r="X43" s="84"/>
      <c r="Y43" s="84"/>
      <c r="Z43" s="84"/>
      <c r="AA43" s="84"/>
      <c r="AB43" s="84"/>
      <c r="AC43" s="84"/>
    </row>
    <row r="44" spans="1:29" ht="19.5" customHeight="1" thickBot="1">
      <c r="A44" s="169"/>
      <c r="B44" s="201" t="s">
        <v>169</v>
      </c>
      <c r="C44" s="202" t="s">
        <v>821</v>
      </c>
      <c r="D44" s="1">
        <v>50</v>
      </c>
      <c r="E44" s="203" t="s">
        <v>6</v>
      </c>
      <c r="F44" s="204" t="s">
        <v>255</v>
      </c>
      <c r="G44" s="187"/>
      <c r="H44" s="205"/>
      <c r="I44" s="168"/>
      <c r="J44" s="84"/>
      <c r="K44" s="84"/>
      <c r="L44" s="84"/>
      <c r="M44" s="84"/>
      <c r="N44" s="84"/>
      <c r="O44" s="84"/>
      <c r="P44" s="84"/>
      <c r="Q44" s="92"/>
      <c r="R44" s="84"/>
      <c r="S44" s="84"/>
      <c r="T44" s="84"/>
      <c r="U44" s="84"/>
      <c r="V44" s="84"/>
      <c r="W44" s="84"/>
      <c r="X44" s="84"/>
      <c r="Y44" s="84"/>
      <c r="Z44" s="84"/>
      <c r="AA44" s="84"/>
      <c r="AB44" s="84"/>
      <c r="AC44" s="84"/>
    </row>
    <row r="45" spans="1:29" ht="16.5" thickBot="1">
      <c r="A45" s="169"/>
      <c r="B45" s="163"/>
      <c r="C45" s="164"/>
      <c r="D45" s="165"/>
      <c r="E45" s="166"/>
      <c r="F45" s="206"/>
      <c r="G45" s="187"/>
      <c r="H45" s="168"/>
      <c r="I45" s="168"/>
      <c r="J45" s="110"/>
      <c r="K45" s="84"/>
      <c r="L45" s="84"/>
      <c r="M45" s="84"/>
      <c r="N45" s="84"/>
      <c r="O45" s="84"/>
      <c r="P45" s="84"/>
      <c r="Q45" s="84"/>
      <c r="R45" s="84"/>
      <c r="S45" s="84"/>
      <c r="T45" s="84"/>
      <c r="U45" s="84"/>
      <c r="V45" s="84"/>
      <c r="W45" s="84"/>
      <c r="X45" s="84"/>
      <c r="Y45" s="84"/>
      <c r="Z45" s="84"/>
      <c r="AA45" s="84"/>
      <c r="AB45" s="84"/>
      <c r="AC45" s="84"/>
    </row>
    <row r="46" spans="1:29" ht="18" customHeight="1">
      <c r="A46" s="169"/>
      <c r="B46" s="816" t="s">
        <v>210</v>
      </c>
      <c r="C46" s="817"/>
      <c r="D46" s="817"/>
      <c r="E46" s="817"/>
      <c r="F46" s="818"/>
      <c r="G46" s="187"/>
      <c r="H46" s="168"/>
      <c r="I46" s="168"/>
      <c r="J46" s="84"/>
      <c r="K46" s="84"/>
      <c r="L46" s="84"/>
      <c r="M46" s="84"/>
      <c r="N46" s="84"/>
      <c r="O46" s="84"/>
      <c r="P46" s="84"/>
      <c r="Q46" s="84"/>
      <c r="R46" s="84"/>
      <c r="S46" s="84"/>
      <c r="T46" s="84"/>
      <c r="U46" s="84"/>
      <c r="V46" s="84"/>
      <c r="W46" s="84"/>
      <c r="X46" s="84"/>
      <c r="Y46" s="84"/>
      <c r="Z46" s="84"/>
      <c r="AA46" s="84"/>
      <c r="AB46" s="84"/>
      <c r="AC46" s="84"/>
    </row>
    <row r="47" spans="1:29" ht="19.5">
      <c r="A47" s="169"/>
      <c r="B47" s="207" t="s">
        <v>211</v>
      </c>
      <c r="C47" s="208" t="s">
        <v>170</v>
      </c>
      <c r="D47" s="209">
        <f>IF(Vin_type="AC",((VINPUT_max*SQRT(2))/(VSR_actual*Kder_SR/100-(VOUT+Vf_SR)*OVP_tgt/100-ΔVSPIKE_SR)),((VINPUT_max)/(VSR_actual*Kder_SR/100-(VOUT+Vf_SR)*OVP_tgt/100-ΔVSPIKE_SR)))</f>
        <v>4.1594454072790299</v>
      </c>
      <c r="E47" s="824"/>
      <c r="F47" s="825"/>
      <c r="G47" s="674"/>
      <c r="H47" s="205"/>
      <c r="I47" s="211"/>
      <c r="J47" s="84"/>
      <c r="K47" s="84"/>
      <c r="L47" s="84"/>
      <c r="M47" s="84"/>
      <c r="N47" s="84"/>
      <c r="O47" s="84"/>
      <c r="P47" s="84"/>
      <c r="Q47" s="84"/>
      <c r="R47" s="84"/>
      <c r="S47" s="84"/>
      <c r="T47" s="84"/>
      <c r="U47" s="84"/>
      <c r="V47" s="84"/>
      <c r="W47" s="84"/>
      <c r="X47" s="84"/>
      <c r="Y47" s="84"/>
      <c r="Z47" s="84"/>
      <c r="AA47" s="84"/>
      <c r="AB47" s="84"/>
      <c r="AC47" s="84"/>
    </row>
    <row r="48" spans="1:29" ht="19.5">
      <c r="A48" s="169"/>
      <c r="B48" s="207" t="s">
        <v>212</v>
      </c>
      <c r="C48" s="212" t="s">
        <v>171</v>
      </c>
      <c r="D48" s="209">
        <f>IF(Vin_type="AC",((VDS_actual*Kder_SR/100-VINPUT_max*SQRT(2)-ΔVCLAMP)/((VOUT+Vf_SR)*OVP_tgt/100)+Vf_SR),((VDS_actual*Kder_SR/100-VINPUT_max-ΔVCLAMP)/((VOUT+Vf_SR)*OVP_tgt/100)+Vf_SR))</f>
        <v>74.782608695652172</v>
      </c>
      <c r="E48" s="826"/>
      <c r="F48" s="827"/>
      <c r="G48" s="187"/>
      <c r="H48" s="205"/>
      <c r="I48" s="211"/>
      <c r="J48" s="84"/>
      <c r="K48" s="84"/>
      <c r="L48" s="84"/>
      <c r="M48" s="84"/>
      <c r="N48" s="84"/>
      <c r="O48" s="84"/>
      <c r="P48" s="84"/>
      <c r="Q48" s="84"/>
      <c r="R48" s="84"/>
      <c r="S48" s="84"/>
      <c r="T48" s="84"/>
      <c r="U48" s="84"/>
      <c r="V48" s="84"/>
      <c r="W48" s="84"/>
      <c r="X48" s="84"/>
      <c r="Y48" s="84"/>
      <c r="Z48" s="84"/>
      <c r="AA48" s="84"/>
      <c r="AB48" s="84"/>
      <c r="AC48" s="84"/>
    </row>
    <row r="49" spans="1:30" ht="18.75">
      <c r="A49" s="169"/>
      <c r="B49" s="213" t="s">
        <v>213</v>
      </c>
      <c r="C49" s="214" t="s">
        <v>173</v>
      </c>
      <c r="D49" s="37">
        <v>60</v>
      </c>
      <c r="E49" s="215"/>
      <c r="F49" s="216" t="s">
        <v>982</v>
      </c>
      <c r="G49" s="187"/>
      <c r="H49" s="168"/>
      <c r="I49" s="168"/>
      <c r="J49" s="84"/>
      <c r="K49" s="84"/>
      <c r="L49" s="84"/>
      <c r="M49" s="84"/>
      <c r="N49" s="84"/>
      <c r="O49" s="84"/>
      <c r="P49" s="84"/>
      <c r="Q49" s="84"/>
      <c r="R49" s="84"/>
      <c r="S49" s="84"/>
      <c r="T49" s="84"/>
      <c r="U49" s="84"/>
      <c r="V49" s="84"/>
      <c r="W49" s="84"/>
      <c r="X49" s="84"/>
      <c r="Y49" s="84"/>
      <c r="Z49" s="84"/>
      <c r="AA49" s="84"/>
      <c r="AB49" s="84"/>
      <c r="AC49" s="84"/>
    </row>
    <row r="50" spans="1:30" ht="18.75">
      <c r="A50" s="169"/>
      <c r="B50" s="213" t="s">
        <v>118</v>
      </c>
      <c r="C50" s="214" t="s">
        <v>174</v>
      </c>
      <c r="D50" s="33">
        <v>120</v>
      </c>
      <c r="E50" s="217"/>
      <c r="F50" s="218" t="s">
        <v>981</v>
      </c>
      <c r="G50" s="187"/>
      <c r="H50" s="168"/>
      <c r="I50" s="168"/>
      <c r="J50" s="84"/>
      <c r="K50" s="84"/>
      <c r="L50" s="84"/>
      <c r="M50" s="84"/>
      <c r="N50" s="84"/>
      <c r="O50" s="84"/>
      <c r="P50" s="84"/>
      <c r="Q50" s="84"/>
      <c r="R50" s="84"/>
      <c r="S50" s="84"/>
      <c r="T50" s="84"/>
      <c r="U50" s="84"/>
      <c r="V50" s="84"/>
      <c r="W50" s="84"/>
      <c r="X50" s="84"/>
      <c r="Y50" s="84"/>
      <c r="Z50" s="84"/>
      <c r="AA50" s="84"/>
      <c r="AB50" s="84"/>
      <c r="AC50" s="84"/>
    </row>
    <row r="51" spans="1:30" ht="18.75">
      <c r="A51" s="169"/>
      <c r="B51" s="207" t="s">
        <v>142</v>
      </c>
      <c r="C51" s="212" t="s">
        <v>175</v>
      </c>
      <c r="D51" s="219">
        <f>NP/NPS</f>
        <v>2</v>
      </c>
      <c r="E51" s="220"/>
      <c r="F51" s="221"/>
      <c r="G51" s="187"/>
      <c r="H51" s="168"/>
      <c r="I51" s="168"/>
      <c r="J51" s="84"/>
      <c r="K51" s="84"/>
      <c r="L51" s="84"/>
      <c r="M51" s="84"/>
      <c r="N51" s="84"/>
      <c r="O51" s="84"/>
      <c r="P51" s="84"/>
      <c r="Q51" s="84"/>
      <c r="R51" s="84"/>
      <c r="S51" s="84"/>
      <c r="T51" s="84"/>
      <c r="U51" s="84"/>
      <c r="V51" s="84"/>
      <c r="W51" s="84"/>
      <c r="X51" s="84"/>
      <c r="Y51" s="84"/>
      <c r="Z51" s="84"/>
      <c r="AA51" s="84"/>
      <c r="AB51" s="84"/>
      <c r="AC51" s="84"/>
    </row>
    <row r="52" spans="1:30" ht="18.75">
      <c r="A52" s="169"/>
      <c r="B52" s="207" t="s">
        <v>360</v>
      </c>
      <c r="C52" s="212" t="s">
        <v>176</v>
      </c>
      <c r="D52" s="99">
        <f>ROUND(NS_rec,0)</f>
        <v>2</v>
      </c>
      <c r="E52" s="220"/>
      <c r="F52" s="177" t="s">
        <v>577</v>
      </c>
      <c r="G52" s="580"/>
      <c r="H52" s="168"/>
      <c r="I52" s="168"/>
      <c r="J52" s="84"/>
      <c r="K52" s="84"/>
      <c r="L52" s="84"/>
      <c r="M52" s="84"/>
      <c r="N52" s="84"/>
      <c r="O52" s="84"/>
      <c r="P52" s="84"/>
      <c r="Q52" s="84"/>
      <c r="R52" s="84"/>
      <c r="S52" s="84"/>
      <c r="T52" s="84"/>
      <c r="U52" s="84"/>
      <c r="V52" s="84"/>
      <c r="W52" s="84"/>
      <c r="X52" s="84"/>
      <c r="Y52" s="84"/>
      <c r="Z52" s="84"/>
      <c r="AA52" s="84"/>
      <c r="AB52" s="84"/>
      <c r="AC52" s="84"/>
    </row>
    <row r="53" spans="1:30" ht="18.75">
      <c r="A53" s="169"/>
      <c r="B53" s="207" t="s">
        <v>214</v>
      </c>
      <c r="C53" s="212" t="s">
        <v>177</v>
      </c>
      <c r="D53" s="219">
        <f>ROUND((VDD_off+VDD_PCT+_∆V_MIN+Vf_Daux)*NS/(VOUT+Vf_SR),1)</f>
        <v>6.8</v>
      </c>
      <c r="E53" s="220"/>
      <c r="F53" s="221"/>
      <c r="G53" s="674"/>
      <c r="H53" s="168"/>
      <c r="I53" s="168"/>
      <c r="J53" s="84"/>
      <c r="K53" s="84"/>
      <c r="L53" s="84"/>
      <c r="M53" s="84"/>
      <c r="N53" s="84"/>
      <c r="O53" s="84"/>
      <c r="P53" s="84"/>
      <c r="Q53" s="84"/>
      <c r="R53" s="84"/>
      <c r="S53" s="84"/>
      <c r="T53" s="84"/>
      <c r="U53" s="84"/>
      <c r="V53" s="84"/>
      <c r="W53" s="84"/>
      <c r="X53" s="84"/>
      <c r="Y53" s="84"/>
      <c r="Z53" s="84"/>
      <c r="AA53" s="84"/>
      <c r="AB53" s="84"/>
      <c r="AC53" s="84"/>
    </row>
    <row r="54" spans="1:30" ht="18.75">
      <c r="A54" s="169"/>
      <c r="B54" s="207" t="s">
        <v>215</v>
      </c>
      <c r="C54" s="212" t="s">
        <v>178</v>
      </c>
      <c r="D54" s="219">
        <f>ROUND((VDD_max*NS)/(VOUT*OVP_tgt*0.01+Vf_SR),1)</f>
        <v>11.8</v>
      </c>
      <c r="E54" s="220"/>
      <c r="F54" s="221"/>
      <c r="G54" s="187"/>
      <c r="H54" s="210"/>
      <c r="I54" s="210"/>
      <c r="J54" s="110"/>
      <c r="K54" s="110"/>
      <c r="L54" s="110"/>
      <c r="M54" s="110"/>
      <c r="N54" s="110"/>
      <c r="O54" s="110"/>
      <c r="P54" s="110"/>
      <c r="Q54" s="110"/>
      <c r="R54" s="110"/>
      <c r="S54" s="110"/>
      <c r="T54" s="110"/>
      <c r="U54" s="110"/>
      <c r="V54" s="110"/>
      <c r="W54" s="110"/>
      <c r="X54" s="110"/>
      <c r="Y54" s="110"/>
      <c r="Z54" s="110"/>
      <c r="AA54" s="110"/>
      <c r="AB54" s="110"/>
      <c r="AC54" s="110"/>
      <c r="AD54" s="110"/>
    </row>
    <row r="55" spans="1:30" ht="18.75">
      <c r="A55" s="169"/>
      <c r="B55" s="213" t="s">
        <v>179</v>
      </c>
      <c r="C55" s="214" t="s">
        <v>180</v>
      </c>
      <c r="D55" s="33">
        <v>8</v>
      </c>
      <c r="E55" s="222"/>
      <c r="F55" s="216" t="s">
        <v>578</v>
      </c>
      <c r="G55" s="187"/>
      <c r="H55" s="210"/>
      <c r="I55" s="210"/>
      <c r="J55" s="110"/>
      <c r="K55" s="110"/>
      <c r="L55" s="110"/>
      <c r="M55" s="110"/>
      <c r="N55" s="110"/>
      <c r="O55" s="110"/>
      <c r="P55" s="110"/>
      <c r="Q55" s="110"/>
      <c r="R55" s="110"/>
      <c r="S55" s="110"/>
      <c r="T55" s="110"/>
      <c r="U55" s="110"/>
      <c r="V55" s="110"/>
      <c r="W55" s="110"/>
      <c r="X55" s="110"/>
      <c r="Y55" s="110"/>
      <c r="Z55" s="110"/>
      <c r="AA55" s="110"/>
      <c r="AB55" s="110"/>
      <c r="AC55" s="110"/>
      <c r="AD55" s="110"/>
    </row>
    <row r="56" spans="1:30" ht="18.75">
      <c r="A56" s="169"/>
      <c r="B56" s="171" t="s">
        <v>586</v>
      </c>
      <c r="C56" s="172" t="s">
        <v>587</v>
      </c>
      <c r="D56" s="223">
        <f>(Vf_SR+VOUT)*NPS</f>
        <v>300</v>
      </c>
      <c r="E56" s="224" t="s">
        <v>6</v>
      </c>
      <c r="F56" s="177"/>
      <c r="G56" s="187"/>
      <c r="H56" s="210"/>
      <c r="I56" s="210"/>
      <c r="J56" s="110"/>
      <c r="K56" s="110"/>
      <c r="L56" s="110"/>
      <c r="M56" s="110"/>
      <c r="N56" s="110"/>
      <c r="O56" s="110"/>
      <c r="P56" s="110"/>
      <c r="Q56" s="110"/>
      <c r="R56" s="110"/>
      <c r="S56" s="110"/>
      <c r="T56" s="110"/>
      <c r="U56" s="110"/>
      <c r="V56" s="110"/>
      <c r="W56" s="110"/>
      <c r="X56" s="110"/>
      <c r="Y56" s="110"/>
      <c r="Z56" s="110"/>
      <c r="AA56" s="110"/>
      <c r="AB56" s="110"/>
      <c r="AC56" s="110"/>
      <c r="AD56" s="110"/>
    </row>
    <row r="57" spans="1:30" ht="18.75">
      <c r="A57" s="169"/>
      <c r="B57" s="171" t="s">
        <v>216</v>
      </c>
      <c r="C57" s="225" t="s">
        <v>588</v>
      </c>
      <c r="D57" s="226">
        <f>IF(Vin_type="AC",((NPS*(VOUT+Vf_SR))/((VBulk_min_tgt+NPS*VOUT))),((NPS*(VOUT+Vf_SR))/((VBulk_min_tgt+NPS*VOUT))))</f>
        <v>0.57692307692307687</v>
      </c>
      <c r="E57" s="186"/>
      <c r="F57" s="177"/>
      <c r="G57" s="187"/>
      <c r="H57" s="227"/>
      <c r="I57" s="228"/>
      <c r="J57" s="110"/>
      <c r="K57" s="110"/>
      <c r="L57" s="110"/>
      <c r="M57" s="110"/>
      <c r="N57" s="110"/>
      <c r="O57" s="110"/>
      <c r="P57" s="110"/>
      <c r="Q57" s="110"/>
      <c r="R57" s="110"/>
      <c r="S57" s="110"/>
      <c r="T57" s="110"/>
      <c r="U57" s="110"/>
      <c r="V57" s="110"/>
      <c r="W57" s="110"/>
      <c r="X57" s="110"/>
      <c r="Y57" s="110"/>
      <c r="Z57" s="110"/>
      <c r="AA57" s="110"/>
      <c r="AB57" s="110"/>
      <c r="AC57" s="110"/>
      <c r="AD57" s="110"/>
    </row>
    <row r="58" spans="1:30" ht="18.75">
      <c r="A58" s="169"/>
      <c r="B58" s="171" t="s">
        <v>589</v>
      </c>
      <c r="C58" s="172" t="s">
        <v>590</v>
      </c>
      <c r="D58" s="223">
        <f>IF(Vin_type="AC",((((D_max^2)*((VBulk_min_tgt)^2)*η_min*((100-KRES)/100))/(2*PO_FL*fSWmin*1000))*10^6),((((D_max^2)*((VBulk_min_tgt)^2)*η_min*((100-KRES)/100))/(2*PO_FL*fSWmin*1000))*10^6))</f>
        <v>1214.0427973882879</v>
      </c>
      <c r="E58" s="186" t="s">
        <v>11</v>
      </c>
      <c r="F58" s="177"/>
      <c r="G58" s="187"/>
      <c r="H58" s="227"/>
      <c r="I58" s="228"/>
      <c r="J58" s="110"/>
      <c r="K58" s="110"/>
      <c r="L58" s="110"/>
      <c r="M58" s="110"/>
      <c r="N58" s="110"/>
      <c r="O58" s="110"/>
      <c r="P58" s="110"/>
      <c r="Q58" s="110"/>
      <c r="R58" s="110"/>
      <c r="S58" s="110"/>
      <c r="T58" s="110"/>
      <c r="U58" s="110"/>
      <c r="V58" s="110"/>
      <c r="W58" s="110"/>
      <c r="X58" s="110"/>
      <c r="Y58" s="110"/>
      <c r="Z58" s="110"/>
      <c r="AA58" s="110"/>
      <c r="AB58" s="110"/>
      <c r="AC58" s="110"/>
      <c r="AD58" s="110"/>
    </row>
    <row r="59" spans="1:30" ht="18.75">
      <c r="A59" s="169"/>
      <c r="B59" s="229" t="s">
        <v>181</v>
      </c>
      <c r="C59" s="230" t="s">
        <v>243</v>
      </c>
      <c r="D59" s="33">
        <v>1200</v>
      </c>
      <c r="E59" s="231" t="s">
        <v>11</v>
      </c>
      <c r="F59" s="232" t="s">
        <v>983</v>
      </c>
      <c r="G59" s="187"/>
      <c r="H59" s="210"/>
      <c r="I59" s="210"/>
      <c r="J59" s="110"/>
      <c r="K59" s="110"/>
      <c r="L59" s="110"/>
      <c r="M59" s="110"/>
      <c r="N59" s="110"/>
      <c r="O59" s="110"/>
      <c r="P59" s="110"/>
      <c r="Q59" s="110"/>
      <c r="R59" s="110"/>
      <c r="S59" s="110"/>
      <c r="T59" s="110"/>
      <c r="U59" s="110"/>
      <c r="V59" s="110"/>
      <c r="W59" s="110"/>
      <c r="X59" s="110"/>
      <c r="Y59" s="110"/>
      <c r="Z59" s="110"/>
      <c r="AA59" s="110"/>
      <c r="AB59" s="110"/>
      <c r="AC59" s="110"/>
      <c r="AD59" s="110"/>
    </row>
    <row r="60" spans="1:30" ht="18.75">
      <c r="A60" s="169"/>
      <c r="B60" s="207" t="s">
        <v>119</v>
      </c>
      <c r="C60" s="212" t="s">
        <v>182</v>
      </c>
      <c r="D60" s="99">
        <f>IF(LM_act="",LM_rec,LM_act)</f>
        <v>1200</v>
      </c>
      <c r="E60" s="233" t="s">
        <v>11</v>
      </c>
      <c r="F60" s="234"/>
      <c r="G60" s="187"/>
      <c r="H60" s="210"/>
      <c r="I60" s="210"/>
      <c r="J60" s="110"/>
      <c r="K60" s="110"/>
      <c r="L60" s="110"/>
      <c r="M60" s="110"/>
      <c r="N60" s="110"/>
      <c r="O60" s="110"/>
      <c r="P60" s="110"/>
      <c r="Q60" s="110"/>
      <c r="R60" s="110"/>
      <c r="S60" s="110"/>
      <c r="T60" s="110"/>
      <c r="U60" s="110"/>
      <c r="V60" s="110"/>
      <c r="W60" s="110"/>
      <c r="X60" s="110"/>
      <c r="Y60" s="110"/>
      <c r="Z60" s="110"/>
      <c r="AA60" s="110"/>
      <c r="AB60" s="110"/>
      <c r="AC60" s="110"/>
      <c r="AD60" s="110"/>
    </row>
    <row r="61" spans="1:30" ht="18.75">
      <c r="A61" s="169"/>
      <c r="B61" s="229" t="s">
        <v>244</v>
      </c>
      <c r="C61" s="230" t="s">
        <v>822</v>
      </c>
      <c r="D61" s="38">
        <v>2</v>
      </c>
      <c r="E61" s="235" t="s">
        <v>20</v>
      </c>
      <c r="F61" s="232" t="s">
        <v>983</v>
      </c>
      <c r="G61" s="187"/>
      <c r="H61" s="210"/>
      <c r="I61" s="210"/>
      <c r="J61" s="110"/>
      <c r="K61" s="110"/>
      <c r="L61" s="110"/>
      <c r="M61" s="110"/>
      <c r="N61" s="110"/>
      <c r="O61" s="110"/>
      <c r="P61" s="110"/>
      <c r="Q61" s="110"/>
      <c r="R61" s="110"/>
      <c r="S61" s="110"/>
      <c r="T61" s="110"/>
      <c r="U61" s="110"/>
      <c r="V61" s="110"/>
      <c r="W61" s="110"/>
      <c r="X61" s="110"/>
      <c r="Y61" s="110"/>
      <c r="Z61" s="110"/>
      <c r="AA61" s="110"/>
      <c r="AB61" s="110"/>
      <c r="AC61" s="110"/>
      <c r="AD61" s="110"/>
    </row>
    <row r="62" spans="1:30" ht="18.75">
      <c r="A62" s="169"/>
      <c r="B62" s="213" t="s">
        <v>246</v>
      </c>
      <c r="C62" s="214" t="s">
        <v>247</v>
      </c>
      <c r="D62" s="22">
        <v>0.96</v>
      </c>
      <c r="E62" s="235"/>
      <c r="F62" s="232"/>
      <c r="G62" s="187"/>
      <c r="H62" s="210"/>
      <c r="I62" s="210"/>
      <c r="J62" s="110"/>
      <c r="K62" s="110"/>
      <c r="L62" s="110"/>
      <c r="M62" s="110"/>
      <c r="N62" s="110"/>
      <c r="O62" s="110"/>
      <c r="P62" s="110"/>
      <c r="Q62" s="110"/>
      <c r="R62" s="110"/>
      <c r="S62" s="110"/>
      <c r="T62" s="110"/>
      <c r="U62" s="110"/>
      <c r="V62" s="110"/>
      <c r="W62" s="110"/>
      <c r="X62" s="110"/>
      <c r="Y62" s="110"/>
      <c r="Z62" s="110"/>
      <c r="AA62" s="110"/>
      <c r="AB62" s="110"/>
      <c r="AC62" s="110"/>
      <c r="AD62" s="110"/>
    </row>
    <row r="63" spans="1:30" ht="18.75">
      <c r="A63" s="169"/>
      <c r="B63" s="213" t="s">
        <v>248</v>
      </c>
      <c r="C63" s="214" t="s">
        <v>183</v>
      </c>
      <c r="D63" s="38">
        <v>3.1</v>
      </c>
      <c r="E63" s="231" t="s">
        <v>107</v>
      </c>
      <c r="F63" s="232" t="s">
        <v>250</v>
      </c>
      <c r="G63" s="187"/>
      <c r="H63" s="210"/>
      <c r="I63" s="210"/>
      <c r="J63" s="110"/>
      <c r="K63" s="110"/>
      <c r="L63" s="110"/>
      <c r="M63" s="110"/>
      <c r="N63" s="110"/>
      <c r="O63" s="110"/>
      <c r="P63" s="110"/>
      <c r="Q63" s="110"/>
      <c r="R63" s="110"/>
      <c r="S63" s="110"/>
      <c r="T63" s="110"/>
      <c r="U63" s="110"/>
      <c r="V63" s="110"/>
      <c r="W63" s="110"/>
      <c r="X63" s="110"/>
      <c r="Y63" s="110"/>
      <c r="Z63" s="110"/>
      <c r="AA63" s="110"/>
      <c r="AB63" s="110"/>
      <c r="AC63" s="110"/>
      <c r="AD63" s="110"/>
    </row>
    <row r="64" spans="1:30" ht="19.5" thickBot="1">
      <c r="A64" s="169"/>
      <c r="B64" s="236" t="s">
        <v>249</v>
      </c>
      <c r="C64" s="237" t="s">
        <v>184</v>
      </c>
      <c r="D64" s="27">
        <v>1</v>
      </c>
      <c r="E64" s="238" t="s">
        <v>10</v>
      </c>
      <c r="F64" s="239" t="s">
        <v>983</v>
      </c>
      <c r="G64" s="187"/>
      <c r="H64" s="210"/>
      <c r="I64" s="210"/>
      <c r="J64" s="110"/>
      <c r="K64" s="110"/>
      <c r="L64" s="110"/>
      <c r="M64" s="110"/>
      <c r="N64" s="110"/>
      <c r="O64" s="110"/>
      <c r="P64" s="110"/>
      <c r="Q64" s="110"/>
      <c r="R64" s="110"/>
      <c r="S64" s="110"/>
      <c r="T64" s="110"/>
      <c r="U64" s="110"/>
      <c r="V64" s="110"/>
      <c r="W64" s="110"/>
      <c r="X64" s="110"/>
      <c r="Y64" s="110"/>
      <c r="Z64" s="110"/>
      <c r="AA64" s="110"/>
      <c r="AB64" s="110"/>
      <c r="AC64" s="110"/>
      <c r="AD64" s="110"/>
    </row>
    <row r="65" spans="1:30" ht="15.75" thickBot="1">
      <c r="A65" s="169"/>
      <c r="B65" s="163"/>
      <c r="C65" s="240"/>
      <c r="D65" s="165"/>
      <c r="E65" s="166"/>
      <c r="F65" s="167"/>
      <c r="G65" s="187"/>
      <c r="H65" s="210"/>
      <c r="I65" s="210"/>
      <c r="J65" s="110"/>
      <c r="K65" s="110"/>
      <c r="L65" s="110"/>
      <c r="M65" s="110"/>
      <c r="N65" s="110"/>
      <c r="O65" s="110"/>
      <c r="P65" s="110"/>
      <c r="Q65" s="110"/>
      <c r="R65" s="110"/>
      <c r="S65" s="110"/>
      <c r="T65" s="110"/>
      <c r="U65" s="110"/>
      <c r="V65" s="110"/>
      <c r="W65" s="110"/>
      <c r="X65" s="110"/>
      <c r="Y65" s="110"/>
      <c r="Z65" s="110"/>
      <c r="AA65" s="110"/>
      <c r="AB65" s="110"/>
      <c r="AC65" s="110"/>
      <c r="AD65" s="110"/>
    </row>
    <row r="66" spans="1:30" ht="18">
      <c r="A66" s="169"/>
      <c r="B66" s="813" t="s">
        <v>69</v>
      </c>
      <c r="C66" s="814"/>
      <c r="D66" s="814"/>
      <c r="E66" s="814"/>
      <c r="F66" s="815"/>
      <c r="G66" s="148" t="s">
        <v>1105</v>
      </c>
      <c r="H66" s="148"/>
      <c r="I66" s="210"/>
      <c r="J66" s="110"/>
      <c r="K66" s="110"/>
      <c r="L66" s="110"/>
      <c r="M66" s="110"/>
      <c r="N66" s="110"/>
      <c r="O66" s="110"/>
      <c r="P66" s="110"/>
      <c r="Q66" s="110"/>
      <c r="R66" s="110"/>
      <c r="S66" s="110"/>
      <c r="T66" s="110"/>
      <c r="U66" s="110"/>
      <c r="V66" s="110"/>
      <c r="W66" s="110"/>
      <c r="X66" s="110"/>
      <c r="Y66" s="110"/>
      <c r="Z66" s="110"/>
      <c r="AA66" s="110"/>
      <c r="AB66" s="110"/>
      <c r="AC66" s="110"/>
      <c r="AD66" s="110"/>
    </row>
    <row r="67" spans="1:30" ht="18.75">
      <c r="A67" s="170"/>
      <c r="B67" s="171" t="s">
        <v>217</v>
      </c>
      <c r="C67" s="172" t="s">
        <v>580</v>
      </c>
      <c r="D67" s="223">
        <f>Coss_QH_T</f>
        <v>87.500000000000014</v>
      </c>
      <c r="E67" s="173" t="s">
        <v>233</v>
      </c>
      <c r="F67" s="174" t="s">
        <v>579</v>
      </c>
      <c r="G67" s="187" t="s">
        <v>1044</v>
      </c>
      <c r="H67" s="210"/>
      <c r="I67" s="228"/>
      <c r="J67" s="110"/>
      <c r="K67" s="110"/>
      <c r="L67" s="110"/>
      <c r="M67" s="110"/>
      <c r="N67" s="110"/>
      <c r="O67" s="110"/>
      <c r="P67" s="110"/>
      <c r="Q67" s="110"/>
      <c r="R67" s="110"/>
      <c r="S67" s="110"/>
      <c r="T67" s="110"/>
      <c r="U67" s="110"/>
      <c r="V67" s="110"/>
      <c r="W67" s="110"/>
      <c r="X67" s="110"/>
      <c r="Y67" s="110"/>
      <c r="Z67" s="110"/>
      <c r="AA67" s="110"/>
      <c r="AB67" s="110"/>
      <c r="AC67" s="110"/>
      <c r="AD67" s="110"/>
    </row>
    <row r="68" spans="1:30" ht="18.75">
      <c r="A68" s="170"/>
      <c r="B68" s="171" t="s">
        <v>218</v>
      </c>
      <c r="C68" s="172" t="s">
        <v>581</v>
      </c>
      <c r="D68" s="223">
        <f>Coss_QL_T</f>
        <v>87.500000000000014</v>
      </c>
      <c r="E68" s="173" t="s">
        <v>233</v>
      </c>
      <c r="F68" s="174" t="s">
        <v>579</v>
      </c>
      <c r="G68" s="187"/>
      <c r="H68" s="210"/>
      <c r="I68" s="228"/>
      <c r="J68" s="110"/>
      <c r="K68" s="110"/>
      <c r="L68" s="110"/>
      <c r="M68" s="110"/>
      <c r="N68" s="110"/>
      <c r="O68" s="110"/>
      <c r="P68" s="110"/>
      <c r="Q68" s="110"/>
      <c r="R68" s="110"/>
      <c r="S68" s="110"/>
      <c r="T68" s="110"/>
      <c r="U68" s="110"/>
      <c r="V68" s="110"/>
      <c r="W68" s="110"/>
      <c r="X68" s="110"/>
      <c r="Y68" s="110"/>
      <c r="Z68" s="110"/>
      <c r="AA68" s="110"/>
      <c r="AB68" s="110"/>
      <c r="AC68" s="110"/>
      <c r="AD68" s="110"/>
    </row>
    <row r="69" spans="1:30" ht="18.75">
      <c r="A69" s="170"/>
      <c r="B69" s="171" t="s">
        <v>120</v>
      </c>
      <c r="C69" s="172" t="s">
        <v>582</v>
      </c>
      <c r="D69" s="223">
        <f>CTr</f>
        <v>3.1</v>
      </c>
      <c r="E69" s="173" t="s">
        <v>21</v>
      </c>
      <c r="F69" s="174"/>
      <c r="G69" s="187"/>
      <c r="H69" s="210"/>
      <c r="I69" s="210"/>
      <c r="J69" s="110"/>
      <c r="K69" s="110"/>
      <c r="L69" s="110"/>
      <c r="M69" s="110"/>
      <c r="N69" s="110"/>
      <c r="O69" s="110"/>
      <c r="P69" s="110"/>
      <c r="Q69" s="110"/>
      <c r="R69" s="110"/>
      <c r="S69" s="110"/>
      <c r="T69" s="110"/>
      <c r="U69" s="110"/>
      <c r="V69" s="110"/>
      <c r="W69" s="110"/>
      <c r="X69" s="110"/>
      <c r="Y69" s="110"/>
      <c r="Z69" s="110"/>
      <c r="AA69" s="110"/>
      <c r="AB69" s="110"/>
      <c r="AC69" s="110"/>
      <c r="AD69" s="110"/>
    </row>
    <row r="70" spans="1:30" ht="18.75">
      <c r="A70" s="169"/>
      <c r="B70" s="171" t="s">
        <v>334</v>
      </c>
      <c r="C70" s="172" t="s">
        <v>583</v>
      </c>
      <c r="D70" s="241">
        <f>CBootD_T</f>
        <v>10</v>
      </c>
      <c r="E70" s="173" t="s">
        <v>27</v>
      </c>
      <c r="F70" s="174"/>
      <c r="G70" s="187"/>
      <c r="H70" s="210"/>
      <c r="I70" s="210"/>
      <c r="J70" s="110"/>
      <c r="K70" s="110"/>
      <c r="L70" s="110"/>
      <c r="M70" s="110"/>
      <c r="N70" s="110"/>
      <c r="O70" s="110"/>
      <c r="P70" s="110"/>
      <c r="Q70" s="110"/>
      <c r="R70" s="110"/>
      <c r="S70" s="110"/>
      <c r="T70" s="110"/>
      <c r="U70" s="110"/>
      <c r="V70" s="110"/>
      <c r="W70" s="110"/>
      <c r="X70" s="110"/>
      <c r="Y70" s="110"/>
      <c r="Z70" s="110"/>
      <c r="AA70" s="110"/>
      <c r="AB70" s="110"/>
      <c r="AC70" s="110"/>
      <c r="AD70" s="110"/>
    </row>
    <row r="71" spans="1:30" ht="18.75">
      <c r="A71" s="169"/>
      <c r="B71" s="171" t="s">
        <v>121</v>
      </c>
      <c r="C71" s="172" t="s">
        <v>584</v>
      </c>
      <c r="D71" s="242">
        <f>COSS_Qs</f>
        <v>1.7</v>
      </c>
      <c r="E71" s="173" t="s">
        <v>13</v>
      </c>
      <c r="F71" s="177"/>
      <c r="G71" s="187"/>
      <c r="H71" s="210"/>
      <c r="I71" s="210"/>
      <c r="J71" s="110"/>
      <c r="K71" s="110"/>
      <c r="L71" s="110"/>
      <c r="M71" s="110"/>
      <c r="N71" s="110"/>
      <c r="O71" s="110"/>
      <c r="P71" s="110"/>
      <c r="Q71" s="110"/>
      <c r="R71" s="110"/>
      <c r="S71" s="110"/>
      <c r="T71" s="110"/>
      <c r="U71" s="110"/>
      <c r="V71" s="110"/>
      <c r="W71" s="110"/>
      <c r="X71" s="110"/>
      <c r="Y71" s="110"/>
      <c r="Z71" s="110"/>
      <c r="AA71" s="110"/>
      <c r="AB71" s="110"/>
      <c r="AC71" s="110"/>
      <c r="AD71" s="110"/>
    </row>
    <row r="72" spans="1:30" ht="18.75">
      <c r="A72" s="169"/>
      <c r="B72" s="179" t="s">
        <v>245</v>
      </c>
      <c r="C72" s="180" t="s">
        <v>902</v>
      </c>
      <c r="D72" s="243">
        <f>Coss_SR_T/(NP/NS)^2+CDaux_T/(NP/NA)^2</f>
        <v>1.1874666666666667</v>
      </c>
      <c r="E72" s="173" t="s">
        <v>21</v>
      </c>
      <c r="F72" s="174"/>
      <c r="G72" s="187"/>
      <c r="H72" s="210"/>
      <c r="I72" s="210"/>
      <c r="J72" s="110"/>
      <c r="K72" s="110"/>
      <c r="L72" s="110"/>
      <c r="M72" s="110"/>
      <c r="N72" s="110"/>
      <c r="O72" s="110"/>
      <c r="P72" s="110"/>
      <c r="Q72" s="110"/>
      <c r="R72" s="110"/>
      <c r="S72" s="110"/>
      <c r="T72" s="110"/>
      <c r="U72" s="110"/>
      <c r="V72" s="110"/>
      <c r="W72" s="110"/>
      <c r="X72" s="110"/>
      <c r="Y72" s="110"/>
      <c r="Z72" s="110"/>
      <c r="AA72" s="110"/>
      <c r="AB72" s="110"/>
      <c r="AC72" s="110"/>
      <c r="AD72" s="110"/>
    </row>
    <row r="73" spans="1:30" ht="19.5" thickBot="1">
      <c r="A73" s="169"/>
      <c r="B73" s="244" t="s">
        <v>335</v>
      </c>
      <c r="C73" s="245" t="s">
        <v>585</v>
      </c>
      <c r="D73" s="246">
        <f>D67+D68+D69+D70+D71+D72</f>
        <v>190.98746666666668</v>
      </c>
      <c r="E73" s="247" t="s">
        <v>21</v>
      </c>
      <c r="F73" s="248" t="s">
        <v>579</v>
      </c>
      <c r="G73" s="187"/>
      <c r="H73" s="210"/>
      <c r="I73" s="210"/>
      <c r="J73" s="110"/>
      <c r="K73" s="110"/>
      <c r="L73" s="110"/>
      <c r="M73" s="110"/>
      <c r="N73" s="110"/>
      <c r="O73" s="110"/>
      <c r="P73" s="110"/>
      <c r="Q73" s="110"/>
      <c r="R73" s="110"/>
      <c r="S73" s="110"/>
      <c r="T73" s="110"/>
      <c r="U73" s="110"/>
      <c r="V73" s="110"/>
      <c r="W73" s="110"/>
      <c r="X73" s="110"/>
      <c r="Y73" s="110"/>
      <c r="Z73" s="110"/>
      <c r="AA73" s="110"/>
      <c r="AB73" s="110"/>
      <c r="AC73" s="110"/>
      <c r="AD73" s="110"/>
    </row>
    <row r="74" spans="1:30" ht="15.75" thickBot="1">
      <c r="A74" s="169"/>
      <c r="B74" s="163"/>
      <c r="C74" s="240"/>
      <c r="D74" s="165"/>
      <c r="E74" s="166"/>
      <c r="F74" s="167"/>
      <c r="G74" s="187"/>
      <c r="H74" s="210"/>
      <c r="I74" s="210"/>
      <c r="J74" s="110"/>
      <c r="K74" s="110"/>
      <c r="L74" s="110"/>
      <c r="M74" s="110"/>
      <c r="N74" s="110"/>
      <c r="O74" s="110"/>
      <c r="P74" s="110"/>
      <c r="Q74" s="110"/>
      <c r="R74" s="110"/>
      <c r="S74" s="110"/>
      <c r="T74" s="110"/>
      <c r="U74" s="110"/>
      <c r="V74" s="110"/>
      <c r="W74" s="110"/>
      <c r="X74" s="110"/>
      <c r="Y74" s="110"/>
      <c r="Z74" s="110"/>
      <c r="AA74" s="110"/>
      <c r="AB74" s="110"/>
      <c r="AC74" s="110"/>
      <c r="AD74" s="110"/>
    </row>
    <row r="75" spans="1:30" ht="18" customHeight="1">
      <c r="A75" s="169"/>
      <c r="B75" s="816" t="s">
        <v>46</v>
      </c>
      <c r="C75" s="817"/>
      <c r="D75" s="817"/>
      <c r="E75" s="817"/>
      <c r="F75" s="818"/>
      <c r="G75" s="187"/>
      <c r="H75" s="210"/>
      <c r="I75" s="210"/>
      <c r="J75" s="110"/>
      <c r="K75" s="110"/>
      <c r="L75" s="110"/>
      <c r="M75" s="110"/>
      <c r="N75" s="110"/>
      <c r="O75" s="110"/>
      <c r="P75" s="110"/>
      <c r="Q75" s="110"/>
      <c r="R75" s="110"/>
      <c r="S75" s="110"/>
      <c r="T75" s="110"/>
      <c r="U75" s="110"/>
      <c r="V75" s="110"/>
      <c r="W75" s="110"/>
      <c r="X75" s="110"/>
      <c r="Y75" s="110"/>
      <c r="Z75" s="110"/>
      <c r="AA75" s="110"/>
      <c r="AB75" s="110"/>
      <c r="AC75" s="110"/>
      <c r="AD75" s="110"/>
    </row>
    <row r="76" spans="1:30" ht="18.75">
      <c r="A76" s="169"/>
      <c r="B76" s="189" t="s">
        <v>591</v>
      </c>
      <c r="C76" s="190" t="s">
        <v>823</v>
      </c>
      <c r="D76" s="318">
        <v>-45</v>
      </c>
      <c r="E76" s="249" t="s">
        <v>3</v>
      </c>
      <c r="F76" s="250" t="s">
        <v>1049</v>
      </c>
      <c r="G76" s="187"/>
      <c r="H76" s="210"/>
      <c r="I76" s="210"/>
      <c r="J76" s="110"/>
      <c r="K76" s="110"/>
      <c r="L76" s="110"/>
      <c r="M76" s="110"/>
      <c r="N76" s="110"/>
      <c r="O76" s="110"/>
      <c r="P76" s="110"/>
      <c r="Q76" s="110"/>
      <c r="R76" s="110"/>
      <c r="S76" s="110"/>
      <c r="T76" s="110"/>
      <c r="U76" s="110"/>
      <c r="V76" s="110"/>
      <c r="W76" s="110"/>
      <c r="X76" s="110"/>
      <c r="Y76" s="110"/>
      <c r="Z76" s="110"/>
      <c r="AA76" s="110"/>
      <c r="AB76" s="110"/>
      <c r="AC76" s="110"/>
      <c r="AD76" s="110"/>
    </row>
    <row r="77" spans="1:30" ht="18.75">
      <c r="A77" s="169"/>
      <c r="B77" s="179" t="s">
        <v>592</v>
      </c>
      <c r="C77" s="180" t="s">
        <v>593</v>
      </c>
      <c r="D77" s="251">
        <f>IF(Vin_type="AC",(((((0.001/fSWmin)*VINPUT_Brownout*1.414)/(VINPUT_Brownout*1.414+VRfl))^2)/((3.1416^2)*LK_act*10^-6))*10^6/((100+Drea_clamp)/100),(((((0.001/fSWmin)*VINPUT_Brownout)/(VINPUT_Brownout+VRfl))^2)/((3.1416^2)*LK_act*10^-6))*10^6/((100+Drea_clamp)/100))</f>
        <v>0.62718612940039242</v>
      </c>
      <c r="E77" s="224" t="s">
        <v>24</v>
      </c>
      <c r="F77" s="174" t="s">
        <v>345</v>
      </c>
      <c r="G77" s="187"/>
      <c r="H77" s="227"/>
      <c r="I77" s="228"/>
      <c r="J77" s="110"/>
      <c r="K77" s="110"/>
      <c r="L77" s="110"/>
      <c r="M77" s="110"/>
      <c r="N77" s="110"/>
      <c r="O77" s="110"/>
      <c r="P77" s="110"/>
      <c r="Q77" s="110"/>
      <c r="R77" s="110"/>
      <c r="S77" s="110"/>
      <c r="T77" s="110"/>
      <c r="U77" s="110"/>
      <c r="V77" s="110"/>
      <c r="W77" s="110"/>
      <c r="X77" s="110"/>
      <c r="Y77" s="110"/>
      <c r="Z77" s="110"/>
      <c r="AA77" s="110"/>
      <c r="AB77" s="110"/>
      <c r="AC77" s="110"/>
      <c r="AD77" s="110"/>
    </row>
    <row r="78" spans="1:30" ht="18.75">
      <c r="A78" s="169"/>
      <c r="B78" s="189" t="s">
        <v>594</v>
      </c>
      <c r="C78" s="252" t="s">
        <v>595</v>
      </c>
      <c r="D78" s="79">
        <v>0.68</v>
      </c>
      <c r="E78" s="249" t="s">
        <v>26</v>
      </c>
      <c r="F78" s="200" t="s">
        <v>596</v>
      </c>
      <c r="G78" s="187"/>
      <c r="H78" s="210"/>
      <c r="I78" s="210"/>
      <c r="J78" s="110"/>
      <c r="K78" s="110"/>
      <c r="L78" s="110"/>
      <c r="M78" s="110"/>
      <c r="N78" s="110"/>
      <c r="O78" s="110"/>
      <c r="P78" s="110"/>
      <c r="Q78" s="110"/>
      <c r="R78" s="110"/>
      <c r="S78" s="110"/>
      <c r="T78" s="110"/>
      <c r="U78" s="110"/>
      <c r="V78" s="110"/>
      <c r="W78" s="110"/>
      <c r="X78" s="110"/>
      <c r="Y78" s="110"/>
      <c r="Z78" s="110"/>
      <c r="AA78" s="110"/>
      <c r="AB78" s="110"/>
      <c r="AC78" s="110"/>
      <c r="AD78" s="110"/>
    </row>
    <row r="79" spans="1:30" s="35" customFormat="1" ht="18.75">
      <c r="A79" s="169"/>
      <c r="B79" s="179" t="s">
        <v>597</v>
      </c>
      <c r="C79" s="180" t="s">
        <v>598</v>
      </c>
      <c r="D79" s="251">
        <f>Cclamp_act*(100+Drea_clamp)/100</f>
        <v>0.37400000000000005</v>
      </c>
      <c r="E79" s="224" t="s">
        <v>24</v>
      </c>
      <c r="F79" s="253"/>
      <c r="G79" s="187"/>
      <c r="H79" s="210"/>
      <c r="I79" s="210"/>
      <c r="J79" s="110"/>
      <c r="K79" s="110"/>
      <c r="L79" s="110"/>
      <c r="M79" s="110"/>
      <c r="N79" s="110"/>
      <c r="O79" s="110"/>
      <c r="P79" s="110"/>
      <c r="Q79" s="110"/>
      <c r="R79" s="110"/>
      <c r="S79" s="110"/>
      <c r="T79" s="110"/>
      <c r="U79" s="110"/>
      <c r="V79" s="110"/>
      <c r="W79" s="110"/>
      <c r="X79" s="110"/>
      <c r="Y79" s="110"/>
      <c r="Z79" s="110"/>
      <c r="AA79" s="110"/>
      <c r="AB79" s="110"/>
      <c r="AC79" s="110"/>
      <c r="AD79" s="110"/>
    </row>
    <row r="80" spans="1:30" ht="18.75">
      <c r="A80" s="254"/>
      <c r="B80" s="179" t="s">
        <v>361</v>
      </c>
      <c r="C80" s="180" t="s">
        <v>599</v>
      </c>
      <c r="D80" s="251">
        <f>IF(Cclamp_act="",Cclamp_rec,Cclamp_eff)</f>
        <v>0.37400000000000005</v>
      </c>
      <c r="E80" s="224" t="s">
        <v>26</v>
      </c>
      <c r="F80" s="177"/>
      <c r="G80" s="187"/>
      <c r="H80" s="210"/>
      <c r="I80" s="210"/>
      <c r="J80" s="110"/>
      <c r="K80" s="110"/>
      <c r="L80" s="110"/>
      <c r="M80" s="110"/>
      <c r="N80" s="110"/>
      <c r="O80" s="110"/>
      <c r="P80" s="110"/>
      <c r="Q80" s="110"/>
      <c r="R80" s="110"/>
      <c r="S80" s="110"/>
      <c r="T80" s="110"/>
      <c r="U80" s="110"/>
      <c r="V80" s="110"/>
      <c r="W80" s="110"/>
      <c r="X80" s="110"/>
      <c r="Y80" s="110"/>
      <c r="Z80" s="110"/>
      <c r="AA80" s="110"/>
      <c r="AB80" s="110"/>
      <c r="AC80" s="110"/>
      <c r="AD80" s="110"/>
    </row>
    <row r="81" spans="1:30" ht="18.75">
      <c r="A81" s="169"/>
      <c r="B81" s="179" t="s">
        <v>984</v>
      </c>
      <c r="C81" s="180" t="s">
        <v>600</v>
      </c>
      <c r="D81" s="251">
        <f>TFDR/((Cclamp+Cclamp_act)/2*10^-6*LN((NPS*VOUT+ΔVCLAMP)/(Vclamp_max)))/1000000</f>
        <v>0.72591216521308377</v>
      </c>
      <c r="E81" s="224" t="s">
        <v>195</v>
      </c>
      <c r="F81" s="674"/>
      <c r="G81" s="187"/>
      <c r="H81" s="210"/>
      <c r="I81" s="210"/>
      <c r="J81" s="110"/>
      <c r="K81" s="110"/>
      <c r="L81" s="110"/>
      <c r="M81" s="110"/>
      <c r="N81" s="110"/>
      <c r="O81" s="110"/>
      <c r="P81" s="110"/>
      <c r="Q81" s="110"/>
      <c r="R81" s="110"/>
      <c r="S81" s="110"/>
      <c r="T81" s="110"/>
      <c r="U81" s="110"/>
      <c r="V81" s="110"/>
      <c r="W81" s="110"/>
      <c r="X81" s="110"/>
      <c r="Y81" s="110"/>
      <c r="Z81" s="110"/>
      <c r="AA81" s="110"/>
      <c r="AB81" s="110"/>
      <c r="AC81" s="110"/>
      <c r="AD81" s="110"/>
    </row>
    <row r="82" spans="1:30" ht="18.75">
      <c r="A82" s="169"/>
      <c r="B82" s="189" t="s">
        <v>985</v>
      </c>
      <c r="C82" s="252" t="s">
        <v>601</v>
      </c>
      <c r="D82" s="79">
        <v>1</v>
      </c>
      <c r="E82" s="249" t="s">
        <v>195</v>
      </c>
      <c r="F82" s="200"/>
      <c r="G82" s="187"/>
      <c r="H82" s="210"/>
      <c r="I82" s="210"/>
      <c r="J82" s="110"/>
      <c r="K82" s="110"/>
      <c r="L82" s="110"/>
      <c r="M82" s="110"/>
      <c r="N82" s="110"/>
      <c r="O82" s="110"/>
      <c r="P82" s="110"/>
      <c r="Q82" s="110"/>
      <c r="R82" s="110"/>
      <c r="S82" s="110"/>
      <c r="T82" s="110"/>
      <c r="U82" s="110"/>
      <c r="V82" s="110"/>
      <c r="W82" s="110"/>
      <c r="X82" s="110"/>
      <c r="Y82" s="110"/>
      <c r="Z82" s="110"/>
      <c r="AA82" s="110"/>
      <c r="AB82" s="110"/>
      <c r="AC82" s="110"/>
      <c r="AD82" s="110"/>
    </row>
    <row r="83" spans="1:30" ht="19.5" thickBot="1">
      <c r="A83" s="169"/>
      <c r="B83" s="244" t="s">
        <v>986</v>
      </c>
      <c r="C83" s="245" t="s">
        <v>602</v>
      </c>
      <c r="D83" s="255">
        <f>IF(RBLEED_act="",RBLEED_rec,RBLEED_act)</f>
        <v>1</v>
      </c>
      <c r="E83" s="256" t="s">
        <v>195</v>
      </c>
      <c r="F83" s="257"/>
      <c r="G83" s="187"/>
      <c r="H83" s="210"/>
      <c r="I83" s="210"/>
      <c r="J83" s="110"/>
      <c r="K83" s="110"/>
      <c r="L83" s="110"/>
      <c r="M83" s="110"/>
      <c r="N83" s="110"/>
      <c r="O83" s="110"/>
      <c r="P83" s="110"/>
      <c r="Q83" s="110"/>
      <c r="R83" s="110"/>
      <c r="S83" s="110"/>
      <c r="T83" s="110"/>
      <c r="U83" s="110"/>
      <c r="V83" s="110"/>
      <c r="W83" s="110"/>
      <c r="X83" s="110"/>
      <c r="Y83" s="110"/>
      <c r="Z83" s="110"/>
      <c r="AA83" s="110"/>
      <c r="AB83" s="110"/>
      <c r="AC83" s="110"/>
      <c r="AD83" s="110"/>
    </row>
    <row r="84" spans="1:30" ht="15.75" thickBot="1">
      <c r="A84" s="169"/>
      <c r="B84" s="163"/>
      <c r="C84" s="240"/>
      <c r="D84" s="165"/>
      <c r="E84" s="166"/>
      <c r="F84" s="167"/>
      <c r="G84" s="187"/>
      <c r="H84" s="210"/>
      <c r="I84" s="210"/>
      <c r="J84" s="110"/>
      <c r="K84" s="110"/>
      <c r="L84" s="110"/>
      <c r="M84" s="110"/>
      <c r="N84" s="110"/>
      <c r="O84" s="110"/>
      <c r="P84" s="110"/>
      <c r="Q84" s="110"/>
      <c r="R84" s="110"/>
      <c r="S84" s="110"/>
      <c r="T84" s="110"/>
      <c r="U84" s="110"/>
      <c r="V84" s="110"/>
      <c r="W84" s="110"/>
      <c r="X84" s="110"/>
      <c r="Y84" s="110"/>
      <c r="Z84" s="110"/>
      <c r="AA84" s="110"/>
      <c r="AB84" s="110"/>
      <c r="AC84" s="110"/>
      <c r="AD84" s="110"/>
    </row>
    <row r="85" spans="1:30" ht="18" customHeight="1">
      <c r="A85" s="169"/>
      <c r="B85" s="258" t="s">
        <v>28</v>
      </c>
      <c r="C85" s="259"/>
      <c r="D85" s="260"/>
      <c r="E85" s="261"/>
      <c r="F85" s="262"/>
      <c r="G85" s="187"/>
      <c r="H85" s="210"/>
      <c r="I85" s="210"/>
      <c r="J85" s="110"/>
      <c r="K85" s="110"/>
      <c r="L85" s="110"/>
      <c r="M85" s="110"/>
      <c r="N85" s="110"/>
      <c r="O85" s="110"/>
      <c r="P85" s="110"/>
      <c r="Q85" s="110"/>
      <c r="R85" s="110"/>
      <c r="S85" s="110"/>
      <c r="T85" s="110"/>
      <c r="U85" s="110"/>
      <c r="V85" s="110"/>
      <c r="W85" s="110"/>
      <c r="X85" s="110"/>
      <c r="Y85" s="110"/>
      <c r="Z85" s="110"/>
      <c r="AA85" s="110"/>
      <c r="AB85" s="110"/>
      <c r="AC85" s="110"/>
      <c r="AD85" s="110"/>
    </row>
    <row r="86" spans="1:30" ht="18.75">
      <c r="A86" s="169"/>
      <c r="B86" s="179" t="s">
        <v>1077</v>
      </c>
      <c r="C86" s="180" t="s">
        <v>29</v>
      </c>
      <c r="D86" s="251">
        <f>IF(Vin_type="AC",(VINPUT_Brownin*1.414)*(NA/NP)/(IVSL_run*10^-6)/1000,(VINPUT_Brownin)*(NA/NP)/(IVSL_run*10^-6)/1000)</f>
        <v>40.182648401826484</v>
      </c>
      <c r="E86" s="188" t="s">
        <v>172</v>
      </c>
      <c r="F86" s="647"/>
      <c r="G86" s="187"/>
      <c r="H86" s="227"/>
      <c r="I86" s="228"/>
      <c r="J86" s="110"/>
      <c r="K86" s="110"/>
      <c r="L86" s="110"/>
      <c r="M86" s="110"/>
      <c r="N86" s="110"/>
      <c r="O86" s="110"/>
      <c r="P86" s="110"/>
      <c r="Q86" s="110"/>
      <c r="R86" s="110"/>
      <c r="S86" s="110"/>
      <c r="T86" s="110"/>
      <c r="U86" s="110"/>
      <c r="V86" s="110"/>
      <c r="W86" s="110"/>
      <c r="X86" s="110"/>
      <c r="Y86" s="110"/>
      <c r="Z86" s="110"/>
      <c r="AA86" s="110"/>
      <c r="AB86" s="110"/>
      <c r="AC86" s="110"/>
      <c r="AD86" s="110"/>
    </row>
    <row r="87" spans="1:30" ht="18.75">
      <c r="A87" s="169"/>
      <c r="B87" s="189" t="s">
        <v>122</v>
      </c>
      <c r="C87" s="190" t="s">
        <v>30</v>
      </c>
      <c r="D87" s="42">
        <v>41.2</v>
      </c>
      <c r="E87" s="264" t="s">
        <v>65</v>
      </c>
      <c r="F87" s="265" t="s">
        <v>1042</v>
      </c>
      <c r="G87" s="187"/>
      <c r="H87" s="210"/>
      <c r="I87" s="210"/>
      <c r="J87" s="110"/>
      <c r="K87" s="110"/>
      <c r="L87" s="110"/>
      <c r="M87" s="110"/>
      <c r="N87" s="110"/>
      <c r="O87" s="110"/>
      <c r="P87" s="110"/>
      <c r="Q87" s="110"/>
      <c r="R87" s="110"/>
      <c r="S87" s="110"/>
      <c r="T87" s="110"/>
      <c r="U87" s="110"/>
      <c r="V87" s="110"/>
      <c r="W87" s="110"/>
      <c r="X87" s="110"/>
      <c r="Y87" s="110"/>
      <c r="Z87" s="110"/>
      <c r="AA87" s="110"/>
      <c r="AB87" s="110"/>
      <c r="AC87" s="110"/>
      <c r="AD87" s="110"/>
    </row>
    <row r="88" spans="1:30" s="560" customFormat="1" ht="34.9" customHeight="1">
      <c r="A88" s="565"/>
      <c r="B88" s="268" t="s">
        <v>1091</v>
      </c>
      <c r="C88" s="597" t="s">
        <v>1092</v>
      </c>
      <c r="D88" s="649">
        <f>IF(Vin_type="AC", -(VINPUT_max*1.414/(NP/NA)), -(VINPUT_max/(NP/NA)) )</f>
        <v>-40</v>
      </c>
      <c r="E88" s="648" t="s">
        <v>6</v>
      </c>
      <c r="F88" s="681" t="s">
        <v>1142</v>
      </c>
      <c r="G88" s="187"/>
      <c r="H88" s="210"/>
      <c r="I88" s="210"/>
      <c r="J88" s="110"/>
      <c r="K88" s="110"/>
      <c r="L88" s="110"/>
      <c r="M88" s="110"/>
      <c r="N88" s="110"/>
      <c r="O88" s="110"/>
      <c r="P88" s="110"/>
      <c r="Q88" s="110"/>
      <c r="R88" s="110"/>
      <c r="S88" s="110"/>
      <c r="T88" s="110"/>
      <c r="U88" s="110"/>
      <c r="V88" s="110"/>
      <c r="W88" s="110"/>
      <c r="X88" s="110"/>
      <c r="Y88" s="110"/>
      <c r="Z88" s="110"/>
      <c r="AA88" s="110"/>
      <c r="AB88" s="110"/>
      <c r="AC88" s="110"/>
      <c r="AD88" s="110"/>
    </row>
    <row r="89" spans="1:30" ht="18.75">
      <c r="A89" s="169"/>
      <c r="B89" s="179" t="s">
        <v>1001</v>
      </c>
      <c r="C89" s="180" t="s">
        <v>1002</v>
      </c>
      <c r="D89" s="266">
        <f>IF(RVS1_act="",RVS1_rec,RVS1_act)</f>
        <v>41.2</v>
      </c>
      <c r="E89" s="188" t="s">
        <v>372</v>
      </c>
      <c r="F89" s="263"/>
      <c r="G89" s="187"/>
      <c r="H89" s="210"/>
      <c r="I89" s="210"/>
      <c r="J89" s="110"/>
      <c r="K89" s="110"/>
      <c r="L89" s="110"/>
      <c r="M89" s="110"/>
      <c r="N89" s="110"/>
      <c r="O89" s="110"/>
      <c r="P89" s="110"/>
      <c r="Q89" s="110"/>
      <c r="R89" s="110"/>
      <c r="S89" s="110"/>
      <c r="T89" s="110"/>
      <c r="U89" s="110"/>
      <c r="V89" s="110"/>
      <c r="W89" s="110"/>
      <c r="X89" s="110"/>
      <c r="Y89" s="110"/>
      <c r="Z89" s="110"/>
      <c r="AA89" s="110"/>
      <c r="AB89" s="110"/>
      <c r="AC89" s="110"/>
      <c r="AD89" s="110"/>
    </row>
    <row r="90" spans="1:30" s="434" customFormat="1" ht="18.75">
      <c r="A90" s="437"/>
      <c r="B90" s="596" t="s">
        <v>913</v>
      </c>
      <c r="C90" s="597" t="s">
        <v>1003</v>
      </c>
      <c r="D90" s="598">
        <f>IF(Vin_type="AC",RVS_1*1000*1.01*(IVSL_run_max*10^-6)/NA*NP/1.414,RVS_1*1000*1.01*(IVSL_run_max*10^-6)/NA*NP)</f>
        <v>255.03994800000001</v>
      </c>
      <c r="E90" s="599" t="s">
        <v>6</v>
      </c>
      <c r="F90" s="600" t="s">
        <v>914</v>
      </c>
      <c r="G90" s="187"/>
      <c r="H90" s="210"/>
      <c r="I90" s="210"/>
      <c r="J90" s="110"/>
      <c r="K90" s="110"/>
      <c r="L90" s="110"/>
      <c r="M90" s="110"/>
      <c r="N90" s="110"/>
      <c r="O90" s="110"/>
      <c r="P90" s="110"/>
      <c r="Q90" s="110"/>
      <c r="R90" s="110"/>
      <c r="S90" s="110"/>
      <c r="T90" s="110"/>
      <c r="U90" s="110"/>
      <c r="V90" s="110"/>
      <c r="W90" s="110"/>
      <c r="X90" s="110"/>
      <c r="Y90" s="110"/>
      <c r="Z90" s="110"/>
      <c r="AA90" s="110"/>
      <c r="AB90" s="110"/>
      <c r="AC90" s="110"/>
      <c r="AD90" s="110"/>
    </row>
    <row r="91" spans="1:30" s="35" customFormat="1" ht="18.75">
      <c r="A91" s="169"/>
      <c r="B91" s="179" t="s">
        <v>1000</v>
      </c>
      <c r="C91" s="180" t="s">
        <v>801</v>
      </c>
      <c r="D91" s="267">
        <f>IF(Vin_type="AC",RVS_1*1000*(IVSL_run*10^-6)/NA*NP/1.414,RVS_1*1000*(IVSL_run*10^-6)/NA*NP)</f>
        <v>225.56999999999996</v>
      </c>
      <c r="E91" s="188" t="s">
        <v>6</v>
      </c>
      <c r="F91" s="263" t="s">
        <v>1076</v>
      </c>
      <c r="G91" s="187"/>
      <c r="H91" s="210"/>
      <c r="I91" s="210"/>
      <c r="J91" s="110"/>
      <c r="K91" s="110"/>
      <c r="L91" s="110"/>
      <c r="M91" s="110"/>
      <c r="N91" s="110"/>
      <c r="O91" s="110"/>
      <c r="P91" s="110"/>
      <c r="Q91" s="110"/>
      <c r="R91" s="110"/>
      <c r="S91" s="110"/>
      <c r="T91" s="110"/>
      <c r="U91" s="110"/>
      <c r="V91" s="110"/>
      <c r="W91" s="110"/>
      <c r="X91" s="110"/>
      <c r="Y91" s="110"/>
      <c r="Z91" s="110"/>
      <c r="AA91" s="110"/>
      <c r="AB91" s="110"/>
      <c r="AC91" s="110"/>
      <c r="AD91" s="110"/>
    </row>
    <row r="92" spans="1:30" s="434" customFormat="1" ht="18.75">
      <c r="A92" s="437"/>
      <c r="B92" s="601" t="s">
        <v>915</v>
      </c>
      <c r="C92" s="602" t="s">
        <v>1004</v>
      </c>
      <c r="D92" s="603">
        <f>IF(Vin_type="AC",RVS_1*1000*0.99*(IVSL_run_min*10^-6)/NA*NP/1.414,RVS_1*1000*0.99*(IVSL_run_min*10^-6)/NA*NP)</f>
        <v>191.49966000000001</v>
      </c>
      <c r="E92" s="604" t="s">
        <v>6</v>
      </c>
      <c r="F92" s="594" t="s">
        <v>916</v>
      </c>
      <c r="G92" s="682"/>
      <c r="H92" s="677"/>
      <c r="I92" s="210"/>
      <c r="J92" s="110"/>
      <c r="K92" s="110"/>
      <c r="L92" s="110"/>
      <c r="M92" s="110"/>
      <c r="N92" s="110"/>
      <c r="O92" s="110"/>
      <c r="P92" s="110"/>
      <c r="Q92" s="110"/>
      <c r="R92" s="110"/>
      <c r="S92" s="110"/>
      <c r="T92" s="110"/>
      <c r="U92" s="110"/>
      <c r="V92" s="110"/>
      <c r="W92" s="110"/>
      <c r="X92" s="110"/>
      <c r="Y92" s="110"/>
      <c r="Z92" s="110"/>
      <c r="AA92" s="110"/>
      <c r="AB92" s="110"/>
      <c r="AC92" s="110"/>
      <c r="AD92" s="110"/>
    </row>
    <row r="93" spans="1:30" s="434" customFormat="1" ht="18.75">
      <c r="A93" s="437"/>
      <c r="B93" s="601" t="s">
        <v>917</v>
      </c>
      <c r="C93" s="602" t="s">
        <v>1005</v>
      </c>
      <c r="D93" s="603">
        <f>IF(Vin_type="AC",RVS_1*1000*1.01*(IVSL_stop_max*10^-6)/NA*NP/1.414,RVS_1*1000*1.01*(IVSL_stop_max*10^-6)/NA*NP)</f>
        <v>209.97415199999998</v>
      </c>
      <c r="E93" s="604" t="s">
        <v>6</v>
      </c>
      <c r="F93" s="594" t="s">
        <v>918</v>
      </c>
      <c r="G93" s="523"/>
      <c r="H93" s="435"/>
      <c r="J93" s="110"/>
      <c r="K93" s="110"/>
      <c r="L93" s="110"/>
      <c r="M93" s="110"/>
      <c r="N93" s="110"/>
      <c r="O93" s="110"/>
      <c r="P93" s="110"/>
      <c r="Q93" s="110"/>
      <c r="R93" s="110"/>
      <c r="S93" s="110"/>
      <c r="T93" s="110"/>
      <c r="U93" s="110"/>
      <c r="V93" s="110"/>
      <c r="W93" s="110"/>
      <c r="X93" s="110"/>
      <c r="Y93" s="110"/>
      <c r="Z93" s="110"/>
      <c r="AA93" s="110"/>
      <c r="AB93" s="110"/>
      <c r="AC93" s="110"/>
      <c r="AD93" s="110"/>
    </row>
    <row r="94" spans="1:30" s="434" customFormat="1" ht="18.75">
      <c r="A94" s="437"/>
      <c r="B94" s="601" t="s">
        <v>919</v>
      </c>
      <c r="C94" s="602" t="s">
        <v>1006</v>
      </c>
      <c r="D94" s="603">
        <f>IF(Vin_type="AC",RVS_1*1000*(IVSL_stop*10^-6)/NA*NP/1.414,RVS_1*1000*(IVSL_stop*10^-6)/NA*NP)</f>
        <v>188.48999999999998</v>
      </c>
      <c r="E94" s="604" t="s">
        <v>6</v>
      </c>
      <c r="F94" s="594" t="s">
        <v>920</v>
      </c>
      <c r="G94" s="523"/>
      <c r="H94" s="525"/>
      <c r="I94" s="210"/>
      <c r="J94" s="110"/>
      <c r="K94" s="110"/>
      <c r="L94" s="110"/>
      <c r="M94" s="110"/>
      <c r="N94" s="110"/>
      <c r="O94" s="110"/>
      <c r="P94" s="110"/>
      <c r="Q94" s="110"/>
      <c r="R94" s="110"/>
      <c r="S94" s="110"/>
      <c r="T94" s="110"/>
      <c r="U94" s="110"/>
      <c r="V94" s="110"/>
      <c r="W94" s="110"/>
      <c r="X94" s="110"/>
      <c r="Y94" s="110"/>
      <c r="Z94" s="110"/>
      <c r="AA94" s="110"/>
      <c r="AB94" s="110"/>
      <c r="AC94" s="110"/>
      <c r="AD94" s="110"/>
    </row>
    <row r="95" spans="1:30" s="434" customFormat="1" ht="18.75">
      <c r="A95" s="437"/>
      <c r="B95" s="601" t="s">
        <v>921</v>
      </c>
      <c r="C95" s="602" t="s">
        <v>1007</v>
      </c>
      <c r="D95" s="603">
        <f>IF(Vin_type="AC",RVS_1*1000*0.99*(IVSL_stop_min*10^-6)/NA*NP/1.414,RVS_1*1000*0.99*(IVSL_stop_min*10^-6)/NA*NP)</f>
        <v>156.01409999999998</v>
      </c>
      <c r="E95" s="604" t="s">
        <v>6</v>
      </c>
      <c r="F95" s="594" t="s">
        <v>922</v>
      </c>
      <c r="G95" s="523"/>
      <c r="H95" s="683"/>
      <c r="I95" s="210"/>
      <c r="J95" s="110"/>
      <c r="K95" s="110"/>
      <c r="L95" s="110"/>
      <c r="M95" s="110"/>
      <c r="N95" s="110"/>
      <c r="O95" s="110"/>
      <c r="P95" s="110"/>
      <c r="Q95" s="110"/>
      <c r="R95" s="110"/>
      <c r="S95" s="110"/>
      <c r="T95" s="110"/>
      <c r="U95" s="110"/>
      <c r="V95" s="110"/>
      <c r="W95" s="110"/>
      <c r="X95" s="110"/>
      <c r="Y95" s="110"/>
      <c r="Z95" s="110"/>
      <c r="AA95" s="110"/>
      <c r="AB95" s="110"/>
      <c r="AC95" s="110"/>
      <c r="AD95" s="110"/>
    </row>
    <row r="96" spans="1:30" ht="18.75">
      <c r="A96" s="169"/>
      <c r="B96" s="179" t="s">
        <v>1078</v>
      </c>
      <c r="C96" s="180" t="s">
        <v>1008</v>
      </c>
      <c r="D96" s="251">
        <f>(VVS_OVP*RVS_1)/(NA/NS*(VOUT*OVP_tgt*0.01+Vf_SR)-VVS_OVP)</f>
        <v>10.160433604336044</v>
      </c>
      <c r="E96" s="188" t="s">
        <v>65</v>
      </c>
      <c r="F96" s="263"/>
      <c r="G96" s="523"/>
      <c r="H96" s="525"/>
      <c r="I96" s="210"/>
      <c r="J96" s="110"/>
      <c r="K96" s="110"/>
      <c r="L96" s="110"/>
      <c r="M96" s="110"/>
      <c r="N96" s="110"/>
      <c r="O96" s="110"/>
      <c r="P96" s="110"/>
      <c r="Q96" s="110"/>
      <c r="R96" s="110"/>
      <c r="S96" s="110"/>
      <c r="T96" s="110"/>
      <c r="U96" s="110"/>
      <c r="V96" s="110"/>
      <c r="W96" s="110"/>
      <c r="X96" s="110"/>
      <c r="Y96" s="110"/>
      <c r="Z96" s="110"/>
      <c r="AA96" s="110"/>
      <c r="AB96" s="110"/>
      <c r="AC96" s="110"/>
      <c r="AD96" s="110"/>
    </row>
    <row r="97" spans="1:32" ht="18.75">
      <c r="A97" s="169"/>
      <c r="B97" s="189" t="s">
        <v>123</v>
      </c>
      <c r="C97" s="190" t="s">
        <v>32</v>
      </c>
      <c r="D97" s="42">
        <v>10.7</v>
      </c>
      <c r="E97" s="264" t="s">
        <v>65</v>
      </c>
      <c r="F97" s="265" t="s">
        <v>1042</v>
      </c>
      <c r="G97" s="523"/>
      <c r="H97" s="525"/>
      <c r="I97" s="2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row>
    <row r="98" spans="1:32" s="35" customFormat="1" ht="18.75">
      <c r="A98" s="169"/>
      <c r="B98" s="268" t="s">
        <v>370</v>
      </c>
      <c r="C98" s="172" t="s">
        <v>33</v>
      </c>
      <c r="D98" s="269">
        <f>IF(RVS2_act="",RVS2_rec,RVS2_act)</f>
        <v>10.7</v>
      </c>
      <c r="E98" s="270" t="s">
        <v>167</v>
      </c>
      <c r="F98" s="271"/>
      <c r="G98" s="523"/>
      <c r="H98" s="684"/>
      <c r="I98" s="2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row>
    <row r="99" spans="1:32" ht="18" customHeight="1" thickBot="1">
      <c r="A99" s="169"/>
      <c r="B99" s="244" t="s">
        <v>1064</v>
      </c>
      <c r="C99" s="272" t="s">
        <v>270</v>
      </c>
      <c r="D99" s="273">
        <f>(VVS_OVP*((RVS_1+RVS_2)/RVS_2)*NS/NA-Vf_SR)/VOUT*100</f>
        <v>110.34813084112152</v>
      </c>
      <c r="E99" s="274" t="s">
        <v>371</v>
      </c>
      <c r="F99" s="275" t="s">
        <v>1075</v>
      </c>
      <c r="G99" s="682"/>
      <c r="H99" s="677"/>
      <c r="I99" s="2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row>
    <row r="100" spans="1:32" ht="15.75" thickBot="1">
      <c r="A100" s="169"/>
      <c r="B100" s="163"/>
      <c r="C100" s="240"/>
      <c r="D100" s="165"/>
      <c r="E100" s="166"/>
      <c r="F100" s="167"/>
      <c r="G100" s="187"/>
      <c r="H100" s="210"/>
      <c r="I100" s="2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row>
    <row r="101" spans="1:32" ht="18">
      <c r="A101" s="169"/>
      <c r="B101" s="258" t="s">
        <v>327</v>
      </c>
      <c r="C101" s="259"/>
      <c r="D101" s="260"/>
      <c r="E101" s="261"/>
      <c r="F101" s="262"/>
      <c r="G101" s="187"/>
      <c r="H101" s="210"/>
      <c r="I101" s="2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row>
    <row r="102" spans="1:32" ht="18.75" customHeight="1">
      <c r="A102" s="169"/>
      <c r="B102" s="276" t="s">
        <v>346</v>
      </c>
      <c r="C102" s="198" t="s">
        <v>603</v>
      </c>
      <c r="D102" s="30">
        <v>50</v>
      </c>
      <c r="E102" s="249" t="s">
        <v>36</v>
      </c>
      <c r="F102" s="200" t="s">
        <v>1143</v>
      </c>
      <c r="G102" s="187"/>
      <c r="H102" s="210"/>
      <c r="I102" s="2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row>
    <row r="103" spans="1:32" ht="18.600000000000001" customHeight="1">
      <c r="A103" s="169"/>
      <c r="B103" s="179" t="s">
        <v>1090</v>
      </c>
      <c r="C103" s="180" t="s">
        <v>604</v>
      </c>
      <c r="D103" s="685">
        <f>IF(Vin_type="AC",
VCST_OPP_adj_Rcs/(PO_FL*OPP*0.01*2/(VIN_min*1.4142*ηXFMR*DOPP_min)-VIN_min*1.4142*tD_CST_vmin*10^-9/(LM*10^-6)),
VCST_OPP_adj_Rcs/(PO_FL*OPP*0.01*2/(VIN_min*ηXFMR*DOPP_min)-VIN_min*tD_CST_vmin*10^-9/(LM*10^-6)))</f>
        <v>0.58911542848250376</v>
      </c>
      <c r="E103" s="188" t="s">
        <v>31</v>
      </c>
      <c r="F103" s="263"/>
      <c r="G103" s="187"/>
      <c r="H103" s="227"/>
      <c r="I103" s="228"/>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row>
    <row r="104" spans="1:32" ht="19.149999999999999" customHeight="1">
      <c r="A104" s="169"/>
      <c r="B104" s="189" t="s">
        <v>328</v>
      </c>
      <c r="C104" s="190" t="s">
        <v>605</v>
      </c>
      <c r="D104" s="28">
        <v>0.5</v>
      </c>
      <c r="E104" s="249" t="s">
        <v>193</v>
      </c>
      <c r="F104" s="277" t="s">
        <v>1060</v>
      </c>
      <c r="G104" s="187"/>
      <c r="H104" s="210"/>
      <c r="I104" s="2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row>
    <row r="105" spans="1:32" ht="18.75">
      <c r="A105" s="169"/>
      <c r="B105" s="171" t="s">
        <v>329</v>
      </c>
      <c r="C105" s="172" t="s">
        <v>606</v>
      </c>
      <c r="D105" s="278">
        <f>IF(RCS_act="",RCS_rec,RCS_act)</f>
        <v>0.5</v>
      </c>
      <c r="E105" s="188" t="s">
        <v>168</v>
      </c>
      <c r="F105" s="263"/>
      <c r="G105" s="187"/>
      <c r="H105" s="210"/>
      <c r="I105" s="2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row>
    <row r="106" spans="1:32" ht="18.75">
      <c r="A106" s="169"/>
      <c r="B106" s="179" t="s">
        <v>325</v>
      </c>
      <c r="C106" s="180" t="s">
        <v>607</v>
      </c>
      <c r="D106" s="278">
        <f>SQRT((fsw_OPP_min*1000/3)*((ipk_OPP_min^2)*(DOPP_min/(fsw_OPP_min*1000)-TZ_min*10^-9)+(TZ_min*10^-9)*( 0*IM_nega_max^2 + 1*IM_nega_OPP_min^2)))</f>
        <v>0.467271193506409</v>
      </c>
      <c r="E106" s="279" t="s">
        <v>14</v>
      </c>
      <c r="F106" s="280"/>
      <c r="G106" s="187"/>
      <c r="H106" s="210"/>
      <c r="I106" s="2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row>
    <row r="107" spans="1:32" ht="19.5" thickBot="1">
      <c r="A107" s="169"/>
      <c r="B107" s="244" t="s">
        <v>326</v>
      </c>
      <c r="C107" s="245" t="s">
        <v>608</v>
      </c>
      <c r="D107" s="281">
        <f>RCS*iQL_RMS^2</f>
        <v>0.10917118414045196</v>
      </c>
      <c r="E107" s="282" t="s">
        <v>7</v>
      </c>
      <c r="F107" s="283"/>
      <c r="G107" s="187"/>
      <c r="H107" s="210"/>
      <c r="I107" s="2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row>
    <row r="108" spans="1:32" ht="15.75" thickBot="1">
      <c r="A108" s="169"/>
      <c r="B108" s="163"/>
      <c r="C108" s="240"/>
      <c r="D108" s="165"/>
      <c r="E108" s="166"/>
      <c r="F108" s="167"/>
      <c r="G108" s="187"/>
      <c r="H108" s="210"/>
      <c r="I108" s="210"/>
      <c r="J108" s="110"/>
      <c r="K108" s="110"/>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row>
    <row r="109" spans="1:32" ht="18" customHeight="1">
      <c r="A109" s="169"/>
      <c r="B109" s="258" t="s">
        <v>40</v>
      </c>
      <c r="C109" s="259"/>
      <c r="D109" s="260"/>
      <c r="E109" s="261"/>
      <c r="F109" s="262"/>
      <c r="G109" s="187"/>
      <c r="H109" s="210"/>
      <c r="I109" s="210"/>
      <c r="J109" s="110"/>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row>
    <row r="110" spans="1:32" ht="18.75">
      <c r="A110" s="169"/>
      <c r="B110" s="179" t="s">
        <v>1144</v>
      </c>
      <c r="C110" s="180" t="s">
        <v>1145</v>
      </c>
      <c r="D110" s="284">
        <f>IF(Vin_type="AC",(Voffset_CS_OPP+(TD_CS_filter*10^-9)*VINPUT_max*1.414*RCS/(LM*10^-6))/((iVSL_max*10^-3)/KLC),(Voffset_CS_OPP+(TD_CS_filter*10^-9)*VINPUT_max*RCS/(LM*10^-6))/((iVSL_max*10^-3)/KLC))</f>
        <v>984.93311007833313</v>
      </c>
      <c r="E110" s="188" t="s">
        <v>610</v>
      </c>
      <c r="F110" s="263" t="s">
        <v>1146</v>
      </c>
      <c r="G110" s="677"/>
      <c r="H110" s="691"/>
      <c r="I110" s="228"/>
      <c r="J110" s="110"/>
      <c r="K110" s="110"/>
      <c r="L110" s="110"/>
      <c r="N110" s="110"/>
      <c r="O110" s="110"/>
      <c r="P110" s="110"/>
      <c r="Q110" s="110"/>
      <c r="R110" s="110"/>
      <c r="S110" s="110"/>
      <c r="T110" s="110"/>
      <c r="U110" s="110"/>
      <c r="V110" s="110"/>
      <c r="W110" s="110"/>
      <c r="X110" s="110"/>
      <c r="Y110" s="110"/>
      <c r="Z110" s="110"/>
      <c r="AA110" s="110"/>
      <c r="AB110" s="110"/>
      <c r="AC110" s="110"/>
      <c r="AD110" s="110"/>
      <c r="AE110" s="110"/>
      <c r="AF110" s="110"/>
    </row>
    <row r="111" spans="1:32" ht="18.75">
      <c r="A111" s="169"/>
      <c r="B111" s="189" t="s">
        <v>124</v>
      </c>
      <c r="C111" s="190" t="s">
        <v>42</v>
      </c>
      <c r="D111" s="42">
        <v>1000</v>
      </c>
      <c r="E111" s="264" t="s">
        <v>31</v>
      </c>
      <c r="F111" s="265" t="s">
        <v>1042</v>
      </c>
      <c r="G111" s="704"/>
      <c r="H111" s="537"/>
      <c r="I111" s="2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row>
    <row r="112" spans="1:32" ht="18.75">
      <c r="A112" s="169"/>
      <c r="B112" s="179" t="s">
        <v>125</v>
      </c>
      <c r="C112" s="180" t="s">
        <v>110</v>
      </c>
      <c r="D112" s="266">
        <f>IF(R_OPP_act="",R_OPP_rec,R_OPP_act)</f>
        <v>1000</v>
      </c>
      <c r="E112" s="188" t="s">
        <v>609</v>
      </c>
      <c r="F112" s="263"/>
      <c r="G112" s="523"/>
      <c r="H112" s="525"/>
      <c r="I112" s="210"/>
      <c r="J112" s="110"/>
      <c r="K112" s="110"/>
      <c r="L112" s="110"/>
      <c r="M112" s="110"/>
      <c r="N112" s="110"/>
      <c r="O112" s="110"/>
      <c r="P112" s="110"/>
      <c r="Q112" s="110"/>
      <c r="R112" s="110"/>
      <c r="S112" s="110"/>
      <c r="T112" s="110"/>
      <c r="U112" s="110"/>
      <c r="V112" s="110"/>
      <c r="W112" s="110"/>
      <c r="X112" s="110"/>
      <c r="Y112" s="110"/>
      <c r="Z112" s="110"/>
      <c r="AA112" s="110"/>
      <c r="AB112" s="110"/>
      <c r="AC112" s="110"/>
      <c r="AD112" s="110"/>
      <c r="AE112" s="110"/>
      <c r="AF112" s="110"/>
    </row>
    <row r="113" spans="1:32" ht="18.75">
      <c r="A113" s="169"/>
      <c r="B113" s="179" t="s">
        <v>331</v>
      </c>
      <c r="C113" s="180" t="s">
        <v>108</v>
      </c>
      <c r="D113" s="223">
        <f>(TD_CS_filter/R_OPP)*10^3</f>
        <v>50</v>
      </c>
      <c r="E113" s="188" t="s">
        <v>27</v>
      </c>
      <c r="F113" s="263"/>
      <c r="G113" s="523"/>
      <c r="H113" s="525"/>
      <c r="I113" s="210"/>
      <c r="J113" s="110"/>
      <c r="K113" s="110"/>
      <c r="L113" s="110"/>
      <c r="M113" s="110"/>
      <c r="N113" s="110"/>
      <c r="O113" s="110"/>
      <c r="P113" s="110"/>
      <c r="Q113" s="110"/>
      <c r="R113" s="110"/>
      <c r="S113" s="110"/>
      <c r="T113" s="110"/>
      <c r="U113" s="110"/>
      <c r="V113" s="110"/>
      <c r="W113" s="110"/>
      <c r="X113" s="110"/>
      <c r="Y113" s="110"/>
      <c r="Z113" s="110"/>
      <c r="AA113" s="110"/>
      <c r="AB113" s="110"/>
      <c r="AC113" s="110"/>
      <c r="AD113" s="110"/>
      <c r="AE113" s="110"/>
      <c r="AF113" s="110"/>
    </row>
    <row r="114" spans="1:32" ht="18.75">
      <c r="A114" s="169"/>
      <c r="B114" s="189" t="s">
        <v>333</v>
      </c>
      <c r="C114" s="190" t="s">
        <v>43</v>
      </c>
      <c r="D114" s="42">
        <v>47</v>
      </c>
      <c r="E114" s="264" t="s">
        <v>27</v>
      </c>
      <c r="F114" s="200" t="s">
        <v>1147</v>
      </c>
      <c r="G114" s="677"/>
      <c r="H114" s="525"/>
      <c r="I114" s="210"/>
      <c r="J114" s="110"/>
      <c r="K114" s="110"/>
      <c r="L114" s="110"/>
      <c r="M114" s="110"/>
      <c r="N114" s="110"/>
      <c r="O114" s="110"/>
      <c r="P114" s="110"/>
      <c r="Q114" s="110"/>
      <c r="R114" s="110"/>
      <c r="S114" s="110"/>
      <c r="T114" s="110"/>
      <c r="U114" s="110"/>
      <c r="V114" s="110"/>
      <c r="W114" s="110"/>
      <c r="X114" s="110"/>
      <c r="Y114" s="110"/>
      <c r="Z114" s="110"/>
      <c r="AA114" s="110"/>
      <c r="AB114" s="110"/>
      <c r="AC114" s="110"/>
      <c r="AD114" s="110"/>
      <c r="AE114" s="110"/>
      <c r="AF114" s="110"/>
    </row>
    <row r="115" spans="1:32" ht="18.75">
      <c r="A115" s="169"/>
      <c r="B115" s="179" t="s">
        <v>332</v>
      </c>
      <c r="C115" s="180" t="s">
        <v>132</v>
      </c>
      <c r="D115" s="285">
        <f>IF(CCS_act="",CCS_rec,CCS_act)</f>
        <v>47</v>
      </c>
      <c r="E115" s="279" t="s">
        <v>133</v>
      </c>
      <c r="F115" s="280"/>
      <c r="G115" s="523"/>
      <c r="H115" s="525"/>
      <c r="I115" s="2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row>
    <row r="116" spans="1:32" ht="19.5" thickBot="1">
      <c r="A116" s="169"/>
      <c r="B116" s="244" t="s">
        <v>330</v>
      </c>
      <c r="C116" s="245" t="s">
        <v>134</v>
      </c>
      <c r="D116" s="273">
        <f>R_OPP*CCS*0.001</f>
        <v>47</v>
      </c>
      <c r="E116" s="282" t="s">
        <v>135</v>
      </c>
      <c r="F116" s="469" t="s">
        <v>1148</v>
      </c>
      <c r="G116" s="677"/>
      <c r="H116" s="525"/>
      <c r="I116" s="2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row>
    <row r="117" spans="1:32" ht="15.75" thickBot="1">
      <c r="A117" s="169"/>
      <c r="B117" s="163"/>
      <c r="C117" s="240"/>
      <c r="D117" s="286"/>
      <c r="E117" s="287"/>
      <c r="F117" s="287"/>
      <c r="G117" s="523"/>
      <c r="H117" s="525"/>
      <c r="I117" s="2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row>
    <row r="118" spans="1:32" ht="18" customHeight="1">
      <c r="A118" s="169"/>
      <c r="B118" s="258" t="s">
        <v>44</v>
      </c>
      <c r="C118" s="259"/>
      <c r="D118" s="260"/>
      <c r="E118" s="261"/>
      <c r="F118" s="262"/>
      <c r="G118" s="523"/>
      <c r="H118" s="525"/>
      <c r="I118" s="2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row>
    <row r="119" spans="1:32" ht="18.75">
      <c r="A119" s="169"/>
      <c r="B119" s="171" t="s">
        <v>1079</v>
      </c>
      <c r="C119" s="172" t="s">
        <v>611</v>
      </c>
      <c r="D119" s="288">
        <f>KDM*(LM*10^-6/RCS)*(NA/NP)*(RVS_2*1000/(RVS_1*1000+RVS_2*1000))/1000</f>
        <v>173.17919075144505</v>
      </c>
      <c r="E119" s="188" t="s">
        <v>65</v>
      </c>
      <c r="F119" s="263"/>
      <c r="G119" s="523"/>
      <c r="H119" s="525"/>
      <c r="I119" s="2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row>
    <row r="120" spans="1:32" ht="18.75">
      <c r="A120" s="169"/>
      <c r="B120" s="276" t="s">
        <v>612</v>
      </c>
      <c r="C120" s="198" t="s">
        <v>613</v>
      </c>
      <c r="D120" s="79">
        <v>180</v>
      </c>
      <c r="E120" s="264" t="s">
        <v>65</v>
      </c>
      <c r="F120" s="265" t="str">
        <f>IF(RDM_act&gt;1.1*RDM_rec,"Beware, chosen value is &gt;&gt; recommended.  RDM &gt; 500k triggers pin-fault.",IF(RDM_act&lt;0.9*RDM_rec,"Beware, chosen value is &lt;&lt; recommended.  RDM &lt; 2k triggers pin-fault.","Enter nearest standard value, use ±1% tolerance or better"))</f>
        <v>Enter nearest standard value, use ±1% tolerance or better</v>
      </c>
      <c r="G120" s="677"/>
      <c r="H120" s="691"/>
      <c r="I120" s="2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row>
    <row r="121" spans="1:32" ht="19.5" thickBot="1">
      <c r="A121" s="169"/>
      <c r="B121" s="244" t="s">
        <v>614</v>
      </c>
      <c r="C121" s="245" t="s">
        <v>615</v>
      </c>
      <c r="D121" s="255">
        <f>IF(RDM_act="",RDM_rec,RDM_act)</f>
        <v>180</v>
      </c>
      <c r="E121" s="274" t="s">
        <v>65</v>
      </c>
      <c r="F121" s="289"/>
      <c r="G121" s="523"/>
      <c r="H121" s="525"/>
      <c r="I121" s="2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row>
    <row r="122" spans="1:32" ht="15.75" thickBot="1">
      <c r="A122" s="169"/>
      <c r="B122" s="163"/>
      <c r="C122" s="240"/>
      <c r="D122" s="165"/>
      <c r="E122" s="166"/>
      <c r="F122" s="167"/>
      <c r="G122" s="523"/>
      <c r="H122" s="525"/>
      <c r="I122" s="2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row>
    <row r="123" spans="1:32" ht="18" customHeight="1">
      <c r="A123" s="169"/>
      <c r="B123" s="258" t="s">
        <v>45</v>
      </c>
      <c r="C123" s="259"/>
      <c r="D123" s="260"/>
      <c r="E123" s="261"/>
      <c r="F123" s="262"/>
      <c r="G123" s="692"/>
      <c r="H123" s="525"/>
      <c r="I123" s="2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row>
    <row r="124" spans="1:32" ht="18.75">
      <c r="A124" s="169"/>
      <c r="B124" s="171" t="s">
        <v>126</v>
      </c>
      <c r="C124" s="172" t="s">
        <v>616</v>
      </c>
      <c r="D124" s="223">
        <f>IF(Vin_type="AC",((3.1416-ACOS(NPS*(VOUT+Vf_SR)/VINPUT_max*1.414))*SQRT(LM*10^-6*CSWN_T_vmax*10^-12)*10^9),((3.1416-ACOS(NPS*(VOUT+Vf_SR)/VINPUT_max))*SQRT(LM*10^-6*CSWN_T_vmax*10^-12)*10^9))</f>
        <v>961.88462032030543</v>
      </c>
      <c r="E124" s="811" t="s">
        <v>36</v>
      </c>
      <c r="F124" s="812"/>
      <c r="G124" s="523"/>
      <c r="H124" s="525"/>
      <c r="I124" s="2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row>
    <row r="125" spans="1:32" ht="18.75">
      <c r="A125" s="169"/>
      <c r="B125" s="171" t="s">
        <v>1080</v>
      </c>
      <c r="C125" s="172" t="s">
        <v>617</v>
      </c>
      <c r="D125" s="288">
        <f>KTZ*(TZ_min+TD_HDr)*10^-9/1000</f>
        <v>1089.6307747587423</v>
      </c>
      <c r="E125" s="188" t="s">
        <v>65</v>
      </c>
      <c r="F125" s="263"/>
      <c r="G125" s="523"/>
      <c r="H125" s="525"/>
      <c r="I125" s="2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row>
    <row r="126" spans="1:32" ht="18.75">
      <c r="A126" s="169"/>
      <c r="B126" s="276" t="s">
        <v>618</v>
      </c>
      <c r="C126" s="198" t="s">
        <v>619</v>
      </c>
      <c r="D126" s="79">
        <v>1000</v>
      </c>
      <c r="E126" s="264" t="s">
        <v>65</v>
      </c>
      <c r="F126" s="265" t="str">
        <f>IF(RTZ_act&gt;1.1*RTZ_rec,"Beware, chosen value is &gt;&gt; recommended.  RTZ &gt; 1100k triggers pin-fault.",IF(RTZ_act&lt;0.9*RTZ_rec,"Beware, chosen value is &lt;&lt; recommended.  RTZ &lt; 20k triggers pin-fault.","Enter nearest standard value, use ±1% tolerance or better"))</f>
        <v>Enter nearest standard value, use ±1% tolerance or better</v>
      </c>
      <c r="G126" s="677"/>
      <c r="H126" s="691"/>
      <c r="I126" s="2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row>
    <row r="127" spans="1:32" ht="19.5" thickBot="1">
      <c r="A127" s="169"/>
      <c r="B127" s="244" t="s">
        <v>127</v>
      </c>
      <c r="C127" s="245" t="s">
        <v>620</v>
      </c>
      <c r="D127" s="255">
        <f>IF(RTZ_act="",RTZ_rec,RTZ_act)</f>
        <v>1000</v>
      </c>
      <c r="E127" s="274" t="s">
        <v>65</v>
      </c>
      <c r="F127" s="289"/>
      <c r="G127" s="523"/>
      <c r="H127" s="525"/>
      <c r="I127" s="2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row>
    <row r="128" spans="1:32" ht="15.75" thickBot="1">
      <c r="A128" s="169"/>
      <c r="B128" s="163"/>
      <c r="C128" s="240"/>
      <c r="D128" s="165"/>
      <c r="E128" s="166"/>
      <c r="F128" s="167"/>
      <c r="G128" s="187"/>
      <c r="H128" s="210"/>
      <c r="I128" s="2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row>
    <row r="129" spans="1:32" ht="18" customHeight="1">
      <c r="A129" s="169"/>
      <c r="B129" s="258" t="s">
        <v>48</v>
      </c>
      <c r="C129" s="259"/>
      <c r="D129" s="260"/>
      <c r="E129" s="261"/>
      <c r="F129" s="262"/>
      <c r="G129" s="447"/>
      <c r="H129" s="210"/>
      <c r="I129" s="2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row>
    <row r="130" spans="1:32" ht="18.75" customHeight="1">
      <c r="A130" s="169"/>
      <c r="B130" s="171" t="s">
        <v>1149</v>
      </c>
      <c r="C130" s="172" t="s">
        <v>621</v>
      </c>
      <c r="D130" s="278">
        <f>IF(Vin_type="AC",ipk_BUR*RCS-VINPUT_BUR*1.414*RCS*tD_CST_BUR*10^-9/(LM*10^-6)+iVSL_BUR*10^-3*R_OPP/KLC,ipk_BUR*RCS-VINPUT_BUR*RCS*(tD_CST_BUR+0.31)*10^-9/(LM*10^-6)+iVSL_BUR*10^-3*R_OPP/KLC)</f>
        <v>0.22444886719872043</v>
      </c>
      <c r="E130" s="279" t="s">
        <v>49</v>
      </c>
      <c r="F130" s="280"/>
      <c r="G130" s="475"/>
      <c r="H130" s="477"/>
      <c r="I130" s="228"/>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row>
    <row r="131" spans="1:32" s="35" customFormat="1" ht="18.75" customHeight="1">
      <c r="A131" s="169"/>
      <c r="B131" s="171" t="s">
        <v>622</v>
      </c>
      <c r="C131" s="172" t="s">
        <v>623</v>
      </c>
      <c r="D131" s="278">
        <f>IF((VCST_BUR*KBUR_CST)&gt;2.4,2.4,IF((VCST_BUR*KBUR_CST)&lt;0.7,0.7,(VCST_BUR*KBUR_CST)))</f>
        <v>0.89330649145090724</v>
      </c>
      <c r="E131" s="279" t="s">
        <v>6</v>
      </c>
      <c r="F131" s="529" t="str">
        <f>IF((VCST_BUR*KBUR_CST)&gt;2.4,"Beware, VBUR_tgt clamped to 2.4V; chosen BUR % (""Begin Input Here"" cell D34) is too high.",IF((VCST_BUR*KBUR_CST)&lt;0.7,"Beware, VBUR_tgt clamped to 0.7V; chosen BUR % (""Begin Input Here"" cell D34) is too low.","= VCST_BUR target * KBUR_CST factor"))</f>
        <v>= VCST_BUR target * KBUR_CST factor</v>
      </c>
      <c r="G131" s="677"/>
      <c r="H131" s="686"/>
      <c r="I131" s="210"/>
      <c r="J131" s="110"/>
      <c r="K131" s="639"/>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row>
    <row r="132" spans="1:32" s="434" customFormat="1" ht="18.75" customHeight="1">
      <c r="A132" s="437"/>
      <c r="B132" s="179" t="s">
        <v>630</v>
      </c>
      <c r="C132" s="172" t="s">
        <v>631</v>
      </c>
      <c r="D132" s="291">
        <f>RBUR1_rec2</f>
        <v>147.85752188319702</v>
      </c>
      <c r="E132" s="188" t="s">
        <v>99</v>
      </c>
      <c r="F132" s="263" t="s">
        <v>1072</v>
      </c>
      <c r="G132" s="435"/>
      <c r="H132" s="525"/>
      <c r="I132" s="2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row>
    <row r="133" spans="1:32" s="434" customFormat="1" ht="18.75" customHeight="1">
      <c r="A133" s="437"/>
      <c r="B133" s="268" t="s">
        <v>632</v>
      </c>
      <c r="C133" s="225" t="s">
        <v>633</v>
      </c>
      <c r="D133" s="473">
        <f>RBUR1_act2</f>
        <v>115</v>
      </c>
      <c r="E133" s="188" t="s">
        <v>99</v>
      </c>
      <c r="F133" s="530" t="s">
        <v>1071</v>
      </c>
      <c r="G133" s="687"/>
      <c r="H133" s="525"/>
      <c r="I133" s="2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row>
    <row r="134" spans="1:32" s="434" customFormat="1" ht="18.75" customHeight="1">
      <c r="A134" s="437"/>
      <c r="B134" s="179" t="s">
        <v>634</v>
      </c>
      <c r="C134" s="172" t="s">
        <v>635</v>
      </c>
      <c r="D134" s="285">
        <f>IF(RBUR1_act="",RBUR1_rec,RBUR1_act)</f>
        <v>115</v>
      </c>
      <c r="E134" s="811" t="s">
        <v>99</v>
      </c>
      <c r="F134" s="812"/>
      <c r="G134" s="687"/>
      <c r="H134" s="525"/>
      <c r="I134" s="210"/>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row>
    <row r="135" spans="1:32" ht="18.75">
      <c r="A135" s="169"/>
      <c r="B135" s="179" t="s">
        <v>624</v>
      </c>
      <c r="C135" s="172" t="s">
        <v>625</v>
      </c>
      <c r="D135" s="291">
        <f>RBUR2_rec2</f>
        <v>30.507236013128335</v>
      </c>
      <c r="E135" s="188" t="s">
        <v>68</v>
      </c>
      <c r="F135" s="263" t="s">
        <v>1072</v>
      </c>
      <c r="G135" s="523"/>
      <c r="H135" s="688"/>
      <c r="I135" s="485"/>
      <c r="K135" s="110"/>
      <c r="L135" s="110"/>
      <c r="M135" s="110"/>
      <c r="N135" s="110"/>
      <c r="O135" s="110"/>
      <c r="P135" s="110"/>
      <c r="Q135" s="110"/>
      <c r="R135" s="110"/>
      <c r="S135" s="110"/>
      <c r="T135" s="110"/>
      <c r="U135" s="110"/>
      <c r="V135" s="110"/>
      <c r="W135" s="110"/>
      <c r="X135" s="110"/>
      <c r="Y135" s="110"/>
      <c r="Z135" s="110"/>
      <c r="AA135" s="110"/>
      <c r="AB135" s="110"/>
      <c r="AC135" s="110"/>
      <c r="AD135" s="110"/>
      <c r="AE135" s="110"/>
      <c r="AF135" s="110"/>
    </row>
    <row r="136" spans="1:32" ht="18.75">
      <c r="A136" s="169"/>
      <c r="B136" s="268" t="s">
        <v>626</v>
      </c>
      <c r="C136" s="225" t="s">
        <v>627</v>
      </c>
      <c r="D136" s="473">
        <f>RBUR2_act2</f>
        <v>35.700000000000003</v>
      </c>
      <c r="E136" s="188" t="s">
        <v>65</v>
      </c>
      <c r="F136" s="530" t="s">
        <v>1071</v>
      </c>
      <c r="G136" s="523"/>
      <c r="H136" s="537"/>
      <c r="I136" s="210"/>
      <c r="K136" s="110"/>
      <c r="L136" s="110"/>
      <c r="M136" s="110"/>
      <c r="N136" s="110"/>
      <c r="O136" s="110"/>
      <c r="P136" s="110"/>
      <c r="Q136" s="110"/>
      <c r="R136" s="110"/>
      <c r="S136" s="110"/>
      <c r="T136" s="110"/>
      <c r="U136" s="110"/>
      <c r="V136" s="110"/>
      <c r="W136" s="110"/>
      <c r="X136" s="110"/>
      <c r="Y136" s="110"/>
      <c r="Z136" s="110"/>
      <c r="AA136" s="110"/>
      <c r="AB136" s="110"/>
      <c r="AC136" s="110"/>
      <c r="AD136" s="110"/>
      <c r="AE136" s="110"/>
      <c r="AF136" s="110"/>
    </row>
    <row r="137" spans="1:32" ht="18.75">
      <c r="A137" s="169"/>
      <c r="B137" s="179" t="s">
        <v>628</v>
      </c>
      <c r="C137" s="172" t="s">
        <v>629</v>
      </c>
      <c r="D137" s="285">
        <f>IF(RBUR2_act="",RBUR2_rec,RBUR2_act)</f>
        <v>35.700000000000003</v>
      </c>
      <c r="E137" s="811" t="s">
        <v>65</v>
      </c>
      <c r="F137" s="812"/>
      <c r="G137" s="523"/>
      <c r="H137" s="537"/>
      <c r="I137" s="210"/>
      <c r="K137" s="110"/>
      <c r="L137" s="110"/>
      <c r="M137" s="110"/>
      <c r="N137" s="110"/>
      <c r="O137" s="110"/>
      <c r="P137" s="110"/>
      <c r="Q137" s="110"/>
      <c r="R137" s="110"/>
      <c r="S137" s="110"/>
      <c r="T137" s="110"/>
      <c r="U137" s="110"/>
      <c r="V137" s="110"/>
      <c r="W137" s="110"/>
      <c r="X137" s="110"/>
      <c r="Y137" s="110"/>
      <c r="Z137" s="110"/>
      <c r="AA137" s="110"/>
      <c r="AB137" s="110"/>
      <c r="AC137" s="110"/>
      <c r="AD137" s="110"/>
      <c r="AE137" s="110"/>
      <c r="AF137" s="110"/>
    </row>
    <row r="138" spans="1:32" ht="18.75">
      <c r="A138" s="169"/>
      <c r="B138" s="179" t="s">
        <v>347</v>
      </c>
      <c r="C138" s="172" t="s">
        <v>636</v>
      </c>
      <c r="D138" s="292">
        <f>VBUR2</f>
        <v>1.0482581287325814</v>
      </c>
      <c r="E138" s="465" t="s">
        <v>141</v>
      </c>
      <c r="F138" s="466" t="s">
        <v>1093</v>
      </c>
      <c r="G138" s="689"/>
      <c r="H138" s="525"/>
      <c r="I138" s="2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row>
    <row r="139" spans="1:32" ht="18.75">
      <c r="A139" s="169"/>
      <c r="B139" s="179" t="s">
        <v>1081</v>
      </c>
      <c r="C139" s="172" t="s">
        <v>637</v>
      </c>
      <c r="D139" s="295">
        <f>((40*10^-6/3)/(RBUR2*RBUR1/(RBUR2+RBUR1)*1000))*10^12</f>
        <v>489.42475540941007</v>
      </c>
      <c r="E139" s="811" t="s">
        <v>100</v>
      </c>
      <c r="F139" s="812"/>
      <c r="G139" s="523"/>
      <c r="H139" s="525"/>
      <c r="I139" s="210"/>
      <c r="J139" s="110"/>
      <c r="K139" s="110"/>
      <c r="L139" s="110"/>
      <c r="M139" s="110"/>
      <c r="N139" s="110"/>
      <c r="O139" s="110"/>
      <c r="P139" s="110"/>
      <c r="Q139" s="110"/>
      <c r="R139" s="110"/>
      <c r="S139" s="110"/>
      <c r="T139" s="110"/>
      <c r="U139" s="110"/>
      <c r="V139" s="110"/>
      <c r="W139" s="110"/>
      <c r="X139" s="110"/>
      <c r="Y139" s="110"/>
      <c r="Z139" s="110"/>
      <c r="AA139" s="110"/>
      <c r="AB139" s="110"/>
      <c r="AC139" s="110"/>
      <c r="AD139" s="110"/>
      <c r="AE139" s="110"/>
      <c r="AF139" s="110"/>
    </row>
    <row r="140" spans="1:32" ht="18.75">
      <c r="A140" s="169"/>
      <c r="B140" s="189" t="s">
        <v>638</v>
      </c>
      <c r="C140" s="198" t="s">
        <v>639</v>
      </c>
      <c r="D140" s="30">
        <v>330</v>
      </c>
      <c r="E140" s="264" t="s">
        <v>100</v>
      </c>
      <c r="F140" s="200" t="s">
        <v>1150</v>
      </c>
      <c r="G140" s="677"/>
      <c r="H140" s="525"/>
      <c r="I140" s="210"/>
      <c r="J140" s="110"/>
      <c r="K140" s="110"/>
      <c r="L140" s="110"/>
      <c r="M140" s="110"/>
      <c r="N140" s="110"/>
      <c r="O140" s="110"/>
      <c r="P140" s="110"/>
      <c r="Q140" s="110"/>
      <c r="R140" s="110"/>
      <c r="S140" s="110"/>
      <c r="T140" s="110"/>
      <c r="U140" s="110"/>
      <c r="V140" s="110"/>
      <c r="W140" s="110"/>
      <c r="X140" s="110"/>
      <c r="Y140" s="110"/>
      <c r="Z140" s="110"/>
      <c r="AA140" s="110"/>
      <c r="AB140" s="110"/>
      <c r="AC140" s="110"/>
      <c r="AD140" s="110"/>
      <c r="AE140" s="110"/>
      <c r="AF140" s="110"/>
    </row>
    <row r="141" spans="1:32" ht="19.5" thickBot="1">
      <c r="A141" s="169"/>
      <c r="B141" s="244" t="s">
        <v>640</v>
      </c>
      <c r="C141" s="245" t="s">
        <v>641</v>
      </c>
      <c r="D141" s="246">
        <f>IF(CBUR_act="",CBUR_max,CBUR_act)</f>
        <v>330</v>
      </c>
      <c r="E141" s="828" t="s">
        <v>101</v>
      </c>
      <c r="F141" s="829"/>
      <c r="G141" s="523"/>
      <c r="H141" s="525"/>
      <c r="I141" s="210"/>
      <c r="J141" s="110"/>
      <c r="K141" s="110"/>
      <c r="L141" s="110"/>
      <c r="M141" s="110"/>
      <c r="N141" s="110"/>
      <c r="O141" s="110"/>
      <c r="P141" s="110"/>
      <c r="Q141" s="110"/>
      <c r="R141" s="110"/>
      <c r="S141" s="110"/>
      <c r="T141" s="110"/>
      <c r="U141" s="110"/>
      <c r="V141" s="110"/>
      <c r="W141" s="110"/>
      <c r="X141" s="110"/>
      <c r="Y141" s="110"/>
      <c r="Z141" s="110"/>
      <c r="AA141" s="110"/>
      <c r="AB141" s="110"/>
      <c r="AC141" s="110"/>
      <c r="AD141" s="110"/>
      <c r="AE141" s="110"/>
      <c r="AF141" s="110"/>
    </row>
    <row r="142" spans="1:32" ht="15.75" thickBot="1">
      <c r="A142" s="169"/>
      <c r="B142" s="163"/>
      <c r="C142" s="240"/>
      <c r="D142" s="165"/>
      <c r="E142" s="166"/>
      <c r="F142" s="167"/>
      <c r="G142" s="523"/>
      <c r="H142" s="525"/>
      <c r="I142" s="210"/>
      <c r="J142" s="110"/>
      <c r="K142" s="110"/>
      <c r="L142" s="110"/>
      <c r="M142" s="110"/>
      <c r="N142" s="110"/>
      <c r="O142" s="110"/>
      <c r="P142" s="110"/>
      <c r="Q142" s="110"/>
      <c r="R142" s="110"/>
      <c r="S142" s="110"/>
      <c r="T142" s="110"/>
      <c r="U142" s="110"/>
      <c r="V142" s="110"/>
      <c r="W142" s="110"/>
      <c r="X142" s="110"/>
      <c r="Y142" s="110"/>
      <c r="Z142" s="110"/>
      <c r="AA142" s="110"/>
      <c r="AB142" s="110"/>
      <c r="AC142" s="110"/>
      <c r="AD142" s="110"/>
      <c r="AE142" s="110"/>
      <c r="AF142" s="110"/>
    </row>
    <row r="143" spans="1:32" ht="18" customHeight="1">
      <c r="A143" s="169"/>
      <c r="B143" s="258" t="s">
        <v>50</v>
      </c>
      <c r="C143" s="259"/>
      <c r="D143" s="260"/>
      <c r="E143" s="261"/>
      <c r="F143" s="262"/>
      <c r="G143" s="523"/>
      <c r="H143" s="525"/>
      <c r="I143" s="2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row>
    <row r="144" spans="1:32" ht="18.75">
      <c r="A144" s="169"/>
      <c r="B144" s="171" t="s">
        <v>642</v>
      </c>
      <c r="C144" s="172" t="s">
        <v>643</v>
      </c>
      <c r="D144" s="528">
        <f>IF(Vin_type="AC",(COSS_Qs*10^-12*(VINPUT_max*1.414+NPS*VOUT)/(V_P13+0.9*Vgs_Qs)-0*10^-12)*10^12,(COSS_Qs*10^-12*(VINPUT_max+NPS*VOUT)/(V_P13+0.9*Vgs_Qs)-0*10^-12)*10^12)</f>
        <v>49.675324675324667</v>
      </c>
      <c r="E144" s="224" t="s">
        <v>51</v>
      </c>
      <c r="F144" s="296"/>
      <c r="G144" s="522"/>
      <c r="H144" s="690"/>
      <c r="I144" s="228"/>
      <c r="J144" s="110"/>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0"/>
    </row>
    <row r="145" spans="1:32" ht="18.75">
      <c r="A145" s="169"/>
      <c r="B145" s="276" t="s">
        <v>644</v>
      </c>
      <c r="C145" s="198" t="s">
        <v>645</v>
      </c>
      <c r="D145" s="30">
        <v>22</v>
      </c>
      <c r="E145" s="249" t="s">
        <v>51</v>
      </c>
      <c r="F145" s="200" t="s">
        <v>1147</v>
      </c>
      <c r="G145" s="677"/>
      <c r="H145" s="525"/>
      <c r="I145" s="210"/>
      <c r="J145" s="110"/>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row>
    <row r="146" spans="1:32" ht="18.75">
      <c r="A146" s="169"/>
      <c r="B146" s="171" t="s">
        <v>128</v>
      </c>
      <c r="C146" s="172" t="s">
        <v>646</v>
      </c>
      <c r="D146" s="223">
        <f>IF(CSWS_act="",CSWS_rec,CSWS_act)</f>
        <v>22</v>
      </c>
      <c r="E146" s="224" t="s">
        <v>51</v>
      </c>
      <c r="F146" s="177"/>
      <c r="G146" s="187"/>
      <c r="H146" s="210"/>
      <c r="I146" s="210"/>
      <c r="J146" s="110"/>
      <c r="K146" s="110"/>
      <c r="L146" s="110"/>
      <c r="M146" s="110"/>
      <c r="N146" s="110"/>
      <c r="O146" s="110"/>
      <c r="P146" s="110"/>
      <c r="Q146" s="110"/>
      <c r="R146" s="110"/>
      <c r="S146" s="110"/>
      <c r="T146" s="110"/>
      <c r="U146" s="110"/>
      <c r="V146" s="110"/>
      <c r="W146" s="110"/>
      <c r="X146" s="110"/>
      <c r="Y146" s="110"/>
      <c r="Z146" s="110"/>
      <c r="AA146" s="110"/>
      <c r="AB146" s="110"/>
      <c r="AC146" s="110"/>
      <c r="AD146" s="110"/>
      <c r="AE146" s="110"/>
      <c r="AF146" s="110"/>
    </row>
    <row r="147" spans="1:32" ht="18.75">
      <c r="A147" s="169"/>
      <c r="B147" s="171" t="s">
        <v>262</v>
      </c>
      <c r="C147" s="172" t="s">
        <v>647</v>
      </c>
      <c r="D147" s="223">
        <f>10*SQRT((LQs*10^-9)/((CSWS+0)*10^-12))</f>
        <v>134.83997249264843</v>
      </c>
      <c r="E147" s="188" t="s">
        <v>31</v>
      </c>
      <c r="F147" s="263" t="s">
        <v>343</v>
      </c>
      <c r="G147" s="187"/>
      <c r="H147" s="210"/>
      <c r="I147" s="210"/>
      <c r="J147" s="110"/>
      <c r="K147" s="110"/>
      <c r="L147" s="110"/>
      <c r="M147" s="110"/>
      <c r="N147" s="110"/>
      <c r="O147" s="110"/>
      <c r="P147" s="110"/>
      <c r="Q147" s="110"/>
      <c r="R147" s="110"/>
      <c r="S147" s="110"/>
      <c r="T147" s="110"/>
      <c r="U147" s="110"/>
      <c r="V147" s="110"/>
      <c r="W147" s="110"/>
      <c r="X147" s="110"/>
      <c r="Y147" s="110"/>
      <c r="Z147" s="110"/>
      <c r="AA147" s="110"/>
      <c r="AB147" s="110"/>
      <c r="AC147" s="110"/>
      <c r="AD147" s="110"/>
      <c r="AE147" s="110"/>
      <c r="AF147" s="110"/>
    </row>
    <row r="148" spans="1:32" ht="18.75">
      <c r="A148" s="169"/>
      <c r="B148" s="276" t="s">
        <v>648</v>
      </c>
      <c r="C148" s="198" t="s">
        <v>649</v>
      </c>
      <c r="D148" s="30">
        <v>523</v>
      </c>
      <c r="E148" s="264" t="s">
        <v>31</v>
      </c>
      <c r="F148" s="265" t="s">
        <v>1094</v>
      </c>
      <c r="G148" s="580"/>
      <c r="H148" s="210"/>
      <c r="I148" s="210"/>
      <c r="J148" s="110"/>
      <c r="K148" s="110"/>
      <c r="L148" s="110"/>
      <c r="M148" s="110"/>
      <c r="N148" s="110"/>
      <c r="O148" s="110"/>
      <c r="P148" s="110"/>
      <c r="Q148" s="110"/>
      <c r="R148" s="110"/>
      <c r="S148" s="110"/>
      <c r="T148" s="110"/>
      <c r="U148" s="110"/>
      <c r="V148" s="110"/>
      <c r="W148" s="110"/>
      <c r="X148" s="110"/>
      <c r="Y148" s="110"/>
      <c r="Z148" s="110"/>
      <c r="AA148" s="110"/>
      <c r="AB148" s="110"/>
      <c r="AC148" s="110"/>
      <c r="AD148" s="110"/>
      <c r="AE148" s="110"/>
    </row>
    <row r="149" spans="1:32" ht="19.5" thickBot="1">
      <c r="A149" s="169"/>
      <c r="B149" s="244" t="s">
        <v>129</v>
      </c>
      <c r="C149" s="245" t="s">
        <v>650</v>
      </c>
      <c r="D149" s="246">
        <f>IF(RSWS_act="",RSWS_rec,RSWS_act)</f>
        <v>523</v>
      </c>
      <c r="E149" s="828" t="s">
        <v>31</v>
      </c>
      <c r="F149" s="829"/>
      <c r="G149" s="187"/>
      <c r="H149" s="210"/>
      <c r="I149" s="210"/>
      <c r="J149" s="110"/>
      <c r="K149" s="110"/>
      <c r="L149" s="110"/>
      <c r="M149" s="110"/>
      <c r="N149" s="110"/>
      <c r="O149" s="110"/>
      <c r="P149" s="110"/>
      <c r="Q149" s="110"/>
      <c r="R149" s="110"/>
      <c r="S149" s="110"/>
      <c r="T149" s="110"/>
      <c r="U149" s="110"/>
      <c r="V149" s="110"/>
      <c r="W149" s="110"/>
      <c r="X149" s="110"/>
      <c r="Y149" s="110"/>
      <c r="Z149" s="110"/>
      <c r="AA149" s="110"/>
      <c r="AB149" s="110"/>
      <c r="AC149" s="110"/>
      <c r="AD149" s="110"/>
      <c r="AE149" s="110"/>
    </row>
    <row r="150" spans="1:32" ht="15.75" thickBot="1">
      <c r="A150" s="169"/>
      <c r="B150" s="163"/>
      <c r="C150" s="240"/>
      <c r="D150" s="165"/>
      <c r="E150" s="166"/>
      <c r="F150" s="167"/>
      <c r="G150" s="187"/>
      <c r="H150" s="210"/>
      <c r="I150" s="210"/>
      <c r="J150" s="110"/>
      <c r="K150" s="110"/>
      <c r="L150" s="110"/>
      <c r="M150" s="110"/>
      <c r="N150" s="110"/>
      <c r="O150" s="110"/>
      <c r="P150" s="110"/>
      <c r="Q150" s="110"/>
      <c r="R150" s="110"/>
      <c r="S150" s="110"/>
      <c r="T150" s="110"/>
      <c r="U150" s="110"/>
      <c r="V150" s="110"/>
      <c r="W150" s="110"/>
      <c r="X150" s="110"/>
      <c r="Y150" s="110"/>
      <c r="Z150" s="110"/>
      <c r="AA150" s="110"/>
      <c r="AB150" s="110"/>
      <c r="AC150" s="110"/>
      <c r="AD150" s="110"/>
      <c r="AE150" s="110"/>
    </row>
    <row r="151" spans="1:32" ht="18" customHeight="1">
      <c r="A151" s="169"/>
      <c r="B151" s="258" t="s">
        <v>795</v>
      </c>
      <c r="C151" s="259"/>
      <c r="D151" s="260"/>
      <c r="E151" s="261"/>
      <c r="F151" s="262"/>
      <c r="G151" s="187"/>
      <c r="H151" s="210"/>
      <c r="I151" s="210"/>
      <c r="J151" s="110"/>
      <c r="K151" s="110"/>
      <c r="L151" s="110"/>
      <c r="M151" s="110"/>
      <c r="N151" s="110"/>
      <c r="O151" s="110"/>
      <c r="P151" s="110"/>
      <c r="Q151" s="110"/>
      <c r="R151" s="110"/>
      <c r="S151" s="110"/>
      <c r="T151" s="110"/>
      <c r="U151" s="110"/>
      <c r="V151" s="110"/>
      <c r="W151" s="110"/>
      <c r="X151" s="110"/>
      <c r="Y151" s="110"/>
      <c r="Z151" s="110"/>
      <c r="AA151" s="110"/>
      <c r="AB151" s="110"/>
      <c r="AC151" s="110"/>
      <c r="AD151" s="110"/>
      <c r="AE151" s="110"/>
    </row>
    <row r="152" spans="1:32" ht="18.75" customHeight="1">
      <c r="A152" s="169"/>
      <c r="B152" s="521" t="s">
        <v>812</v>
      </c>
      <c r="C152" s="225" t="s">
        <v>813</v>
      </c>
      <c r="D152" s="473">
        <f>1 + 0*((Ciss_Qs*10^-12))*(20-V_P13)/0.22*10^6*1.2</f>
        <v>1</v>
      </c>
      <c r="E152" s="224" t="s">
        <v>109</v>
      </c>
      <c r="F152" s="299"/>
      <c r="G152" s="522"/>
      <c r="H152" s="525"/>
      <c r="I152" s="526"/>
      <c r="J152" s="537"/>
      <c r="K152" s="537"/>
      <c r="L152" s="537"/>
      <c r="M152" s="110"/>
      <c r="N152" s="110"/>
      <c r="O152" s="110"/>
      <c r="P152" s="110"/>
      <c r="Q152" s="110"/>
      <c r="R152" s="110"/>
      <c r="S152" s="110"/>
      <c r="T152" s="110"/>
      <c r="U152" s="110"/>
      <c r="V152" s="110"/>
      <c r="W152" s="110"/>
      <c r="X152" s="110"/>
      <c r="Y152" s="110"/>
      <c r="Z152" s="110"/>
      <c r="AA152" s="110"/>
      <c r="AB152" s="110"/>
      <c r="AC152" s="110"/>
      <c r="AD152" s="110"/>
      <c r="AE152" s="110"/>
    </row>
    <row r="153" spans="1:32" ht="18.75">
      <c r="A153" s="169"/>
      <c r="B153" s="276" t="s">
        <v>814</v>
      </c>
      <c r="C153" s="198" t="s">
        <v>815</v>
      </c>
      <c r="D153" s="79">
        <v>1</v>
      </c>
      <c r="E153" s="303" t="s">
        <v>54</v>
      </c>
      <c r="F153" s="200" t="s">
        <v>999</v>
      </c>
      <c r="G153" s="522"/>
      <c r="H153" s="525"/>
      <c r="I153" s="525"/>
      <c r="J153" s="537"/>
      <c r="K153" s="537"/>
      <c r="L153" s="537"/>
      <c r="M153" s="110"/>
      <c r="N153" s="110"/>
      <c r="O153" s="110"/>
      <c r="P153" s="110"/>
      <c r="Q153" s="110"/>
      <c r="R153" s="110"/>
      <c r="S153" s="110"/>
      <c r="T153" s="110"/>
      <c r="U153" s="110"/>
      <c r="V153" s="110"/>
      <c r="W153" s="110"/>
      <c r="X153" s="110"/>
      <c r="Y153" s="110"/>
      <c r="Z153" s="110"/>
      <c r="AA153" s="110"/>
      <c r="AB153" s="110"/>
      <c r="AC153" s="110"/>
      <c r="AD153" s="110"/>
      <c r="AE153" s="110"/>
    </row>
    <row r="154" spans="1:32" ht="18.75">
      <c r="A154" s="169"/>
      <c r="B154" s="521" t="s">
        <v>816</v>
      </c>
      <c r="C154" s="225" t="s">
        <v>817</v>
      </c>
      <c r="D154" s="473">
        <f>IF(CP13_act="",CP13_rec,CP13_act)</f>
        <v>1</v>
      </c>
      <c r="E154" s="524" t="s">
        <v>109</v>
      </c>
      <c r="F154" s="464"/>
      <c r="G154" s="630"/>
      <c r="H154" s="435"/>
      <c r="I154" s="525"/>
      <c r="J154" s="537"/>
      <c r="K154" s="537"/>
      <c r="L154" s="537"/>
      <c r="M154" s="110"/>
      <c r="N154" s="110"/>
      <c r="O154" s="110"/>
      <c r="P154" s="110"/>
      <c r="Q154" s="110"/>
      <c r="R154" s="110"/>
      <c r="S154" s="110"/>
      <c r="T154" s="110"/>
      <c r="U154" s="110"/>
      <c r="V154" s="110"/>
      <c r="W154" s="110"/>
      <c r="X154" s="110"/>
      <c r="Y154" s="110"/>
      <c r="Z154" s="110"/>
      <c r="AA154" s="110"/>
      <c r="AB154" s="110"/>
      <c r="AC154" s="110"/>
      <c r="AD154" s="110"/>
      <c r="AE154" s="110"/>
    </row>
    <row r="155" spans="1:32" ht="18.75">
      <c r="A155" s="169"/>
      <c r="B155" s="171" t="s">
        <v>651</v>
      </c>
      <c r="C155" s="172" t="s">
        <v>652</v>
      </c>
      <c r="D155" s="285">
        <f>0.22 + 0*((IRUN_VDD*10^-3-Iwait_VDD*10^-3)*tD_RUN_PWML*10^-6)/(2*0.05)*10^6*1.2</f>
        <v>0.22</v>
      </c>
      <c r="E155" s="224" t="s">
        <v>109</v>
      </c>
      <c r="F155" s="464"/>
      <c r="G155" s="527"/>
      <c r="H155" s="525"/>
      <c r="I155" s="526"/>
      <c r="J155" s="537"/>
      <c r="K155" s="537"/>
      <c r="L155" s="537"/>
      <c r="M155" s="537"/>
      <c r="N155" s="110"/>
      <c r="O155" s="110"/>
      <c r="P155" s="110"/>
      <c r="Q155" s="110"/>
      <c r="R155" s="110"/>
      <c r="S155" s="110"/>
      <c r="T155" s="110"/>
      <c r="U155" s="110"/>
      <c r="V155" s="110"/>
      <c r="W155" s="110"/>
      <c r="X155" s="110"/>
      <c r="Y155" s="110"/>
      <c r="Z155" s="110"/>
      <c r="AA155" s="110"/>
      <c r="AB155" s="110"/>
      <c r="AC155" s="110"/>
      <c r="AD155" s="110"/>
      <c r="AE155" s="110"/>
    </row>
    <row r="156" spans="1:32" ht="18.75">
      <c r="A156" s="169"/>
      <c r="B156" s="276" t="s">
        <v>653</v>
      </c>
      <c r="C156" s="198" t="s">
        <v>654</v>
      </c>
      <c r="D156" s="79">
        <v>0.47</v>
      </c>
      <c r="E156" s="467" t="s">
        <v>54</v>
      </c>
      <c r="F156" s="468" t="s">
        <v>998</v>
      </c>
      <c r="G156" s="706"/>
      <c r="H156" s="525"/>
      <c r="I156" s="435"/>
      <c r="J156" s="537"/>
      <c r="K156" s="537"/>
      <c r="L156" s="537"/>
      <c r="M156" s="537"/>
      <c r="N156" s="110"/>
      <c r="O156" s="110"/>
      <c r="P156" s="110"/>
      <c r="Q156" s="110"/>
      <c r="R156" s="110"/>
      <c r="S156" s="110"/>
      <c r="T156" s="110"/>
      <c r="U156" s="110"/>
      <c r="V156" s="110"/>
      <c r="W156" s="110"/>
      <c r="X156" s="110"/>
      <c r="Y156" s="110"/>
      <c r="Z156" s="110"/>
      <c r="AA156" s="110"/>
      <c r="AB156" s="110"/>
      <c r="AC156" s="110"/>
      <c r="AD156" s="110"/>
      <c r="AE156" s="110"/>
    </row>
    <row r="157" spans="1:32" ht="19.5" thickBot="1">
      <c r="A157" s="169"/>
      <c r="B157" s="244" t="s">
        <v>655</v>
      </c>
      <c r="C157" s="245" t="s">
        <v>656</v>
      </c>
      <c r="D157" s="255">
        <f>IF(CREF_act="",CREF_rec,CREF_act)</f>
        <v>0.47</v>
      </c>
      <c r="E157" s="282" t="s">
        <v>54</v>
      </c>
      <c r="F157" s="283"/>
      <c r="G157" s="691"/>
      <c r="H157" s="435"/>
      <c r="I157" s="525"/>
      <c r="J157" s="537"/>
      <c r="K157" s="707"/>
      <c r="L157" s="435"/>
      <c r="M157" s="110"/>
      <c r="N157" s="110"/>
      <c r="O157" s="110"/>
      <c r="P157" s="110"/>
      <c r="Q157" s="110"/>
      <c r="R157" s="110"/>
      <c r="S157" s="110"/>
      <c r="T157" s="110"/>
      <c r="U157" s="110"/>
      <c r="V157" s="110"/>
      <c r="W157" s="110"/>
      <c r="X157" s="110"/>
      <c r="Y157" s="110"/>
      <c r="Z157" s="110"/>
      <c r="AA157" s="110"/>
      <c r="AB157" s="110"/>
      <c r="AC157" s="110"/>
      <c r="AD157" s="110"/>
      <c r="AE157" s="110"/>
    </row>
    <row r="158" spans="1:32" ht="15.75" thickBot="1">
      <c r="A158" s="169"/>
      <c r="B158" s="163"/>
      <c r="C158" s="240"/>
      <c r="D158" s="165"/>
      <c r="E158" s="166"/>
      <c r="F158" s="167"/>
      <c r="G158" s="187"/>
      <c r="H158" s="210"/>
      <c r="I158" s="210"/>
      <c r="J158" s="537"/>
      <c r="K158" s="537"/>
      <c r="L158" s="537"/>
      <c r="M158" s="110"/>
      <c r="N158" s="110"/>
      <c r="O158" s="110"/>
      <c r="P158" s="110"/>
      <c r="Q158" s="110"/>
      <c r="R158" s="110"/>
      <c r="S158" s="110"/>
      <c r="T158" s="110"/>
      <c r="U158" s="110"/>
      <c r="V158" s="110"/>
      <c r="W158" s="110"/>
      <c r="X158" s="110"/>
      <c r="Y158" s="110"/>
      <c r="Z158" s="110"/>
      <c r="AA158" s="110"/>
      <c r="AB158" s="110"/>
      <c r="AC158" s="110"/>
      <c r="AD158" s="110"/>
      <c r="AE158" s="110"/>
    </row>
    <row r="159" spans="1:32" ht="18" customHeight="1">
      <c r="A159" s="169"/>
      <c r="B159" s="697" t="s">
        <v>385</v>
      </c>
      <c r="C159" s="259"/>
      <c r="D159" s="260"/>
      <c r="E159" s="698"/>
      <c r="F159" s="699"/>
      <c r="G159" s="187"/>
      <c r="H159" s="210"/>
      <c r="I159" s="210"/>
      <c r="J159" s="110"/>
      <c r="K159" s="110"/>
      <c r="L159" s="110"/>
      <c r="M159" s="110"/>
      <c r="N159" s="110"/>
      <c r="O159" s="110"/>
      <c r="P159" s="110"/>
      <c r="Q159" s="110"/>
      <c r="R159" s="110"/>
      <c r="S159" s="110"/>
      <c r="T159" s="110"/>
      <c r="U159" s="110"/>
      <c r="V159" s="110"/>
      <c r="W159" s="110"/>
      <c r="X159" s="110"/>
      <c r="Y159" s="110"/>
      <c r="Z159" s="110"/>
      <c r="AA159" s="110"/>
      <c r="AB159" s="110"/>
      <c r="AC159" s="110"/>
      <c r="AD159" s="110"/>
      <c r="AE159" s="110"/>
    </row>
    <row r="160" spans="1:32" ht="18.75">
      <c r="A160" s="169"/>
      <c r="B160" s="171" t="s">
        <v>377</v>
      </c>
      <c r="C160" s="172" t="s">
        <v>901</v>
      </c>
      <c r="D160" s="223">
        <f>((0.1*(IVCC_qcc*10^-3)/fBUR_standyby)/(VDD-Vf_BootD-8.5))*10^9</f>
        <v>59.459459459459474</v>
      </c>
      <c r="E160" s="811" t="s">
        <v>53</v>
      </c>
      <c r="F160" s="812"/>
      <c r="G160" s="187"/>
      <c r="H160" s="210"/>
      <c r="I160" s="210"/>
      <c r="J160" s="110"/>
      <c r="K160" s="110"/>
      <c r="L160" s="110"/>
      <c r="M160" s="110"/>
      <c r="N160" s="110"/>
      <c r="O160" s="110"/>
      <c r="P160" s="110"/>
      <c r="Q160" s="110"/>
      <c r="R160" s="110"/>
      <c r="S160" s="110"/>
      <c r="T160" s="110"/>
      <c r="U160" s="110"/>
      <c r="V160" s="110"/>
      <c r="W160" s="110"/>
      <c r="X160" s="110"/>
      <c r="Y160" s="110"/>
      <c r="Z160" s="110"/>
      <c r="AA160" s="110"/>
      <c r="AB160" s="110"/>
      <c r="AC160" s="110"/>
      <c r="AD160" s="110"/>
      <c r="AE160" s="110"/>
    </row>
    <row r="161" spans="1:31" ht="18.75">
      <c r="A161" s="169"/>
      <c r="B161" s="171" t="s">
        <v>376</v>
      </c>
      <c r="C161" s="172" t="s">
        <v>899</v>
      </c>
      <c r="D161" s="223">
        <f>((Qg_Qh*10^-9+(IVCC_qcc*10^-3)/(fBUR_LR*10^3))/((VDD-Vf_BootD-11)-ipk_BUR_min*(RCS+RDSon_QL)))*10^9</f>
        <v>7.9720318864273114</v>
      </c>
      <c r="E161" s="811" t="s">
        <v>53</v>
      </c>
      <c r="F161" s="812"/>
      <c r="G161" s="187"/>
      <c r="H161" s="210"/>
      <c r="I161" s="2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row>
    <row r="162" spans="1:31" ht="18.75">
      <c r="A162" s="169"/>
      <c r="B162" s="276" t="s">
        <v>1163</v>
      </c>
      <c r="C162" s="198" t="s">
        <v>900</v>
      </c>
      <c r="D162" s="30">
        <v>33</v>
      </c>
      <c r="E162" s="695" t="s">
        <v>53</v>
      </c>
      <c r="F162" s="696" t="s">
        <v>1164</v>
      </c>
      <c r="G162" s="187"/>
      <c r="H162" s="210"/>
      <c r="I162" s="210"/>
      <c r="J162" s="110"/>
      <c r="K162" s="110"/>
      <c r="L162" s="110"/>
      <c r="M162" s="110"/>
      <c r="N162" s="110"/>
      <c r="O162" s="110"/>
      <c r="P162" s="110"/>
      <c r="Q162" s="110"/>
      <c r="R162" s="110"/>
      <c r="S162" s="110"/>
      <c r="T162" s="110"/>
      <c r="U162" s="110"/>
      <c r="V162" s="110"/>
      <c r="W162" s="110"/>
      <c r="X162" s="110"/>
      <c r="Y162" s="110"/>
      <c r="Z162" s="110"/>
      <c r="AA162" s="110"/>
      <c r="AB162" s="110"/>
      <c r="AC162" s="110"/>
      <c r="AD162" s="110"/>
      <c r="AE162" s="110"/>
    </row>
    <row r="163" spans="1:31" s="560" customFormat="1" ht="18.75">
      <c r="A163" s="565"/>
      <c r="B163" s="207" t="s">
        <v>1166</v>
      </c>
      <c r="C163" s="212" t="s">
        <v>1167</v>
      </c>
      <c r="D163" s="288">
        <f>10*RCS</f>
        <v>5</v>
      </c>
      <c r="E163" s="224" t="s">
        <v>168</v>
      </c>
      <c r="F163" s="694" t="s">
        <v>1165</v>
      </c>
      <c r="G163" s="187"/>
      <c r="H163" s="210"/>
      <c r="I163" s="210"/>
      <c r="J163" s="110"/>
      <c r="K163" s="110"/>
      <c r="L163" s="110"/>
      <c r="M163" s="110"/>
      <c r="N163" s="110"/>
      <c r="O163" s="110"/>
      <c r="P163" s="110"/>
      <c r="Q163" s="110"/>
      <c r="R163" s="110"/>
      <c r="S163" s="110"/>
      <c r="T163" s="110"/>
      <c r="U163" s="110"/>
      <c r="V163" s="110"/>
      <c r="W163" s="110"/>
      <c r="X163" s="110"/>
      <c r="Y163" s="110"/>
      <c r="Z163" s="110"/>
      <c r="AA163" s="110"/>
      <c r="AB163" s="110"/>
      <c r="AC163" s="110"/>
      <c r="AD163" s="110"/>
      <c r="AE163" s="110"/>
    </row>
    <row r="164" spans="1:31" s="560" customFormat="1" ht="18.75">
      <c r="A164" s="565"/>
      <c r="B164" s="213" t="s">
        <v>1168</v>
      </c>
      <c r="C164" s="214" t="s">
        <v>1167</v>
      </c>
      <c r="D164" s="79">
        <v>10</v>
      </c>
      <c r="E164" s="249" t="s">
        <v>139</v>
      </c>
      <c r="F164" s="696"/>
      <c r="G164" s="187"/>
      <c r="H164" s="210"/>
      <c r="I164" s="210"/>
      <c r="J164" s="110"/>
      <c r="K164" s="110"/>
      <c r="L164" s="110"/>
      <c r="M164" s="110"/>
      <c r="N164" s="110"/>
      <c r="O164" s="110"/>
      <c r="P164" s="110"/>
      <c r="Q164" s="110"/>
      <c r="R164" s="110"/>
      <c r="S164" s="110"/>
      <c r="T164" s="110"/>
      <c r="U164" s="110"/>
      <c r="V164" s="110"/>
      <c r="W164" s="110"/>
      <c r="X164" s="110"/>
      <c r="Y164" s="110"/>
      <c r="Z164" s="110"/>
      <c r="AA164" s="110"/>
      <c r="AB164" s="110"/>
      <c r="AC164" s="110"/>
      <c r="AD164" s="110"/>
      <c r="AE164" s="110"/>
    </row>
    <row r="165" spans="1:31" ht="18.75" customHeight="1">
      <c r="A165" s="169"/>
      <c r="B165" s="700" t="s">
        <v>657</v>
      </c>
      <c r="C165" s="589" t="s">
        <v>658</v>
      </c>
      <c r="D165" s="292">
        <f>(10*Cboot)*10^-3</f>
        <v>0.33</v>
      </c>
      <c r="E165" s="524" t="s">
        <v>138</v>
      </c>
      <c r="F165" s="694" t="s">
        <v>898</v>
      </c>
      <c r="G165" s="187"/>
      <c r="H165" s="210"/>
      <c r="I165" s="210"/>
      <c r="J165" s="110"/>
      <c r="K165" s="110"/>
      <c r="L165" s="110"/>
      <c r="M165" s="110"/>
      <c r="N165" s="110"/>
      <c r="O165" s="110"/>
      <c r="P165" s="110"/>
      <c r="Q165" s="110"/>
      <c r="R165" s="110"/>
      <c r="S165" s="110"/>
      <c r="T165" s="110"/>
      <c r="U165" s="110"/>
      <c r="V165" s="110"/>
      <c r="W165" s="110"/>
      <c r="X165" s="110"/>
      <c r="Y165" s="110"/>
      <c r="Z165" s="110"/>
      <c r="AA165" s="110"/>
      <c r="AB165" s="110"/>
      <c r="AC165" s="110"/>
      <c r="AD165" s="110"/>
      <c r="AE165" s="110"/>
    </row>
    <row r="166" spans="1:31" ht="19.5" thickBot="1">
      <c r="A166" s="169"/>
      <c r="B166" s="201" t="s">
        <v>659</v>
      </c>
      <c r="C166" s="202" t="s">
        <v>660</v>
      </c>
      <c r="D166" s="107">
        <v>1</v>
      </c>
      <c r="E166" s="701" t="s">
        <v>54</v>
      </c>
      <c r="F166" s="702" t="s">
        <v>344</v>
      </c>
      <c r="G166" s="187"/>
      <c r="H166" s="210"/>
      <c r="I166" s="2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row>
    <row r="167" spans="1:31" ht="15.75" thickBot="1">
      <c r="A167" s="169"/>
      <c r="B167" s="163"/>
      <c r="C167" s="240"/>
      <c r="D167" s="165"/>
      <c r="E167" s="166"/>
      <c r="F167" s="167"/>
      <c r="G167" s="187"/>
      <c r="H167" s="210"/>
      <c r="I167" s="210"/>
      <c r="J167" s="110"/>
      <c r="K167" s="110"/>
      <c r="L167" s="110"/>
      <c r="M167" s="110"/>
      <c r="N167" s="110"/>
      <c r="O167" s="110"/>
      <c r="P167" s="110"/>
      <c r="Q167" s="110"/>
      <c r="R167" s="110"/>
      <c r="S167" s="110"/>
      <c r="T167" s="110"/>
      <c r="U167" s="110"/>
      <c r="V167" s="110"/>
      <c r="W167" s="110"/>
      <c r="X167" s="110"/>
      <c r="Y167" s="110"/>
      <c r="Z167" s="110"/>
      <c r="AA167" s="110"/>
      <c r="AB167" s="110"/>
      <c r="AC167" s="110"/>
      <c r="AD167" s="110"/>
      <c r="AE167" s="110"/>
    </row>
    <row r="168" spans="1:31" ht="18" customHeight="1">
      <c r="A168" s="169"/>
      <c r="B168" s="258" t="s">
        <v>56</v>
      </c>
      <c r="C168" s="259"/>
      <c r="D168" s="260"/>
      <c r="E168" s="261"/>
      <c r="F168" s="262"/>
      <c r="G168" s="187"/>
      <c r="H168" s="210"/>
      <c r="I168" s="2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row>
    <row r="169" spans="1:31" ht="18.75">
      <c r="A169" s="169"/>
      <c r="B169" s="171" t="s">
        <v>263</v>
      </c>
      <c r="C169" s="172" t="s">
        <v>661</v>
      </c>
      <c r="D169" s="291">
        <f>(NA/NS)*VOUT-Vf_Daux</f>
        <v>18.75</v>
      </c>
      <c r="E169" s="811" t="s">
        <v>49</v>
      </c>
      <c r="F169" s="812"/>
      <c r="G169" s="148" t="s">
        <v>1105</v>
      </c>
      <c r="I169" s="210"/>
      <c r="J169" s="110"/>
      <c r="K169" s="110"/>
      <c r="L169" s="110"/>
      <c r="M169" s="110"/>
      <c r="N169" s="110"/>
      <c r="O169" s="110"/>
      <c r="P169" s="110"/>
      <c r="Q169" s="110"/>
      <c r="R169" s="110"/>
      <c r="S169" s="110"/>
      <c r="T169" s="110"/>
      <c r="U169" s="110"/>
      <c r="V169" s="110"/>
      <c r="W169" s="110"/>
      <c r="X169" s="110"/>
      <c r="Y169" s="110"/>
      <c r="Z169" s="110"/>
      <c r="AA169" s="110"/>
      <c r="AB169" s="110"/>
      <c r="AC169" s="110"/>
      <c r="AD169" s="110"/>
      <c r="AE169" s="110"/>
    </row>
    <row r="170" spans="1:31" ht="18.75">
      <c r="A170" s="169"/>
      <c r="B170" s="521" t="s">
        <v>811</v>
      </c>
      <c r="C170" s="225" t="s">
        <v>1047</v>
      </c>
      <c r="D170" s="713">
        <f>C_P13*10^-6*(VDD_on-VDD_off-Vth_Qs)/(IP13_START*10^-3)*10^3</f>
        <v>2</v>
      </c>
      <c r="E170" s="297" t="s">
        <v>57</v>
      </c>
      <c r="F170" s="298"/>
      <c r="G170" s="187" t="s">
        <v>1169</v>
      </c>
      <c r="H170" s="210"/>
      <c r="I170" s="210"/>
      <c r="J170" s="110"/>
      <c r="K170" s="110"/>
      <c r="L170" s="110"/>
      <c r="M170" s="110"/>
      <c r="N170" s="110"/>
      <c r="O170" s="110"/>
      <c r="P170" s="110"/>
      <c r="Q170" s="110"/>
      <c r="R170" s="110"/>
      <c r="S170" s="110"/>
      <c r="T170" s="110"/>
      <c r="U170" s="110"/>
      <c r="V170" s="110"/>
      <c r="W170" s="110"/>
      <c r="X170" s="110"/>
      <c r="Y170" s="110"/>
      <c r="Z170" s="110"/>
      <c r="AA170" s="110"/>
      <c r="AB170" s="110"/>
      <c r="AC170" s="110"/>
      <c r="AD170" s="110"/>
      <c r="AE170" s="110"/>
    </row>
    <row r="171" spans="1:31" ht="18.75">
      <c r="A171" s="169"/>
      <c r="B171" s="171" t="s">
        <v>662</v>
      </c>
      <c r="C171" s="172" t="s">
        <v>1048</v>
      </c>
      <c r="D171" s="288">
        <f>IF(Vin_type="AC",((COUT*10^-6)*VOUT/(NPS*VCST_max*VINPUT_Brownout*1.414/(2*RCS*(VINPUT_Brownout*1.414+NPS*VOUT))-IOUT)+0.001)*10^3,((COUT*10^-6)*VOUT/(NPS*VCST_max*VINPUT_Brownout/(2*RCS*(VINPUT_Brownout+NPS*VOUT))-IOUT)+0.001)*10^3)</f>
        <v>2.0825040783034261</v>
      </c>
      <c r="E171" s="293" t="s">
        <v>57</v>
      </c>
      <c r="F171" s="299" t="s">
        <v>1046</v>
      </c>
      <c r="G171" s="523"/>
      <c r="H171" s="227"/>
      <c r="I171" s="228"/>
      <c r="J171" s="110"/>
      <c r="K171" s="110"/>
      <c r="L171" s="110"/>
      <c r="M171" s="110"/>
      <c r="N171" s="110"/>
      <c r="O171" s="110"/>
      <c r="P171" s="110"/>
      <c r="Q171" s="110"/>
      <c r="R171" s="110"/>
      <c r="S171" s="110"/>
      <c r="T171" s="110"/>
      <c r="U171" s="110"/>
      <c r="V171" s="110"/>
      <c r="W171" s="110"/>
      <c r="X171" s="110"/>
      <c r="Y171" s="110"/>
      <c r="Z171" s="110"/>
      <c r="AA171" s="110"/>
      <c r="AB171" s="110"/>
      <c r="AC171" s="110"/>
      <c r="AD171" s="110"/>
      <c r="AE171" s="110"/>
    </row>
    <row r="172" spans="1:31" ht="18.75">
      <c r="A172" s="169"/>
      <c r="B172" s="276" t="s">
        <v>663</v>
      </c>
      <c r="C172" s="198" t="s">
        <v>664</v>
      </c>
      <c r="D172" s="30">
        <v>-70</v>
      </c>
      <c r="E172" s="303" t="s">
        <v>140</v>
      </c>
      <c r="F172" s="304" t="s">
        <v>1045</v>
      </c>
      <c r="G172" s="523"/>
      <c r="H172" s="210"/>
      <c r="I172" s="210"/>
      <c r="J172" s="110"/>
      <c r="K172" s="110"/>
      <c r="L172" s="110"/>
      <c r="M172" s="110"/>
      <c r="N172" s="110"/>
      <c r="O172" s="110"/>
      <c r="P172" s="110"/>
      <c r="Q172" s="110"/>
      <c r="R172" s="110"/>
      <c r="S172" s="110"/>
      <c r="T172" s="110"/>
      <c r="U172" s="110"/>
      <c r="V172" s="110"/>
      <c r="W172" s="110"/>
      <c r="X172" s="110"/>
      <c r="Y172" s="110"/>
      <c r="Z172" s="110"/>
      <c r="AA172" s="110"/>
      <c r="AB172" s="110"/>
      <c r="AC172" s="110"/>
      <c r="AD172" s="110"/>
      <c r="AE172" s="110"/>
    </row>
    <row r="173" spans="1:31" ht="18.75">
      <c r="A173" s="169"/>
      <c r="B173" s="171" t="s">
        <v>665</v>
      </c>
      <c r="C173" s="172" t="s">
        <v>666</v>
      </c>
      <c r="D173" s="520">
        <f>(((1+IVCC_qcc)*TP13_*10^-3*0+(IRUN_VDD+IVCC_sw)*(TSS_max+tD_RUN_PWML)*10^-6+5*CREF*10^-6)/(VDD_on-VDD_off))*10^6/((100+Drea_CDD1)/100)</f>
        <v>14.911565653714284</v>
      </c>
      <c r="E173" s="173" t="s">
        <v>24</v>
      </c>
      <c r="F173" s="174" t="s">
        <v>345</v>
      </c>
      <c r="G173" s="522"/>
      <c r="H173" s="210"/>
      <c r="I173" s="210"/>
      <c r="J173" s="110"/>
      <c r="K173" s="110"/>
      <c r="L173" s="110"/>
      <c r="M173" s="110"/>
      <c r="N173" s="110"/>
      <c r="O173" s="110"/>
      <c r="P173" s="110"/>
      <c r="Q173" s="110"/>
      <c r="R173" s="110"/>
      <c r="S173" s="110"/>
      <c r="T173" s="110"/>
      <c r="U173" s="110"/>
      <c r="V173" s="110"/>
      <c r="W173" s="110"/>
      <c r="X173" s="110"/>
      <c r="Y173" s="110"/>
      <c r="Z173" s="110"/>
      <c r="AA173" s="110"/>
      <c r="AB173" s="110"/>
      <c r="AC173" s="110"/>
      <c r="AD173" s="110"/>
      <c r="AE173" s="110"/>
    </row>
    <row r="174" spans="1:31" ht="18.75">
      <c r="A174" s="169"/>
      <c r="B174" s="276" t="s">
        <v>667</v>
      </c>
      <c r="C174" s="198" t="s">
        <v>668</v>
      </c>
      <c r="D174" s="79">
        <v>33</v>
      </c>
      <c r="E174" s="300" t="s">
        <v>54</v>
      </c>
      <c r="F174" s="301" t="s">
        <v>669</v>
      </c>
      <c r="G174" s="187"/>
      <c r="H174" s="210"/>
      <c r="I174" s="210"/>
      <c r="J174" s="110"/>
      <c r="K174" s="110"/>
      <c r="L174" s="110"/>
      <c r="M174" s="110"/>
      <c r="N174" s="110"/>
      <c r="O174" s="110"/>
      <c r="P174" s="110"/>
      <c r="Q174" s="110"/>
      <c r="R174" s="110"/>
      <c r="S174" s="110"/>
      <c r="T174" s="110"/>
      <c r="U174" s="110"/>
      <c r="V174" s="110"/>
      <c r="W174" s="110"/>
      <c r="X174" s="110"/>
      <c r="Y174" s="110"/>
      <c r="Z174" s="110"/>
      <c r="AA174" s="110"/>
      <c r="AB174" s="110"/>
      <c r="AC174" s="110"/>
      <c r="AD174" s="110"/>
      <c r="AE174" s="110"/>
    </row>
    <row r="175" spans="1:31" ht="19.5" thickBot="1">
      <c r="A175" s="169"/>
      <c r="B175" s="244" t="s">
        <v>670</v>
      </c>
      <c r="C175" s="245" t="s">
        <v>671</v>
      </c>
      <c r="D175" s="255">
        <f>IF(CDD1_act="",CDD1_rec,CDD1_act)</f>
        <v>33</v>
      </c>
      <c r="E175" s="282" t="s">
        <v>54</v>
      </c>
      <c r="F175" s="283"/>
      <c r="G175" s="187"/>
      <c r="H175" s="210"/>
      <c r="I175" s="210"/>
      <c r="J175" s="110"/>
      <c r="K175" s="110"/>
      <c r="L175" s="110"/>
      <c r="M175" s="110"/>
      <c r="N175" s="110"/>
      <c r="O175" s="110"/>
      <c r="P175" s="110"/>
      <c r="Q175" s="110"/>
      <c r="R175" s="110"/>
      <c r="S175" s="110"/>
      <c r="T175" s="110"/>
      <c r="U175" s="110"/>
      <c r="V175" s="110"/>
      <c r="W175" s="110"/>
      <c r="X175" s="110"/>
      <c r="Y175" s="110"/>
      <c r="Z175" s="110"/>
      <c r="AA175" s="110"/>
      <c r="AB175" s="110"/>
      <c r="AC175" s="110"/>
      <c r="AD175" s="110"/>
      <c r="AE175" s="110"/>
    </row>
    <row r="176" spans="1:31" ht="15.75" thickBot="1">
      <c r="A176" s="169"/>
      <c r="B176" s="163"/>
      <c r="C176" s="240"/>
      <c r="D176" s="165"/>
      <c r="E176" s="166"/>
      <c r="F176" s="167"/>
      <c r="G176" s="187"/>
      <c r="H176" s="210"/>
      <c r="I176" s="210"/>
      <c r="J176" s="110"/>
      <c r="K176" s="110"/>
      <c r="L176" s="110"/>
      <c r="M176" s="110"/>
      <c r="N176" s="110"/>
      <c r="O176" s="110"/>
      <c r="P176" s="110"/>
      <c r="Q176" s="110"/>
      <c r="R176" s="110"/>
      <c r="S176" s="110"/>
      <c r="T176" s="110"/>
      <c r="U176" s="110"/>
      <c r="V176" s="110"/>
      <c r="W176" s="110"/>
      <c r="X176" s="110"/>
      <c r="Y176" s="110"/>
      <c r="Z176" s="110"/>
      <c r="AA176" s="110"/>
      <c r="AB176" s="110"/>
      <c r="AC176" s="110"/>
      <c r="AD176" s="110"/>
      <c r="AE176" s="110"/>
    </row>
    <row r="177" spans="1:31" ht="18" customHeight="1">
      <c r="A177" s="169"/>
      <c r="B177" s="258" t="s">
        <v>60</v>
      </c>
      <c r="C177" s="259"/>
      <c r="D177" s="260"/>
      <c r="E177" s="261"/>
      <c r="F177" s="262"/>
      <c r="G177" s="187"/>
      <c r="H177" s="210"/>
      <c r="I177" s="210"/>
      <c r="J177" s="110"/>
      <c r="K177" s="110"/>
      <c r="L177" s="110"/>
      <c r="M177" s="110"/>
      <c r="N177" s="110"/>
      <c r="O177" s="110"/>
      <c r="P177" s="110"/>
      <c r="Q177" s="110"/>
      <c r="R177" s="110"/>
      <c r="S177" s="110"/>
      <c r="T177" s="110"/>
      <c r="U177" s="110"/>
      <c r="V177" s="110"/>
      <c r="W177" s="110"/>
      <c r="X177" s="110"/>
      <c r="Y177" s="110"/>
      <c r="Z177" s="110"/>
      <c r="AA177" s="110"/>
      <c r="AB177" s="110"/>
      <c r="AC177" s="110"/>
      <c r="AD177" s="110"/>
      <c r="AE177" s="110"/>
    </row>
    <row r="178" spans="1:31" ht="18.75">
      <c r="A178" s="169"/>
      <c r="B178" s="171" t="s">
        <v>672</v>
      </c>
      <c r="C178" s="172" t="s">
        <v>673</v>
      </c>
      <c r="D178" s="288">
        <f>((VFB_max-VCE_sat_opto)/(IFB_max*10^-6)-RFB_int)/1000</f>
        <v>45.7</v>
      </c>
      <c r="E178" s="811" t="s">
        <v>65</v>
      </c>
      <c r="F178" s="812"/>
      <c r="G178" s="187"/>
      <c r="H178" s="210"/>
      <c r="I178" s="210"/>
      <c r="J178" s="110"/>
      <c r="K178" s="110"/>
      <c r="L178" s="110"/>
      <c r="M178" s="110"/>
      <c r="N178" s="110"/>
      <c r="O178" s="110"/>
      <c r="P178" s="110"/>
      <c r="Q178" s="110"/>
      <c r="R178" s="110"/>
      <c r="S178" s="110"/>
      <c r="T178" s="110"/>
      <c r="U178" s="110"/>
      <c r="V178" s="110"/>
      <c r="W178" s="110"/>
      <c r="X178" s="110"/>
      <c r="Y178" s="110"/>
      <c r="Z178" s="110"/>
      <c r="AA178" s="110"/>
      <c r="AB178" s="110"/>
      <c r="AC178" s="110"/>
      <c r="AD178" s="110"/>
      <c r="AE178" s="110"/>
    </row>
    <row r="179" spans="1:31" ht="18.75">
      <c r="A179" s="169"/>
      <c r="B179" s="276" t="s">
        <v>674</v>
      </c>
      <c r="C179" s="198" t="s">
        <v>675</v>
      </c>
      <c r="D179" s="79">
        <v>22.1</v>
      </c>
      <c r="E179" s="300" t="s">
        <v>167</v>
      </c>
      <c r="F179" s="302" t="s">
        <v>997</v>
      </c>
      <c r="G179" s="187"/>
      <c r="H179" s="210"/>
      <c r="I179" s="210"/>
      <c r="J179" s="110"/>
      <c r="K179" s="110"/>
      <c r="L179" s="110"/>
      <c r="M179" s="110"/>
      <c r="N179" s="110"/>
      <c r="O179" s="110"/>
      <c r="P179" s="110"/>
      <c r="Q179" s="110"/>
      <c r="R179" s="110"/>
      <c r="S179" s="110"/>
      <c r="T179" s="110"/>
      <c r="U179" s="110"/>
      <c r="V179" s="110"/>
      <c r="W179" s="110"/>
      <c r="X179" s="110"/>
      <c r="Y179" s="110"/>
      <c r="Z179" s="110"/>
      <c r="AA179" s="110"/>
      <c r="AB179" s="110"/>
      <c r="AC179" s="110"/>
      <c r="AD179" s="110"/>
      <c r="AE179" s="110"/>
    </row>
    <row r="180" spans="1:31" ht="18.75">
      <c r="A180" s="169"/>
      <c r="B180" s="171" t="s">
        <v>264</v>
      </c>
      <c r="C180" s="172" t="s">
        <v>676</v>
      </c>
      <c r="D180" s="285">
        <f>IF(RFB_act="",RFB_max,RFB_act)</f>
        <v>22.1</v>
      </c>
      <c r="E180" s="293" t="s">
        <v>65</v>
      </c>
      <c r="F180" s="294"/>
      <c r="G180" s="187"/>
      <c r="H180" s="210"/>
      <c r="I180" s="210"/>
      <c r="J180" s="110"/>
      <c r="K180" s="110"/>
      <c r="L180" s="110"/>
      <c r="M180" s="110"/>
      <c r="N180" s="110"/>
      <c r="O180" s="110"/>
      <c r="P180" s="110"/>
      <c r="Q180" s="110"/>
      <c r="R180" s="110"/>
      <c r="S180" s="110"/>
      <c r="T180" s="110"/>
      <c r="U180" s="110"/>
      <c r="V180" s="110"/>
      <c r="W180" s="110"/>
      <c r="X180" s="110"/>
      <c r="Y180" s="110"/>
      <c r="Z180" s="110"/>
      <c r="AA180" s="110"/>
      <c r="AB180" s="110"/>
      <c r="AC180" s="110"/>
      <c r="AD180" s="110"/>
      <c r="AE180" s="110"/>
    </row>
    <row r="181" spans="1:31" ht="18.75">
      <c r="A181" s="169"/>
      <c r="B181" s="171" t="s">
        <v>677</v>
      </c>
      <c r="C181" s="172" t="s">
        <v>678</v>
      </c>
      <c r="D181" s="295">
        <v>330</v>
      </c>
      <c r="E181" s="655" t="s">
        <v>104</v>
      </c>
      <c r="F181" s="299" t="s">
        <v>1062</v>
      </c>
      <c r="G181" s="677"/>
      <c r="H181" s="525"/>
      <c r="I181" s="210"/>
      <c r="J181" s="110"/>
      <c r="K181" s="110"/>
      <c r="L181" s="110"/>
      <c r="M181" s="110"/>
      <c r="N181" s="110"/>
      <c r="O181" s="110"/>
      <c r="P181" s="110"/>
      <c r="Q181" s="110"/>
      <c r="R181" s="110"/>
      <c r="S181" s="110"/>
      <c r="T181" s="110"/>
      <c r="U181" s="110"/>
      <c r="V181" s="110"/>
      <c r="W181" s="110"/>
      <c r="X181" s="110"/>
      <c r="Y181" s="110"/>
      <c r="Z181" s="110"/>
      <c r="AA181" s="110"/>
      <c r="AB181" s="110"/>
      <c r="AC181" s="110"/>
      <c r="AD181" s="110"/>
      <c r="AE181" s="110"/>
    </row>
    <row r="182" spans="1:31" ht="18.75">
      <c r="A182" s="169"/>
      <c r="B182" s="171" t="s">
        <v>1082</v>
      </c>
      <c r="C182" s="172" t="s">
        <v>679</v>
      </c>
      <c r="D182" s="305">
        <f>VD_LED_off/(IKA_min*10^-6)/1000</f>
        <v>14.285714285714286</v>
      </c>
      <c r="E182" s="293" t="s">
        <v>65</v>
      </c>
      <c r="F182" s="832" t="s">
        <v>1151</v>
      </c>
      <c r="G182" s="523"/>
      <c r="H182" s="525"/>
      <c r="I182" s="210"/>
      <c r="J182" s="110"/>
      <c r="K182" s="110"/>
      <c r="L182" s="110"/>
      <c r="M182" s="110"/>
      <c r="N182" s="110"/>
      <c r="O182" s="110"/>
      <c r="P182" s="110"/>
      <c r="Q182" s="110"/>
      <c r="R182" s="110"/>
      <c r="S182" s="110"/>
      <c r="T182" s="110"/>
      <c r="U182" s="110"/>
      <c r="V182" s="110"/>
      <c r="W182" s="110"/>
      <c r="X182" s="110"/>
      <c r="Y182" s="110"/>
      <c r="Z182" s="110"/>
      <c r="AA182" s="110"/>
      <c r="AB182" s="110"/>
      <c r="AC182" s="110"/>
      <c r="AD182" s="110"/>
      <c r="AE182" s="110"/>
    </row>
    <row r="183" spans="1:31" ht="18.75">
      <c r="A183" s="169"/>
      <c r="B183" s="276" t="s">
        <v>680</v>
      </c>
      <c r="C183" s="198" t="s">
        <v>681</v>
      </c>
      <c r="D183" s="108">
        <v>14.7</v>
      </c>
      <c r="E183" s="303" t="s">
        <v>65</v>
      </c>
      <c r="F183" s="833"/>
      <c r="G183" s="677"/>
      <c r="H183" s="525"/>
      <c r="I183" s="210"/>
      <c r="J183" s="110"/>
      <c r="K183" s="110"/>
      <c r="L183" s="110"/>
      <c r="M183" s="110"/>
      <c r="N183" s="110"/>
      <c r="O183" s="110"/>
      <c r="P183" s="110"/>
      <c r="Q183" s="110"/>
      <c r="R183" s="110"/>
      <c r="S183" s="110"/>
      <c r="T183" s="110"/>
      <c r="U183" s="110"/>
      <c r="V183" s="110"/>
      <c r="W183" s="110"/>
      <c r="X183" s="110"/>
      <c r="Y183" s="110"/>
      <c r="Z183" s="110"/>
      <c r="AA183" s="110"/>
      <c r="AB183" s="110"/>
      <c r="AC183" s="110"/>
      <c r="AD183" s="110"/>
      <c r="AE183" s="110"/>
    </row>
    <row r="184" spans="1:31" ht="18.75">
      <c r="A184" s="169"/>
      <c r="B184" s="171" t="s">
        <v>259</v>
      </c>
      <c r="C184" s="172" t="s">
        <v>682</v>
      </c>
      <c r="D184" s="288">
        <f>IF(Rbias2_act="",Rbias2_rec,Rbias2_act)</f>
        <v>14.7</v>
      </c>
      <c r="E184" s="293" t="s">
        <v>65</v>
      </c>
      <c r="F184" s="834"/>
      <c r="G184" s="523"/>
      <c r="H184" s="525"/>
      <c r="I184" s="210"/>
      <c r="J184" s="110"/>
      <c r="K184" s="110"/>
      <c r="L184" s="110"/>
      <c r="M184" s="110"/>
      <c r="N184" s="110"/>
      <c r="O184" s="110"/>
      <c r="P184" s="110"/>
      <c r="Q184" s="110"/>
      <c r="R184" s="110"/>
      <c r="S184" s="110"/>
      <c r="T184" s="110"/>
      <c r="U184" s="110"/>
      <c r="V184" s="110"/>
      <c r="W184" s="110"/>
      <c r="X184" s="110"/>
      <c r="Y184" s="110"/>
      <c r="Z184" s="110"/>
      <c r="AA184" s="110"/>
      <c r="AB184" s="110"/>
      <c r="AC184" s="110"/>
      <c r="AD184" s="110"/>
      <c r="AE184" s="110"/>
    </row>
    <row r="185" spans="1:31" s="560" customFormat="1" ht="18.75">
      <c r="A185" s="565"/>
      <c r="B185" s="276" t="s">
        <v>1067</v>
      </c>
      <c r="C185" s="198" t="s">
        <v>1066</v>
      </c>
      <c r="D185" s="78">
        <v>5.25</v>
      </c>
      <c r="E185" s="303" t="s">
        <v>6</v>
      </c>
      <c r="F185" s="693" t="s">
        <v>1068</v>
      </c>
      <c r="G185" s="630"/>
      <c r="H185" s="633"/>
      <c r="I185" s="210"/>
      <c r="J185" s="110"/>
      <c r="K185" s="110"/>
      <c r="L185" s="110"/>
      <c r="M185" s="110"/>
      <c r="N185" s="110"/>
      <c r="O185" s="110"/>
      <c r="P185" s="110"/>
      <c r="Q185" s="110"/>
      <c r="R185" s="110"/>
      <c r="S185" s="110"/>
      <c r="T185" s="110"/>
      <c r="U185" s="110"/>
      <c r="V185" s="110"/>
      <c r="W185" s="110"/>
      <c r="X185" s="110"/>
      <c r="Y185" s="110"/>
      <c r="Z185" s="110"/>
      <c r="AA185" s="110"/>
      <c r="AB185" s="110"/>
      <c r="AC185" s="110"/>
      <c r="AD185" s="110"/>
      <c r="AE185" s="110"/>
    </row>
    <row r="186" spans="1:31" ht="18.75">
      <c r="A186" s="169"/>
      <c r="B186" s="176" t="s">
        <v>257</v>
      </c>
      <c r="C186" s="172" t="s">
        <v>683</v>
      </c>
      <c r="D186" s="291">
        <f>(VOUT_low-Vref_431-VD_LED)/(VD_LED/(Rbias2*1000)+(IFB_max*10^-6)/(CTRmin*KCTR_Temp))/1000</f>
        <v>6.8485856905158071</v>
      </c>
      <c r="E186" s="655" t="s">
        <v>65</v>
      </c>
      <c r="F186" s="306"/>
      <c r="G186" s="677"/>
      <c r="H186" s="633"/>
      <c r="I186" s="210"/>
      <c r="J186" s="110"/>
      <c r="K186" s="110"/>
      <c r="L186" s="110"/>
      <c r="M186" s="110"/>
      <c r="N186" s="110"/>
      <c r="O186" s="110"/>
      <c r="P186" s="110"/>
      <c r="Q186" s="110"/>
      <c r="R186" s="110"/>
      <c r="S186" s="110"/>
      <c r="T186" s="110"/>
      <c r="U186" s="110"/>
      <c r="V186" s="110"/>
      <c r="W186" s="110"/>
      <c r="X186" s="110"/>
      <c r="Y186" s="110"/>
      <c r="Z186" s="110"/>
      <c r="AA186" s="110"/>
      <c r="AB186" s="110"/>
      <c r="AC186" s="110"/>
      <c r="AD186" s="110"/>
      <c r="AE186" s="110"/>
    </row>
    <row r="187" spans="1:31" ht="18.75">
      <c r="A187" s="169"/>
      <c r="B187" s="176" t="s">
        <v>258</v>
      </c>
      <c r="C187" s="172" t="s">
        <v>684</v>
      </c>
      <c r="D187" s="291">
        <f>(CTRmax*_∆VO_ABM*10^-3/(5*10^-6))/1000</f>
        <v>22.000000000000004</v>
      </c>
      <c r="E187" s="655" t="s">
        <v>65</v>
      </c>
      <c r="F187" s="653"/>
      <c r="G187" s="677"/>
      <c r="H187" s="640"/>
      <c r="I187" s="651"/>
      <c r="J187" s="110"/>
      <c r="K187" s="110"/>
      <c r="L187" s="110"/>
      <c r="M187" s="110"/>
      <c r="N187" s="110"/>
      <c r="O187" s="110"/>
      <c r="P187" s="110"/>
      <c r="Q187" s="110"/>
      <c r="R187" s="110"/>
      <c r="S187" s="110"/>
      <c r="T187" s="110"/>
      <c r="U187" s="110"/>
      <c r="V187" s="110"/>
      <c r="W187" s="110"/>
      <c r="X187" s="110"/>
      <c r="Y187" s="110"/>
      <c r="Z187" s="110"/>
      <c r="AA187" s="110"/>
      <c r="AB187" s="110"/>
      <c r="AC187" s="110"/>
      <c r="AD187" s="110"/>
      <c r="AE187" s="110"/>
    </row>
    <row r="188" spans="1:31" s="35" customFormat="1" ht="18.75">
      <c r="A188" s="169"/>
      <c r="B188" s="176" t="s">
        <v>1083</v>
      </c>
      <c r="C188" s="172" t="s">
        <v>685</v>
      </c>
      <c r="D188" s="291">
        <f>MIN(Rbias1_max_SBP,Rbias1_max_ABM)</f>
        <v>6.8485856905158071</v>
      </c>
      <c r="E188" s="655" t="s">
        <v>65</v>
      </c>
      <c r="F188" s="653"/>
      <c r="G188" s="523"/>
      <c r="H188" s="525"/>
      <c r="I188" s="210"/>
      <c r="J188" s="110"/>
      <c r="K188" s="110"/>
      <c r="L188" s="110"/>
      <c r="M188" s="110"/>
      <c r="N188" s="110"/>
      <c r="O188" s="110"/>
      <c r="P188" s="110"/>
      <c r="Q188" s="110"/>
      <c r="R188" s="110"/>
      <c r="S188" s="110"/>
      <c r="T188" s="110"/>
      <c r="U188" s="110"/>
      <c r="V188" s="110"/>
      <c r="W188" s="110"/>
      <c r="X188" s="110"/>
      <c r="Y188" s="110"/>
      <c r="Z188" s="110"/>
      <c r="AA188" s="110"/>
      <c r="AB188" s="110"/>
      <c r="AC188" s="110"/>
      <c r="AD188" s="110"/>
      <c r="AE188" s="110"/>
    </row>
    <row r="189" spans="1:31" ht="18.75">
      <c r="A189" s="169"/>
      <c r="B189" s="176" t="s">
        <v>1084</v>
      </c>
      <c r="C189" s="172" t="s">
        <v>686</v>
      </c>
      <c r="D189" s="291">
        <f>(KVC*68000*CTRmin/(KBUR_CST*2*3.1416*Fcr_min*1000))/1000</f>
        <v>9.6772558810206277</v>
      </c>
      <c r="E189" s="655" t="s">
        <v>68</v>
      </c>
      <c r="F189" s="653" t="s">
        <v>1152</v>
      </c>
      <c r="G189" s="677"/>
      <c r="H189" s="525"/>
      <c r="I189" s="210"/>
      <c r="J189" s="110"/>
      <c r="K189" s="110"/>
      <c r="L189" s="110"/>
      <c r="M189" s="110"/>
      <c r="N189" s="110"/>
      <c r="O189" s="110"/>
      <c r="P189" s="110"/>
      <c r="Q189" s="110"/>
      <c r="R189" s="110"/>
      <c r="S189" s="110"/>
      <c r="T189" s="110"/>
      <c r="U189" s="110"/>
      <c r="V189" s="110"/>
      <c r="W189" s="110"/>
      <c r="X189" s="110"/>
      <c r="Y189" s="110"/>
      <c r="Z189" s="110"/>
      <c r="AA189" s="110"/>
      <c r="AB189" s="110"/>
      <c r="AC189" s="110"/>
      <c r="AD189" s="110"/>
      <c r="AE189" s="110"/>
    </row>
    <row r="190" spans="1:31" ht="19.5" thickBot="1">
      <c r="A190" s="169"/>
      <c r="B190" s="307" t="s">
        <v>687</v>
      </c>
      <c r="C190" s="202" t="s">
        <v>688</v>
      </c>
      <c r="D190" s="107">
        <v>5.6</v>
      </c>
      <c r="E190" s="308" t="s">
        <v>65</v>
      </c>
      <c r="F190" s="204" t="str">
        <f>IF(D188&lt;D189,IF(Rbias1&gt;D188,"Beware, Rbias1 should be ≤ the lower of Rbias1_min and Rbias1_max",IF(Rbias1&lt;0.7*MIN(D188,D189),"Beware, Rbias1 may be too low","")),IF(Rbias1&lt;0.7*MIN(D188,D189),"Beware, Rbias1 may be too low",(IF(Rbias1&gt;D188,"Beware, Rbias1 may be too high",""))))</f>
        <v/>
      </c>
      <c r="G190" s="677"/>
      <c r="H190" s="686"/>
      <c r="I190" s="210"/>
      <c r="J190" s="110"/>
      <c r="K190" s="110"/>
      <c r="L190" s="110"/>
      <c r="M190" s="110"/>
      <c r="N190" s="110"/>
      <c r="O190" s="110"/>
      <c r="P190" s="110"/>
      <c r="Q190" s="110"/>
      <c r="R190" s="110"/>
      <c r="S190" s="110"/>
      <c r="T190" s="110"/>
      <c r="U190" s="110"/>
      <c r="V190" s="110"/>
      <c r="W190" s="110"/>
      <c r="X190" s="110"/>
      <c r="Y190" s="110"/>
      <c r="Z190" s="110"/>
      <c r="AA190" s="110"/>
      <c r="AB190" s="110"/>
      <c r="AC190" s="110"/>
      <c r="AD190" s="110"/>
      <c r="AE190" s="110"/>
    </row>
    <row r="191" spans="1:31" ht="15.75" thickBot="1">
      <c r="A191" s="169"/>
      <c r="B191" s="163"/>
      <c r="C191" s="240"/>
      <c r="D191" s="165"/>
      <c r="E191" s="166"/>
      <c r="F191" s="167"/>
      <c r="G191" s="187"/>
      <c r="H191" s="210"/>
      <c r="I191" s="210"/>
      <c r="J191" s="110"/>
      <c r="K191" s="110"/>
      <c r="L191" s="110"/>
      <c r="M191" s="110"/>
      <c r="N191" s="110"/>
      <c r="O191" s="110"/>
      <c r="P191" s="110"/>
      <c r="Q191" s="110"/>
      <c r="R191" s="110"/>
      <c r="S191" s="110"/>
      <c r="T191" s="110"/>
      <c r="U191" s="110"/>
      <c r="V191" s="110"/>
      <c r="W191" s="110"/>
      <c r="X191" s="110"/>
      <c r="Y191" s="110"/>
      <c r="Z191" s="110"/>
      <c r="AA191" s="110"/>
      <c r="AB191" s="110"/>
      <c r="AC191" s="110"/>
      <c r="AD191" s="110"/>
      <c r="AE191" s="110"/>
    </row>
    <row r="192" spans="1:31" ht="18" customHeight="1">
      <c r="A192" s="169"/>
      <c r="B192" s="258" t="s">
        <v>221</v>
      </c>
      <c r="C192" s="259"/>
      <c r="D192" s="260"/>
      <c r="E192" s="261"/>
      <c r="F192" s="262"/>
      <c r="G192" s="187"/>
      <c r="H192" s="210"/>
      <c r="I192" s="210"/>
      <c r="J192" s="110"/>
      <c r="K192" s="110"/>
      <c r="L192" s="110"/>
      <c r="M192" s="110"/>
      <c r="N192" s="110"/>
      <c r="O192" s="110"/>
      <c r="P192" s="110"/>
      <c r="Q192" s="110"/>
      <c r="R192" s="110"/>
      <c r="S192" s="110"/>
      <c r="T192" s="110"/>
      <c r="U192" s="110"/>
      <c r="V192" s="110"/>
      <c r="W192" s="110"/>
      <c r="X192" s="110"/>
      <c r="Y192" s="110"/>
      <c r="Z192" s="110"/>
      <c r="AA192" s="110"/>
      <c r="AB192" s="110"/>
      <c r="AC192" s="110"/>
      <c r="AD192" s="110"/>
      <c r="AE192" s="110"/>
    </row>
    <row r="193" spans="1:31">
      <c r="A193" s="169"/>
      <c r="B193" s="176" t="s">
        <v>260</v>
      </c>
      <c r="C193" s="830" t="str">
        <f>'Begin Input Here'!C106</f>
        <v>ATL431</v>
      </c>
      <c r="D193" s="831"/>
      <c r="E193" s="293"/>
      <c r="F193" s="306"/>
      <c r="G193" s="523"/>
      <c r="H193" s="525"/>
      <c r="I193" s="525"/>
      <c r="J193" s="110"/>
      <c r="K193" s="110"/>
      <c r="L193" s="110"/>
      <c r="M193" s="110"/>
      <c r="N193" s="110"/>
      <c r="O193" s="110"/>
      <c r="P193" s="110"/>
      <c r="Q193" s="110"/>
      <c r="R193" s="110"/>
      <c r="S193" s="110"/>
      <c r="T193" s="110"/>
      <c r="U193" s="110"/>
      <c r="V193" s="110"/>
      <c r="W193" s="110"/>
      <c r="X193" s="110"/>
      <c r="Y193" s="110"/>
      <c r="Z193" s="110"/>
      <c r="AA193" s="110"/>
      <c r="AB193" s="110"/>
      <c r="AC193" s="110"/>
      <c r="AD193" s="110"/>
      <c r="AE193" s="110"/>
    </row>
    <row r="194" spans="1:31" ht="18.75">
      <c r="A194" s="169"/>
      <c r="B194" s="176" t="s">
        <v>1085</v>
      </c>
      <c r="C194" s="172" t="s">
        <v>689</v>
      </c>
      <c r="D194" s="288">
        <f>Vref_431/(500*Iref_431_max*10^-9)/1000</f>
        <v>33.333333333333329</v>
      </c>
      <c r="E194" s="293" t="s">
        <v>65</v>
      </c>
      <c r="F194" s="306"/>
      <c r="G194" s="523"/>
      <c r="H194" s="525"/>
      <c r="I194" s="525"/>
      <c r="J194" s="110"/>
      <c r="K194" s="110"/>
      <c r="L194" s="110"/>
      <c r="M194" s="110"/>
      <c r="N194" s="110"/>
      <c r="O194" s="110"/>
      <c r="P194" s="110"/>
      <c r="Q194" s="110"/>
      <c r="R194" s="110"/>
      <c r="S194" s="110"/>
      <c r="T194" s="110"/>
      <c r="U194" s="110"/>
      <c r="V194" s="110"/>
      <c r="W194" s="110"/>
      <c r="X194" s="110"/>
      <c r="Y194" s="110"/>
      <c r="Z194" s="110"/>
      <c r="AA194" s="110"/>
      <c r="AB194" s="110"/>
      <c r="AC194" s="110"/>
      <c r="AD194" s="110"/>
      <c r="AE194" s="110"/>
    </row>
    <row r="195" spans="1:31" ht="18.75">
      <c r="A195" s="169"/>
      <c r="B195" s="197" t="s">
        <v>690</v>
      </c>
      <c r="C195" s="198" t="s">
        <v>691</v>
      </c>
      <c r="D195" s="79">
        <v>14.7</v>
      </c>
      <c r="E195" s="303" t="s">
        <v>65</v>
      </c>
      <c r="F195" s="265" t="s">
        <v>1042</v>
      </c>
      <c r="G195" s="523"/>
      <c r="H195" s="640"/>
      <c r="I195" s="525"/>
      <c r="J195" s="110"/>
      <c r="K195" s="110"/>
      <c r="L195" s="110"/>
      <c r="N195" s="110"/>
      <c r="O195" s="110"/>
      <c r="P195" s="110"/>
      <c r="Q195" s="110"/>
      <c r="R195" s="110"/>
      <c r="S195" s="110"/>
      <c r="T195" s="110"/>
      <c r="U195" s="110"/>
      <c r="V195" s="110"/>
      <c r="W195" s="110"/>
      <c r="X195" s="110"/>
      <c r="Y195" s="110"/>
      <c r="Z195" s="110"/>
      <c r="AA195" s="110"/>
      <c r="AB195" s="110"/>
      <c r="AC195" s="110"/>
      <c r="AD195" s="110"/>
      <c r="AE195" s="110"/>
    </row>
    <row r="196" spans="1:31" ht="18.75">
      <c r="A196" s="169"/>
      <c r="B196" s="176" t="s">
        <v>692</v>
      </c>
      <c r="C196" s="172" t="s">
        <v>693</v>
      </c>
      <c r="D196" s="285">
        <f>IF(Rvo2_act="",Rvo2_rec,Rvo2_act)</f>
        <v>14.7</v>
      </c>
      <c r="E196" s="293" t="s">
        <v>65</v>
      </c>
      <c r="F196" s="177"/>
      <c r="G196" s="523"/>
      <c r="H196" s="537"/>
      <c r="I196" s="525"/>
      <c r="J196" s="110"/>
      <c r="K196" s="110"/>
      <c r="L196" s="110"/>
      <c r="M196" s="110"/>
      <c r="N196" s="110"/>
      <c r="O196" s="110"/>
      <c r="P196" s="110"/>
      <c r="Q196" s="110"/>
      <c r="R196" s="110"/>
      <c r="S196" s="110"/>
      <c r="T196" s="110"/>
      <c r="U196" s="110"/>
      <c r="V196" s="110"/>
      <c r="W196" s="110"/>
      <c r="X196" s="110"/>
      <c r="Y196" s="110"/>
      <c r="Z196" s="110"/>
      <c r="AA196" s="110"/>
      <c r="AB196" s="110"/>
      <c r="AC196" s="110"/>
      <c r="AD196" s="110"/>
      <c r="AE196" s="110"/>
    </row>
    <row r="197" spans="1:31" ht="18.75">
      <c r="A197" s="169"/>
      <c r="B197" s="176" t="s">
        <v>1086</v>
      </c>
      <c r="C197" s="172" t="s">
        <v>694</v>
      </c>
      <c r="D197" s="288">
        <f>(VOUT-Vref_431)/(Vref_431/(1000*Rvo2_)+Iref_431*10^-9)/1000</f>
        <v>14.697407377338637</v>
      </c>
      <c r="E197" s="293" t="s">
        <v>65</v>
      </c>
      <c r="F197" s="306"/>
      <c r="G197" s="523"/>
      <c r="H197" s="525"/>
      <c r="I197" s="525"/>
      <c r="J197" s="110"/>
      <c r="K197" s="110"/>
      <c r="L197" s="110"/>
      <c r="M197" s="110"/>
      <c r="N197" s="110"/>
      <c r="O197" s="110"/>
      <c r="P197" s="110"/>
      <c r="Q197" s="110"/>
      <c r="R197" s="110"/>
      <c r="S197" s="110"/>
      <c r="T197" s="110"/>
      <c r="U197" s="110"/>
      <c r="V197" s="110"/>
      <c r="W197" s="110"/>
      <c r="X197" s="110"/>
      <c r="Y197" s="110"/>
      <c r="Z197" s="110"/>
      <c r="AA197" s="110"/>
      <c r="AB197" s="110"/>
      <c r="AC197" s="110"/>
      <c r="AD197" s="110"/>
      <c r="AE197" s="110"/>
    </row>
    <row r="198" spans="1:31" ht="18.75">
      <c r="A198" s="169"/>
      <c r="B198" s="197" t="s">
        <v>695</v>
      </c>
      <c r="C198" s="198" t="s">
        <v>696</v>
      </c>
      <c r="D198" s="79">
        <v>16.399999999999999</v>
      </c>
      <c r="E198" s="303" t="s">
        <v>65</v>
      </c>
      <c r="F198" s="265" t="s">
        <v>1042</v>
      </c>
      <c r="G198" s="523"/>
      <c r="H198" s="640"/>
      <c r="I198" s="525"/>
      <c r="J198" s="110"/>
      <c r="K198" s="110"/>
      <c r="L198" s="110"/>
      <c r="N198" s="110"/>
      <c r="O198" s="110"/>
      <c r="P198" s="110"/>
      <c r="Q198" s="110"/>
      <c r="R198" s="110"/>
      <c r="S198" s="110"/>
      <c r="T198" s="110"/>
      <c r="U198" s="110"/>
      <c r="V198" s="110"/>
      <c r="W198" s="110"/>
      <c r="X198" s="110"/>
      <c r="Y198" s="110"/>
      <c r="Z198" s="110"/>
      <c r="AA198" s="110"/>
      <c r="AB198" s="110"/>
      <c r="AC198" s="110"/>
      <c r="AD198" s="110"/>
      <c r="AE198" s="110"/>
    </row>
    <row r="199" spans="1:31" ht="18.75">
      <c r="A199" s="169"/>
      <c r="B199" s="176" t="s">
        <v>697</v>
      </c>
      <c r="C199" s="172" t="s">
        <v>698</v>
      </c>
      <c r="D199" s="285">
        <f>IF(Rvo1_act="",Rvo1_rec,Rvo1_act)</f>
        <v>16.399999999999999</v>
      </c>
      <c r="E199" s="293" t="s">
        <v>65</v>
      </c>
      <c r="F199" s="177"/>
      <c r="G199" s="523"/>
      <c r="H199" s="537"/>
      <c r="I199" s="525"/>
      <c r="J199" s="110"/>
      <c r="K199" s="110"/>
      <c r="L199" s="110"/>
      <c r="M199" s="110"/>
      <c r="N199" s="110"/>
      <c r="O199" s="110"/>
      <c r="P199" s="110"/>
      <c r="Q199" s="110"/>
      <c r="R199" s="110"/>
      <c r="S199" s="110"/>
      <c r="T199" s="110"/>
      <c r="U199" s="110"/>
      <c r="V199" s="110"/>
      <c r="W199" s="110"/>
      <c r="X199" s="110"/>
      <c r="Y199" s="110"/>
      <c r="Z199" s="110"/>
      <c r="AA199" s="110"/>
      <c r="AB199" s="110"/>
      <c r="AC199" s="110"/>
      <c r="AD199" s="110"/>
      <c r="AE199" s="110"/>
    </row>
    <row r="200" spans="1:31" ht="19.5" thickBot="1">
      <c r="A200" s="169"/>
      <c r="B200" s="244" t="s">
        <v>130</v>
      </c>
      <c r="C200" s="245" t="s">
        <v>929</v>
      </c>
      <c r="D200" s="281">
        <f>Vref_431*(Rvo1_+Rvo2_)/Rvo2_+Iref_431*10^-9*Rvo1_*1000</f>
        <v>5.2896076462585038</v>
      </c>
      <c r="E200" s="274" t="s">
        <v>12</v>
      </c>
      <c r="F200" s="275" t="s">
        <v>1073</v>
      </c>
      <c r="G200" s="523"/>
      <c r="H200" s="525"/>
      <c r="I200" s="525"/>
      <c r="J200" s="110"/>
      <c r="K200" s="110"/>
      <c r="L200" s="110"/>
      <c r="M200" s="110"/>
      <c r="N200" s="110"/>
      <c r="O200" s="110"/>
      <c r="P200" s="110"/>
      <c r="Q200" s="110"/>
      <c r="R200" s="110"/>
      <c r="S200" s="110"/>
      <c r="T200" s="110"/>
      <c r="U200" s="110"/>
      <c r="V200" s="110"/>
      <c r="W200" s="110"/>
      <c r="X200" s="110"/>
      <c r="Y200" s="110"/>
      <c r="Z200" s="110"/>
      <c r="AA200" s="110"/>
      <c r="AB200" s="110"/>
      <c r="AC200" s="110"/>
      <c r="AD200" s="110"/>
      <c r="AE200" s="110"/>
    </row>
    <row r="201" spans="1:31" ht="15.75" thickBot="1">
      <c r="A201" s="169"/>
      <c r="B201" s="163"/>
      <c r="C201" s="240"/>
      <c r="D201" s="165"/>
      <c r="E201" s="166"/>
      <c r="F201" s="167"/>
      <c r="G201" s="523"/>
      <c r="H201" s="525"/>
      <c r="I201" s="525"/>
      <c r="J201" s="110"/>
      <c r="K201" s="110"/>
      <c r="L201" s="110"/>
      <c r="M201" s="110"/>
      <c r="N201" s="110"/>
      <c r="O201" s="110"/>
      <c r="P201" s="110"/>
      <c r="Q201" s="110"/>
      <c r="R201" s="110"/>
      <c r="S201" s="110"/>
      <c r="T201" s="110"/>
      <c r="U201" s="110"/>
      <c r="V201" s="110"/>
      <c r="W201" s="110"/>
      <c r="X201" s="110"/>
      <c r="Y201" s="110"/>
      <c r="Z201" s="110"/>
      <c r="AA201" s="110"/>
      <c r="AB201" s="110"/>
      <c r="AC201" s="110"/>
      <c r="AD201" s="110"/>
      <c r="AE201" s="110"/>
    </row>
    <row r="202" spans="1:31" ht="18" customHeight="1">
      <c r="A202" s="169"/>
      <c r="B202" s="258" t="s">
        <v>220</v>
      </c>
      <c r="C202" s="259"/>
      <c r="D202" s="260"/>
      <c r="E202" s="261"/>
      <c r="F202" s="262"/>
      <c r="G202" s="187"/>
      <c r="H202" s="210"/>
      <c r="I202" s="210"/>
      <c r="J202" s="110"/>
      <c r="K202" s="110"/>
      <c r="L202" s="110"/>
      <c r="M202" s="110"/>
      <c r="N202" s="110"/>
      <c r="O202" s="110"/>
      <c r="P202" s="110"/>
      <c r="Q202" s="110"/>
      <c r="R202" s="110"/>
      <c r="S202" s="110"/>
      <c r="T202" s="110"/>
      <c r="U202" s="110"/>
      <c r="V202" s="110"/>
      <c r="W202" s="110"/>
      <c r="X202" s="110"/>
      <c r="Y202" s="110"/>
      <c r="Z202" s="110"/>
      <c r="AA202" s="110"/>
      <c r="AB202" s="110"/>
      <c r="AC202" s="110"/>
      <c r="AD202" s="110"/>
      <c r="AE202" s="110"/>
    </row>
    <row r="203" spans="1:31" ht="18" customHeight="1">
      <c r="A203" s="169"/>
      <c r="B203" s="309" t="s">
        <v>219</v>
      </c>
      <c r="C203" s="310"/>
      <c r="D203" s="311"/>
      <c r="E203" s="312"/>
      <c r="F203" s="313"/>
      <c r="G203" s="187"/>
      <c r="H203" s="210"/>
      <c r="I203" s="210"/>
      <c r="J203" s="110"/>
      <c r="K203" s="110"/>
      <c r="L203" s="110"/>
      <c r="M203" s="110"/>
      <c r="N203" s="110"/>
      <c r="O203" s="110"/>
      <c r="P203" s="110"/>
      <c r="Q203" s="110"/>
      <c r="R203" s="110"/>
      <c r="S203" s="110"/>
      <c r="T203" s="110"/>
      <c r="U203" s="110"/>
      <c r="V203" s="110"/>
      <c r="W203" s="110"/>
      <c r="X203" s="110"/>
      <c r="Y203" s="110"/>
      <c r="Z203" s="110"/>
      <c r="AA203" s="110"/>
      <c r="AB203" s="110"/>
      <c r="AC203" s="110"/>
      <c r="AD203" s="110"/>
      <c r="AE203" s="110"/>
    </row>
    <row r="204" spans="1:31" ht="18.75">
      <c r="A204" s="169"/>
      <c r="B204" s="176" t="s">
        <v>1089</v>
      </c>
      <c r="C204" s="172" t="s">
        <v>699</v>
      </c>
      <c r="D204" s="288">
        <f>((fBUR_UP*1000*2-fp_opto*1000)/(2*3.1416*Rbias1*1000*2*fBUR_UP*1000*fp_opto*1000))*10^9</f>
        <v>9.0603982960344123</v>
      </c>
      <c r="E204" s="293" t="s">
        <v>66</v>
      </c>
      <c r="F204" s="306"/>
      <c r="G204" s="187"/>
      <c r="H204" s="210"/>
      <c r="I204" s="210"/>
      <c r="J204" s="110"/>
      <c r="K204" s="110"/>
      <c r="L204" s="110"/>
      <c r="M204" s="110"/>
      <c r="N204" s="110"/>
      <c r="O204" s="110"/>
      <c r="P204" s="110"/>
      <c r="Q204" s="110"/>
      <c r="R204" s="110"/>
      <c r="S204" s="110"/>
      <c r="T204" s="110"/>
      <c r="U204" s="110"/>
      <c r="V204" s="110"/>
      <c r="W204" s="110"/>
      <c r="X204" s="110"/>
      <c r="Y204" s="110"/>
      <c r="Z204" s="110"/>
      <c r="AA204" s="110"/>
      <c r="AB204" s="110"/>
      <c r="AC204" s="110"/>
      <c r="AD204" s="110"/>
      <c r="AE204" s="110"/>
    </row>
    <row r="205" spans="1:31" ht="18.75">
      <c r="A205" s="169"/>
      <c r="B205" s="197" t="s">
        <v>700</v>
      </c>
      <c r="C205" s="198" t="s">
        <v>701</v>
      </c>
      <c r="D205" s="79">
        <v>4.7</v>
      </c>
      <c r="E205" s="303" t="s">
        <v>66</v>
      </c>
      <c r="F205" s="301" t="s">
        <v>1061</v>
      </c>
      <c r="G205" s="187"/>
      <c r="H205" s="210"/>
      <c r="I205" s="210"/>
      <c r="J205" s="110"/>
      <c r="K205" s="110"/>
      <c r="L205" s="110"/>
      <c r="M205" s="110"/>
      <c r="N205" s="110"/>
      <c r="O205" s="110"/>
      <c r="P205" s="110"/>
      <c r="Q205" s="110"/>
      <c r="R205" s="110"/>
      <c r="S205" s="110"/>
      <c r="T205" s="110"/>
      <c r="U205" s="110"/>
      <c r="V205" s="110"/>
      <c r="W205" s="110"/>
      <c r="X205" s="110"/>
      <c r="Y205" s="110"/>
      <c r="Z205" s="110"/>
      <c r="AA205" s="110"/>
      <c r="AB205" s="110"/>
      <c r="AC205" s="110"/>
      <c r="AD205" s="110"/>
      <c r="AE205" s="110"/>
    </row>
    <row r="206" spans="1:31" ht="18.75">
      <c r="A206" s="169"/>
      <c r="B206" s="176" t="s">
        <v>702</v>
      </c>
      <c r="C206" s="172" t="s">
        <v>703</v>
      </c>
      <c r="D206" s="285">
        <f>IF(Cdiff_act="",Cdiff_rec,Cdiff_act)</f>
        <v>4.7</v>
      </c>
      <c r="E206" s="293" t="s">
        <v>66</v>
      </c>
      <c r="F206" s="177"/>
      <c r="G206" s="187"/>
      <c r="H206" s="210"/>
      <c r="I206" s="210"/>
      <c r="J206" s="110"/>
      <c r="K206" s="110"/>
      <c r="L206" s="110"/>
      <c r="M206" s="110"/>
      <c r="N206" s="110"/>
      <c r="O206" s="110"/>
      <c r="P206" s="110"/>
      <c r="Q206" s="110"/>
      <c r="R206" s="110"/>
      <c r="S206" s="110"/>
      <c r="T206" s="110"/>
      <c r="U206" s="110"/>
      <c r="V206" s="110"/>
      <c r="W206" s="110"/>
      <c r="X206" s="110"/>
      <c r="Y206" s="110"/>
      <c r="Z206" s="110"/>
      <c r="AA206" s="110"/>
      <c r="AB206" s="110"/>
      <c r="AC206" s="110"/>
      <c r="AD206" s="110"/>
      <c r="AE206" s="110"/>
    </row>
    <row r="207" spans="1:31" ht="18.75">
      <c r="A207" s="169"/>
      <c r="B207" s="176" t="s">
        <v>1087</v>
      </c>
      <c r="C207" s="172" t="s">
        <v>704</v>
      </c>
      <c r="D207" s="223">
        <f>1/(2*3.1416*2*fBUR_UP*1000*Cdiff*10^-9)</f>
        <v>492.19003871621965</v>
      </c>
      <c r="E207" s="293" t="s">
        <v>61</v>
      </c>
      <c r="F207" s="306"/>
      <c r="G207" s="187"/>
      <c r="H207" s="210"/>
      <c r="I207" s="210"/>
      <c r="J207" s="110"/>
      <c r="K207" s="110"/>
      <c r="L207" s="110"/>
      <c r="M207" s="110"/>
      <c r="N207" s="110"/>
      <c r="O207" s="110"/>
      <c r="P207" s="110"/>
      <c r="Q207" s="110"/>
      <c r="R207" s="110"/>
      <c r="S207" s="110"/>
      <c r="T207" s="110"/>
      <c r="U207" s="110"/>
      <c r="V207" s="110"/>
      <c r="W207" s="110"/>
      <c r="X207" s="110"/>
      <c r="Y207" s="110"/>
      <c r="Z207" s="110"/>
      <c r="AA207" s="110"/>
      <c r="AB207" s="110"/>
      <c r="AC207" s="110"/>
      <c r="AD207" s="110"/>
      <c r="AE207" s="110"/>
    </row>
    <row r="208" spans="1:31" ht="18.75">
      <c r="A208" s="169"/>
      <c r="B208" s="197" t="s">
        <v>705</v>
      </c>
      <c r="C208" s="198" t="s">
        <v>706</v>
      </c>
      <c r="D208" s="79">
        <v>499</v>
      </c>
      <c r="E208" s="303" t="s">
        <v>61</v>
      </c>
      <c r="F208" s="200"/>
      <c r="G208" s="187"/>
      <c r="H208" s="210"/>
      <c r="I208" s="210"/>
      <c r="J208" s="110"/>
      <c r="K208" s="110"/>
      <c r="L208" s="110"/>
      <c r="M208" s="110"/>
      <c r="N208" s="110"/>
      <c r="O208" s="110"/>
      <c r="P208" s="110"/>
      <c r="Q208" s="110"/>
      <c r="R208" s="110"/>
      <c r="S208" s="110"/>
      <c r="T208" s="110"/>
      <c r="U208" s="110"/>
      <c r="V208" s="110"/>
      <c r="W208" s="110"/>
      <c r="X208" s="110"/>
      <c r="Y208" s="110"/>
      <c r="Z208" s="110"/>
      <c r="AA208" s="110"/>
      <c r="AB208" s="110"/>
      <c r="AC208" s="110"/>
      <c r="AD208" s="110"/>
      <c r="AE208" s="110"/>
    </row>
    <row r="209" spans="1:31" ht="18.75">
      <c r="A209" s="169"/>
      <c r="B209" s="176" t="s">
        <v>707</v>
      </c>
      <c r="C209" s="172" t="s">
        <v>708</v>
      </c>
      <c r="D209" s="285">
        <f>IF(Rdiff_act="",Rdiff_rec,Rdiff_act)</f>
        <v>499</v>
      </c>
      <c r="E209" s="293" t="s">
        <v>31</v>
      </c>
      <c r="F209" s="177"/>
      <c r="G209" s="187"/>
      <c r="H209" s="210"/>
      <c r="I209" s="210"/>
      <c r="J209" s="110"/>
      <c r="K209" s="110"/>
      <c r="L209" s="110"/>
      <c r="M209" s="110"/>
      <c r="N209" s="110"/>
      <c r="O209" s="110"/>
      <c r="P209" s="110"/>
      <c r="Q209" s="110"/>
      <c r="R209" s="110"/>
      <c r="S209" s="110"/>
      <c r="T209" s="110"/>
      <c r="U209" s="110"/>
      <c r="V209" s="110"/>
      <c r="W209" s="110"/>
      <c r="X209" s="110"/>
      <c r="Y209" s="110"/>
      <c r="Z209" s="110"/>
      <c r="AA209" s="110"/>
      <c r="AB209" s="110"/>
      <c r="AC209" s="110"/>
      <c r="AD209" s="110"/>
      <c r="AE209" s="110"/>
    </row>
    <row r="210" spans="1:31" ht="18" customHeight="1">
      <c r="A210" s="169"/>
      <c r="B210" s="314" t="s">
        <v>166</v>
      </c>
      <c r="C210" s="315"/>
      <c r="D210" s="316"/>
      <c r="E210" s="293"/>
      <c r="F210" s="306"/>
      <c r="G210" s="187"/>
      <c r="H210" s="210"/>
      <c r="I210" s="210"/>
      <c r="J210" s="110"/>
      <c r="K210" s="110"/>
      <c r="L210" s="110"/>
      <c r="M210" s="110"/>
      <c r="N210" s="110"/>
      <c r="O210" s="110"/>
      <c r="P210" s="110"/>
      <c r="Q210" s="110"/>
      <c r="R210" s="110"/>
      <c r="S210" s="110"/>
      <c r="T210" s="110"/>
      <c r="U210" s="110"/>
      <c r="V210" s="110"/>
      <c r="W210" s="110"/>
      <c r="X210" s="110"/>
      <c r="Y210" s="110"/>
      <c r="Z210" s="110"/>
      <c r="AA210" s="110"/>
      <c r="AB210" s="110"/>
      <c r="AC210" s="110"/>
      <c r="AD210" s="110"/>
      <c r="AE210" s="110"/>
    </row>
    <row r="211" spans="1:31" ht="18.75">
      <c r="A211" s="169"/>
      <c r="B211" s="176" t="s">
        <v>1088</v>
      </c>
      <c r="C211" s="172" t="s">
        <v>709</v>
      </c>
      <c r="D211" s="288">
        <f>(1/(Rvo1_*1000*2*3.1416*Fcr_min*1000/10))*10^9</f>
        <v>48.522735036364878</v>
      </c>
      <c r="E211" s="293" t="s">
        <v>66</v>
      </c>
      <c r="F211" s="306"/>
      <c r="G211" s="187"/>
      <c r="H211" s="210"/>
      <c r="I211" s="210"/>
      <c r="J211" s="110"/>
      <c r="K211" s="110"/>
      <c r="L211" s="110"/>
      <c r="M211" s="110"/>
      <c r="N211" s="110"/>
      <c r="O211" s="110"/>
      <c r="P211" s="110"/>
      <c r="Q211" s="110"/>
      <c r="R211" s="110"/>
      <c r="S211" s="110"/>
      <c r="T211" s="110"/>
      <c r="U211" s="110"/>
      <c r="V211" s="110"/>
      <c r="W211" s="110"/>
      <c r="X211" s="110"/>
      <c r="Y211" s="110"/>
      <c r="Z211" s="110"/>
      <c r="AA211" s="110"/>
      <c r="AB211" s="110"/>
      <c r="AC211" s="110"/>
      <c r="AD211" s="110"/>
      <c r="AE211" s="110"/>
    </row>
    <row r="212" spans="1:31" ht="18.75">
      <c r="A212" s="169"/>
      <c r="B212" s="197" t="s">
        <v>710</v>
      </c>
      <c r="C212" s="198" t="s">
        <v>711</v>
      </c>
      <c r="D212" s="79">
        <v>47</v>
      </c>
      <c r="E212" s="303" t="s">
        <v>66</v>
      </c>
      <c r="F212" s="301" t="s">
        <v>1061</v>
      </c>
      <c r="G212" s="187"/>
      <c r="H212" s="210"/>
      <c r="I212" s="210"/>
      <c r="J212" s="110"/>
      <c r="K212" s="110"/>
      <c r="L212" s="110"/>
      <c r="M212" s="110"/>
      <c r="N212" s="110"/>
      <c r="O212" s="110"/>
      <c r="P212" s="110"/>
      <c r="Q212" s="110"/>
      <c r="R212" s="110"/>
      <c r="S212" s="110"/>
      <c r="T212" s="110"/>
      <c r="U212" s="110"/>
      <c r="V212" s="110"/>
      <c r="W212" s="110"/>
      <c r="X212" s="110"/>
      <c r="Y212" s="110"/>
      <c r="Z212" s="110"/>
      <c r="AA212" s="110"/>
      <c r="AB212" s="110"/>
      <c r="AC212" s="110"/>
      <c r="AD212" s="110"/>
      <c r="AE212" s="110"/>
    </row>
    <row r="213" spans="1:31" ht="18.75">
      <c r="A213" s="565"/>
      <c r="B213" s="176" t="s">
        <v>712</v>
      </c>
      <c r="C213" s="172" t="s">
        <v>713</v>
      </c>
      <c r="D213" s="285">
        <f>IF(Cint_act="",Cint_rec,Cint_act)</f>
        <v>47</v>
      </c>
      <c r="E213" s="577" t="s">
        <v>67</v>
      </c>
      <c r="F213" s="573"/>
      <c r="G213" s="187"/>
      <c r="H213" s="210"/>
      <c r="I213" s="210"/>
      <c r="J213" s="110"/>
      <c r="K213" s="110"/>
      <c r="L213" s="110"/>
      <c r="M213" s="110"/>
      <c r="N213" s="110"/>
      <c r="O213" s="110"/>
      <c r="P213" s="110"/>
      <c r="Q213" s="110"/>
      <c r="R213" s="110"/>
      <c r="S213" s="110"/>
      <c r="T213" s="110"/>
      <c r="U213" s="110"/>
      <c r="V213" s="110"/>
      <c r="W213" s="110"/>
      <c r="X213" s="110"/>
      <c r="Y213" s="110"/>
      <c r="Z213" s="110"/>
      <c r="AA213" s="110"/>
      <c r="AB213" s="110"/>
      <c r="AC213" s="110"/>
      <c r="AD213" s="110"/>
      <c r="AE213" s="110"/>
    </row>
    <row r="214" spans="1:31" ht="19.5" thickBot="1">
      <c r="A214" s="565"/>
      <c r="B214" s="317" t="s">
        <v>714</v>
      </c>
      <c r="C214" s="245" t="s">
        <v>715</v>
      </c>
      <c r="D214" s="255">
        <v>0</v>
      </c>
      <c r="E214" s="578" t="s">
        <v>61</v>
      </c>
      <c r="F214" s="257" t="s">
        <v>261</v>
      </c>
      <c r="G214" s="187"/>
      <c r="H214" s="210"/>
      <c r="I214" s="210"/>
      <c r="J214" s="110"/>
      <c r="K214" s="110"/>
      <c r="L214" s="110"/>
      <c r="M214" s="110"/>
      <c r="N214" s="110"/>
      <c r="O214" s="110"/>
      <c r="P214" s="110"/>
      <c r="Q214" s="110"/>
      <c r="R214" s="110"/>
      <c r="S214" s="110"/>
      <c r="T214" s="110"/>
      <c r="U214" s="110"/>
      <c r="V214" s="110"/>
      <c r="W214" s="110"/>
      <c r="X214" s="110"/>
      <c r="Y214" s="110"/>
      <c r="Z214" s="110"/>
      <c r="AA214" s="110"/>
      <c r="AB214" s="110"/>
      <c r="AC214" s="110"/>
      <c r="AD214" s="110"/>
      <c r="AE214" s="110"/>
    </row>
    <row r="215" spans="1:31" ht="15.75" thickBot="1">
      <c r="A215" s="565"/>
      <c r="B215" s="565"/>
      <c r="C215" s="443"/>
      <c r="D215" s="444"/>
      <c r="E215" s="565"/>
      <c r="F215" s="565"/>
      <c r="G215" s="187"/>
      <c r="H215" s="210"/>
      <c r="I215" s="210"/>
      <c r="J215" s="110"/>
      <c r="K215" s="110"/>
      <c r="L215" s="110"/>
      <c r="M215" s="110"/>
      <c r="N215" s="110"/>
      <c r="O215" s="110"/>
      <c r="P215" s="110"/>
      <c r="Q215" s="110"/>
      <c r="R215" s="110"/>
      <c r="S215" s="110"/>
      <c r="T215" s="110"/>
      <c r="U215" s="110"/>
      <c r="V215" s="110"/>
      <c r="W215" s="110"/>
      <c r="X215" s="110"/>
      <c r="Y215" s="110"/>
      <c r="Z215" s="110"/>
      <c r="AA215" s="110"/>
      <c r="AB215" s="110"/>
      <c r="AC215" s="110"/>
      <c r="AD215" s="110"/>
      <c r="AE215" s="110"/>
    </row>
    <row r="216" spans="1:31">
      <c r="A216" s="565"/>
      <c r="B216" s="574" t="s">
        <v>757</v>
      </c>
      <c r="C216" s="259"/>
      <c r="D216" s="260"/>
      <c r="E216" s="575"/>
      <c r="F216" s="576"/>
      <c r="G216" s="187"/>
      <c r="H216" s="210"/>
      <c r="I216" s="210"/>
      <c r="J216" s="110"/>
      <c r="K216" s="110"/>
      <c r="L216" s="110"/>
      <c r="M216" s="110"/>
      <c r="N216" s="110"/>
      <c r="O216" s="110"/>
      <c r="P216" s="110"/>
      <c r="Q216" s="110"/>
      <c r="R216" s="110"/>
      <c r="S216" s="110"/>
      <c r="T216" s="110"/>
      <c r="U216" s="110"/>
      <c r="V216" s="110"/>
      <c r="W216" s="110"/>
      <c r="X216" s="110"/>
      <c r="Y216" s="110"/>
      <c r="Z216" s="110"/>
      <c r="AA216" s="110"/>
      <c r="AB216" s="110"/>
      <c r="AC216" s="110"/>
      <c r="AD216" s="110"/>
      <c r="AE216" s="110"/>
    </row>
    <row r="217" spans="1:31" ht="18.75">
      <c r="A217" s="565"/>
      <c r="B217" s="171" t="s">
        <v>762</v>
      </c>
      <c r="C217" s="172" t="s">
        <v>759</v>
      </c>
      <c r="D217" s="288">
        <v>0</v>
      </c>
      <c r="E217" s="188" t="s">
        <v>65</v>
      </c>
      <c r="F217" s="263" t="s">
        <v>764</v>
      </c>
      <c r="G217" s="187"/>
      <c r="H217" s="210"/>
      <c r="I217" s="210"/>
      <c r="J217" s="110"/>
      <c r="K217" s="110"/>
      <c r="L217" s="110"/>
      <c r="M217" s="110"/>
      <c r="N217" s="110"/>
      <c r="O217" s="110"/>
      <c r="P217" s="110"/>
      <c r="Q217" s="110"/>
      <c r="R217" s="110"/>
      <c r="S217" s="110"/>
      <c r="T217" s="110"/>
      <c r="U217" s="110"/>
      <c r="V217" s="110"/>
      <c r="W217" s="110"/>
      <c r="X217" s="110"/>
      <c r="Y217" s="110"/>
      <c r="Z217" s="110"/>
      <c r="AA217" s="110"/>
      <c r="AB217" s="110"/>
      <c r="AC217" s="110"/>
      <c r="AD217" s="110"/>
      <c r="AE217" s="110"/>
    </row>
    <row r="218" spans="1:31" ht="18.75">
      <c r="A218" s="565"/>
      <c r="B218" s="276" t="s">
        <v>763</v>
      </c>
      <c r="C218" s="198" t="s">
        <v>760</v>
      </c>
      <c r="D218" s="79">
        <v>0</v>
      </c>
      <c r="E218" s="264" t="s">
        <v>65</v>
      </c>
      <c r="F218" s="265" t="s">
        <v>1043</v>
      </c>
      <c r="G218" s="187"/>
      <c r="H218" s="210"/>
      <c r="I218" s="210"/>
      <c r="J218" s="110"/>
      <c r="K218" s="110"/>
      <c r="L218" s="110"/>
      <c r="M218" s="110"/>
      <c r="N218" s="110"/>
      <c r="O218" s="110"/>
      <c r="P218" s="110"/>
      <c r="Q218" s="110"/>
      <c r="R218" s="110"/>
      <c r="S218" s="110"/>
      <c r="T218" s="110"/>
      <c r="U218" s="110"/>
      <c r="V218" s="110"/>
      <c r="W218" s="110"/>
      <c r="X218" s="110"/>
      <c r="Y218" s="110"/>
      <c r="Z218" s="110"/>
      <c r="AA218" s="110"/>
      <c r="AB218" s="110"/>
      <c r="AC218" s="110"/>
      <c r="AD218" s="110"/>
      <c r="AE218" s="110"/>
    </row>
    <row r="219" spans="1:31" ht="19.5" thickBot="1">
      <c r="A219" s="565"/>
      <c r="B219" s="244" t="s">
        <v>758</v>
      </c>
      <c r="C219" s="245" t="s">
        <v>761</v>
      </c>
      <c r="D219" s="255">
        <f>IF(RIPC_act="",RIPC_rec,0*RIPC_act)</f>
        <v>0</v>
      </c>
      <c r="E219" s="274" t="s">
        <v>65</v>
      </c>
      <c r="F219" s="257" t="s">
        <v>764</v>
      </c>
      <c r="G219" s="187"/>
      <c r="H219" s="210"/>
      <c r="I219" s="210"/>
      <c r="J219" s="110"/>
      <c r="K219" s="110"/>
      <c r="L219" s="110"/>
      <c r="M219" s="110"/>
      <c r="N219" s="110"/>
      <c r="O219" s="110"/>
      <c r="P219" s="110"/>
      <c r="Q219" s="110"/>
      <c r="R219" s="110"/>
      <c r="S219" s="110"/>
      <c r="T219" s="110"/>
      <c r="U219" s="110"/>
      <c r="V219" s="110"/>
      <c r="W219" s="110"/>
      <c r="X219" s="110"/>
      <c r="Y219" s="110"/>
      <c r="Z219" s="110"/>
      <c r="AA219" s="110"/>
      <c r="AB219" s="110"/>
      <c r="AC219" s="110"/>
      <c r="AD219" s="110"/>
      <c r="AE219" s="110"/>
    </row>
    <row r="220" spans="1:31" ht="15.75" thickBot="1">
      <c r="A220" s="565"/>
      <c r="B220" s="565"/>
      <c r="C220" s="443"/>
      <c r="D220" s="444"/>
      <c r="E220" s="565"/>
      <c r="F220" s="565"/>
      <c r="G220" s="187"/>
      <c r="H220" s="210"/>
      <c r="I220" s="210"/>
      <c r="J220" s="110"/>
      <c r="K220" s="110"/>
      <c r="L220" s="110"/>
      <c r="M220" s="110"/>
      <c r="N220" s="110"/>
      <c r="O220" s="110"/>
      <c r="P220" s="110"/>
      <c r="Q220" s="110"/>
      <c r="R220" s="110"/>
      <c r="S220" s="110"/>
      <c r="T220" s="110"/>
      <c r="U220" s="110"/>
      <c r="V220" s="110"/>
      <c r="W220" s="110"/>
      <c r="X220" s="110"/>
      <c r="Y220" s="110"/>
      <c r="Z220" s="110"/>
      <c r="AA220" s="110"/>
      <c r="AB220" s="110"/>
      <c r="AC220" s="110"/>
      <c r="AD220" s="110"/>
      <c r="AE220" s="110"/>
    </row>
    <row r="221" spans="1:31">
      <c r="A221" s="565"/>
      <c r="B221" s="566" t="s">
        <v>930</v>
      </c>
      <c r="C221" s="567"/>
      <c r="D221" s="568"/>
      <c r="E221" s="569"/>
      <c r="F221" s="570" t="s">
        <v>987</v>
      </c>
      <c r="G221" s="580"/>
      <c r="H221" s="210"/>
      <c r="I221" s="210"/>
      <c r="J221" s="110"/>
      <c r="K221" s="110"/>
      <c r="L221" s="110"/>
      <c r="M221" s="110"/>
      <c r="N221" s="110"/>
      <c r="O221" s="110"/>
      <c r="P221" s="110"/>
      <c r="Q221" s="110"/>
      <c r="R221" s="110"/>
      <c r="S221" s="110"/>
      <c r="T221" s="110"/>
      <c r="U221" s="110"/>
      <c r="V221" s="110"/>
      <c r="W221" s="110"/>
      <c r="X221" s="110"/>
      <c r="Y221" s="110"/>
      <c r="Z221" s="110"/>
      <c r="AA221" s="110"/>
      <c r="AB221" s="110"/>
      <c r="AC221" s="110"/>
      <c r="AD221" s="110"/>
      <c r="AE221" s="110"/>
    </row>
    <row r="222" spans="1:31" ht="17.45" customHeight="1">
      <c r="A222" s="565"/>
      <c r="B222" s="581" t="s">
        <v>931</v>
      </c>
      <c r="C222" s="819" t="str">
        <f>NTC_pn</f>
        <v>NTHS0603N01N1003F</v>
      </c>
      <c r="D222" s="820"/>
      <c r="E222" s="571"/>
      <c r="F222" s="582" t="s">
        <v>1074</v>
      </c>
      <c r="H222" s="110"/>
      <c r="I222" s="110"/>
      <c r="J222" s="110"/>
      <c r="K222" s="110"/>
      <c r="L222" s="110"/>
      <c r="M222" s="110"/>
      <c r="N222" s="110"/>
      <c r="O222" s="110"/>
      <c r="P222" s="110"/>
      <c r="Q222" s="110"/>
      <c r="R222" s="110"/>
      <c r="S222" s="110"/>
      <c r="T222" s="110"/>
      <c r="U222" s="110"/>
      <c r="V222" s="110"/>
      <c r="W222" s="110"/>
      <c r="X222" s="110"/>
      <c r="Y222" s="110"/>
      <c r="Z222" s="110"/>
      <c r="AA222" s="110"/>
      <c r="AB222" s="110"/>
      <c r="AC222" s="110"/>
      <c r="AD222" s="110"/>
      <c r="AE222" s="110"/>
    </row>
    <row r="223" spans="1:31" ht="4.9000000000000004" customHeight="1">
      <c r="A223" s="565"/>
      <c r="B223" s="583"/>
      <c r="C223" s="584"/>
      <c r="D223" s="585"/>
      <c r="E223" s="586"/>
      <c r="F223" s="587"/>
      <c r="H223" s="110"/>
      <c r="I223" s="110"/>
      <c r="J223" s="110"/>
      <c r="K223" s="110"/>
      <c r="L223" s="110"/>
      <c r="M223" s="110"/>
      <c r="N223" s="110"/>
      <c r="O223" s="110"/>
      <c r="P223" s="110"/>
      <c r="Q223" s="110"/>
      <c r="R223" s="110"/>
      <c r="S223" s="110"/>
      <c r="T223" s="110"/>
      <c r="U223" s="110"/>
      <c r="V223" s="110"/>
      <c r="W223" s="110"/>
      <c r="X223" s="110"/>
      <c r="Y223" s="110"/>
      <c r="Z223" s="110"/>
      <c r="AA223" s="110"/>
      <c r="AB223" s="110"/>
      <c r="AC223" s="110"/>
      <c r="AD223" s="110"/>
      <c r="AE223" s="110"/>
    </row>
    <row r="224" spans="1:31" ht="19.899999999999999" customHeight="1">
      <c r="A224" s="565"/>
      <c r="B224" s="588" t="s">
        <v>944</v>
      </c>
      <c r="C224" s="589" t="s">
        <v>988</v>
      </c>
      <c r="D224" s="590">
        <f>1/((LN(RNTCTH_min/(_R25*(1+0.01*KRtol)))/(B25_85*(1-0.01*KBtol)))+(1/298.15)) - 273.15</f>
        <v>93.974484004594558</v>
      </c>
      <c r="E224" s="524" t="s">
        <v>935</v>
      </c>
      <c r="F224" s="821" t="s">
        <v>994</v>
      </c>
    </row>
    <row r="225" spans="1:7" ht="19.899999999999999" customHeight="1">
      <c r="A225" s="565"/>
      <c r="B225" s="369" t="s">
        <v>945</v>
      </c>
      <c r="C225" s="180" t="s">
        <v>989</v>
      </c>
      <c r="D225" s="591">
        <f>1/((LN(RNTCR_min/(_R25*(1+0.01*KRtol)))/(B25_85*(1-0.01*KBtol)))+(1/298.15)) - 273.15</f>
        <v>65.944123965909739</v>
      </c>
      <c r="E225" s="182" t="s">
        <v>935</v>
      </c>
      <c r="F225" s="821"/>
    </row>
    <row r="226" spans="1:7" s="560" customFormat="1" ht="5.45" customHeight="1">
      <c r="A226" s="565"/>
      <c r="B226" s="354"/>
      <c r="C226" s="592"/>
      <c r="D226" s="593"/>
      <c r="E226" s="572"/>
      <c r="F226" s="587"/>
      <c r="G226" s="562"/>
    </row>
    <row r="227" spans="1:7" ht="19.149999999999999" customHeight="1">
      <c r="A227" s="565"/>
      <c r="B227" s="588" t="s">
        <v>940</v>
      </c>
      <c r="C227" s="589" t="s">
        <v>990</v>
      </c>
      <c r="D227" s="590">
        <f>1/((LN(RNTCTH/_R25)/B25_85)+(1/298.15)) - 273.15</f>
        <v>87.557548591462194</v>
      </c>
      <c r="E227" s="524" t="s">
        <v>935</v>
      </c>
      <c r="F227" s="822" t="s">
        <v>995</v>
      </c>
    </row>
    <row r="228" spans="1:7" ht="19.149999999999999" customHeight="1">
      <c r="A228" s="565"/>
      <c r="B228" s="369" t="s">
        <v>941</v>
      </c>
      <c r="C228" s="180" t="s">
        <v>991</v>
      </c>
      <c r="D228" s="591">
        <f>1/((LN(RNTCR/_R25)/B25_85)+(1/298.15)) - 273.15</f>
        <v>61.948903137959348</v>
      </c>
      <c r="E228" s="182" t="s">
        <v>935</v>
      </c>
      <c r="F228" s="822"/>
    </row>
    <row r="229" spans="1:7" s="560" customFormat="1" ht="4.9000000000000004" customHeight="1">
      <c r="A229" s="565"/>
      <c r="B229" s="354"/>
      <c r="C229" s="592"/>
      <c r="D229" s="593"/>
      <c r="E229" s="572"/>
      <c r="F229" s="594"/>
      <c r="G229" s="562"/>
    </row>
    <row r="230" spans="1:7" ht="19.149999999999999" customHeight="1">
      <c r="A230" s="565"/>
      <c r="B230" s="588" t="s">
        <v>942</v>
      </c>
      <c r="C230" s="589" t="s">
        <v>992</v>
      </c>
      <c r="D230" s="590">
        <f>1/((LN(RNTCTH_max/(_R25*(1+ -0.01*KRtol)))/(B25_85*(1- -0.01*KBtol)))+(1/298.15)) - 273.15</f>
        <v>81.310890951328645</v>
      </c>
      <c r="E230" s="524" t="s">
        <v>935</v>
      </c>
      <c r="F230" s="822" t="s">
        <v>996</v>
      </c>
    </row>
    <row r="231" spans="1:7" s="560" customFormat="1" ht="19.149999999999999" customHeight="1" thickBot="1">
      <c r="A231" s="565"/>
      <c r="B231" s="364" t="s">
        <v>943</v>
      </c>
      <c r="C231" s="245" t="s">
        <v>993</v>
      </c>
      <c r="D231" s="595">
        <f>1/((LN(RNTCR_max/(_R25*(1+ -0.01*KRtol)))/(B25_85*(1- -0.01*KBtol)))+(1/298.15)) - 273.15</f>
        <v>56.76290924025119</v>
      </c>
      <c r="E231" s="256" t="s">
        <v>935</v>
      </c>
      <c r="F231" s="823"/>
      <c r="G231" s="562"/>
    </row>
    <row r="232" spans="1:7">
      <c r="A232" s="12"/>
    </row>
    <row r="233" spans="1:7">
      <c r="A233" s="12"/>
    </row>
    <row r="234" spans="1:7">
      <c r="A234" s="12"/>
    </row>
    <row r="235" spans="1:7">
      <c r="A235" s="12"/>
    </row>
    <row r="236" spans="1:7">
      <c r="A236" s="12"/>
    </row>
    <row r="237" spans="1:7">
      <c r="A237" s="12"/>
    </row>
    <row r="238" spans="1:7">
      <c r="A238" s="12"/>
    </row>
    <row r="239" spans="1:7">
      <c r="A239" s="12"/>
    </row>
    <row r="240" spans="1:7">
      <c r="A240" s="12"/>
    </row>
    <row r="241" spans="1:1">
      <c r="A241" s="12"/>
    </row>
    <row r="242" spans="1:1">
      <c r="A242" s="12"/>
    </row>
    <row r="243" spans="1:1">
      <c r="A243" s="12"/>
    </row>
    <row r="244" spans="1:1">
      <c r="A244" s="12"/>
    </row>
    <row r="245" spans="1:1">
      <c r="A245" s="12"/>
    </row>
    <row r="246" spans="1:1">
      <c r="A246" s="12"/>
    </row>
    <row r="247" spans="1:1">
      <c r="A247" s="12"/>
    </row>
    <row r="248" spans="1:1">
      <c r="A248" s="12"/>
    </row>
    <row r="249" spans="1:1">
      <c r="A249" s="12"/>
    </row>
    <row r="250" spans="1:1">
      <c r="A250" s="12"/>
    </row>
    <row r="251" spans="1:1">
      <c r="A251" s="12"/>
    </row>
    <row r="252" spans="1:1">
      <c r="A252" s="12"/>
    </row>
    <row r="253" spans="1:1">
      <c r="A253" s="12"/>
    </row>
    <row r="254" spans="1:1">
      <c r="A254" s="12"/>
    </row>
    <row r="255" spans="1:1">
      <c r="A255" s="12"/>
    </row>
    <row r="256" spans="1:1">
      <c r="A256" s="12"/>
    </row>
    <row r="257" spans="1:1">
      <c r="A257" s="12"/>
    </row>
    <row r="258" spans="1:1">
      <c r="A258" s="12"/>
    </row>
    <row r="259" spans="1:1">
      <c r="A259" s="12"/>
    </row>
    <row r="260" spans="1:1">
      <c r="A260" s="12"/>
    </row>
    <row r="261" spans="1:1">
      <c r="A261" s="12"/>
    </row>
    <row r="262" spans="1:1">
      <c r="A262" s="12"/>
    </row>
    <row r="263" spans="1:1">
      <c r="A263" s="12"/>
    </row>
    <row r="264" spans="1:1">
      <c r="A264" s="12"/>
    </row>
    <row r="265" spans="1:1">
      <c r="A265" s="12"/>
    </row>
    <row r="266" spans="1:1">
      <c r="A266" s="12"/>
    </row>
    <row r="267" spans="1:1">
      <c r="A267" s="12"/>
    </row>
    <row r="268" spans="1:1">
      <c r="A268" s="12"/>
    </row>
    <row r="269" spans="1:1">
      <c r="A269" s="12"/>
    </row>
    <row r="270" spans="1:1">
      <c r="A270" s="12"/>
    </row>
    <row r="271" spans="1:1">
      <c r="A271" s="12"/>
    </row>
    <row r="272" spans="1:1">
      <c r="A272" s="12"/>
    </row>
    <row r="273" spans="1:1">
      <c r="A273" s="12"/>
    </row>
    <row r="274" spans="1:1">
      <c r="A274" s="12"/>
    </row>
    <row r="275" spans="1:1">
      <c r="A275" s="12"/>
    </row>
    <row r="276" spans="1:1">
      <c r="A276" s="12"/>
    </row>
    <row r="277" spans="1:1">
      <c r="A277" s="12"/>
    </row>
    <row r="278" spans="1:1">
      <c r="A278" s="12"/>
    </row>
    <row r="279" spans="1:1">
      <c r="A279" s="12"/>
    </row>
    <row r="280" spans="1:1">
      <c r="A280" s="12"/>
    </row>
    <row r="281" spans="1:1">
      <c r="A281" s="12"/>
    </row>
    <row r="282" spans="1:1">
      <c r="A282" s="12"/>
    </row>
    <row r="283" spans="1:1">
      <c r="A283" s="12"/>
    </row>
    <row r="284" spans="1:1">
      <c r="A284" s="12"/>
    </row>
    <row r="285" spans="1:1">
      <c r="A285" s="12"/>
    </row>
    <row r="286" spans="1:1">
      <c r="A286" s="12"/>
    </row>
    <row r="287" spans="1:1">
      <c r="A287" s="12"/>
    </row>
    <row r="288" spans="1:1">
      <c r="A288" s="12"/>
    </row>
    <row r="289" spans="1:1">
      <c r="A289" s="12"/>
    </row>
    <row r="290" spans="1:1">
      <c r="A290" s="12"/>
    </row>
    <row r="291" spans="1:1">
      <c r="A291" s="12"/>
    </row>
    <row r="292" spans="1:1">
      <c r="A292" s="12"/>
    </row>
    <row r="293" spans="1:1">
      <c r="A293" s="12"/>
    </row>
    <row r="294" spans="1:1">
      <c r="A294" s="12"/>
    </row>
    <row r="295" spans="1:1">
      <c r="A295" s="12"/>
    </row>
    <row r="296" spans="1:1">
      <c r="A296" s="12"/>
    </row>
    <row r="297" spans="1:1">
      <c r="A297" s="12"/>
    </row>
    <row r="298" spans="1:1">
      <c r="A298" s="12"/>
    </row>
    <row r="299" spans="1:1">
      <c r="A299" s="12"/>
    </row>
    <row r="300" spans="1:1">
      <c r="A300" s="12"/>
    </row>
    <row r="301" spans="1:1">
      <c r="A301" s="12"/>
    </row>
    <row r="302" spans="1:1">
      <c r="A302" s="12"/>
    </row>
    <row r="303" spans="1:1">
      <c r="A303" s="12"/>
    </row>
    <row r="304" spans="1:1">
      <c r="A304" s="12"/>
    </row>
    <row r="305" spans="1:1">
      <c r="A305" s="12"/>
    </row>
    <row r="306" spans="1:1">
      <c r="A306" s="12"/>
    </row>
    <row r="307" spans="1:1">
      <c r="A307" s="12"/>
    </row>
    <row r="308" spans="1:1">
      <c r="A308" s="12"/>
    </row>
    <row r="309" spans="1:1">
      <c r="A309" s="12"/>
    </row>
    <row r="310" spans="1:1">
      <c r="A310" s="12"/>
    </row>
    <row r="311" spans="1:1">
      <c r="A311" s="12"/>
    </row>
    <row r="312" spans="1:1">
      <c r="A312" s="12"/>
    </row>
    <row r="313" spans="1:1">
      <c r="A313" s="12"/>
    </row>
    <row r="314" spans="1:1">
      <c r="A314" s="12"/>
    </row>
    <row r="315" spans="1:1">
      <c r="A315" s="12"/>
    </row>
    <row r="316" spans="1:1">
      <c r="A316" s="12"/>
    </row>
    <row r="317" spans="1:1">
      <c r="A317" s="12"/>
    </row>
    <row r="318" spans="1:1">
      <c r="A318" s="12"/>
    </row>
  </sheetData>
  <sheetProtection algorithmName="SHA-512" hashValue="96WSTU1IbWkuJSl4GZFOKi0giSmxOkMFOF9P8oHTZ+tEYjjBavPIxZUStcoD6fj4k7PFd7gJ9I8XqG8akV+fEg==" saltValue="sx/mVynBfAxnKtGY965H1w==" spinCount="100000" sheet="1" selectLockedCells="1"/>
  <mergeCells count="22">
    <mergeCell ref="C222:D222"/>
    <mergeCell ref="F224:F225"/>
    <mergeCell ref="F227:F228"/>
    <mergeCell ref="F230:F231"/>
    <mergeCell ref="E47:F47"/>
    <mergeCell ref="E48:F48"/>
    <mergeCell ref="E139:F139"/>
    <mergeCell ref="E141:F141"/>
    <mergeCell ref="E149:F149"/>
    <mergeCell ref="E137:F137"/>
    <mergeCell ref="E134:F134"/>
    <mergeCell ref="C193:D193"/>
    <mergeCell ref="F182:F184"/>
    <mergeCell ref="E160:F160"/>
    <mergeCell ref="E178:F178"/>
    <mergeCell ref="E161:F161"/>
    <mergeCell ref="E169:F169"/>
    <mergeCell ref="B2:F2"/>
    <mergeCell ref="B46:F46"/>
    <mergeCell ref="B66:F66"/>
    <mergeCell ref="B75:F75"/>
    <mergeCell ref="E124:F124"/>
  </mergeCells>
  <phoneticPr fontId="32" type="noConversion"/>
  <conditionalFormatting sqref="F120">
    <cfRule type="containsText" dxfId="6" priority="4" operator="containsText" text="Beware">
      <formula>NOT(ISERROR(SEARCH("Beware",F120)))</formula>
    </cfRule>
  </conditionalFormatting>
  <conditionalFormatting sqref="F126">
    <cfRule type="containsText" dxfId="5" priority="3" operator="containsText" text="Beware">
      <formula>NOT(ISERROR(SEARCH("Beware",F126)))</formula>
    </cfRule>
  </conditionalFormatting>
  <conditionalFormatting sqref="F131">
    <cfRule type="containsText" dxfId="4" priority="2" operator="containsText" text="Beware">
      <formula>NOT(ISERROR(SEARCH("Beware",F131)))</formula>
    </cfRule>
  </conditionalFormatting>
  <conditionalFormatting sqref="F190">
    <cfRule type="containsText" dxfId="3" priority="1" operator="containsText" text="Beware">
      <formula>NOT(ISERROR(SEARCH("Beware",F190)))</formula>
    </cfRule>
  </conditionalFormatting>
  <pageMargins left="0.7" right="0.7" top="0.75" bottom="0.75" header="0.3" footer="0.3"/>
  <pageSetup orientation="portrait" r:id="rId1"/>
  <drawing r:id="rId2"/>
  <legacyDrawing r:id="rId3"/>
  <oleObjects>
    <mc:AlternateContent xmlns:mc="http://schemas.openxmlformats.org/markup-compatibility/2006">
      <mc:Choice Requires="x14">
        <oleObject progId="Visio.Drawing.15" shapeId="4173" r:id="rId4">
          <objectPr defaultSize="0" autoPict="0" r:id="rId5">
            <anchor moveWithCells="1">
              <from>
                <xdr:col>6</xdr:col>
                <xdr:colOff>114300</xdr:colOff>
                <xdr:row>79</xdr:row>
                <xdr:rowOff>19050</xdr:rowOff>
              </from>
              <to>
                <xdr:col>12</xdr:col>
                <xdr:colOff>228600</xdr:colOff>
                <xdr:row>90</xdr:row>
                <xdr:rowOff>152400</xdr:rowOff>
              </to>
            </anchor>
          </objectPr>
        </oleObject>
      </mc:Choice>
      <mc:Fallback>
        <oleObject progId="Visio.Drawing.15" shapeId="4173"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B1:M33"/>
  <sheetViews>
    <sheetView topLeftCell="A10" zoomScaleNormal="100" workbookViewId="0">
      <selection activeCell="C26" sqref="C26"/>
    </sheetView>
  </sheetViews>
  <sheetFormatPr defaultRowHeight="15"/>
  <cols>
    <col min="1" max="1" width="3.7109375" customWidth="1"/>
    <col min="2" max="2" width="19.7109375" customWidth="1"/>
    <col min="4" max="4" width="5.7109375" customWidth="1"/>
    <col min="5" max="5" width="58.7109375" customWidth="1"/>
    <col min="13" max="13" width="8.85546875" customWidth="1"/>
  </cols>
  <sheetData>
    <row r="1" spans="2:13">
      <c r="F1" s="415"/>
    </row>
    <row r="2" spans="2:13">
      <c r="B2" s="835" t="s">
        <v>1032</v>
      </c>
      <c r="C2" s="835"/>
      <c r="D2" s="417"/>
      <c r="E2" s="417"/>
      <c r="F2" s="677"/>
    </row>
    <row r="3" spans="2:13" ht="18.75">
      <c r="B3" s="418" t="s">
        <v>1104</v>
      </c>
      <c r="C3" s="417"/>
      <c r="D3" s="417"/>
      <c r="E3" s="417"/>
      <c r="F3" s="677"/>
      <c r="M3" s="462"/>
    </row>
    <row r="4" spans="2:13" ht="18.75">
      <c r="B4" s="418" t="s">
        <v>1033</v>
      </c>
      <c r="C4" s="417"/>
      <c r="D4" s="417"/>
      <c r="E4" s="417"/>
      <c r="F4" s="677"/>
      <c r="M4" s="418"/>
    </row>
    <row r="5" spans="2:13" ht="18.75">
      <c r="B5" s="418" t="s">
        <v>1035</v>
      </c>
      <c r="C5" s="417"/>
      <c r="D5" s="417"/>
      <c r="E5" s="417"/>
      <c r="F5" s="677"/>
      <c r="M5" s="418"/>
    </row>
    <row r="6" spans="2:13" ht="18.75">
      <c r="B6" s="418" t="s">
        <v>912</v>
      </c>
      <c r="C6" s="417"/>
      <c r="D6" s="417"/>
      <c r="E6" s="417"/>
      <c r="F6" s="638"/>
      <c r="M6" s="418"/>
    </row>
    <row r="7" spans="2:13" ht="18.75">
      <c r="B7" s="418" t="s">
        <v>791</v>
      </c>
      <c r="C7" s="417"/>
      <c r="D7" s="417"/>
      <c r="E7" s="417"/>
      <c r="F7" s="638"/>
      <c r="M7" s="418"/>
    </row>
    <row r="8" spans="2:13" ht="18.75">
      <c r="B8" s="418" t="s">
        <v>1036</v>
      </c>
      <c r="C8" s="417"/>
      <c r="D8" s="417"/>
      <c r="E8" s="417"/>
      <c r="F8" s="677"/>
    </row>
    <row r="9" spans="2:13" ht="18.75">
      <c r="B9" s="418" t="s">
        <v>1034</v>
      </c>
      <c r="C9" s="417"/>
      <c r="D9" s="417"/>
      <c r="E9" s="417"/>
      <c r="F9" s="638"/>
    </row>
    <row r="10" spans="2:13" ht="18.75">
      <c r="B10" s="418" t="s">
        <v>1037</v>
      </c>
      <c r="C10" s="417"/>
      <c r="D10" s="417"/>
      <c r="E10" s="417"/>
      <c r="F10" s="677"/>
    </row>
    <row r="11" spans="2:13">
      <c r="B11" s="417"/>
      <c r="C11" s="417"/>
      <c r="D11" s="417"/>
      <c r="E11" s="417"/>
      <c r="F11" s="638"/>
    </row>
    <row r="12" spans="2:13" ht="19.899999999999999" customHeight="1">
      <c r="B12" s="419" t="s">
        <v>800</v>
      </c>
      <c r="C12" s="420" t="s">
        <v>744</v>
      </c>
      <c r="D12" s="421" t="s">
        <v>798</v>
      </c>
      <c r="E12" s="478" t="s">
        <v>797</v>
      </c>
      <c r="F12" s="638"/>
    </row>
    <row r="13" spans="2:13" s="433" customFormat="1" ht="19.899999999999999" customHeight="1">
      <c r="B13" s="419" t="s">
        <v>796</v>
      </c>
      <c r="C13" s="420">
        <f>VREF</f>
        <v>5</v>
      </c>
      <c r="D13" s="421" t="s">
        <v>6</v>
      </c>
      <c r="E13" s="478" t="s">
        <v>736</v>
      </c>
      <c r="F13" s="638"/>
    </row>
    <row r="14" spans="2:13" s="433" customFormat="1" ht="19.899999999999999" customHeight="1">
      <c r="B14" s="419" t="s">
        <v>738</v>
      </c>
      <c r="C14" s="420">
        <v>5</v>
      </c>
      <c r="D14" s="421" t="s">
        <v>165</v>
      </c>
      <c r="E14" s="478" t="s">
        <v>736</v>
      </c>
      <c r="F14" s="638"/>
    </row>
    <row r="15" spans="2:13" s="433" customFormat="1" ht="19.899999999999999" customHeight="1">
      <c r="B15" s="419" t="s">
        <v>740</v>
      </c>
      <c r="C15" s="420">
        <v>2.7</v>
      </c>
      <c r="D15" s="421" t="s">
        <v>165</v>
      </c>
      <c r="E15" s="478" t="s">
        <v>736</v>
      </c>
      <c r="F15" s="638"/>
    </row>
    <row r="16" spans="2:13" s="433" customFormat="1" ht="19.899999999999999" customHeight="1">
      <c r="B16" s="427" t="s">
        <v>1040</v>
      </c>
      <c r="C16" s="420">
        <f>BUR</f>
        <v>40</v>
      </c>
      <c r="D16" s="421" t="s">
        <v>371</v>
      </c>
      <c r="E16" s="478" t="s">
        <v>1070</v>
      </c>
      <c r="F16" s="677"/>
    </row>
    <row r="17" spans="2:7" ht="19.899999999999999" customHeight="1">
      <c r="B17" s="419" t="s">
        <v>623</v>
      </c>
      <c r="C17" s="480">
        <f>VBUR_tgt</f>
        <v>0.89330649145090724</v>
      </c>
      <c r="D17" s="421" t="s">
        <v>6</v>
      </c>
      <c r="E17" s="478" t="s">
        <v>1100</v>
      </c>
      <c r="F17" s="677"/>
      <c r="G17" s="631"/>
    </row>
    <row r="18" spans="2:7" ht="19.899999999999999" customHeight="1">
      <c r="B18" s="419" t="s">
        <v>737</v>
      </c>
      <c r="C18" s="551">
        <v>155</v>
      </c>
      <c r="D18" s="421" t="s">
        <v>735</v>
      </c>
      <c r="E18" s="478" t="s">
        <v>802</v>
      </c>
      <c r="F18" s="638"/>
      <c r="G18" s="548"/>
    </row>
    <row r="19" spans="2:7" s="433" customFormat="1" ht="19.899999999999999" customHeight="1">
      <c r="B19" s="419" t="s">
        <v>741</v>
      </c>
      <c r="C19" s="425">
        <f>(C15/C14)*C18</f>
        <v>83.7</v>
      </c>
      <c r="D19" s="421" t="s">
        <v>735</v>
      </c>
      <c r="E19" s="478" t="s">
        <v>911</v>
      </c>
      <c r="F19" s="638"/>
    </row>
    <row r="20" spans="2:7" ht="7.15" customHeight="1">
      <c r="F20" s="638"/>
    </row>
    <row r="21" spans="2:7" ht="19.899999999999999" customHeight="1">
      <c r="B21" s="419" t="s">
        <v>739</v>
      </c>
      <c r="C21" s="423">
        <f>(C18/1000)/(C14/10^6)/1000</f>
        <v>30.999999999999996</v>
      </c>
      <c r="D21" s="421" t="s">
        <v>76</v>
      </c>
      <c r="E21" s="478" t="s">
        <v>1039</v>
      </c>
      <c r="F21" s="677"/>
    </row>
    <row r="22" spans="2:7" ht="19.899999999999999" customHeight="1">
      <c r="B22" s="419" t="s">
        <v>908</v>
      </c>
      <c r="C22" s="422">
        <f>(C17+C18/1000)/VREF</f>
        <v>0.20966129829018146</v>
      </c>
      <c r="D22" s="421"/>
      <c r="E22" s="478" t="s">
        <v>1038</v>
      </c>
      <c r="F22" s="677"/>
    </row>
    <row r="23" spans="2:7" s="433" customFormat="1" ht="19.899999999999999" customHeight="1">
      <c r="B23" s="419" t="s">
        <v>631</v>
      </c>
      <c r="C23" s="424">
        <f>((C18/1000)/(C14/10^6))*(VREF/(C17+C18/1000))/1000</f>
        <v>147.85752188319702</v>
      </c>
      <c r="D23" s="421" t="s">
        <v>76</v>
      </c>
      <c r="E23" s="478" t="s">
        <v>910</v>
      </c>
      <c r="F23" s="415"/>
    </row>
    <row r="24" spans="2:7" s="433" customFormat="1" ht="19.899999999999999" customHeight="1">
      <c r="B24" s="419" t="s">
        <v>633</v>
      </c>
      <c r="C24" s="486">
        <v>115</v>
      </c>
      <c r="D24" s="421" t="s">
        <v>76</v>
      </c>
      <c r="E24" s="478" t="s">
        <v>799</v>
      </c>
      <c r="F24" s="415"/>
    </row>
    <row r="25" spans="2:7" ht="19.899999999999999" customHeight="1">
      <c r="B25" s="419" t="s">
        <v>625</v>
      </c>
      <c r="C25" s="550">
        <f>C24*(C17+C18/1000)/(VREF-(C17+C18/1000))</f>
        <v>30.507236013128335</v>
      </c>
      <c r="D25" s="421" t="s">
        <v>76</v>
      </c>
      <c r="E25" s="478" t="s">
        <v>909</v>
      </c>
      <c r="F25" s="415"/>
    </row>
    <row r="26" spans="2:7" s="433" customFormat="1" ht="19.899999999999999" customHeight="1">
      <c r="B26" s="419" t="s">
        <v>627</v>
      </c>
      <c r="C26" s="486">
        <v>35.700000000000003</v>
      </c>
      <c r="D26" s="421" t="s">
        <v>76</v>
      </c>
      <c r="E26" s="478" t="s">
        <v>799</v>
      </c>
      <c r="F26" s="415"/>
    </row>
    <row r="27" spans="2:7" ht="7.9" customHeight="1">
      <c r="F27" s="415"/>
    </row>
    <row r="28" spans="2:7" ht="33" customHeight="1">
      <c r="B28" s="172" t="s">
        <v>907</v>
      </c>
      <c r="C28" s="480">
        <f>VREF*RBUR2/(RBUR2+RBUR1) - (C14/10^6)*(RBUR1_act2*RBUR2_act2/(RBUR1_act2+RBUR2_act2))*1000</f>
        <v>1.0482581287325814</v>
      </c>
      <c r="D28" s="421" t="s">
        <v>6</v>
      </c>
      <c r="E28" s="606" t="s">
        <v>1021</v>
      </c>
      <c r="F28" s="415"/>
    </row>
    <row r="29" spans="2:7" s="433" customFormat="1" ht="33" customHeight="1">
      <c r="B29" s="419" t="s">
        <v>737</v>
      </c>
      <c r="C29" s="549">
        <f>C14*(C26*C24)/(C26+C24)</f>
        <v>136.21433311214335</v>
      </c>
      <c r="D29" s="426" t="s">
        <v>735</v>
      </c>
      <c r="E29" s="479" t="s">
        <v>1030</v>
      </c>
      <c r="F29" s="677"/>
      <c r="G29" s="631"/>
    </row>
    <row r="30" spans="2:7" s="433" customFormat="1" ht="33" customHeight="1">
      <c r="B30" s="419" t="s">
        <v>741</v>
      </c>
      <c r="C30" s="549">
        <f>C15*(C26*C24)/(C26+C24)</f>
        <v>73.555739880557411</v>
      </c>
      <c r="D30" s="421" t="s">
        <v>735</v>
      </c>
      <c r="E30" s="479" t="s">
        <v>1031</v>
      </c>
      <c r="F30" s="677"/>
      <c r="G30" s="631"/>
    </row>
    <row r="31" spans="2:7" ht="18">
      <c r="B31" s="416"/>
      <c r="C31" s="484"/>
      <c r="D31" s="446"/>
      <c r="E31" s="483"/>
      <c r="F31" s="415"/>
      <c r="G31" s="482"/>
    </row>
    <row r="32" spans="2:7">
      <c r="F32" s="415"/>
      <c r="G32" s="481"/>
    </row>
    <row r="33" spans="3:6">
      <c r="C33" s="548"/>
      <c r="D33" s="446"/>
      <c r="E33" s="548"/>
      <c r="F33" s="415"/>
    </row>
  </sheetData>
  <sheetProtection algorithmName="SHA-512" hashValue="itegdwm7ydlOxJu7rn7G2FhO3e5kF385dXqfIxXGN8JyopsyyUYwf4uwQwh/vx8mLmlVuGVNJ7dQcSnydsvFSw==" saltValue="djQlmx1yNlBSoGQ0D66jgw==" spinCount="100000" sheet="1" selectLockedCells="1"/>
  <mergeCells count="1">
    <mergeCell ref="B2:C2"/>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V71"/>
  <sheetViews>
    <sheetView topLeftCell="A55" zoomScaleNormal="100" workbookViewId="0">
      <selection activeCell="E17" sqref="E17:G17"/>
    </sheetView>
  </sheetViews>
  <sheetFormatPr defaultRowHeight="15"/>
  <cols>
    <col min="1" max="1" width="3.7109375" customWidth="1"/>
    <col min="2" max="2" width="9" customWidth="1"/>
    <col min="3" max="3" width="14.140625" bestFit="1" customWidth="1"/>
    <col min="4" max="4" width="11.42578125" customWidth="1"/>
    <col min="5" max="7" width="7.7109375" customWidth="1"/>
    <col min="8" max="8" width="5.7109375" customWidth="1"/>
    <col min="9" max="9" width="10.28515625" bestFit="1" customWidth="1"/>
    <col min="13" max="13" width="9.7109375" customWidth="1"/>
    <col min="14" max="14" width="11.140625" customWidth="1"/>
    <col min="15" max="15" width="10.28515625" bestFit="1" customWidth="1"/>
  </cols>
  <sheetData>
    <row r="1" spans="1:20">
      <c r="A1" s="35"/>
      <c r="B1" s="35"/>
      <c r="C1" s="35"/>
      <c r="D1" s="35"/>
      <c r="E1" s="35"/>
      <c r="F1" s="35"/>
      <c r="G1" s="35"/>
      <c r="H1" s="35"/>
      <c r="I1" s="35"/>
      <c r="J1" s="35"/>
      <c r="K1" s="35"/>
      <c r="L1" s="35"/>
      <c r="M1" s="35"/>
      <c r="N1" s="35"/>
      <c r="O1" s="35"/>
      <c r="P1" s="35"/>
      <c r="Q1" s="35"/>
      <c r="R1" s="35"/>
      <c r="S1" s="35"/>
      <c r="T1" s="35"/>
    </row>
    <row r="2" spans="1:20" ht="27.75">
      <c r="A2" s="35"/>
      <c r="B2" s="145" t="s">
        <v>731</v>
      </c>
      <c r="C2" s="35"/>
      <c r="D2" s="35"/>
      <c r="E2" s="35"/>
      <c r="F2" s="35"/>
      <c r="G2" s="35"/>
      <c r="H2" s="35"/>
      <c r="I2" s="35"/>
      <c r="J2" s="35"/>
      <c r="K2" s="35"/>
      <c r="L2" s="35"/>
      <c r="M2" s="35"/>
      <c r="N2" s="23"/>
      <c r="O2" s="35"/>
      <c r="P2" s="35"/>
      <c r="Q2" s="35"/>
      <c r="R2" s="143"/>
      <c r="S2" s="35"/>
      <c r="T2" s="35"/>
    </row>
    <row r="3" spans="1:20">
      <c r="A3" s="35"/>
      <c r="B3" s="35"/>
      <c r="C3" s="35"/>
      <c r="D3" s="35"/>
      <c r="E3" s="35"/>
      <c r="F3" s="35"/>
      <c r="G3" s="35"/>
      <c r="H3" s="35"/>
      <c r="I3" s="35"/>
      <c r="J3" s="35"/>
      <c r="K3" s="35"/>
      <c r="L3" s="35"/>
      <c r="M3" s="35"/>
      <c r="N3" s="35"/>
      <c r="O3" s="148"/>
      <c r="P3" s="35"/>
      <c r="Q3" s="35"/>
      <c r="R3" s="35"/>
      <c r="S3" s="35"/>
      <c r="T3" s="35"/>
    </row>
    <row r="4" spans="1:20">
      <c r="A4" s="35"/>
      <c r="B4" s="146"/>
      <c r="C4" s="146"/>
      <c r="D4" s="146"/>
      <c r="E4" s="146"/>
      <c r="F4" s="147"/>
      <c r="G4" s="147"/>
      <c r="H4" s="147"/>
      <c r="I4" s="35"/>
      <c r="J4" s="147"/>
      <c r="K4" s="147"/>
      <c r="L4" s="35"/>
      <c r="M4" s="35"/>
      <c r="N4" s="35"/>
      <c r="O4" s="148" t="s">
        <v>1106</v>
      </c>
      <c r="P4" s="35"/>
      <c r="Q4" s="35"/>
      <c r="R4" s="35"/>
      <c r="S4" s="35"/>
      <c r="T4" s="35"/>
    </row>
    <row r="5" spans="1:20" ht="19.149999999999999" customHeight="1">
      <c r="A5" s="35"/>
      <c r="B5" s="149" t="s">
        <v>238</v>
      </c>
      <c r="C5" s="149"/>
      <c r="D5" s="149"/>
      <c r="E5" s="149"/>
      <c r="F5" s="147"/>
      <c r="G5" s="147"/>
      <c r="H5" s="35"/>
      <c r="I5" s="150"/>
      <c r="J5" s="35"/>
      <c r="K5" s="35"/>
      <c r="L5" s="35"/>
      <c r="M5" s="35"/>
      <c r="N5" s="35"/>
      <c r="O5" s="35"/>
      <c r="P5" s="35"/>
      <c r="Q5" s="35"/>
      <c r="R5" s="35"/>
      <c r="S5" s="35"/>
      <c r="T5" s="35"/>
    </row>
    <row r="6" spans="1:20" ht="18" customHeight="1">
      <c r="A6" s="35"/>
      <c r="B6" s="841" t="s">
        <v>339</v>
      </c>
      <c r="C6" s="841"/>
      <c r="D6" s="841"/>
      <c r="E6" s="849" t="s">
        <v>1172</v>
      </c>
      <c r="F6" s="850"/>
      <c r="G6" s="850"/>
      <c r="H6" s="851"/>
      <c r="I6" s="845"/>
      <c r="J6" s="845"/>
      <c r="K6" s="845"/>
      <c r="L6" s="845"/>
      <c r="M6" s="845"/>
      <c r="N6" s="845"/>
      <c r="O6" s="35"/>
      <c r="P6" s="35"/>
      <c r="Q6" s="35"/>
      <c r="R6" s="35"/>
      <c r="S6" s="35"/>
      <c r="T6" s="35"/>
    </row>
    <row r="7" spans="1:20" ht="18" customHeight="1">
      <c r="A7" s="35"/>
      <c r="B7" s="841" t="s">
        <v>492</v>
      </c>
      <c r="C7" s="841"/>
      <c r="D7" s="841"/>
      <c r="E7" s="839">
        <v>-70</v>
      </c>
      <c r="F7" s="839"/>
      <c r="G7" s="839"/>
      <c r="H7" s="409" t="s">
        <v>113</v>
      </c>
      <c r="I7" s="840" t="s">
        <v>734</v>
      </c>
      <c r="J7" s="840"/>
      <c r="K7" s="840"/>
      <c r="L7" s="840"/>
      <c r="M7" s="840"/>
      <c r="N7" s="840"/>
      <c r="O7" s="35"/>
      <c r="P7" s="35"/>
      <c r="Q7" s="35"/>
      <c r="R7" s="35"/>
      <c r="S7" s="35"/>
      <c r="T7" s="35"/>
    </row>
    <row r="8" spans="1:20" ht="18" customHeight="1">
      <c r="A8" s="147"/>
      <c r="B8" s="840" t="s">
        <v>1174</v>
      </c>
      <c r="C8" s="840"/>
      <c r="D8" s="840"/>
      <c r="E8" s="842">
        <f>(((NPS^2)/(4*(3.1416^2)*LK_act*10^-6*(fsw_OPP_min*1000)^2))*10^6)</f>
        <v>7043.8733119231483</v>
      </c>
      <c r="F8" s="842"/>
      <c r="G8" s="842"/>
      <c r="H8" s="46" t="s">
        <v>54</v>
      </c>
      <c r="I8" s="840" t="s">
        <v>1025</v>
      </c>
      <c r="J8" s="840"/>
      <c r="K8" s="840"/>
      <c r="L8" s="840"/>
      <c r="M8" s="840"/>
      <c r="N8" s="840"/>
      <c r="O8" s="35"/>
      <c r="P8" s="35"/>
      <c r="Q8" s="35"/>
      <c r="R8" s="35"/>
      <c r="S8" s="35"/>
      <c r="T8" s="35"/>
    </row>
    <row r="9" spans="1:20" s="433" customFormat="1" ht="18" customHeight="1">
      <c r="A9" s="147"/>
      <c r="B9" s="836" t="s">
        <v>1176</v>
      </c>
      <c r="C9" s="837"/>
      <c r="D9" s="838"/>
      <c r="E9" s="857">
        <f>(((NPS^2)/(4*(3.1416^2)*LK_act*10^-6*(fsw_OPP_min*1000)^2))*10^6)/((100+Co1_dec)/100)</f>
        <v>23479.577706410495</v>
      </c>
      <c r="F9" s="858"/>
      <c r="G9" s="859"/>
      <c r="H9" s="46" t="s">
        <v>54</v>
      </c>
      <c r="I9" s="836" t="s">
        <v>1177</v>
      </c>
      <c r="J9" s="837"/>
      <c r="K9" s="837"/>
      <c r="L9" s="837"/>
      <c r="M9" s="837"/>
      <c r="N9" s="838"/>
      <c r="O9" s="560"/>
      <c r="P9" s="560"/>
      <c r="Q9" s="560"/>
      <c r="R9" s="560"/>
      <c r="S9" s="560"/>
      <c r="T9" s="560"/>
    </row>
    <row r="10" spans="1:20" s="433" customFormat="1" ht="18" customHeight="1">
      <c r="A10" s="147"/>
      <c r="B10" s="836" t="s">
        <v>1173</v>
      </c>
      <c r="C10" s="837"/>
      <c r="D10" s="838"/>
      <c r="E10" s="839">
        <v>6800</v>
      </c>
      <c r="F10" s="839"/>
      <c r="G10" s="839"/>
      <c r="H10" s="46" t="s">
        <v>54</v>
      </c>
      <c r="I10" s="840" t="s">
        <v>338</v>
      </c>
      <c r="J10" s="840"/>
      <c r="K10" s="840"/>
      <c r="L10" s="840"/>
      <c r="M10" s="840"/>
      <c r="N10" s="840"/>
      <c r="O10" s="560"/>
      <c r="P10" s="560"/>
      <c r="Q10" s="560"/>
      <c r="R10" s="560"/>
      <c r="S10" s="560"/>
      <c r="T10" s="560"/>
    </row>
    <row r="11" spans="1:20" ht="18" customHeight="1">
      <c r="A11" s="147"/>
      <c r="B11" s="840" t="s">
        <v>1175</v>
      </c>
      <c r="C11" s="840"/>
      <c r="D11" s="840"/>
      <c r="E11" s="843">
        <f>E10*(1+(Co1_dec/100))</f>
        <v>2040.0000000000002</v>
      </c>
      <c r="F11" s="843"/>
      <c r="G11" s="843"/>
      <c r="H11" s="46" t="s">
        <v>54</v>
      </c>
      <c r="I11" s="840" t="s">
        <v>1026</v>
      </c>
      <c r="J11" s="840"/>
      <c r="K11" s="840"/>
      <c r="L11" s="840"/>
      <c r="M11" s="840"/>
      <c r="N11" s="840"/>
      <c r="O11" s="35"/>
      <c r="P11" s="35"/>
      <c r="Q11" s="35"/>
      <c r="R11" s="35"/>
      <c r="S11" s="35"/>
      <c r="T11" s="35"/>
    </row>
    <row r="12" spans="1:20" ht="12" customHeight="1">
      <c r="A12" s="147"/>
      <c r="B12" s="151"/>
      <c r="C12" s="151"/>
      <c r="D12" s="151"/>
      <c r="E12" s="152"/>
      <c r="F12" s="152"/>
      <c r="G12" s="152"/>
      <c r="H12" s="152"/>
      <c r="I12" s="153"/>
      <c r="J12" s="154"/>
      <c r="K12" s="14"/>
      <c r="L12" s="14"/>
      <c r="M12" s="14"/>
      <c r="N12" s="35"/>
      <c r="O12" s="35"/>
      <c r="P12" s="35"/>
      <c r="Q12" s="35"/>
      <c r="R12" s="35"/>
      <c r="S12" s="35"/>
      <c r="T12" s="35"/>
    </row>
    <row r="13" spans="1:20" ht="18" customHeight="1">
      <c r="A13" s="147"/>
      <c r="B13" s="845" t="s">
        <v>489</v>
      </c>
      <c r="C13" s="845"/>
      <c r="D13" s="845"/>
      <c r="E13" s="846">
        <f>(1/((2*3.1416*1000*fsw_OPP_min)^2*Co_1*10^-6)-1/((2*3.1416*1000*fsw_OPP_min)^2*COUT*10^-6)-0.001*RCO/(2*3.1416*fsw_OPP_min*1000))*10^6*10</f>
        <v>-9.7514742039062241E-2</v>
      </c>
      <c r="F13" s="846"/>
      <c r="G13" s="846"/>
      <c r="H13" s="47" t="s">
        <v>114</v>
      </c>
      <c r="I13" s="856"/>
      <c r="J13" s="856"/>
      <c r="K13" s="856"/>
      <c r="L13" s="856"/>
      <c r="M13" s="856"/>
      <c r="N13" s="856"/>
      <c r="O13" s="23"/>
      <c r="P13" s="148"/>
      <c r="Q13" s="35"/>
      <c r="R13" s="143"/>
      <c r="S13" s="35"/>
      <c r="T13" s="35"/>
    </row>
    <row r="14" spans="1:20" ht="18" customHeight="1">
      <c r="A14" s="147"/>
      <c r="B14" s="845" t="s">
        <v>490</v>
      </c>
      <c r="C14" s="845"/>
      <c r="D14" s="845"/>
      <c r="E14" s="839">
        <v>1</v>
      </c>
      <c r="F14" s="839"/>
      <c r="G14" s="839"/>
      <c r="H14" s="47" t="s">
        <v>114</v>
      </c>
      <c r="I14" s="845" t="s">
        <v>1065</v>
      </c>
      <c r="J14" s="845"/>
      <c r="K14" s="845"/>
      <c r="L14" s="845"/>
      <c r="M14" s="845"/>
      <c r="N14" s="845"/>
      <c r="O14" s="23"/>
      <c r="P14" s="35"/>
      <c r="Q14" s="35"/>
      <c r="R14" s="35"/>
      <c r="S14" s="35"/>
      <c r="T14" s="35"/>
    </row>
    <row r="15" spans="1:20" ht="12" customHeight="1">
      <c r="A15" s="147"/>
      <c r="B15" s="151"/>
      <c r="C15" s="151"/>
      <c r="D15" s="151"/>
      <c r="E15" s="152"/>
      <c r="F15" s="152"/>
      <c r="G15" s="152"/>
      <c r="H15" s="152"/>
      <c r="I15" s="154"/>
      <c r="J15" s="154"/>
      <c r="K15" s="14"/>
      <c r="L15" s="14"/>
      <c r="M15" s="14"/>
      <c r="N15" s="35"/>
      <c r="O15" s="35" t="s">
        <v>357</v>
      </c>
      <c r="P15" s="35"/>
      <c r="Q15" s="35"/>
      <c r="R15" s="35"/>
      <c r="S15" s="35"/>
      <c r="T15" s="35"/>
    </row>
    <row r="16" spans="1:20" ht="18" customHeight="1">
      <c r="A16" s="147"/>
      <c r="B16" s="840" t="s">
        <v>189</v>
      </c>
      <c r="C16" s="840"/>
      <c r="D16" s="840"/>
      <c r="E16" s="844">
        <f>Lo*0.13</f>
        <v>0.13</v>
      </c>
      <c r="F16" s="844"/>
      <c r="G16" s="844"/>
      <c r="H16" s="46" t="s">
        <v>114</v>
      </c>
      <c r="I16" s="852" t="s">
        <v>1124</v>
      </c>
      <c r="J16" s="852"/>
      <c r="K16" s="852"/>
      <c r="L16" s="852"/>
      <c r="M16" s="852"/>
      <c r="N16" s="852"/>
      <c r="P16" s="143"/>
      <c r="Q16" s="35"/>
      <c r="R16" s="35"/>
      <c r="S16" s="35"/>
      <c r="T16" s="35"/>
    </row>
    <row r="17" spans="1:20" ht="18" customHeight="1">
      <c r="A17" s="147"/>
      <c r="B17" s="840" t="s">
        <v>190</v>
      </c>
      <c r="C17" s="840"/>
      <c r="D17" s="840"/>
      <c r="E17" s="839">
        <v>0.68</v>
      </c>
      <c r="F17" s="839"/>
      <c r="G17" s="839"/>
      <c r="H17" s="46" t="s">
        <v>20</v>
      </c>
      <c r="I17" s="840" t="s">
        <v>358</v>
      </c>
      <c r="J17" s="840"/>
      <c r="K17" s="840"/>
      <c r="L17" s="840"/>
      <c r="M17" s="840"/>
      <c r="N17" s="840"/>
      <c r="O17" s="35"/>
      <c r="P17" s="35"/>
      <c r="Q17" s="35"/>
      <c r="R17" s="35"/>
      <c r="S17" s="35"/>
      <c r="T17" s="35"/>
    </row>
    <row r="18" spans="1:20" ht="18" customHeight="1">
      <c r="A18" s="147"/>
      <c r="B18" s="840" t="s">
        <v>191</v>
      </c>
      <c r="C18" s="840"/>
      <c r="D18" s="840"/>
      <c r="E18" s="846">
        <f>SQRT(Lo/(Co_1))</f>
        <v>2.2140372138502382E-2</v>
      </c>
      <c r="F18" s="846"/>
      <c r="G18" s="846"/>
      <c r="H18" s="46" t="s">
        <v>31</v>
      </c>
      <c r="I18" s="853" t="s">
        <v>491</v>
      </c>
      <c r="J18" s="854"/>
      <c r="K18" s="854"/>
      <c r="L18" s="854"/>
      <c r="M18" s="854"/>
      <c r="N18" s="855"/>
      <c r="P18" s="35"/>
      <c r="Q18" s="35"/>
      <c r="R18" s="143"/>
      <c r="S18" s="35"/>
      <c r="T18" s="35"/>
    </row>
    <row r="19" spans="1:20" ht="18" customHeight="1">
      <c r="A19" s="147"/>
      <c r="B19" s="840" t="s">
        <v>192</v>
      </c>
      <c r="C19" s="840"/>
      <c r="D19" s="840"/>
      <c r="E19" s="839">
        <v>0.67</v>
      </c>
      <c r="F19" s="839"/>
      <c r="G19" s="839"/>
      <c r="H19" s="46" t="s">
        <v>168</v>
      </c>
      <c r="I19" s="845" t="s">
        <v>1125</v>
      </c>
      <c r="J19" s="845"/>
      <c r="K19" s="845"/>
      <c r="L19" s="845"/>
      <c r="M19" s="845"/>
      <c r="N19" s="845"/>
      <c r="O19" s="35"/>
      <c r="P19" s="35"/>
      <c r="Q19" s="143"/>
      <c r="R19" s="35"/>
      <c r="S19" s="35"/>
      <c r="T19" s="35"/>
    </row>
    <row r="20" spans="1:20">
      <c r="A20" s="147"/>
      <c r="B20" s="155"/>
      <c r="C20" s="155"/>
      <c r="D20" s="155"/>
      <c r="E20" s="35"/>
      <c r="F20" s="35"/>
      <c r="G20" s="35"/>
      <c r="H20" s="35"/>
      <c r="I20" s="147"/>
      <c r="J20" s="147"/>
      <c r="K20" s="147"/>
      <c r="L20" s="147"/>
      <c r="M20" s="147"/>
      <c r="N20" s="35"/>
      <c r="O20" s="35"/>
      <c r="P20" s="35"/>
      <c r="Q20" s="35"/>
      <c r="R20" s="35"/>
      <c r="S20" s="35"/>
      <c r="T20" s="35"/>
    </row>
    <row r="21" spans="1:20">
      <c r="A21" s="35"/>
      <c r="B21" s="98"/>
      <c r="C21" s="98"/>
      <c r="D21" s="98"/>
      <c r="E21" s="98"/>
      <c r="F21" s="98"/>
      <c r="G21" s="98"/>
      <c r="H21" s="98"/>
      <c r="I21" s="98"/>
      <c r="J21" s="98"/>
      <c r="K21" s="98"/>
      <c r="L21" s="98"/>
      <c r="M21" s="98"/>
      <c r="N21" s="98"/>
      <c r="O21" s="35"/>
      <c r="P21" s="35"/>
      <c r="Q21" s="35"/>
      <c r="R21" s="35"/>
      <c r="S21" s="35"/>
      <c r="T21" s="35"/>
    </row>
    <row r="22" spans="1:20" ht="16.5">
      <c r="A22" s="35"/>
      <c r="B22" s="156" t="s">
        <v>733</v>
      </c>
      <c r="C22" s="144"/>
      <c r="D22" s="98"/>
      <c r="E22" s="98"/>
      <c r="F22" s="98"/>
      <c r="G22" s="98"/>
      <c r="H22" s="98"/>
      <c r="I22" s="98"/>
      <c r="J22" s="98"/>
      <c r="K22" s="98"/>
      <c r="L22" s="98"/>
      <c r="M22" s="98"/>
      <c r="N22" s="98"/>
      <c r="O22" s="35"/>
      <c r="P22" s="35"/>
      <c r="Q22" s="35"/>
      <c r="R22" s="35"/>
      <c r="S22" s="35"/>
      <c r="T22" s="35"/>
    </row>
    <row r="23" spans="1:20" ht="18.75">
      <c r="A23" s="35"/>
      <c r="B23" s="159" t="s">
        <v>1126</v>
      </c>
      <c r="C23" s="159"/>
      <c r="D23" s="159"/>
      <c r="E23" s="159"/>
      <c r="F23" s="159"/>
      <c r="G23" s="159"/>
      <c r="H23" s="159"/>
      <c r="I23" s="159"/>
      <c r="J23" s="98"/>
      <c r="K23" s="98"/>
      <c r="L23" s="98"/>
      <c r="M23" s="98"/>
      <c r="N23" s="98"/>
      <c r="O23" s="35"/>
      <c r="P23" s="35"/>
      <c r="Q23" s="35"/>
      <c r="R23" s="35"/>
      <c r="S23" s="35"/>
      <c r="T23" s="35"/>
    </row>
    <row r="24" spans="1:20" ht="18.75">
      <c r="A24" s="35"/>
      <c r="B24" s="159" t="s">
        <v>1027</v>
      </c>
      <c r="C24" s="159"/>
      <c r="D24" s="159"/>
      <c r="E24" s="159"/>
      <c r="F24" s="98"/>
      <c r="G24" s="98"/>
      <c r="H24" s="98"/>
      <c r="I24" s="158"/>
      <c r="J24" s="158"/>
      <c r="K24" s="158"/>
      <c r="L24" s="98"/>
      <c r="M24" s="98"/>
      <c r="N24" s="98"/>
      <c r="O24" s="35"/>
      <c r="P24" s="35"/>
      <c r="Q24" s="35"/>
      <c r="R24" s="35"/>
      <c r="S24" s="35"/>
      <c r="T24" s="35"/>
    </row>
    <row r="25" spans="1:20">
      <c r="A25" s="35"/>
      <c r="B25" s="98"/>
      <c r="C25" s="98"/>
      <c r="D25" s="98"/>
      <c r="E25" s="98"/>
      <c r="F25" s="98"/>
      <c r="G25" s="98"/>
      <c r="H25" s="98"/>
      <c r="I25" s="98"/>
      <c r="J25" s="98"/>
      <c r="K25" s="98"/>
      <c r="L25" s="98"/>
      <c r="M25" s="98"/>
      <c r="N25" s="98"/>
      <c r="O25" s="35"/>
      <c r="P25" s="35"/>
      <c r="Q25" s="35"/>
      <c r="R25" s="35"/>
      <c r="S25" s="35"/>
      <c r="T25" s="35"/>
    </row>
    <row r="26" spans="1:20" ht="18.75">
      <c r="A26" s="35"/>
      <c r="B26" s="98"/>
      <c r="C26" s="98"/>
      <c r="D26" s="98"/>
      <c r="E26" s="98"/>
      <c r="F26" s="98"/>
      <c r="G26" s="98"/>
      <c r="H26" s="848" t="s">
        <v>240</v>
      </c>
      <c r="I26" s="848"/>
      <c r="J26" s="98"/>
      <c r="K26" s="98"/>
      <c r="L26" s="98"/>
      <c r="M26" s="98"/>
      <c r="N26" s="98"/>
      <c r="O26" s="35"/>
      <c r="P26" s="35"/>
      <c r="Q26" s="35"/>
      <c r="R26" s="35"/>
      <c r="S26" s="35"/>
      <c r="T26" s="35"/>
    </row>
    <row r="27" spans="1:20">
      <c r="A27" s="35"/>
      <c r="B27" s="35"/>
      <c r="C27" s="35"/>
      <c r="D27" s="35"/>
      <c r="E27" s="35"/>
      <c r="F27" s="35"/>
      <c r="G27" s="35"/>
      <c r="H27" s="35"/>
      <c r="I27" s="35"/>
      <c r="J27" s="35"/>
      <c r="K27" s="35"/>
      <c r="L27" s="35"/>
      <c r="M27" s="35"/>
      <c r="N27" s="35"/>
      <c r="O27" s="35"/>
      <c r="P27" s="35"/>
      <c r="Q27" s="35"/>
      <c r="R27" s="35"/>
      <c r="S27" s="35"/>
      <c r="T27" s="35"/>
    </row>
    <row r="28" spans="1:20">
      <c r="A28" s="35"/>
      <c r="B28" s="35"/>
      <c r="C28" s="35"/>
      <c r="D28" s="35"/>
      <c r="E28" s="35"/>
      <c r="F28" s="35"/>
      <c r="G28" s="35"/>
      <c r="H28" s="35"/>
      <c r="I28" s="35"/>
      <c r="J28" s="35"/>
      <c r="K28" s="35"/>
      <c r="L28" s="35"/>
      <c r="M28" s="35"/>
      <c r="N28" s="35"/>
      <c r="O28" s="35"/>
      <c r="P28" s="35"/>
      <c r="Q28" s="35"/>
      <c r="R28" s="35"/>
      <c r="S28" s="35"/>
      <c r="T28" s="35"/>
    </row>
    <row r="29" spans="1:20">
      <c r="A29" s="35"/>
      <c r="B29" s="35"/>
      <c r="C29" s="35"/>
      <c r="D29" s="35"/>
      <c r="E29" s="35"/>
      <c r="F29" s="35"/>
      <c r="G29" s="35"/>
      <c r="H29" s="35"/>
      <c r="I29" s="35"/>
      <c r="J29" s="35"/>
      <c r="K29" s="35"/>
      <c r="L29" s="35"/>
      <c r="M29" s="35"/>
      <c r="N29" s="35"/>
      <c r="O29" s="35"/>
      <c r="P29" s="35"/>
      <c r="Q29" s="35"/>
      <c r="R29" s="35"/>
      <c r="S29" s="35"/>
      <c r="T29" s="35"/>
    </row>
    <row r="30" spans="1:20">
      <c r="A30" s="35"/>
      <c r="B30" s="35"/>
      <c r="C30" s="35"/>
      <c r="D30" s="35"/>
      <c r="E30" s="35"/>
      <c r="F30" s="35"/>
      <c r="G30" s="35"/>
      <c r="H30" s="35"/>
      <c r="I30" s="35"/>
      <c r="J30" s="35"/>
      <c r="K30" s="35"/>
      <c r="L30" s="35"/>
      <c r="M30" s="35"/>
      <c r="N30" s="35"/>
      <c r="O30" s="35"/>
      <c r="P30" s="35"/>
      <c r="Q30" s="35"/>
      <c r="R30" s="35"/>
      <c r="S30" s="35"/>
      <c r="T30" s="35"/>
    </row>
    <row r="31" spans="1:20">
      <c r="A31" s="35"/>
      <c r="B31" s="35"/>
      <c r="C31" s="35"/>
      <c r="D31" s="35"/>
      <c r="E31" s="35"/>
      <c r="F31" s="35"/>
      <c r="G31" s="35"/>
      <c r="H31" s="35"/>
      <c r="I31" s="35"/>
      <c r="J31" s="35"/>
      <c r="K31" s="35"/>
      <c r="L31" s="35"/>
      <c r="M31" s="35"/>
      <c r="N31" s="35"/>
      <c r="O31" s="35"/>
      <c r="P31" s="35"/>
      <c r="Q31" s="35"/>
      <c r="R31" s="35"/>
      <c r="S31" s="35"/>
      <c r="T31" s="35"/>
    </row>
    <row r="32" spans="1:20">
      <c r="A32" s="35"/>
      <c r="B32" s="35"/>
      <c r="C32" s="35"/>
      <c r="D32" s="35"/>
      <c r="E32" s="35"/>
      <c r="F32" s="35"/>
      <c r="G32" s="35"/>
      <c r="H32" s="35"/>
      <c r="I32" s="35"/>
      <c r="J32" s="35"/>
      <c r="K32" s="35"/>
      <c r="L32" s="35"/>
      <c r="M32" s="35"/>
      <c r="N32" s="35"/>
      <c r="O32" s="35"/>
      <c r="P32" s="35"/>
      <c r="Q32" s="35"/>
      <c r="R32" s="35"/>
      <c r="S32" s="35"/>
      <c r="T32" s="35"/>
    </row>
    <row r="33" spans="1:22">
      <c r="A33" s="35"/>
      <c r="B33" s="35"/>
      <c r="C33" s="35"/>
      <c r="D33" s="35"/>
      <c r="E33" s="35"/>
      <c r="F33" s="35"/>
      <c r="G33" s="35"/>
      <c r="H33" s="35"/>
      <c r="I33" s="35"/>
      <c r="J33" s="35"/>
      <c r="K33" s="35"/>
      <c r="L33" s="35"/>
      <c r="M33" s="35"/>
      <c r="N33" s="35"/>
      <c r="O33" s="35"/>
      <c r="P33" s="35"/>
      <c r="Q33" s="35"/>
      <c r="R33" s="35"/>
      <c r="S33" s="35"/>
      <c r="T33" s="35"/>
    </row>
    <row r="34" spans="1:22">
      <c r="A34" s="35"/>
      <c r="B34" s="35"/>
      <c r="C34" s="35"/>
      <c r="D34" s="35"/>
      <c r="E34" s="35"/>
      <c r="F34" s="35"/>
      <c r="G34" s="35"/>
      <c r="H34" s="35"/>
      <c r="I34" s="35"/>
      <c r="J34" s="35"/>
      <c r="K34" s="35"/>
      <c r="L34" s="35"/>
      <c r="M34" s="35"/>
      <c r="N34" s="35"/>
      <c r="O34" s="35"/>
      <c r="P34" s="35"/>
      <c r="Q34" s="35"/>
      <c r="R34" s="35"/>
      <c r="S34" s="35"/>
      <c r="T34" s="35"/>
    </row>
    <row r="35" spans="1:22">
      <c r="A35" s="35"/>
      <c r="B35" s="35"/>
      <c r="C35" s="35"/>
      <c r="D35" s="35"/>
      <c r="E35" s="35"/>
      <c r="F35" s="35"/>
      <c r="G35" s="35"/>
      <c r="H35" s="35"/>
      <c r="I35" s="35"/>
      <c r="J35" s="35"/>
      <c r="K35" s="35"/>
      <c r="L35" s="35"/>
      <c r="M35" s="35"/>
      <c r="N35" s="35"/>
      <c r="O35" s="35"/>
      <c r="P35" s="35"/>
      <c r="Q35" s="35"/>
      <c r="R35" s="35"/>
      <c r="S35" s="35"/>
      <c r="T35" s="35"/>
    </row>
    <row r="36" spans="1:22">
      <c r="A36" s="35"/>
      <c r="B36" s="35"/>
      <c r="C36" s="35"/>
      <c r="D36" s="35"/>
      <c r="E36" s="35"/>
      <c r="F36" s="35"/>
      <c r="G36" s="35"/>
      <c r="H36" s="35"/>
      <c r="I36" s="35"/>
      <c r="J36" s="35"/>
      <c r="K36" s="35"/>
      <c r="L36" s="35"/>
      <c r="M36" s="35"/>
      <c r="N36" s="35"/>
      <c r="O36" s="35"/>
      <c r="P36" s="35"/>
      <c r="Q36" s="35"/>
      <c r="R36" s="35"/>
      <c r="S36" s="35"/>
      <c r="T36" s="35"/>
    </row>
    <row r="37" spans="1:22">
      <c r="A37" s="35"/>
      <c r="B37" s="35"/>
      <c r="C37" s="35"/>
      <c r="D37" s="35"/>
      <c r="E37" s="35"/>
      <c r="F37" s="35"/>
      <c r="G37" s="35"/>
      <c r="H37" s="35"/>
      <c r="I37" s="35"/>
      <c r="J37" s="35"/>
      <c r="K37" s="35"/>
      <c r="L37" s="35"/>
      <c r="M37" s="35"/>
      <c r="N37" s="35"/>
      <c r="O37" s="35"/>
      <c r="P37" s="35"/>
      <c r="Q37" s="35"/>
      <c r="R37" s="35"/>
      <c r="S37" s="35"/>
      <c r="T37" s="35"/>
    </row>
    <row r="38" spans="1:22">
      <c r="A38" s="35"/>
      <c r="B38" s="35"/>
      <c r="C38" s="35"/>
      <c r="D38" s="35"/>
      <c r="E38" s="35"/>
      <c r="F38" s="35"/>
      <c r="G38" s="35"/>
      <c r="H38" s="35"/>
      <c r="I38" s="35"/>
      <c r="J38" s="35"/>
      <c r="K38" s="35"/>
      <c r="L38" s="35"/>
      <c r="M38" s="35"/>
      <c r="N38" s="35"/>
      <c r="O38" s="35"/>
      <c r="P38" s="35"/>
      <c r="Q38" s="35"/>
      <c r="R38" s="35"/>
      <c r="S38" s="35"/>
      <c r="T38" s="35"/>
    </row>
    <row r="39" spans="1:22">
      <c r="A39" s="35"/>
      <c r="B39" s="35"/>
      <c r="C39" s="35"/>
      <c r="D39" s="35"/>
      <c r="E39" s="35"/>
      <c r="F39" s="35"/>
      <c r="G39" s="35"/>
      <c r="H39" s="35"/>
      <c r="I39" s="35"/>
      <c r="J39" s="35"/>
      <c r="K39" s="35"/>
      <c r="L39" s="35"/>
      <c r="M39" s="35"/>
      <c r="N39" s="35"/>
      <c r="O39" s="35"/>
      <c r="P39" s="35"/>
      <c r="Q39" s="35"/>
      <c r="R39" s="35"/>
      <c r="S39" s="35"/>
      <c r="T39" s="35"/>
    </row>
    <row r="40" spans="1:22">
      <c r="A40" s="35"/>
      <c r="B40" s="35"/>
      <c r="C40" s="35"/>
      <c r="D40" s="35"/>
      <c r="E40" s="35"/>
      <c r="F40" s="35"/>
      <c r="G40" s="35"/>
      <c r="H40" s="35"/>
      <c r="I40" s="35"/>
      <c r="J40" s="35"/>
      <c r="K40" s="35"/>
      <c r="L40" s="35"/>
      <c r="M40" s="35"/>
      <c r="N40" s="35"/>
      <c r="O40" s="35"/>
      <c r="P40" s="35"/>
      <c r="Q40" s="35"/>
      <c r="R40" s="35"/>
      <c r="S40" s="35"/>
      <c r="T40" s="35"/>
    </row>
    <row r="41" spans="1:22">
      <c r="A41" s="414"/>
      <c r="B41" s="414"/>
      <c r="C41" s="414"/>
      <c r="D41" s="414"/>
      <c r="E41" s="414"/>
      <c r="F41" s="13"/>
      <c r="G41" s="13"/>
      <c r="H41" s="13"/>
      <c r="I41" s="13"/>
      <c r="J41" s="13"/>
      <c r="K41" s="13"/>
      <c r="L41" s="13"/>
      <c r="M41" s="13"/>
      <c r="N41" s="13"/>
      <c r="O41" s="13"/>
      <c r="P41" s="13"/>
      <c r="Q41" s="13"/>
      <c r="R41" s="13"/>
      <c r="S41" s="13"/>
      <c r="T41" s="13"/>
      <c r="U41" s="415"/>
      <c r="V41" s="415"/>
    </row>
    <row r="42" spans="1:22" ht="13.9" customHeight="1">
      <c r="A42" s="414"/>
      <c r="B42" s="156" t="s">
        <v>732</v>
      </c>
      <c r="C42" s="157"/>
      <c r="D42" s="35"/>
      <c r="E42" s="847" t="s">
        <v>136</v>
      </c>
      <c r="F42" s="847"/>
      <c r="G42" s="847"/>
      <c r="H42" s="562">
        <f>E16</f>
        <v>0.13</v>
      </c>
      <c r="I42" s="98" t="s">
        <v>11</v>
      </c>
      <c r="J42" s="98"/>
      <c r="K42" s="158"/>
      <c r="L42" s="158"/>
      <c r="M42" s="35"/>
      <c r="N42" s="98"/>
      <c r="O42" s="98"/>
      <c r="P42" s="98"/>
      <c r="Q42" s="35"/>
      <c r="R42" s="35"/>
      <c r="S42" s="13"/>
      <c r="T42" s="13"/>
      <c r="U42" s="415"/>
      <c r="V42" s="415"/>
    </row>
    <row r="43" spans="1:22" ht="4.9000000000000004" customHeight="1">
      <c r="A43" s="414"/>
      <c r="B43" s="156"/>
      <c r="C43" s="157"/>
      <c r="D43" s="35"/>
      <c r="E43" s="413"/>
      <c r="F43" s="413"/>
      <c r="G43" s="413"/>
      <c r="H43" s="98"/>
      <c r="I43" s="98"/>
      <c r="J43" s="98"/>
      <c r="K43" s="158"/>
      <c r="L43" s="158"/>
      <c r="M43" s="35"/>
      <c r="N43" s="98"/>
      <c r="O43" s="98"/>
      <c r="P43" s="98"/>
      <c r="Q43" s="35"/>
      <c r="R43" s="35"/>
      <c r="S43" s="13"/>
      <c r="T43" s="13"/>
      <c r="U43" s="415"/>
      <c r="V43" s="415"/>
    </row>
    <row r="44" spans="1:22" ht="13.9" customHeight="1">
      <c r="A44" s="414"/>
      <c r="B44" s="111" t="s">
        <v>493</v>
      </c>
      <c r="C44" s="35"/>
      <c r="D44" s="35"/>
      <c r="E44" s="98" t="s">
        <v>494</v>
      </c>
      <c r="F44" s="98"/>
      <c r="G44" s="98"/>
      <c r="H44" s="98"/>
      <c r="I44" s="98"/>
      <c r="J44" s="98"/>
      <c r="K44" s="98"/>
      <c r="L44" s="98"/>
      <c r="M44" s="98"/>
      <c r="N44" s="98"/>
      <c r="O44" s="158"/>
      <c r="P44" s="98"/>
      <c r="Q44" s="35"/>
      <c r="R44" s="35"/>
      <c r="S44" s="13"/>
      <c r="T44" s="13"/>
      <c r="U44" s="415"/>
      <c r="V44" s="415"/>
    </row>
    <row r="45" spans="1:22">
      <c r="A45" s="13"/>
      <c r="B45" s="35"/>
      <c r="C45" s="35"/>
      <c r="D45" s="35"/>
      <c r="E45" s="35"/>
      <c r="F45" s="35"/>
      <c r="G45" s="35"/>
      <c r="H45" s="35"/>
      <c r="I45" s="35"/>
      <c r="J45" s="35"/>
      <c r="K45" s="35"/>
      <c r="L45" s="35"/>
      <c r="M45" s="35"/>
      <c r="N45" s="35"/>
      <c r="O45" s="23"/>
      <c r="P45" s="35"/>
      <c r="Q45" s="35"/>
      <c r="R45" s="35"/>
      <c r="S45" s="13"/>
      <c r="T45" s="13"/>
      <c r="U45" s="415"/>
      <c r="V45" s="415"/>
    </row>
    <row r="46" spans="1:22">
      <c r="A46" s="13"/>
      <c r="B46" s="35"/>
      <c r="C46" s="35"/>
      <c r="D46" s="35"/>
      <c r="E46" s="35"/>
      <c r="F46" s="35"/>
      <c r="G46" s="35"/>
      <c r="H46" s="35"/>
      <c r="I46" s="35"/>
      <c r="J46" s="35"/>
      <c r="K46" s="35"/>
      <c r="L46" s="35"/>
      <c r="M46" s="35"/>
      <c r="N46" s="35"/>
      <c r="O46" s="35"/>
      <c r="P46" s="35"/>
      <c r="Q46" s="35"/>
      <c r="R46" s="35"/>
      <c r="S46" s="13"/>
      <c r="T46" s="13"/>
      <c r="U46" s="415"/>
      <c r="V46" s="415"/>
    </row>
    <row r="47" spans="1:22" ht="14.45" customHeight="1">
      <c r="A47" s="35"/>
      <c r="B47" s="35"/>
      <c r="C47" s="35"/>
      <c r="D47" s="35"/>
      <c r="E47" s="35"/>
      <c r="F47" s="35"/>
      <c r="G47" s="35"/>
      <c r="H47" s="35"/>
      <c r="I47" s="35"/>
      <c r="J47" s="35"/>
      <c r="K47" s="35"/>
      <c r="L47" s="35"/>
      <c r="M47" s="35"/>
      <c r="N47" s="35"/>
      <c r="O47" s="35"/>
      <c r="P47" s="35"/>
      <c r="Q47" s="35"/>
      <c r="R47" s="35"/>
      <c r="S47" s="35"/>
      <c r="T47" s="35"/>
    </row>
    <row r="48" spans="1:22">
      <c r="A48" s="35"/>
      <c r="B48" s="35"/>
      <c r="C48" s="35"/>
      <c r="D48" s="35"/>
      <c r="E48" s="35"/>
      <c r="F48" s="35"/>
      <c r="G48" s="35"/>
      <c r="H48" s="35"/>
      <c r="I48" s="35"/>
      <c r="J48" s="35"/>
      <c r="K48" s="35"/>
      <c r="L48" s="35"/>
      <c r="M48" s="35"/>
      <c r="N48" s="35"/>
      <c r="O48" s="35"/>
      <c r="P48" s="35"/>
      <c r="Q48" s="35"/>
      <c r="R48" s="35"/>
      <c r="S48" s="35"/>
      <c r="T48" s="35"/>
    </row>
    <row r="49" spans="1:20">
      <c r="A49" s="35"/>
      <c r="B49" s="35"/>
      <c r="C49" s="35"/>
      <c r="D49" s="35"/>
      <c r="E49" s="35"/>
      <c r="F49" s="35"/>
      <c r="G49" s="35"/>
      <c r="H49" s="35"/>
      <c r="I49" s="35"/>
      <c r="J49" s="35"/>
      <c r="K49" s="35"/>
      <c r="L49" s="35"/>
      <c r="M49" s="35"/>
      <c r="N49" s="35"/>
      <c r="O49" s="35"/>
      <c r="P49" s="35"/>
      <c r="Q49" s="35"/>
      <c r="R49" s="35"/>
      <c r="S49" s="35"/>
      <c r="T49" s="35"/>
    </row>
    <row r="50" spans="1:20">
      <c r="A50" s="35"/>
      <c r="B50" s="35"/>
      <c r="C50" s="35"/>
      <c r="D50" s="35"/>
      <c r="E50" s="35"/>
      <c r="F50" s="35"/>
      <c r="G50" s="35"/>
      <c r="H50" s="35"/>
      <c r="I50" s="35"/>
      <c r="J50" s="35"/>
      <c r="K50" s="35"/>
      <c r="L50" s="35"/>
      <c r="M50" s="35"/>
      <c r="N50" s="35"/>
      <c r="O50" s="35"/>
      <c r="P50" s="35"/>
      <c r="Q50" s="35"/>
      <c r="R50" s="35"/>
      <c r="S50" s="35"/>
      <c r="T50" s="35"/>
    </row>
    <row r="51" spans="1:20">
      <c r="A51" s="35"/>
      <c r="B51" s="35"/>
      <c r="C51" s="35"/>
      <c r="D51" s="35"/>
      <c r="E51" s="35"/>
      <c r="F51" s="35"/>
      <c r="G51" s="35"/>
      <c r="H51" s="35"/>
      <c r="I51" s="35"/>
      <c r="J51" s="35"/>
      <c r="K51" s="35"/>
      <c r="L51" s="35"/>
      <c r="M51" s="35"/>
      <c r="N51" s="35"/>
      <c r="O51" s="35"/>
      <c r="P51" s="35"/>
      <c r="Q51" s="35"/>
      <c r="R51" s="35"/>
      <c r="S51" s="35"/>
      <c r="T51" s="35"/>
    </row>
    <row r="52" spans="1:20">
      <c r="A52" s="35"/>
      <c r="B52" s="35"/>
      <c r="C52" s="35"/>
      <c r="D52" s="35"/>
      <c r="E52" s="35"/>
      <c r="F52" s="35"/>
      <c r="G52" s="35"/>
      <c r="H52" s="35"/>
      <c r="I52" s="35"/>
      <c r="J52" s="35"/>
      <c r="K52" s="35"/>
      <c r="L52" s="35"/>
      <c r="M52" s="35"/>
      <c r="N52" s="35"/>
      <c r="O52" s="35"/>
      <c r="P52" s="35"/>
      <c r="Q52" s="35"/>
      <c r="R52" s="35"/>
      <c r="S52" s="35"/>
      <c r="T52" s="35"/>
    </row>
    <row r="53" spans="1:20">
      <c r="A53" s="35"/>
      <c r="B53" s="35"/>
      <c r="C53" s="35"/>
      <c r="D53" s="35"/>
      <c r="E53" s="35"/>
      <c r="F53" s="35"/>
      <c r="G53" s="35"/>
      <c r="H53" s="35"/>
      <c r="I53" s="35"/>
      <c r="J53" s="35"/>
      <c r="K53" s="35"/>
      <c r="L53" s="35"/>
      <c r="M53" s="35"/>
      <c r="N53" s="35"/>
      <c r="O53" s="35"/>
      <c r="P53" s="35"/>
      <c r="Q53" s="35"/>
      <c r="R53" s="35"/>
      <c r="S53" s="35"/>
      <c r="T53" s="35"/>
    </row>
    <row r="54" spans="1:20">
      <c r="A54" s="35"/>
      <c r="B54" s="35"/>
      <c r="C54" s="35"/>
      <c r="D54" s="35"/>
      <c r="E54" s="35"/>
      <c r="F54" s="35"/>
      <c r="G54" s="35"/>
      <c r="H54" s="35"/>
      <c r="I54" s="35"/>
      <c r="J54" s="35"/>
      <c r="K54" s="35"/>
      <c r="L54" s="35"/>
      <c r="M54" s="35"/>
      <c r="N54" s="35"/>
      <c r="O54" s="35"/>
      <c r="P54" s="35"/>
      <c r="Q54" s="35"/>
      <c r="R54" s="35"/>
      <c r="S54" s="35"/>
      <c r="T54" s="35"/>
    </row>
    <row r="55" spans="1:20">
      <c r="A55" s="35"/>
      <c r="B55" s="35"/>
      <c r="C55" s="35"/>
      <c r="D55" s="35"/>
      <c r="E55" s="35"/>
      <c r="F55" s="35"/>
      <c r="G55" s="35"/>
      <c r="H55" s="35"/>
      <c r="I55" s="35"/>
      <c r="J55" s="35"/>
      <c r="K55" s="35"/>
      <c r="L55" s="35"/>
      <c r="M55" s="35"/>
      <c r="N55" s="35"/>
      <c r="O55" s="35"/>
      <c r="P55" s="35"/>
      <c r="Q55" s="35"/>
      <c r="R55" s="35"/>
      <c r="S55" s="35"/>
      <c r="T55" s="35"/>
    </row>
    <row r="56" spans="1:20">
      <c r="A56" s="35"/>
      <c r="B56" s="35"/>
      <c r="C56" s="35"/>
      <c r="D56" s="35"/>
      <c r="E56" s="35"/>
      <c r="F56" s="35"/>
      <c r="G56" s="35"/>
      <c r="H56" s="35"/>
      <c r="I56" s="35"/>
      <c r="J56" s="35"/>
      <c r="K56" s="35"/>
      <c r="L56" s="35"/>
      <c r="M56" s="35"/>
      <c r="N56" s="35"/>
      <c r="O56" s="35"/>
      <c r="P56" s="35"/>
      <c r="Q56" s="35"/>
      <c r="R56" s="35"/>
      <c r="S56" s="35"/>
      <c r="T56" s="35"/>
    </row>
    <row r="57" spans="1:20">
      <c r="A57" s="35"/>
      <c r="B57" s="35"/>
      <c r="C57" s="35"/>
      <c r="D57" s="35"/>
      <c r="E57" s="35"/>
      <c r="F57" s="35"/>
      <c r="G57" s="35"/>
      <c r="H57" s="35"/>
      <c r="I57" s="35"/>
      <c r="J57" s="35"/>
      <c r="K57" s="35"/>
      <c r="L57" s="35"/>
      <c r="M57" s="35"/>
      <c r="N57" s="35"/>
      <c r="O57" s="35"/>
      <c r="P57" s="35"/>
      <c r="Q57" s="35"/>
      <c r="R57" s="35"/>
      <c r="S57" s="35"/>
      <c r="T57" s="35"/>
    </row>
    <row r="58" spans="1:20">
      <c r="A58" s="35"/>
      <c r="B58" s="98"/>
      <c r="C58" s="98"/>
      <c r="D58" s="98"/>
      <c r="E58" s="98"/>
      <c r="F58" s="98"/>
      <c r="G58" s="98"/>
      <c r="H58" s="98"/>
      <c r="I58" s="98"/>
      <c r="J58" s="98"/>
      <c r="K58" s="98"/>
      <c r="L58" s="98"/>
      <c r="M58" s="98"/>
      <c r="N58" s="98"/>
      <c r="O58" s="35"/>
      <c r="P58" s="35"/>
      <c r="Q58" s="35"/>
      <c r="R58" s="35"/>
      <c r="S58" s="35"/>
      <c r="T58" s="35"/>
    </row>
    <row r="59" spans="1:20" ht="18.75">
      <c r="A59" s="35"/>
      <c r="B59" s="98"/>
      <c r="C59" s="98"/>
      <c r="D59" s="98"/>
      <c r="E59" s="98" t="s">
        <v>239</v>
      </c>
      <c r="F59" s="98"/>
      <c r="G59" s="98"/>
      <c r="H59" s="98"/>
      <c r="I59" s="98"/>
      <c r="J59" s="98"/>
      <c r="K59" s="98"/>
      <c r="L59" s="98"/>
      <c r="M59" s="98"/>
      <c r="N59" s="98"/>
      <c r="O59" s="35"/>
      <c r="P59" s="35"/>
      <c r="Q59" s="35"/>
      <c r="R59" s="35"/>
      <c r="S59" s="35"/>
      <c r="T59" s="35"/>
    </row>
    <row r="60" spans="1:20">
      <c r="A60" s="35"/>
      <c r="B60" s="98"/>
      <c r="C60" s="98"/>
      <c r="D60" s="98"/>
      <c r="E60" s="98"/>
      <c r="F60" s="98"/>
      <c r="G60" s="98"/>
      <c r="H60" s="98"/>
      <c r="I60" s="98"/>
      <c r="J60" s="98"/>
      <c r="K60" s="98"/>
      <c r="L60" s="98"/>
      <c r="M60" s="98"/>
      <c r="N60" s="98"/>
      <c r="O60" s="35"/>
      <c r="P60" s="35"/>
      <c r="Q60" s="35"/>
      <c r="R60" s="35"/>
      <c r="S60" s="35"/>
      <c r="T60" s="35"/>
    </row>
    <row r="61" spans="1:20">
      <c r="A61" s="35"/>
      <c r="B61" s="35"/>
      <c r="C61" s="35"/>
      <c r="D61" s="35"/>
      <c r="E61" s="35"/>
      <c r="F61" s="35"/>
      <c r="G61" s="35"/>
      <c r="H61" s="35"/>
      <c r="I61" s="35"/>
      <c r="J61" s="35"/>
      <c r="K61" s="35"/>
      <c r="L61" s="35"/>
      <c r="M61" s="35"/>
      <c r="N61" s="35"/>
      <c r="O61" s="35"/>
      <c r="P61" s="35"/>
      <c r="Q61" s="35"/>
      <c r="R61" s="35"/>
      <c r="S61" s="35"/>
      <c r="T61" s="35"/>
    </row>
    <row r="62" spans="1:20">
      <c r="A62" s="35"/>
      <c r="B62" s="35"/>
      <c r="C62" s="35"/>
      <c r="D62" s="35"/>
      <c r="E62" s="35"/>
      <c r="F62" s="35"/>
      <c r="G62" s="35"/>
      <c r="H62" s="35"/>
      <c r="I62" s="35"/>
      <c r="J62" s="35"/>
      <c r="K62" s="35"/>
      <c r="L62" s="35"/>
      <c r="M62" s="35"/>
      <c r="N62" s="35"/>
      <c r="O62" s="35"/>
      <c r="P62" s="35"/>
      <c r="Q62" s="35"/>
      <c r="R62" s="35"/>
      <c r="S62" s="35"/>
      <c r="T62" s="35"/>
    </row>
    <row r="63" spans="1:20">
      <c r="A63" s="35"/>
      <c r="B63" s="35"/>
      <c r="C63" s="35"/>
      <c r="D63" s="35"/>
      <c r="E63" s="35"/>
      <c r="F63" s="35"/>
      <c r="G63" s="35"/>
      <c r="H63" s="35"/>
      <c r="I63" s="35"/>
      <c r="J63" s="35"/>
      <c r="K63" s="35"/>
      <c r="L63" s="35"/>
      <c r="M63" s="35"/>
      <c r="N63" s="35"/>
      <c r="O63" s="35"/>
      <c r="P63" s="35"/>
      <c r="Q63" s="35"/>
      <c r="R63" s="35"/>
      <c r="S63" s="35"/>
      <c r="T63" s="35"/>
    </row>
    <row r="64" spans="1:20">
      <c r="A64" s="35"/>
      <c r="B64" s="35"/>
      <c r="C64" s="35"/>
      <c r="D64" s="35"/>
      <c r="E64" s="35"/>
      <c r="F64" s="35"/>
      <c r="G64" s="35"/>
      <c r="H64" s="35"/>
      <c r="I64" s="35"/>
      <c r="J64" s="35"/>
      <c r="K64" s="35"/>
      <c r="L64" s="35"/>
      <c r="M64" s="35"/>
      <c r="N64" s="35"/>
      <c r="O64" s="35"/>
      <c r="P64" s="35"/>
      <c r="Q64" s="35"/>
      <c r="R64" s="35"/>
      <c r="S64" s="35"/>
      <c r="T64" s="35"/>
    </row>
    <row r="65" spans="1:20">
      <c r="A65" s="35"/>
      <c r="B65" s="35"/>
      <c r="C65" s="35"/>
      <c r="D65" s="35"/>
      <c r="E65" s="35"/>
      <c r="F65" s="35"/>
      <c r="G65" s="35"/>
      <c r="H65" s="35"/>
      <c r="I65" s="35"/>
      <c r="J65" s="35"/>
      <c r="K65" s="35"/>
      <c r="L65" s="35"/>
      <c r="M65" s="35"/>
      <c r="N65" s="35"/>
      <c r="O65" s="35"/>
      <c r="P65" s="35"/>
      <c r="Q65" s="35"/>
      <c r="R65" s="35"/>
      <c r="S65" s="35"/>
      <c r="T65" s="35"/>
    </row>
    <row r="66" spans="1:20">
      <c r="A66" s="35"/>
      <c r="B66" s="35"/>
      <c r="C66" s="35"/>
      <c r="D66" s="35"/>
      <c r="E66" s="35"/>
      <c r="F66" s="35"/>
      <c r="G66" s="35"/>
      <c r="H66" s="35"/>
      <c r="I66" s="35"/>
      <c r="J66" s="35"/>
      <c r="K66" s="35"/>
      <c r="L66" s="35"/>
      <c r="M66" s="35"/>
      <c r="N66" s="35"/>
      <c r="O66" s="35"/>
      <c r="P66" s="35"/>
      <c r="Q66" s="35"/>
      <c r="R66" s="35"/>
      <c r="S66" s="35"/>
      <c r="T66" s="35"/>
    </row>
    <row r="67" spans="1:20">
      <c r="A67" s="35"/>
      <c r="B67" s="35"/>
      <c r="C67" s="35"/>
      <c r="D67" s="35"/>
      <c r="E67" s="35"/>
      <c r="F67" s="35"/>
      <c r="G67" s="35"/>
      <c r="H67" s="35"/>
      <c r="I67" s="35"/>
      <c r="J67" s="35"/>
      <c r="K67" s="35"/>
      <c r="L67" s="35"/>
      <c r="M67" s="35"/>
      <c r="N67" s="35"/>
      <c r="O67" s="35"/>
      <c r="P67" s="35"/>
      <c r="Q67" s="35"/>
      <c r="R67" s="35"/>
      <c r="S67" s="35"/>
      <c r="T67" s="35"/>
    </row>
    <row r="68" spans="1:20" ht="18.75">
      <c r="A68" s="35"/>
      <c r="B68" s="35"/>
      <c r="C68" s="35"/>
      <c r="D68" s="160"/>
      <c r="E68" s="35"/>
      <c r="F68" s="35"/>
      <c r="G68" s="35"/>
      <c r="H68" s="35"/>
      <c r="I68" s="35"/>
      <c r="J68" s="35"/>
      <c r="K68" s="35"/>
      <c r="L68" s="161"/>
      <c r="M68" s="35"/>
      <c r="N68" s="35"/>
      <c r="O68" s="35"/>
      <c r="P68" s="35"/>
      <c r="Q68" s="35"/>
      <c r="R68" s="35"/>
      <c r="S68" s="35"/>
      <c r="T68" s="35"/>
    </row>
    <row r="69" spans="1:20" ht="18.75">
      <c r="A69" s="35"/>
      <c r="B69" s="35"/>
      <c r="C69" s="35"/>
      <c r="D69" s="160"/>
      <c r="E69" s="160"/>
      <c r="F69" s="160"/>
      <c r="G69" s="35"/>
      <c r="H69" s="35"/>
      <c r="I69" s="35"/>
      <c r="J69" s="35"/>
      <c r="K69" s="161"/>
      <c r="L69" s="161"/>
      <c r="M69" s="161"/>
      <c r="N69" s="35"/>
      <c r="O69" s="35"/>
      <c r="P69" s="35"/>
      <c r="Q69" s="35"/>
      <c r="R69" s="35"/>
      <c r="S69" s="35"/>
      <c r="T69" s="35"/>
    </row>
    <row r="70" spans="1:20">
      <c r="A70" s="35"/>
      <c r="B70" s="35"/>
      <c r="C70" s="35"/>
      <c r="D70" s="35"/>
      <c r="E70" s="35"/>
      <c r="F70" s="35"/>
      <c r="G70" s="35"/>
      <c r="H70" s="35"/>
      <c r="I70" s="35"/>
      <c r="J70" s="35"/>
      <c r="K70" s="35"/>
      <c r="L70" s="35"/>
      <c r="M70" s="35"/>
      <c r="N70" s="35"/>
      <c r="O70" s="35"/>
      <c r="P70" s="35"/>
      <c r="Q70" s="35"/>
      <c r="R70" s="35"/>
      <c r="S70" s="35"/>
      <c r="T70" s="35"/>
    </row>
    <row r="71" spans="1:20">
      <c r="A71" s="35"/>
      <c r="B71" s="35"/>
      <c r="C71" s="35"/>
      <c r="D71" s="35"/>
      <c r="E71" s="35"/>
      <c r="F71" s="35"/>
      <c r="G71" s="35"/>
      <c r="H71" s="35"/>
      <c r="I71" s="35"/>
      <c r="J71" s="35"/>
      <c r="K71" s="35"/>
      <c r="L71" s="35"/>
      <c r="M71" s="35"/>
      <c r="N71" s="35"/>
      <c r="O71" s="35"/>
      <c r="P71" s="35"/>
      <c r="Q71" s="35"/>
      <c r="R71" s="35"/>
      <c r="S71" s="35"/>
      <c r="T71" s="35"/>
    </row>
  </sheetData>
  <sheetProtection algorithmName="SHA-512" hashValue="1IlRknL8opn1AMZYEuHVrUUINaLIMdrJ6AIC8GZk3f1r+3OM7zJofImHgCeb8Gyos9GqkOmbrjhedJzhmJQzhg==" saltValue="VARXVsNc5swOfeZl86JN9g==" spinCount="100000" sheet="1" selectLockedCells="1"/>
  <mergeCells count="38">
    <mergeCell ref="H26:I26"/>
    <mergeCell ref="E6:H6"/>
    <mergeCell ref="I8:N8"/>
    <mergeCell ref="I11:N11"/>
    <mergeCell ref="I7:N7"/>
    <mergeCell ref="I6:N6"/>
    <mergeCell ref="I16:N16"/>
    <mergeCell ref="I17:N17"/>
    <mergeCell ref="I18:N18"/>
    <mergeCell ref="I19:N19"/>
    <mergeCell ref="I13:N13"/>
    <mergeCell ref="I14:N14"/>
    <mergeCell ref="E9:G9"/>
    <mergeCell ref="I9:N9"/>
    <mergeCell ref="E42:G42"/>
    <mergeCell ref="B18:D18"/>
    <mergeCell ref="E18:G18"/>
    <mergeCell ref="B19:D19"/>
    <mergeCell ref="E19:G19"/>
    <mergeCell ref="B17:D17"/>
    <mergeCell ref="E17:G17"/>
    <mergeCell ref="B11:D11"/>
    <mergeCell ref="E11:G11"/>
    <mergeCell ref="B16:D16"/>
    <mergeCell ref="E16:G16"/>
    <mergeCell ref="B14:D14"/>
    <mergeCell ref="E14:G14"/>
    <mergeCell ref="B13:D13"/>
    <mergeCell ref="E13:G13"/>
    <mergeCell ref="B10:D10"/>
    <mergeCell ref="E10:G10"/>
    <mergeCell ref="I10:N10"/>
    <mergeCell ref="B6:D6"/>
    <mergeCell ref="B7:D7"/>
    <mergeCell ref="E7:G7"/>
    <mergeCell ref="B8:D8"/>
    <mergeCell ref="E8:G8"/>
    <mergeCell ref="B9:D9"/>
  </mergeCells>
  <phoneticPr fontId="32"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X150"/>
  <sheetViews>
    <sheetView topLeftCell="A4" zoomScaleNormal="100" workbookViewId="0">
      <selection activeCell="B36" sqref="B36:F38"/>
    </sheetView>
  </sheetViews>
  <sheetFormatPr defaultRowHeight="15"/>
  <cols>
    <col min="1" max="1" width="3.7109375" customWidth="1"/>
    <col min="2" max="2" width="38.85546875" customWidth="1"/>
    <col min="3" max="3" width="40.42578125" customWidth="1"/>
    <col min="4" max="4" width="11.85546875" customWidth="1"/>
    <col min="5" max="5" width="5.42578125" customWidth="1"/>
    <col min="6" max="6" width="16.7109375" customWidth="1"/>
    <col min="7" max="7" width="7.7109375" customWidth="1"/>
    <col min="8" max="8" width="17.5703125" customWidth="1"/>
    <col min="9" max="9" width="14.28515625" customWidth="1"/>
    <col min="14" max="14" width="13.42578125" customWidth="1"/>
    <col min="18" max="18" width="27" customWidth="1"/>
  </cols>
  <sheetData>
    <row r="1" spans="1:24">
      <c r="A1" s="35"/>
      <c r="B1" s="35"/>
      <c r="C1" s="35"/>
      <c r="D1" s="35"/>
      <c r="E1" s="35"/>
      <c r="F1" s="35"/>
      <c r="G1" s="35"/>
      <c r="H1" s="35"/>
      <c r="I1" s="35"/>
    </row>
    <row r="2" spans="1:24" ht="15.75" thickBot="1">
      <c r="A2" s="35"/>
      <c r="B2" s="35"/>
      <c r="C2" s="35"/>
      <c r="D2" s="35"/>
      <c r="E2" s="35"/>
      <c r="F2" s="35"/>
      <c r="G2" s="35"/>
      <c r="H2" s="35"/>
      <c r="I2" s="35"/>
    </row>
    <row r="3" spans="1:24" ht="24" customHeight="1">
      <c r="A3" s="35"/>
      <c r="B3" s="887" t="s">
        <v>356</v>
      </c>
      <c r="C3" s="888"/>
      <c r="D3" s="888"/>
      <c r="E3" s="888"/>
      <c r="F3" s="889"/>
      <c r="G3" s="23"/>
      <c r="H3" s="319"/>
      <c r="I3" s="319"/>
      <c r="V3" s="868" t="s">
        <v>268</v>
      </c>
      <c r="W3" s="868"/>
      <c r="X3" s="438"/>
    </row>
    <row r="4" spans="1:24" ht="18.75" thickBot="1">
      <c r="A4" s="35"/>
      <c r="B4" s="320" t="s">
        <v>70</v>
      </c>
      <c r="C4" s="890" t="s">
        <v>71</v>
      </c>
      <c r="D4" s="890"/>
      <c r="E4" s="890"/>
      <c r="F4" s="891"/>
      <c r="G4" s="35"/>
      <c r="H4" s="35"/>
      <c r="I4" s="35"/>
      <c r="V4" s="868"/>
      <c r="W4" s="868"/>
      <c r="X4" s="438"/>
    </row>
    <row r="5" spans="1:24" ht="15.75" thickBot="1">
      <c r="A5" s="35"/>
      <c r="B5" s="875"/>
      <c r="C5" s="876"/>
      <c r="D5" s="876"/>
      <c r="E5" s="876"/>
      <c r="F5" s="877"/>
      <c r="G5" s="23"/>
      <c r="H5" s="35"/>
      <c r="I5" s="35"/>
      <c r="V5" s="868"/>
      <c r="W5" s="868"/>
      <c r="X5" s="438"/>
    </row>
    <row r="6" spans="1:24" ht="15" customHeight="1">
      <c r="A6" s="35"/>
      <c r="B6" s="878" t="s">
        <v>72</v>
      </c>
      <c r="C6" s="321" t="s">
        <v>73</v>
      </c>
      <c r="D6" s="322">
        <f>RCS</f>
        <v>0.5</v>
      </c>
      <c r="E6" s="323" t="s">
        <v>10</v>
      </c>
      <c r="F6" s="324" t="s">
        <v>74</v>
      </c>
      <c r="G6" s="35"/>
      <c r="H6" s="35"/>
      <c r="I6" s="35"/>
      <c r="V6" s="438"/>
      <c r="W6" s="438"/>
      <c r="X6" s="438"/>
    </row>
    <row r="7" spans="1:24" ht="15" customHeight="1" thickBot="1">
      <c r="A7" s="35"/>
      <c r="B7" s="879"/>
      <c r="C7" s="325" t="s">
        <v>267</v>
      </c>
      <c r="D7" s="326">
        <f>PRcs</f>
        <v>0.10917118414045196</v>
      </c>
      <c r="E7" s="883" t="s">
        <v>7</v>
      </c>
      <c r="F7" s="884"/>
      <c r="G7" s="35"/>
      <c r="H7" s="35"/>
      <c r="I7" s="35"/>
    </row>
    <row r="8" spans="1:24" ht="15.75" thickBot="1">
      <c r="A8" s="35"/>
      <c r="B8" s="875"/>
      <c r="C8" s="876"/>
      <c r="D8" s="876"/>
      <c r="E8" s="876"/>
      <c r="F8" s="877"/>
      <c r="G8" s="35"/>
      <c r="H8" s="35"/>
      <c r="I8" s="35"/>
    </row>
    <row r="9" spans="1:24" ht="19.5" thickBot="1">
      <c r="A9" s="35"/>
      <c r="B9" s="327" t="s">
        <v>77</v>
      </c>
      <c r="C9" s="321" t="s">
        <v>73</v>
      </c>
      <c r="D9" s="323">
        <f>RFB</f>
        <v>22.1</v>
      </c>
      <c r="E9" s="323" t="s">
        <v>76</v>
      </c>
      <c r="F9" s="439"/>
      <c r="G9" s="440"/>
      <c r="H9" s="35"/>
      <c r="I9" s="35"/>
    </row>
    <row r="10" spans="1:24" ht="15.75" thickBot="1">
      <c r="A10" s="35"/>
      <c r="B10" s="875"/>
      <c r="C10" s="876"/>
      <c r="D10" s="876"/>
      <c r="E10" s="876"/>
      <c r="F10" s="877"/>
      <c r="G10" s="35"/>
      <c r="H10" s="35"/>
      <c r="I10" s="35"/>
    </row>
    <row r="11" spans="1:24" ht="19.5" thickBot="1">
      <c r="A11" s="35"/>
      <c r="B11" s="328" t="s">
        <v>350</v>
      </c>
      <c r="C11" s="321" t="s">
        <v>73</v>
      </c>
      <c r="D11" s="329">
        <f>RBLEED</f>
        <v>1</v>
      </c>
      <c r="E11" s="330" t="s">
        <v>78</v>
      </c>
      <c r="F11" s="324"/>
      <c r="G11" s="35"/>
      <c r="H11" s="35"/>
      <c r="I11" s="35"/>
    </row>
    <row r="12" spans="1:24" ht="15.75" thickBot="1">
      <c r="A12" s="35"/>
      <c r="B12" s="875"/>
      <c r="C12" s="876"/>
      <c r="D12" s="876"/>
      <c r="E12" s="876"/>
      <c r="F12" s="877"/>
      <c r="G12" s="35"/>
      <c r="H12" s="35"/>
      <c r="I12" s="35"/>
    </row>
    <row r="13" spans="1:24" ht="19.5" thickBot="1">
      <c r="A13" s="35"/>
      <c r="B13" s="328" t="s">
        <v>79</v>
      </c>
      <c r="C13" s="321" t="s">
        <v>73</v>
      </c>
      <c r="D13" s="329">
        <f>RVS_1</f>
        <v>41.2</v>
      </c>
      <c r="E13" s="330" t="s">
        <v>76</v>
      </c>
      <c r="F13" s="324" t="s">
        <v>74</v>
      </c>
      <c r="G13" s="35"/>
      <c r="H13" s="35"/>
      <c r="I13" s="35"/>
    </row>
    <row r="14" spans="1:24" ht="15.75" thickBot="1">
      <c r="A14" s="35"/>
      <c r="B14" s="875"/>
      <c r="C14" s="876"/>
      <c r="D14" s="876"/>
      <c r="E14" s="876"/>
      <c r="F14" s="877"/>
      <c r="G14" s="35"/>
      <c r="H14" s="35"/>
      <c r="I14" s="35"/>
    </row>
    <row r="15" spans="1:24" ht="19.5" thickBot="1">
      <c r="A15" s="35"/>
      <c r="B15" s="327" t="s">
        <v>80</v>
      </c>
      <c r="C15" s="321" t="s">
        <v>73</v>
      </c>
      <c r="D15" s="323">
        <f>RVS_2</f>
        <v>10.7</v>
      </c>
      <c r="E15" s="323" t="s">
        <v>76</v>
      </c>
      <c r="F15" s="324" t="s">
        <v>74</v>
      </c>
      <c r="G15" s="35"/>
      <c r="H15" s="35"/>
      <c r="I15" s="35"/>
    </row>
    <row r="16" spans="1:24" ht="15.6" customHeight="1" thickBot="1">
      <c r="A16" s="35"/>
      <c r="B16" s="875"/>
      <c r="C16" s="876"/>
      <c r="D16" s="876"/>
      <c r="E16" s="876"/>
      <c r="F16" s="877"/>
      <c r="G16" s="35"/>
      <c r="H16" s="35"/>
      <c r="I16" s="35"/>
    </row>
    <row r="17" spans="1:9" ht="19.5" thickBot="1">
      <c r="A17" s="35"/>
      <c r="B17" s="328" t="s">
        <v>81</v>
      </c>
      <c r="C17" s="321" t="s">
        <v>73</v>
      </c>
      <c r="D17" s="329">
        <f>R_OPP</f>
        <v>1000</v>
      </c>
      <c r="E17" s="323" t="s">
        <v>10</v>
      </c>
      <c r="F17" s="324" t="s">
        <v>74</v>
      </c>
      <c r="G17" s="35"/>
      <c r="H17" s="35"/>
      <c r="I17" s="35"/>
    </row>
    <row r="18" spans="1:9" ht="15.75" thickBot="1">
      <c r="A18" s="35"/>
      <c r="B18" s="875"/>
      <c r="C18" s="876"/>
      <c r="D18" s="876"/>
      <c r="E18" s="876"/>
      <c r="F18" s="877"/>
      <c r="G18" s="35"/>
      <c r="H18" s="35"/>
      <c r="I18" s="35"/>
    </row>
    <row r="19" spans="1:9" ht="19.5" thickBot="1">
      <c r="A19" s="35"/>
      <c r="B19" s="328" t="s">
        <v>767</v>
      </c>
      <c r="C19" s="321" t="s">
        <v>73</v>
      </c>
      <c r="D19" s="329">
        <f>RDM</f>
        <v>180</v>
      </c>
      <c r="E19" s="330" t="s">
        <v>76</v>
      </c>
      <c r="F19" s="324" t="s">
        <v>74</v>
      </c>
      <c r="G19" s="35"/>
      <c r="H19" s="35"/>
      <c r="I19" s="35"/>
    </row>
    <row r="20" spans="1:9" ht="15.75" thickBot="1">
      <c r="A20" s="35"/>
      <c r="B20" s="875"/>
      <c r="C20" s="876"/>
      <c r="D20" s="876"/>
      <c r="E20" s="876"/>
      <c r="F20" s="877"/>
      <c r="G20" s="35"/>
      <c r="H20" s="35"/>
      <c r="I20" s="35"/>
    </row>
    <row r="21" spans="1:9" ht="19.5" thickBot="1">
      <c r="A21" s="35"/>
      <c r="B21" s="327" t="s">
        <v>768</v>
      </c>
      <c r="C21" s="321" t="s">
        <v>73</v>
      </c>
      <c r="D21" s="323">
        <f>RTZ</f>
        <v>1000</v>
      </c>
      <c r="E21" s="323" t="s">
        <v>76</v>
      </c>
      <c r="F21" s="324" t="s">
        <v>74</v>
      </c>
      <c r="G21" s="35"/>
      <c r="H21" s="35"/>
      <c r="I21" s="35"/>
    </row>
    <row r="22" spans="1:9" ht="15.6" customHeight="1" thickBot="1">
      <c r="A22" s="35"/>
      <c r="B22" s="875"/>
      <c r="C22" s="876"/>
      <c r="D22" s="876"/>
      <c r="E22" s="876"/>
      <c r="F22" s="877"/>
      <c r="G22" s="35"/>
      <c r="H22" s="35"/>
      <c r="I22" s="35"/>
    </row>
    <row r="23" spans="1:9" ht="19.5" thickBot="1">
      <c r="A23" s="35"/>
      <c r="B23" s="328" t="s">
        <v>82</v>
      </c>
      <c r="C23" s="321" t="s">
        <v>73</v>
      </c>
      <c r="D23" s="329">
        <f>RBUR1</f>
        <v>115</v>
      </c>
      <c r="E23" s="330" t="s">
        <v>76</v>
      </c>
      <c r="F23" s="324" t="s">
        <v>74</v>
      </c>
      <c r="G23" s="35"/>
      <c r="H23" s="35"/>
      <c r="I23" s="35"/>
    </row>
    <row r="24" spans="1:9" ht="15" customHeight="1" thickBot="1">
      <c r="A24" s="35"/>
      <c r="B24" s="875"/>
      <c r="C24" s="876"/>
      <c r="D24" s="876"/>
      <c r="E24" s="876"/>
      <c r="F24" s="877"/>
      <c r="G24" s="35"/>
      <c r="H24" s="35"/>
      <c r="I24" s="35"/>
    </row>
    <row r="25" spans="1:9" ht="19.5" thickBot="1">
      <c r="A25" s="35"/>
      <c r="B25" s="328" t="s">
        <v>83</v>
      </c>
      <c r="C25" s="321" t="s">
        <v>73</v>
      </c>
      <c r="D25" s="329">
        <f>RBUR2</f>
        <v>35.700000000000003</v>
      </c>
      <c r="E25" s="330" t="s">
        <v>76</v>
      </c>
      <c r="F25" s="324" t="s">
        <v>74</v>
      </c>
      <c r="G25" s="35"/>
      <c r="H25" s="35"/>
      <c r="I25" s="35"/>
    </row>
    <row r="26" spans="1:9" ht="15.75" thickBot="1">
      <c r="A26" s="35"/>
      <c r="B26" s="875"/>
      <c r="C26" s="876"/>
      <c r="D26" s="876"/>
      <c r="E26" s="876"/>
      <c r="F26" s="877"/>
      <c r="G26" s="35"/>
      <c r="H26" s="35"/>
      <c r="I26" s="35"/>
    </row>
    <row r="27" spans="1:9" ht="19.5" thickBot="1">
      <c r="A27" s="35"/>
      <c r="B27" s="327" t="s">
        <v>84</v>
      </c>
      <c r="C27" s="321" t="s">
        <v>73</v>
      </c>
      <c r="D27" s="323">
        <f>RSWS</f>
        <v>523</v>
      </c>
      <c r="E27" s="323" t="s">
        <v>10</v>
      </c>
      <c r="F27" s="324"/>
      <c r="G27" s="35"/>
      <c r="H27" s="35"/>
      <c r="I27" s="35"/>
    </row>
    <row r="28" spans="1:9" ht="15.6" customHeight="1" thickBot="1">
      <c r="A28" s="35"/>
      <c r="B28" s="875"/>
      <c r="C28" s="876"/>
      <c r="D28" s="876"/>
      <c r="E28" s="876"/>
      <c r="F28" s="877"/>
      <c r="G28" s="35"/>
      <c r="H28" s="35"/>
      <c r="I28" s="35"/>
    </row>
    <row r="29" spans="1:9" ht="19.5" thickBot="1">
      <c r="A29" s="35"/>
      <c r="B29" s="470" t="s">
        <v>809</v>
      </c>
      <c r="C29" s="321" t="s">
        <v>73</v>
      </c>
      <c r="D29" s="329">
        <f>RIPC</f>
        <v>0</v>
      </c>
      <c r="E29" s="517" t="s">
        <v>167</v>
      </c>
      <c r="F29" s="324"/>
      <c r="G29" s="440"/>
      <c r="H29" s="35"/>
      <c r="I29" s="35"/>
    </row>
    <row r="30" spans="1:9" ht="16.5" thickBot="1">
      <c r="A30" s="35"/>
      <c r="B30" s="875"/>
      <c r="C30" s="876"/>
      <c r="D30" s="876"/>
      <c r="E30" s="876"/>
      <c r="F30" s="877"/>
      <c r="G30" s="475"/>
      <c r="H30" s="35"/>
      <c r="I30" s="35"/>
    </row>
    <row r="31" spans="1:9" ht="19.5" thickBot="1">
      <c r="A31" s="35"/>
      <c r="B31" s="328" t="s">
        <v>1170</v>
      </c>
      <c r="C31" s="321" t="s">
        <v>73</v>
      </c>
      <c r="D31" s="329">
        <f>RBOOT</f>
        <v>10</v>
      </c>
      <c r="E31" s="323" t="s">
        <v>10</v>
      </c>
      <c r="F31" s="324"/>
      <c r="G31" s="35"/>
      <c r="H31" s="35"/>
      <c r="I31" s="35"/>
    </row>
    <row r="32" spans="1:9" ht="15.75" thickBot="1">
      <c r="A32" s="35"/>
      <c r="B32" s="875"/>
      <c r="C32" s="876"/>
      <c r="D32" s="876"/>
      <c r="E32" s="876"/>
      <c r="F32" s="877"/>
      <c r="G32" s="35"/>
      <c r="H32" s="35"/>
      <c r="I32" s="35"/>
    </row>
    <row r="33" spans="1:9" ht="16.5" thickBot="1">
      <c r="A33" s="35"/>
      <c r="B33" s="327"/>
      <c r="C33" s="321"/>
      <c r="D33" s="323"/>
      <c r="E33" s="323"/>
      <c r="F33" s="324"/>
      <c r="G33" s="35"/>
      <c r="H33" s="35"/>
      <c r="I33" s="35"/>
    </row>
    <row r="34" spans="1:9" ht="15.6" customHeight="1" thickBot="1">
      <c r="A34" s="35"/>
      <c r="B34" s="875"/>
      <c r="C34" s="876"/>
      <c r="D34" s="876"/>
      <c r="E34" s="876"/>
      <c r="F34" s="877"/>
      <c r="G34" s="35"/>
      <c r="H34" s="35"/>
      <c r="I34" s="35"/>
    </row>
    <row r="35" spans="1:9" ht="19.5" thickBot="1">
      <c r="A35" s="35"/>
      <c r="B35" s="328" t="s">
        <v>352</v>
      </c>
      <c r="C35" s="321" t="s">
        <v>73</v>
      </c>
      <c r="D35" s="329">
        <f>Rbias1</f>
        <v>5.6</v>
      </c>
      <c r="E35" s="330" t="s">
        <v>76</v>
      </c>
      <c r="F35" s="324" t="s">
        <v>74</v>
      </c>
      <c r="G35" s="35"/>
      <c r="H35" s="35"/>
      <c r="I35" s="35"/>
    </row>
    <row r="36" spans="1:9" ht="15" customHeight="1" thickBot="1">
      <c r="A36" s="35"/>
      <c r="B36" s="875"/>
      <c r="C36" s="876"/>
      <c r="D36" s="876"/>
      <c r="E36" s="876"/>
      <c r="F36" s="877"/>
      <c r="G36" s="35"/>
      <c r="H36" s="35"/>
      <c r="I36" s="35"/>
    </row>
    <row r="37" spans="1:9" ht="19.5" thickBot="1">
      <c r="A37" s="35"/>
      <c r="B37" s="328" t="s">
        <v>351</v>
      </c>
      <c r="C37" s="321" t="s">
        <v>73</v>
      </c>
      <c r="D37" s="329">
        <f>Rbias2</f>
        <v>14.7</v>
      </c>
      <c r="E37" s="330" t="s">
        <v>76</v>
      </c>
      <c r="F37" s="324"/>
      <c r="G37" s="35"/>
      <c r="H37" s="35"/>
      <c r="I37" s="35"/>
    </row>
    <row r="38" spans="1:9" ht="15.75" thickBot="1">
      <c r="A38" s="35"/>
      <c r="B38" s="875"/>
      <c r="C38" s="876"/>
      <c r="D38" s="876"/>
      <c r="E38" s="876"/>
      <c r="F38" s="877"/>
      <c r="G38" s="35"/>
      <c r="H38" s="35"/>
      <c r="I38" s="35"/>
    </row>
    <row r="39" spans="1:9" ht="19.5" thickBot="1">
      <c r="A39" s="35"/>
      <c r="B39" s="327" t="s">
        <v>85</v>
      </c>
      <c r="C39" s="321" t="s">
        <v>73</v>
      </c>
      <c r="D39" s="323">
        <f>Rvo1_</f>
        <v>16.399999999999999</v>
      </c>
      <c r="E39" s="323" t="s">
        <v>76</v>
      </c>
      <c r="F39" s="324" t="s">
        <v>74</v>
      </c>
      <c r="G39" s="35"/>
      <c r="H39" s="35"/>
      <c r="I39" s="35"/>
    </row>
    <row r="40" spans="1:9" ht="15.75" thickBot="1">
      <c r="A40" s="35"/>
      <c r="B40" s="875"/>
      <c r="C40" s="876"/>
      <c r="D40" s="876"/>
      <c r="E40" s="876"/>
      <c r="F40" s="877"/>
      <c r="G40" s="35"/>
      <c r="H40" s="35"/>
      <c r="I40" s="35"/>
    </row>
    <row r="41" spans="1:9" ht="19.5" thickBot="1">
      <c r="A41" s="35"/>
      <c r="B41" s="328" t="s">
        <v>86</v>
      </c>
      <c r="C41" s="321" t="s">
        <v>73</v>
      </c>
      <c r="D41" s="329">
        <f>Rvo2_</f>
        <v>14.7</v>
      </c>
      <c r="E41" s="330" t="s">
        <v>76</v>
      </c>
      <c r="F41" s="324" t="s">
        <v>74</v>
      </c>
      <c r="G41" s="35"/>
      <c r="H41" s="35"/>
      <c r="I41" s="35"/>
    </row>
    <row r="42" spans="1:9" ht="15.75" thickBot="1">
      <c r="A42" s="35"/>
      <c r="B42" s="875"/>
      <c r="C42" s="876"/>
      <c r="D42" s="876"/>
      <c r="E42" s="876"/>
      <c r="F42" s="877"/>
      <c r="G42" s="35"/>
      <c r="H42" s="35"/>
      <c r="I42" s="35"/>
    </row>
    <row r="43" spans="1:9" ht="16.5" thickBot="1">
      <c r="A43" s="35"/>
      <c r="B43" s="518"/>
      <c r="C43" s="321"/>
      <c r="D43" s="329"/>
      <c r="E43" s="330"/>
      <c r="F43" s="324"/>
      <c r="G43" s="440"/>
      <c r="H43" s="35"/>
      <c r="I43" s="35"/>
    </row>
    <row r="44" spans="1:9" ht="15.75" thickBot="1">
      <c r="A44" s="35"/>
      <c r="B44" s="875"/>
      <c r="C44" s="876"/>
      <c r="D44" s="876"/>
      <c r="E44" s="876"/>
      <c r="F44" s="877"/>
      <c r="G44" s="435"/>
      <c r="H44" s="35"/>
      <c r="I44" s="35"/>
    </row>
    <row r="45" spans="1:9" ht="16.5" thickBot="1">
      <c r="A45" s="35"/>
      <c r="B45" s="518"/>
      <c r="C45" s="321"/>
      <c r="D45" s="329"/>
      <c r="E45" s="323"/>
      <c r="F45" s="324"/>
      <c r="G45" s="440"/>
      <c r="H45" s="35"/>
      <c r="I45" s="35"/>
    </row>
    <row r="46" spans="1:9" ht="15.75" thickBot="1">
      <c r="A46" s="35"/>
      <c r="B46" s="875"/>
      <c r="C46" s="876"/>
      <c r="D46" s="876"/>
      <c r="E46" s="876"/>
      <c r="F46" s="877"/>
      <c r="G46" s="23"/>
      <c r="H46" s="35"/>
      <c r="I46" s="35"/>
    </row>
    <row r="47" spans="1:9">
      <c r="A47" s="35"/>
      <c r="B47" s="878" t="s">
        <v>89</v>
      </c>
      <c r="C47" s="331" t="s">
        <v>75</v>
      </c>
      <c r="D47" s="880" t="s">
        <v>87</v>
      </c>
      <c r="E47" s="881"/>
      <c r="F47" s="882"/>
      <c r="G47" s="23"/>
      <c r="H47" s="35"/>
      <c r="I47" s="35"/>
    </row>
    <row r="48" spans="1:9">
      <c r="A48" s="35"/>
      <c r="B48" s="879"/>
      <c r="C48" s="325" t="s">
        <v>73</v>
      </c>
      <c r="D48" s="332">
        <f>CBULK</f>
        <v>10</v>
      </c>
      <c r="E48" s="332" t="s">
        <v>54</v>
      </c>
      <c r="F48" s="333"/>
      <c r="G48" s="35"/>
      <c r="H48" s="23"/>
      <c r="I48" s="35"/>
    </row>
    <row r="49" spans="1:9" ht="15.75" thickBot="1">
      <c r="A49" s="35"/>
      <c r="B49" s="879"/>
      <c r="C49" s="325" t="s">
        <v>88</v>
      </c>
      <c r="D49" s="332">
        <f>VCbulk_rated</f>
        <v>600</v>
      </c>
      <c r="E49" s="883" t="s">
        <v>6</v>
      </c>
      <c r="F49" s="884"/>
      <c r="G49" s="35"/>
      <c r="H49" s="35"/>
      <c r="I49" s="35"/>
    </row>
    <row r="50" spans="1:9" ht="15.75" thickBot="1">
      <c r="A50" s="35"/>
      <c r="B50" s="875"/>
      <c r="C50" s="876"/>
      <c r="D50" s="876"/>
      <c r="E50" s="876"/>
      <c r="F50" s="877"/>
      <c r="G50" s="35"/>
      <c r="H50" s="35"/>
      <c r="I50" s="35"/>
    </row>
    <row r="51" spans="1:9">
      <c r="A51" s="35"/>
      <c r="B51" s="885" t="s">
        <v>769</v>
      </c>
      <c r="C51" s="331" t="s">
        <v>75</v>
      </c>
      <c r="D51" s="880" t="s">
        <v>1022</v>
      </c>
      <c r="E51" s="881"/>
      <c r="F51" s="882"/>
      <c r="G51" s="23"/>
      <c r="H51" s="35"/>
      <c r="I51" s="35"/>
    </row>
    <row r="52" spans="1:9" ht="15.75">
      <c r="A52" s="35"/>
      <c r="B52" s="879"/>
      <c r="C52" s="325" t="s">
        <v>73</v>
      </c>
      <c r="D52" s="332">
        <f>COUT</f>
        <v>2200</v>
      </c>
      <c r="E52" s="332" t="s">
        <v>54</v>
      </c>
      <c r="F52" s="333"/>
      <c r="G52" s="334"/>
      <c r="H52" s="35"/>
      <c r="I52" s="35"/>
    </row>
    <row r="53" spans="1:9" ht="15.75">
      <c r="A53" s="35"/>
      <c r="B53" s="879"/>
      <c r="C53" s="325" t="s">
        <v>88</v>
      </c>
      <c r="D53" s="332">
        <f>VOUT*1.25</f>
        <v>6.25</v>
      </c>
      <c r="E53" s="332" t="s">
        <v>6</v>
      </c>
      <c r="F53" s="333"/>
      <c r="G53" s="334"/>
      <c r="H53" s="35"/>
      <c r="I53" s="35"/>
    </row>
    <row r="54" spans="1:9" ht="15.75" thickBot="1">
      <c r="A54" s="35"/>
      <c r="B54" s="879"/>
      <c r="C54" s="325" t="s">
        <v>349</v>
      </c>
      <c r="D54" s="332">
        <f>RCO</f>
        <v>5</v>
      </c>
      <c r="E54" s="883" t="s">
        <v>348</v>
      </c>
      <c r="F54" s="884"/>
      <c r="G54" s="23"/>
      <c r="H54" s="35"/>
      <c r="I54" s="35"/>
    </row>
    <row r="55" spans="1:9" ht="15.75" thickBot="1">
      <c r="A55" s="35"/>
      <c r="B55" s="875"/>
      <c r="C55" s="876"/>
      <c r="D55" s="876"/>
      <c r="E55" s="876"/>
      <c r="F55" s="877"/>
      <c r="G55" s="35"/>
      <c r="H55" s="35"/>
      <c r="I55" s="35"/>
    </row>
    <row r="56" spans="1:9">
      <c r="A56" s="35"/>
      <c r="B56" s="878" t="s">
        <v>353</v>
      </c>
      <c r="C56" s="331" t="s">
        <v>75</v>
      </c>
      <c r="D56" s="880" t="s">
        <v>90</v>
      </c>
      <c r="E56" s="881"/>
      <c r="F56" s="882"/>
      <c r="G56" s="23"/>
      <c r="H56" s="35"/>
      <c r="I56" s="35"/>
    </row>
    <row r="57" spans="1:9">
      <c r="A57" s="35"/>
      <c r="B57" s="879"/>
      <c r="C57" s="325" t="s">
        <v>73</v>
      </c>
      <c r="D57" s="332">
        <f>Cclamp_act</f>
        <v>0.68</v>
      </c>
      <c r="E57" s="332" t="s">
        <v>54</v>
      </c>
      <c r="F57" s="333"/>
      <c r="G57" s="35"/>
      <c r="H57" s="35"/>
      <c r="I57" s="35"/>
    </row>
    <row r="58" spans="1:9" ht="15.75" thickBot="1">
      <c r="A58" s="35"/>
      <c r="B58" s="879"/>
      <c r="C58" s="325" t="s">
        <v>88</v>
      </c>
      <c r="D58" s="332">
        <f>VOUT*NPS*2+50</f>
        <v>650</v>
      </c>
      <c r="E58" s="883" t="s">
        <v>6</v>
      </c>
      <c r="F58" s="884"/>
      <c r="G58" s="23"/>
      <c r="H58" s="35"/>
      <c r="I58" s="35"/>
    </row>
    <row r="59" spans="1:9" ht="15.75" thickBot="1">
      <c r="A59" s="35"/>
      <c r="B59" s="875"/>
      <c r="C59" s="876"/>
      <c r="D59" s="876"/>
      <c r="E59" s="876"/>
      <c r="F59" s="877"/>
      <c r="G59" s="35"/>
      <c r="H59" s="35"/>
      <c r="I59" s="35"/>
    </row>
    <row r="60" spans="1:9">
      <c r="A60" s="35"/>
      <c r="B60" s="878" t="s">
        <v>91</v>
      </c>
      <c r="C60" s="331" t="s">
        <v>75</v>
      </c>
      <c r="D60" s="880" t="s">
        <v>90</v>
      </c>
      <c r="E60" s="881"/>
      <c r="F60" s="882"/>
      <c r="G60" s="23"/>
      <c r="H60" s="35"/>
      <c r="I60" s="35"/>
    </row>
    <row r="61" spans="1:9">
      <c r="A61" s="35"/>
      <c r="B61" s="879"/>
      <c r="C61" s="325" t="s">
        <v>73</v>
      </c>
      <c r="D61" s="332">
        <f>CCS</f>
        <v>47</v>
      </c>
      <c r="E61" s="332" t="s">
        <v>92</v>
      </c>
      <c r="F61" s="333"/>
      <c r="G61" s="35"/>
      <c r="H61" s="35"/>
      <c r="I61" s="35"/>
    </row>
    <row r="62" spans="1:9" ht="15.75" thickBot="1">
      <c r="A62" s="35"/>
      <c r="B62" s="879"/>
      <c r="C62" s="325" t="s">
        <v>88</v>
      </c>
      <c r="D62" s="332">
        <v>50</v>
      </c>
      <c r="E62" s="883" t="s">
        <v>6</v>
      </c>
      <c r="F62" s="884"/>
      <c r="G62" s="35"/>
      <c r="H62" s="35"/>
      <c r="I62" s="35"/>
    </row>
    <row r="63" spans="1:9" ht="15.75" thickBot="1">
      <c r="A63" s="35"/>
      <c r="B63" s="875"/>
      <c r="C63" s="876"/>
      <c r="D63" s="876"/>
      <c r="E63" s="876"/>
      <c r="F63" s="877"/>
      <c r="G63" s="35"/>
      <c r="H63" s="35"/>
      <c r="I63" s="35"/>
    </row>
    <row r="64" spans="1:9">
      <c r="A64" s="35"/>
      <c r="B64" s="878" t="s">
        <v>93</v>
      </c>
      <c r="C64" s="331" t="s">
        <v>75</v>
      </c>
      <c r="D64" s="880" t="s">
        <v>90</v>
      </c>
      <c r="E64" s="881"/>
      <c r="F64" s="882"/>
      <c r="G64" s="23"/>
      <c r="H64" s="35"/>
      <c r="I64" s="35"/>
    </row>
    <row r="65" spans="1:9">
      <c r="A65" s="35"/>
      <c r="B65" s="879"/>
      <c r="C65" s="325" t="s">
        <v>73</v>
      </c>
      <c r="D65" s="332">
        <f>CSWS</f>
        <v>22</v>
      </c>
      <c r="E65" s="332" t="s">
        <v>92</v>
      </c>
      <c r="F65" s="333"/>
      <c r="G65" s="35"/>
      <c r="H65" s="35"/>
      <c r="I65" s="35"/>
    </row>
    <row r="66" spans="1:9" ht="15.75" thickBot="1">
      <c r="A66" s="35"/>
      <c r="B66" s="879"/>
      <c r="C66" s="325" t="s">
        <v>88</v>
      </c>
      <c r="D66" s="332">
        <v>50</v>
      </c>
      <c r="E66" s="883" t="s">
        <v>6</v>
      </c>
      <c r="F66" s="884"/>
      <c r="G66" s="35"/>
      <c r="H66" s="35"/>
      <c r="I66" s="35"/>
    </row>
    <row r="67" spans="1:9" ht="15.75" thickBot="1">
      <c r="A67" s="35"/>
      <c r="B67" s="875"/>
      <c r="C67" s="876"/>
      <c r="D67" s="876"/>
      <c r="E67" s="876"/>
      <c r="F67" s="877"/>
      <c r="G67" s="35"/>
      <c r="H67" s="35"/>
      <c r="I67" s="35"/>
    </row>
    <row r="68" spans="1:9">
      <c r="A68" s="35"/>
      <c r="B68" s="878" t="s">
        <v>102</v>
      </c>
      <c r="C68" s="331" t="s">
        <v>75</v>
      </c>
      <c r="D68" s="880" t="s">
        <v>90</v>
      </c>
      <c r="E68" s="881"/>
      <c r="F68" s="882"/>
      <c r="G68" s="23"/>
      <c r="H68" s="35"/>
      <c r="I68" s="35"/>
    </row>
    <row r="69" spans="1:9">
      <c r="A69" s="35"/>
      <c r="B69" s="879"/>
      <c r="C69" s="325" t="s">
        <v>73</v>
      </c>
      <c r="D69" s="332">
        <f>CBUR</f>
        <v>330</v>
      </c>
      <c r="E69" s="332" t="s">
        <v>13</v>
      </c>
      <c r="F69" s="333"/>
      <c r="G69" s="35"/>
      <c r="H69" s="35"/>
      <c r="I69" s="35"/>
    </row>
    <row r="70" spans="1:9" ht="15.75" thickBot="1">
      <c r="A70" s="35"/>
      <c r="B70" s="879"/>
      <c r="C70" s="325" t="s">
        <v>88</v>
      </c>
      <c r="D70" s="332">
        <v>50</v>
      </c>
      <c r="E70" s="883" t="s">
        <v>6</v>
      </c>
      <c r="F70" s="884"/>
      <c r="G70" s="23"/>
      <c r="H70" s="35"/>
      <c r="I70" s="35"/>
    </row>
    <row r="71" spans="1:9" ht="15.75" thickBot="1">
      <c r="A71" s="35"/>
      <c r="B71" s="875"/>
      <c r="C71" s="876"/>
      <c r="D71" s="876"/>
      <c r="E71" s="876"/>
      <c r="F71" s="877"/>
      <c r="G71" s="35"/>
      <c r="H71" s="35"/>
      <c r="I71" s="35"/>
    </row>
    <row r="72" spans="1:9">
      <c r="A72" s="35"/>
      <c r="B72" s="878" t="s">
        <v>810</v>
      </c>
      <c r="C72" s="331" t="s">
        <v>75</v>
      </c>
      <c r="D72" s="880" t="s">
        <v>90</v>
      </c>
      <c r="E72" s="881"/>
      <c r="F72" s="882"/>
      <c r="G72" s="23"/>
      <c r="H72" s="35"/>
      <c r="I72" s="35"/>
    </row>
    <row r="73" spans="1:9" ht="15.75">
      <c r="A73" s="35"/>
      <c r="B73" s="879"/>
      <c r="C73" s="325" t="s">
        <v>73</v>
      </c>
      <c r="D73" s="519">
        <f>C_P13</f>
        <v>1</v>
      </c>
      <c r="E73" s="332" t="s">
        <v>54</v>
      </c>
      <c r="F73" s="333"/>
      <c r="G73" s="708"/>
      <c r="H73" s="709"/>
      <c r="I73" s="35"/>
    </row>
    <row r="74" spans="1:9" ht="16.5" thickBot="1">
      <c r="A74" s="35"/>
      <c r="B74" s="879"/>
      <c r="C74" s="325" t="s">
        <v>88</v>
      </c>
      <c r="D74" s="332">
        <v>50</v>
      </c>
      <c r="E74" s="883" t="s">
        <v>6</v>
      </c>
      <c r="F74" s="884"/>
      <c r="G74" s="475"/>
      <c r="H74" s="35"/>
      <c r="I74" s="35"/>
    </row>
    <row r="75" spans="1:9" ht="15.75" thickBot="1">
      <c r="A75" s="35"/>
      <c r="B75" s="875"/>
      <c r="C75" s="876"/>
      <c r="D75" s="876"/>
      <c r="E75" s="876"/>
      <c r="F75" s="877"/>
      <c r="G75" s="35"/>
      <c r="H75" s="35"/>
      <c r="I75" s="35"/>
    </row>
    <row r="76" spans="1:9">
      <c r="A76" s="35"/>
      <c r="B76" s="878" t="s">
        <v>94</v>
      </c>
      <c r="C76" s="331" t="s">
        <v>75</v>
      </c>
      <c r="D76" s="880" t="s">
        <v>90</v>
      </c>
      <c r="E76" s="881"/>
      <c r="F76" s="882"/>
      <c r="G76" s="23"/>
      <c r="H76" s="35"/>
      <c r="I76" s="35"/>
    </row>
    <row r="77" spans="1:9">
      <c r="A77" s="35"/>
      <c r="B77" s="879"/>
      <c r="C77" s="325" t="s">
        <v>73</v>
      </c>
      <c r="D77" s="332">
        <f>CREF</f>
        <v>0.47</v>
      </c>
      <c r="E77" s="332" t="s">
        <v>54</v>
      </c>
      <c r="F77" s="333"/>
      <c r="G77" s="35"/>
      <c r="H77" s="35"/>
      <c r="I77" s="35"/>
    </row>
    <row r="78" spans="1:9" ht="15.75" thickBot="1">
      <c r="A78" s="35"/>
      <c r="B78" s="879"/>
      <c r="C78" s="325" t="s">
        <v>88</v>
      </c>
      <c r="D78" s="332">
        <v>25</v>
      </c>
      <c r="E78" s="883" t="s">
        <v>6</v>
      </c>
      <c r="F78" s="884"/>
      <c r="G78" s="35"/>
      <c r="H78" s="35"/>
      <c r="I78" s="35"/>
    </row>
    <row r="79" spans="1:9" ht="15.75" thickBot="1">
      <c r="A79" s="35"/>
      <c r="B79" s="875"/>
      <c r="C79" s="876"/>
      <c r="D79" s="876"/>
      <c r="E79" s="876"/>
      <c r="F79" s="877"/>
      <c r="G79" s="35"/>
      <c r="H79" s="35"/>
      <c r="I79" s="35"/>
    </row>
    <row r="80" spans="1:9">
      <c r="A80" s="35"/>
      <c r="B80" s="878" t="s">
        <v>354</v>
      </c>
      <c r="C80" s="331" t="s">
        <v>75</v>
      </c>
      <c r="D80" s="880" t="s">
        <v>90</v>
      </c>
      <c r="E80" s="881"/>
      <c r="F80" s="882"/>
      <c r="G80" s="23"/>
      <c r="H80" s="35"/>
      <c r="I80" s="35"/>
    </row>
    <row r="81" spans="1:9">
      <c r="A81" s="35"/>
      <c r="B81" s="879"/>
      <c r="C81" s="325" t="s">
        <v>73</v>
      </c>
      <c r="D81" s="332">
        <f>Cboot</f>
        <v>33</v>
      </c>
      <c r="E81" s="332" t="s">
        <v>53</v>
      </c>
      <c r="F81" s="333"/>
      <c r="G81" s="35"/>
      <c r="H81" s="35"/>
      <c r="I81" s="35"/>
    </row>
    <row r="82" spans="1:9" ht="15.75" thickBot="1">
      <c r="A82" s="35"/>
      <c r="B82" s="879"/>
      <c r="C82" s="325" t="s">
        <v>88</v>
      </c>
      <c r="D82" s="332">
        <v>50</v>
      </c>
      <c r="E82" s="883" t="s">
        <v>6</v>
      </c>
      <c r="F82" s="884"/>
      <c r="G82" s="23"/>
      <c r="H82" s="35"/>
      <c r="I82" s="35"/>
    </row>
    <row r="83" spans="1:9" ht="15.75" thickBot="1">
      <c r="A83" s="35"/>
      <c r="B83" s="875"/>
      <c r="C83" s="876"/>
      <c r="D83" s="876"/>
      <c r="E83" s="876"/>
      <c r="F83" s="877"/>
      <c r="G83" s="35"/>
      <c r="H83" s="35"/>
      <c r="I83" s="35"/>
    </row>
    <row r="84" spans="1:9">
      <c r="A84" s="35"/>
      <c r="B84" s="878" t="s">
        <v>95</v>
      </c>
      <c r="C84" s="331" t="s">
        <v>75</v>
      </c>
      <c r="D84" s="880" t="s">
        <v>90</v>
      </c>
      <c r="E84" s="881"/>
      <c r="F84" s="882"/>
      <c r="G84" s="23"/>
      <c r="H84" s="35"/>
      <c r="I84" s="35"/>
    </row>
    <row r="85" spans="1:9">
      <c r="A85" s="35"/>
      <c r="B85" s="879"/>
      <c r="C85" s="325" t="s">
        <v>73</v>
      </c>
      <c r="D85" s="332">
        <f>CDD2_</f>
        <v>1</v>
      </c>
      <c r="E85" s="332" t="s">
        <v>54</v>
      </c>
      <c r="F85" s="333"/>
      <c r="G85" s="35"/>
      <c r="H85" s="35"/>
      <c r="I85" s="35"/>
    </row>
    <row r="86" spans="1:9" ht="15.75" thickBot="1">
      <c r="A86" s="35"/>
      <c r="B86" s="879"/>
      <c r="C86" s="325" t="s">
        <v>88</v>
      </c>
      <c r="D86" s="332">
        <v>25</v>
      </c>
      <c r="E86" s="883" t="s">
        <v>6</v>
      </c>
      <c r="F86" s="884"/>
      <c r="G86" s="35"/>
      <c r="H86" s="35"/>
      <c r="I86" s="35"/>
    </row>
    <row r="87" spans="1:9" ht="15.75" thickBot="1">
      <c r="A87" s="35"/>
      <c r="B87" s="875"/>
      <c r="C87" s="876"/>
      <c r="D87" s="876"/>
      <c r="E87" s="876"/>
      <c r="F87" s="877"/>
      <c r="G87" s="35"/>
      <c r="H87" s="35"/>
      <c r="I87" s="35"/>
    </row>
    <row r="88" spans="1:9">
      <c r="A88" s="35"/>
      <c r="B88" s="878" t="s">
        <v>96</v>
      </c>
      <c r="C88" s="331" t="s">
        <v>75</v>
      </c>
      <c r="D88" s="880" t="s">
        <v>90</v>
      </c>
      <c r="E88" s="881"/>
      <c r="F88" s="882"/>
      <c r="G88" s="23"/>
      <c r="H88" s="35"/>
      <c r="I88" s="35"/>
    </row>
    <row r="89" spans="1:9">
      <c r="A89" s="35"/>
      <c r="B89" s="879"/>
      <c r="C89" s="325" t="s">
        <v>73</v>
      </c>
      <c r="D89" s="332">
        <f>CDD_1</f>
        <v>33</v>
      </c>
      <c r="E89" s="332" t="s">
        <v>54</v>
      </c>
      <c r="F89" s="333"/>
      <c r="G89" s="35"/>
      <c r="H89" s="35"/>
      <c r="I89" s="35"/>
    </row>
    <row r="90" spans="1:9" ht="15.75" thickBot="1">
      <c r="A90" s="35"/>
      <c r="B90" s="879"/>
      <c r="C90" s="325" t="s">
        <v>88</v>
      </c>
      <c r="D90" s="332">
        <v>35</v>
      </c>
      <c r="E90" s="883" t="s">
        <v>6</v>
      </c>
      <c r="F90" s="884"/>
      <c r="G90" s="23"/>
      <c r="H90" s="35"/>
      <c r="I90" s="35"/>
    </row>
    <row r="91" spans="1:9" ht="15.75" thickBot="1">
      <c r="A91" s="35"/>
      <c r="B91" s="875"/>
      <c r="C91" s="876"/>
      <c r="D91" s="876"/>
      <c r="E91" s="876"/>
      <c r="F91" s="877"/>
      <c r="G91" s="35"/>
      <c r="H91" s="35"/>
      <c r="I91" s="35"/>
    </row>
    <row r="92" spans="1:9">
      <c r="A92" s="35"/>
      <c r="B92" s="878"/>
      <c r="C92" s="331"/>
      <c r="D92" s="880"/>
      <c r="E92" s="881"/>
      <c r="F92" s="882"/>
      <c r="G92" s="445"/>
      <c r="H92" s="35"/>
      <c r="I92" s="35"/>
    </row>
    <row r="93" spans="1:9" ht="15.75">
      <c r="A93" s="35"/>
      <c r="B93" s="879"/>
      <c r="C93" s="325"/>
      <c r="D93" s="332"/>
      <c r="E93" s="332"/>
      <c r="F93" s="333"/>
      <c r="G93" s="440"/>
      <c r="H93" s="35"/>
      <c r="I93" s="35"/>
    </row>
    <row r="94" spans="1:9" ht="15.75" thickBot="1">
      <c r="A94" s="35"/>
      <c r="B94" s="879"/>
      <c r="C94" s="325"/>
      <c r="D94" s="332"/>
      <c r="E94" s="883"/>
      <c r="F94" s="884"/>
      <c r="G94" s="435"/>
      <c r="H94" s="35"/>
      <c r="I94" s="35"/>
    </row>
    <row r="95" spans="1:9" ht="15.75" thickBot="1">
      <c r="A95" s="35"/>
      <c r="B95" s="875"/>
      <c r="C95" s="876"/>
      <c r="D95" s="876"/>
      <c r="E95" s="876"/>
      <c r="F95" s="877"/>
      <c r="G95" s="35"/>
      <c r="H95" s="35"/>
      <c r="I95" s="35"/>
    </row>
    <row r="96" spans="1:9">
      <c r="A96" s="35"/>
      <c r="B96" s="878" t="s">
        <v>112</v>
      </c>
      <c r="C96" s="331" t="s">
        <v>75</v>
      </c>
      <c r="D96" s="880" t="s">
        <v>90</v>
      </c>
      <c r="E96" s="881"/>
      <c r="F96" s="882"/>
      <c r="G96" s="23"/>
      <c r="H96" s="35"/>
      <c r="I96" s="35"/>
    </row>
    <row r="97" spans="1:19">
      <c r="A97" s="35"/>
      <c r="B97" s="879"/>
      <c r="C97" s="325" t="s">
        <v>73</v>
      </c>
      <c r="D97" s="332">
        <f>CFB</f>
        <v>330</v>
      </c>
      <c r="E97" s="332" t="s">
        <v>107</v>
      </c>
      <c r="F97" s="333"/>
      <c r="G97" s="35"/>
      <c r="H97" s="35"/>
      <c r="I97" s="35"/>
    </row>
    <row r="98" spans="1:19" ht="15.75" thickBot="1">
      <c r="A98" s="35"/>
      <c r="B98" s="879"/>
      <c r="C98" s="325" t="s">
        <v>88</v>
      </c>
      <c r="D98" s="332">
        <v>50</v>
      </c>
      <c r="E98" s="883" t="s">
        <v>6</v>
      </c>
      <c r="F98" s="884"/>
      <c r="G98" s="35"/>
      <c r="H98" s="35"/>
      <c r="I98" s="35"/>
    </row>
    <row r="99" spans="1:19" ht="15.75" thickBot="1">
      <c r="A99" s="35"/>
      <c r="B99" s="875"/>
      <c r="C99" s="876"/>
      <c r="D99" s="876"/>
      <c r="E99" s="876"/>
      <c r="F99" s="877"/>
      <c r="G99" s="35"/>
      <c r="H99" s="35"/>
      <c r="I99" s="35"/>
    </row>
    <row r="100" spans="1:19">
      <c r="A100" s="35"/>
      <c r="B100" s="878" t="s">
        <v>355</v>
      </c>
      <c r="C100" s="331" t="s">
        <v>75</v>
      </c>
      <c r="D100" s="880" t="s">
        <v>90</v>
      </c>
      <c r="E100" s="881"/>
      <c r="F100" s="882"/>
      <c r="G100" s="23"/>
      <c r="H100" s="35"/>
      <c r="I100" s="35"/>
    </row>
    <row r="101" spans="1:19">
      <c r="A101" s="35"/>
      <c r="B101" s="879"/>
      <c r="C101" s="325" t="s">
        <v>73</v>
      </c>
      <c r="D101" s="332">
        <f>Cint</f>
        <v>47</v>
      </c>
      <c r="E101" s="332" t="s">
        <v>53</v>
      </c>
      <c r="F101" s="333"/>
      <c r="G101" s="35"/>
      <c r="H101" s="35"/>
      <c r="I101" s="35"/>
    </row>
    <row r="102" spans="1:19" ht="15.75" thickBot="1">
      <c r="A102" s="35"/>
      <c r="B102" s="879"/>
      <c r="C102" s="325" t="s">
        <v>88</v>
      </c>
      <c r="D102" s="332">
        <v>50</v>
      </c>
      <c r="E102" s="883" t="s">
        <v>6</v>
      </c>
      <c r="F102" s="884"/>
      <c r="G102" s="35"/>
      <c r="H102" s="35"/>
      <c r="I102" s="35"/>
    </row>
    <row r="103" spans="1:19" ht="15.75" thickBot="1">
      <c r="A103" s="35"/>
      <c r="B103" s="875"/>
      <c r="C103" s="876"/>
      <c r="D103" s="876"/>
      <c r="E103" s="876"/>
      <c r="F103" s="877"/>
      <c r="G103" s="35"/>
      <c r="H103" s="35"/>
      <c r="I103" s="35"/>
    </row>
    <row r="104" spans="1:19">
      <c r="A104" s="35"/>
      <c r="B104" s="885" t="s">
        <v>718</v>
      </c>
      <c r="C104" s="335" t="s">
        <v>97</v>
      </c>
      <c r="D104" s="336">
        <f>LM</f>
        <v>1200</v>
      </c>
      <c r="E104" s="337" t="s">
        <v>20</v>
      </c>
      <c r="F104" s="338"/>
      <c r="G104" s="23"/>
      <c r="H104" s="35"/>
      <c r="I104" s="35"/>
    </row>
    <row r="105" spans="1:19">
      <c r="A105" s="35"/>
      <c r="B105" s="886"/>
      <c r="C105" s="335" t="s">
        <v>719</v>
      </c>
      <c r="D105" s="339">
        <f>LK_act</f>
        <v>2</v>
      </c>
      <c r="E105" s="337" t="s">
        <v>20</v>
      </c>
      <c r="F105" s="338"/>
      <c r="G105" s="35"/>
      <c r="H105" s="35"/>
      <c r="I105" s="35"/>
    </row>
    <row r="106" spans="1:19" ht="19.5">
      <c r="A106" s="35"/>
      <c r="B106" s="879"/>
      <c r="C106" s="335" t="s">
        <v>720</v>
      </c>
      <c r="D106" s="340">
        <f>NPS</f>
        <v>60</v>
      </c>
      <c r="E106" s="337"/>
      <c r="F106" s="338" t="s">
        <v>185</v>
      </c>
      <c r="G106" s="35"/>
      <c r="H106" s="35"/>
      <c r="I106" s="35"/>
    </row>
    <row r="107" spans="1:19" ht="19.5">
      <c r="A107" s="35"/>
      <c r="B107" s="879"/>
      <c r="C107" s="335" t="s">
        <v>721</v>
      </c>
      <c r="D107" s="340">
        <f>NA/NS</f>
        <v>4</v>
      </c>
      <c r="E107" s="337"/>
      <c r="F107" s="338" t="s">
        <v>269</v>
      </c>
      <c r="G107" s="35"/>
      <c r="H107" s="35"/>
      <c r="I107" s="35"/>
    </row>
    <row r="108" spans="1:19" ht="19.5">
      <c r="A108" s="35"/>
      <c r="B108" s="879"/>
      <c r="C108" s="335" t="s">
        <v>752</v>
      </c>
      <c r="D108" s="341">
        <f>NP</f>
        <v>120</v>
      </c>
      <c r="E108" s="337"/>
      <c r="F108" s="338" t="s">
        <v>186</v>
      </c>
      <c r="G108" s="35"/>
      <c r="H108" s="35"/>
      <c r="I108" s="35"/>
    </row>
    <row r="109" spans="1:19" ht="19.5">
      <c r="A109" s="35"/>
      <c r="B109" s="879"/>
      <c r="C109" s="335" t="s">
        <v>753</v>
      </c>
      <c r="D109" s="341">
        <f>NS</f>
        <v>2</v>
      </c>
      <c r="E109" s="337"/>
      <c r="F109" s="338" t="s">
        <v>187</v>
      </c>
      <c r="G109" s="23"/>
      <c r="H109" s="35"/>
      <c r="I109" s="35"/>
    </row>
    <row r="110" spans="1:19" s="433" customFormat="1" ht="19.5">
      <c r="A110" s="434"/>
      <c r="B110" s="879"/>
      <c r="C110" s="335" t="s">
        <v>754</v>
      </c>
      <c r="D110" s="341">
        <f>NA</f>
        <v>8</v>
      </c>
      <c r="E110" s="337"/>
      <c r="F110" s="338" t="s">
        <v>188</v>
      </c>
      <c r="G110" s="445"/>
      <c r="H110" s="87"/>
      <c r="I110" s="87"/>
      <c r="J110" s="538"/>
      <c r="K110" s="538"/>
      <c r="L110" s="538"/>
      <c r="M110" s="538"/>
      <c r="N110" s="538"/>
      <c r="O110" s="538"/>
      <c r="P110" s="538"/>
      <c r="Q110" s="538"/>
      <c r="R110" s="538"/>
      <c r="S110" s="415"/>
    </row>
    <row r="111" spans="1:19" ht="20.25" thickBot="1">
      <c r="A111" s="35"/>
      <c r="B111" s="879"/>
      <c r="C111" s="441" t="s">
        <v>755</v>
      </c>
      <c r="D111" s="442" t="s">
        <v>742</v>
      </c>
      <c r="E111" s="332" t="s">
        <v>10</v>
      </c>
      <c r="F111" s="333" t="s">
        <v>756</v>
      </c>
      <c r="G111" s="445"/>
      <c r="H111" s="87"/>
      <c r="I111" s="87"/>
      <c r="J111" s="538"/>
      <c r="K111" s="538"/>
      <c r="L111" s="538"/>
      <c r="M111" s="538"/>
      <c r="N111" s="538"/>
      <c r="O111" s="538"/>
      <c r="P111" s="538"/>
      <c r="Q111" s="538"/>
      <c r="R111" s="538"/>
      <c r="S111" s="415"/>
    </row>
    <row r="112" spans="1:19" ht="15.75" thickBot="1">
      <c r="A112" s="35"/>
      <c r="B112" s="875"/>
      <c r="C112" s="876"/>
      <c r="D112" s="876"/>
      <c r="E112" s="876"/>
      <c r="F112" s="877"/>
      <c r="G112" s="445"/>
      <c r="H112" s="87"/>
      <c r="I112" s="87"/>
      <c r="J112" s="538"/>
      <c r="K112" s="538"/>
      <c r="L112" s="538"/>
      <c r="M112" s="538"/>
      <c r="N112" s="538"/>
      <c r="O112" s="538"/>
      <c r="P112" s="538"/>
      <c r="Q112" s="538"/>
      <c r="R112" s="538"/>
      <c r="S112" s="415"/>
    </row>
    <row r="113" spans="1:19">
      <c r="A113" s="35"/>
      <c r="B113" s="430"/>
      <c r="C113" s="431"/>
      <c r="D113" s="432"/>
      <c r="E113" s="429"/>
      <c r="F113" s="428"/>
      <c r="G113" s="435"/>
      <c r="H113" s="538"/>
      <c r="I113" s="538"/>
      <c r="J113" s="538"/>
      <c r="K113" s="538"/>
      <c r="L113" s="538"/>
      <c r="M113" s="538"/>
      <c r="N113" s="538"/>
      <c r="O113" s="538"/>
      <c r="P113" s="538"/>
      <c r="Q113" s="538"/>
      <c r="R113" s="538"/>
      <c r="S113" s="415"/>
    </row>
    <row r="114" spans="1:19">
      <c r="A114" s="35"/>
      <c r="B114" s="35"/>
      <c r="C114" s="23"/>
      <c r="D114" s="35"/>
      <c r="E114" s="35"/>
      <c r="F114" s="35"/>
      <c r="G114" s="435"/>
      <c r="H114" s="538"/>
      <c r="I114" s="538"/>
      <c r="J114" s="538"/>
      <c r="K114" s="538"/>
      <c r="L114" s="538"/>
      <c r="M114" s="538"/>
      <c r="N114" s="538"/>
      <c r="O114" s="538"/>
      <c r="P114" s="538"/>
      <c r="Q114" s="538"/>
      <c r="R114" s="538"/>
      <c r="S114" s="415"/>
    </row>
    <row r="115" spans="1:19" ht="15.75" thickBot="1">
      <c r="G115" s="415"/>
      <c r="H115" s="545"/>
      <c r="I115" s="539"/>
      <c r="J115" s="540"/>
      <c r="K115" s="538"/>
      <c r="L115" s="538"/>
      <c r="M115" s="538"/>
      <c r="N115" s="545"/>
      <c r="O115" s="539"/>
      <c r="P115" s="540"/>
      <c r="Q115" s="538"/>
      <c r="R115" s="538"/>
      <c r="S115" s="415"/>
    </row>
    <row r="116" spans="1:19">
      <c r="B116" s="869" t="s">
        <v>776</v>
      </c>
      <c r="C116" s="515" t="s">
        <v>75</v>
      </c>
      <c r="D116" s="503" t="s">
        <v>743</v>
      </c>
      <c r="E116" s="497"/>
      <c r="F116" s="607"/>
      <c r="G116" s="415"/>
      <c r="H116" s="545"/>
      <c r="I116" s="541"/>
      <c r="J116" s="542"/>
      <c r="K116" s="543"/>
      <c r="L116" s="543"/>
      <c r="M116" s="538"/>
      <c r="N116" s="545"/>
      <c r="O116" s="541"/>
      <c r="P116" s="542"/>
      <c r="Q116" s="538"/>
      <c r="R116" s="538"/>
      <c r="S116" s="415"/>
    </row>
    <row r="117" spans="1:19">
      <c r="B117" s="870"/>
      <c r="C117" s="487" t="s">
        <v>804</v>
      </c>
      <c r="D117" s="488">
        <v>600</v>
      </c>
      <c r="E117" s="488" t="s">
        <v>6</v>
      </c>
      <c r="F117" s="608"/>
      <c r="G117" s="415"/>
      <c r="H117" s="545"/>
      <c r="I117" s="539"/>
      <c r="J117" s="540"/>
      <c r="K117" s="892"/>
      <c r="L117" s="892"/>
      <c r="M117" s="538"/>
      <c r="N117" s="545"/>
      <c r="O117" s="539"/>
      <c r="P117" s="540"/>
      <c r="Q117" s="544"/>
      <c r="R117" s="544"/>
      <c r="S117" s="415"/>
    </row>
    <row r="118" spans="1:19" ht="15.75" thickBot="1">
      <c r="B118" s="871"/>
      <c r="C118" s="489" t="s">
        <v>805</v>
      </c>
      <c r="D118" s="490">
        <v>1</v>
      </c>
      <c r="E118" s="490" t="s">
        <v>5</v>
      </c>
      <c r="F118" s="509"/>
      <c r="G118" s="415"/>
      <c r="H118" s="545"/>
      <c r="I118" s="539"/>
      <c r="J118" s="540"/>
      <c r="K118" s="446"/>
      <c r="L118" s="446"/>
      <c r="M118" s="538"/>
      <c r="N118" s="545"/>
      <c r="O118" s="539"/>
      <c r="P118" s="540"/>
      <c r="Q118" s="538"/>
      <c r="R118" s="538"/>
      <c r="S118" s="415"/>
    </row>
    <row r="119" spans="1:19">
      <c r="B119" s="866" t="s">
        <v>777</v>
      </c>
      <c r="C119" s="515" t="s">
        <v>75</v>
      </c>
      <c r="D119" s="491">
        <v>1206</v>
      </c>
      <c r="E119" s="491"/>
      <c r="F119" s="507"/>
      <c r="G119" s="415"/>
      <c r="H119" s="545"/>
      <c r="I119" s="539"/>
      <c r="J119" s="540"/>
      <c r="K119" s="892"/>
      <c r="L119" s="892"/>
      <c r="M119" s="538"/>
      <c r="N119" s="545"/>
      <c r="O119" s="539"/>
      <c r="P119" s="540"/>
      <c r="Q119" s="544"/>
      <c r="R119" s="544"/>
      <c r="S119" s="415"/>
    </row>
    <row r="120" spans="1:19" ht="15.75" thickBot="1">
      <c r="B120" s="867"/>
      <c r="C120" s="489" t="s">
        <v>73</v>
      </c>
      <c r="D120" s="490">
        <v>13</v>
      </c>
      <c r="E120" s="490" t="s">
        <v>76</v>
      </c>
      <c r="F120" s="509"/>
      <c r="G120" s="415"/>
      <c r="H120" s="538"/>
      <c r="I120" s="538"/>
      <c r="J120" s="538"/>
      <c r="K120" s="538"/>
      <c r="L120" s="538"/>
      <c r="M120" s="538"/>
      <c r="N120" s="545"/>
      <c r="O120" s="546"/>
      <c r="P120" s="540"/>
      <c r="Q120" s="544"/>
      <c r="R120" s="544"/>
      <c r="S120" s="415"/>
    </row>
    <row r="121" spans="1:19" ht="19.5" thickBot="1">
      <c r="B121" s="609" t="s">
        <v>778</v>
      </c>
      <c r="C121" s="492"/>
      <c r="D121" s="493" t="s">
        <v>162</v>
      </c>
      <c r="E121" s="494"/>
      <c r="F121" s="610"/>
      <c r="G121" s="415"/>
      <c r="H121" s="538"/>
      <c r="I121" s="538"/>
      <c r="J121" s="538"/>
      <c r="K121" s="538"/>
      <c r="L121" s="538"/>
      <c r="M121" s="538"/>
      <c r="N121" s="538"/>
      <c r="O121" s="538"/>
      <c r="P121" s="538"/>
      <c r="Q121" s="538"/>
      <c r="R121" s="538"/>
      <c r="S121" s="415"/>
    </row>
    <row r="122" spans="1:19">
      <c r="B122" s="872" t="s">
        <v>779</v>
      </c>
      <c r="C122" s="495" t="s">
        <v>808</v>
      </c>
      <c r="D122" s="496" t="s">
        <v>745</v>
      </c>
      <c r="E122" s="497" t="s">
        <v>20</v>
      </c>
      <c r="F122" s="607"/>
      <c r="G122" s="415"/>
      <c r="H122" s="538"/>
      <c r="I122" s="538"/>
      <c r="J122" s="538"/>
      <c r="K122" s="538"/>
      <c r="L122" s="538"/>
      <c r="M122" s="538"/>
      <c r="N122" s="538"/>
      <c r="O122" s="538"/>
      <c r="P122" s="538"/>
      <c r="Q122" s="538"/>
      <c r="R122" s="538"/>
      <c r="S122" s="415"/>
    </row>
    <row r="123" spans="1:19" s="433" customFormat="1">
      <c r="B123" s="873"/>
      <c r="C123" s="498" t="s">
        <v>807</v>
      </c>
      <c r="D123" s="499">
        <v>0.35</v>
      </c>
      <c r="E123" s="500" t="s">
        <v>5</v>
      </c>
      <c r="F123" s="611"/>
      <c r="G123" s="415"/>
      <c r="H123" s="415"/>
      <c r="I123" s="415"/>
      <c r="J123" s="415"/>
      <c r="K123" s="415"/>
      <c r="L123" s="415"/>
      <c r="M123" s="415"/>
      <c r="N123" s="415"/>
      <c r="O123" s="415"/>
      <c r="P123" s="415"/>
      <c r="Q123" s="415"/>
      <c r="R123" s="415"/>
      <c r="S123" s="415"/>
    </row>
    <row r="124" spans="1:19" ht="20.25" thickBot="1">
      <c r="B124" s="874"/>
      <c r="C124" s="501" t="s">
        <v>903</v>
      </c>
      <c r="D124" s="502" t="s">
        <v>789</v>
      </c>
      <c r="E124" s="490" t="s">
        <v>10</v>
      </c>
      <c r="F124" s="509"/>
      <c r="G124" s="475"/>
    </row>
    <row r="125" spans="1:19">
      <c r="B125" s="860" t="s">
        <v>780</v>
      </c>
      <c r="C125" s="515" t="s">
        <v>75</v>
      </c>
      <c r="D125" s="503" t="s">
        <v>746</v>
      </c>
      <c r="E125" s="497"/>
      <c r="F125" s="607"/>
    </row>
    <row r="126" spans="1:19">
      <c r="B126" s="861"/>
      <c r="C126" s="487" t="s">
        <v>804</v>
      </c>
      <c r="D126" s="488">
        <v>30</v>
      </c>
      <c r="E126" s="504" t="s">
        <v>6</v>
      </c>
      <c r="F126" s="608"/>
    </row>
    <row r="127" spans="1:19" ht="15.75" thickBot="1">
      <c r="B127" s="862"/>
      <c r="C127" s="489" t="s">
        <v>805</v>
      </c>
      <c r="D127" s="490">
        <v>0.8</v>
      </c>
      <c r="E127" s="490" t="s">
        <v>5</v>
      </c>
      <c r="F127" s="509"/>
    </row>
    <row r="128" spans="1:19" ht="19.5" thickBot="1">
      <c r="B128" s="612" t="s">
        <v>781</v>
      </c>
      <c r="C128" s="505"/>
      <c r="D128" s="494">
        <v>47</v>
      </c>
      <c r="E128" s="494" t="s">
        <v>54</v>
      </c>
      <c r="F128" s="610"/>
    </row>
    <row r="129" spans="2:10">
      <c r="B129" s="865" t="s">
        <v>782</v>
      </c>
      <c r="C129" s="515" t="s">
        <v>75</v>
      </c>
      <c r="D129" s="503" t="s">
        <v>746</v>
      </c>
      <c r="E129" s="497"/>
      <c r="F129" s="607"/>
    </row>
    <row r="130" spans="2:10">
      <c r="B130" s="863"/>
      <c r="C130" s="487" t="s">
        <v>804</v>
      </c>
      <c r="D130" s="488">
        <v>150</v>
      </c>
      <c r="E130" s="504" t="s">
        <v>6</v>
      </c>
      <c r="F130" s="608"/>
    </row>
    <row r="131" spans="2:10" ht="15.75" thickBot="1">
      <c r="B131" s="863"/>
      <c r="C131" s="489" t="s">
        <v>805</v>
      </c>
      <c r="D131" s="488">
        <v>1</v>
      </c>
      <c r="E131" s="488" t="s">
        <v>5</v>
      </c>
      <c r="F131" s="608"/>
    </row>
    <row r="132" spans="2:10" s="433" customFormat="1" ht="16.899999999999999" customHeight="1">
      <c r="B132" s="865" t="s">
        <v>783</v>
      </c>
      <c r="C132" s="515" t="s">
        <v>75</v>
      </c>
      <c r="D132" s="506" t="s">
        <v>747</v>
      </c>
      <c r="E132" s="491"/>
      <c r="F132" s="507" t="s">
        <v>766</v>
      </c>
    </row>
    <row r="133" spans="2:10" ht="15.75" thickBot="1">
      <c r="B133" s="864"/>
      <c r="C133" s="489" t="s">
        <v>803</v>
      </c>
      <c r="D133" s="490">
        <v>24</v>
      </c>
      <c r="E133" s="508" t="s">
        <v>6</v>
      </c>
      <c r="F133" s="509"/>
    </row>
    <row r="134" spans="2:10" ht="16.5" thickBot="1">
      <c r="B134" s="554"/>
      <c r="C134" s="510"/>
      <c r="D134" s="511"/>
      <c r="E134" s="511"/>
      <c r="F134" s="613"/>
      <c r="G134" s="686"/>
      <c r="H134" s="710"/>
      <c r="I134" s="710"/>
      <c r="J134" s="415"/>
    </row>
    <row r="135" spans="2:10" ht="19.5" thickBot="1">
      <c r="B135" s="614" t="s">
        <v>784</v>
      </c>
      <c r="C135" s="505"/>
      <c r="D135" s="494">
        <v>22</v>
      </c>
      <c r="E135" s="494" t="s">
        <v>748</v>
      </c>
      <c r="F135" s="610"/>
    </row>
    <row r="136" spans="2:10">
      <c r="B136" s="865" t="s">
        <v>785</v>
      </c>
      <c r="C136" s="515" t="s">
        <v>75</v>
      </c>
      <c r="D136" s="506" t="s">
        <v>749</v>
      </c>
      <c r="E136" s="491"/>
      <c r="F136" s="507" t="s">
        <v>765</v>
      </c>
    </row>
    <row r="137" spans="2:10">
      <c r="B137" s="863"/>
      <c r="C137" s="618" t="s">
        <v>803</v>
      </c>
      <c r="D137" s="500">
        <v>20</v>
      </c>
      <c r="E137" s="500" t="s">
        <v>6</v>
      </c>
      <c r="F137" s="611"/>
    </row>
    <row r="138" spans="2:10" ht="15.75" thickBot="1">
      <c r="B138" s="864"/>
      <c r="C138" s="510" t="s">
        <v>806</v>
      </c>
      <c r="D138" s="511">
        <v>300</v>
      </c>
      <c r="E138" s="511" t="s">
        <v>750</v>
      </c>
      <c r="F138" s="613"/>
    </row>
    <row r="139" spans="2:10" ht="16.5" thickBot="1">
      <c r="B139" s="616"/>
      <c r="C139" s="513"/>
      <c r="D139" s="514"/>
      <c r="E139" s="514"/>
      <c r="F139" s="610"/>
      <c r="G139" s="446"/>
    </row>
    <row r="140" spans="2:10" ht="16.5" thickBot="1">
      <c r="B140" s="616"/>
      <c r="C140" s="513"/>
      <c r="D140" s="514"/>
      <c r="E140" s="514"/>
      <c r="F140" s="610"/>
      <c r="G140" s="446"/>
    </row>
    <row r="141" spans="2:10">
      <c r="B141" s="860" t="s">
        <v>786</v>
      </c>
      <c r="C141" s="515" t="s">
        <v>75</v>
      </c>
      <c r="D141" s="506" t="s">
        <v>746</v>
      </c>
      <c r="E141" s="491"/>
      <c r="F141" s="507"/>
    </row>
    <row r="142" spans="2:10">
      <c r="B142" s="863"/>
      <c r="C142" s="487" t="s">
        <v>804</v>
      </c>
      <c r="D142" s="512">
        <v>30</v>
      </c>
      <c r="E142" s="512" t="s">
        <v>6</v>
      </c>
      <c r="F142" s="615"/>
    </row>
    <row r="143" spans="2:10" ht="15.75" thickBot="1">
      <c r="B143" s="864"/>
      <c r="C143" s="489" t="s">
        <v>805</v>
      </c>
      <c r="D143" s="490">
        <v>0.2</v>
      </c>
      <c r="E143" s="490" t="s">
        <v>5</v>
      </c>
      <c r="F143" s="509"/>
    </row>
    <row r="144" spans="2:10" ht="19.5" thickBot="1">
      <c r="B144" s="614" t="s">
        <v>787</v>
      </c>
      <c r="C144" s="505"/>
      <c r="D144" s="494">
        <v>22</v>
      </c>
      <c r="E144" s="494" t="s">
        <v>748</v>
      </c>
      <c r="F144" s="610"/>
    </row>
    <row r="145" spans="2:11">
      <c r="B145" s="860" t="s">
        <v>788</v>
      </c>
      <c r="C145" s="515" t="s">
        <v>75</v>
      </c>
      <c r="D145" s="503" t="s">
        <v>751</v>
      </c>
      <c r="E145" s="497"/>
      <c r="F145" s="607"/>
    </row>
    <row r="146" spans="2:11">
      <c r="B146" s="861"/>
      <c r="C146" s="487" t="s">
        <v>804</v>
      </c>
      <c r="D146" s="488">
        <v>600</v>
      </c>
      <c r="E146" s="488" t="s">
        <v>6</v>
      </c>
      <c r="F146" s="608"/>
    </row>
    <row r="147" spans="2:11" ht="15.75" thickBot="1">
      <c r="B147" s="862"/>
      <c r="C147" s="489" t="s">
        <v>805</v>
      </c>
      <c r="D147" s="490">
        <v>1</v>
      </c>
      <c r="E147" s="490" t="s">
        <v>5</v>
      </c>
      <c r="F147" s="509"/>
    </row>
    <row r="148" spans="2:11" ht="16.5" thickBot="1">
      <c r="B148" s="614"/>
      <c r="C148" s="505"/>
      <c r="D148" s="494"/>
      <c r="E148" s="494"/>
      <c r="F148" s="610"/>
      <c r="G148" s="686"/>
      <c r="H148" s="415"/>
      <c r="I148" s="415"/>
      <c r="J148" s="415"/>
      <c r="K148" s="415"/>
    </row>
    <row r="149" spans="2:11" ht="16.5" thickBot="1">
      <c r="B149" s="612"/>
      <c r="C149" s="492"/>
      <c r="D149" s="494"/>
      <c r="E149" s="494"/>
      <c r="F149" s="610"/>
      <c r="G149" s="686"/>
      <c r="H149" s="415"/>
      <c r="I149" s="415"/>
      <c r="J149" s="415"/>
      <c r="K149" s="415"/>
    </row>
    <row r="150" spans="2:11" ht="16.5" thickBot="1">
      <c r="B150" s="617"/>
      <c r="C150" s="516"/>
      <c r="D150" s="494"/>
      <c r="E150" s="494"/>
      <c r="F150" s="610"/>
    </row>
  </sheetData>
  <sheetProtection algorithmName="SHA-512" hashValue="bWTkuFraF7Ns5Flyte+CMdctYbHydw8unY/GDfdXhqg8KnCEpA67Sv4LO9VuwY2QqwmCQkIUP2GNcCk/QbgNEg==" saltValue="6wNlHHjpui6YFeHxuODmYA==" spinCount="100000" sheet="1" objects="1" scenarios="1"/>
  <mergeCells count="95">
    <mergeCell ref="K117:L117"/>
    <mergeCell ref="K119:L119"/>
    <mergeCell ref="B44:F44"/>
    <mergeCell ref="B51:B54"/>
    <mergeCell ref="D51:F51"/>
    <mergeCell ref="E54:F54"/>
    <mergeCell ref="B75:F75"/>
    <mergeCell ref="B76:B78"/>
    <mergeCell ref="D76:F76"/>
    <mergeCell ref="E78:F78"/>
    <mergeCell ref="B55:F55"/>
    <mergeCell ref="B56:B58"/>
    <mergeCell ref="D56:F56"/>
    <mergeCell ref="E58:F58"/>
    <mergeCell ref="B59:F59"/>
    <mergeCell ref="B60:B62"/>
    <mergeCell ref="B3:F3"/>
    <mergeCell ref="C4:F4"/>
    <mergeCell ref="B5:F5"/>
    <mergeCell ref="E7:F7"/>
    <mergeCell ref="B6:B7"/>
    <mergeCell ref="B10:F10"/>
    <mergeCell ref="B8:F8"/>
    <mergeCell ref="B16:F16"/>
    <mergeCell ref="B18:F18"/>
    <mergeCell ref="B22:F22"/>
    <mergeCell ref="B20:F20"/>
    <mergeCell ref="B14:F14"/>
    <mergeCell ref="B12:F12"/>
    <mergeCell ref="B24:F24"/>
    <mergeCell ref="B28:F28"/>
    <mergeCell ref="B38:F38"/>
    <mergeCell ref="B32:F32"/>
    <mergeCell ref="B26:F26"/>
    <mergeCell ref="B30:F30"/>
    <mergeCell ref="B34:F34"/>
    <mergeCell ref="B36:F36"/>
    <mergeCell ref="B40:F40"/>
    <mergeCell ref="B46:F46"/>
    <mergeCell ref="D47:F47"/>
    <mergeCell ref="B42:F42"/>
    <mergeCell ref="B47:B49"/>
    <mergeCell ref="E49:F49"/>
    <mergeCell ref="D60:F60"/>
    <mergeCell ref="E62:F62"/>
    <mergeCell ref="B63:F63"/>
    <mergeCell ref="B50:F50"/>
    <mergeCell ref="B87:F87"/>
    <mergeCell ref="D80:F80"/>
    <mergeCell ref="E82:F82"/>
    <mergeCell ref="B84:B86"/>
    <mergeCell ref="D84:F84"/>
    <mergeCell ref="E86:F86"/>
    <mergeCell ref="B83:F83"/>
    <mergeCell ref="B88:B90"/>
    <mergeCell ref="D88:F88"/>
    <mergeCell ref="E90:F90"/>
    <mergeCell ref="B64:B66"/>
    <mergeCell ref="D64:F64"/>
    <mergeCell ref="E66:F66"/>
    <mergeCell ref="B71:F71"/>
    <mergeCell ref="B72:B74"/>
    <mergeCell ref="D72:F72"/>
    <mergeCell ref="E74:F74"/>
    <mergeCell ref="B67:F67"/>
    <mergeCell ref="B68:B70"/>
    <mergeCell ref="D68:F68"/>
    <mergeCell ref="E70:F70"/>
    <mergeCell ref="B79:F79"/>
    <mergeCell ref="B80:B82"/>
    <mergeCell ref="B104:B111"/>
    <mergeCell ref="B92:B94"/>
    <mergeCell ref="D92:F92"/>
    <mergeCell ref="E94:F94"/>
    <mergeCell ref="B99:F99"/>
    <mergeCell ref="B95:F95"/>
    <mergeCell ref="B96:B98"/>
    <mergeCell ref="D96:F96"/>
    <mergeCell ref="E98:F98"/>
    <mergeCell ref="B145:B147"/>
    <mergeCell ref="B141:B143"/>
    <mergeCell ref="B136:B138"/>
    <mergeCell ref="B119:B120"/>
    <mergeCell ref="V3:W5"/>
    <mergeCell ref="B132:B133"/>
    <mergeCell ref="B116:B118"/>
    <mergeCell ref="B122:B124"/>
    <mergeCell ref="B125:B127"/>
    <mergeCell ref="B129:B131"/>
    <mergeCell ref="B91:F91"/>
    <mergeCell ref="B112:F112"/>
    <mergeCell ref="B100:B102"/>
    <mergeCell ref="D100:F100"/>
    <mergeCell ref="E102:F102"/>
    <mergeCell ref="B103:F103"/>
  </mergeCells>
  <phoneticPr fontId="32" type="noConversion"/>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W234"/>
  <sheetViews>
    <sheetView zoomScaleNormal="100" workbookViewId="0"/>
  </sheetViews>
  <sheetFormatPr defaultRowHeight="15"/>
  <cols>
    <col min="1" max="1" width="5.28515625" customWidth="1"/>
    <col min="2" max="2" width="64.7109375" customWidth="1"/>
    <col min="3" max="3" width="16.7109375" style="24" customWidth="1"/>
    <col min="4" max="4" width="13.5703125" customWidth="1"/>
    <col min="5" max="5" width="5.7109375" customWidth="1"/>
    <col min="6" max="6" width="25.7109375" customWidth="1"/>
    <col min="7" max="7" width="9.7109375" customWidth="1"/>
    <col min="18" max="18" width="8.85546875" customWidth="1"/>
  </cols>
  <sheetData>
    <row r="1" spans="1:23" ht="19.5" thickBot="1">
      <c r="A1" s="84"/>
      <c r="B1" s="84"/>
      <c r="C1" s="112"/>
      <c r="D1" s="84"/>
      <c r="E1" s="84"/>
      <c r="F1" s="84"/>
      <c r="G1" s="59"/>
      <c r="H1" s="59"/>
      <c r="I1" s="59"/>
      <c r="J1" s="60"/>
      <c r="K1" s="60"/>
      <c r="L1" s="60"/>
      <c r="M1" s="60"/>
      <c r="N1" s="60"/>
      <c r="O1" s="60"/>
      <c r="P1" s="60"/>
      <c r="Q1" s="60"/>
      <c r="R1" s="60"/>
      <c r="S1" s="60"/>
      <c r="T1" s="64"/>
      <c r="U1" s="59"/>
      <c r="V1" s="59"/>
      <c r="W1" s="59"/>
    </row>
    <row r="2" spans="1:23" ht="21.75" thickBot="1">
      <c r="A2" s="35"/>
      <c r="B2" s="893" t="s">
        <v>46</v>
      </c>
      <c r="C2" s="894"/>
      <c r="D2" s="894"/>
      <c r="E2" s="894"/>
      <c r="F2" s="895"/>
      <c r="G2" s="65"/>
      <c r="H2" s="410"/>
      <c r="I2" s="436"/>
      <c r="J2" s="562" t="s">
        <v>905</v>
      </c>
      <c r="K2" s="434"/>
      <c r="L2" s="433"/>
      <c r="M2" s="433"/>
      <c r="N2" s="433"/>
      <c r="O2" s="433"/>
      <c r="P2" s="433"/>
      <c r="Q2" s="433"/>
      <c r="R2" s="433"/>
      <c r="S2" s="433"/>
      <c r="T2" s="433"/>
      <c r="U2" s="433"/>
      <c r="V2" s="59"/>
      <c r="W2" s="59"/>
    </row>
    <row r="3" spans="1:23" ht="18.75">
      <c r="A3" s="13"/>
      <c r="B3" s="10" t="s">
        <v>849</v>
      </c>
      <c r="C3" s="16" t="s">
        <v>486</v>
      </c>
      <c r="D3" s="113">
        <f>SQRT(LK_act/Cclamp)*(ID_SR_max*0.9)/NPS</f>
        <v>6.937459350943203</v>
      </c>
      <c r="E3" s="94" t="s">
        <v>12</v>
      </c>
      <c r="F3" s="95"/>
      <c r="G3" s="65"/>
      <c r="H3" s="65"/>
      <c r="I3" s="436"/>
      <c r="J3" s="453"/>
      <c r="K3" s="454"/>
      <c r="L3" s="455"/>
      <c r="M3" s="455"/>
      <c r="N3" s="456"/>
      <c r="O3" s="433"/>
      <c r="P3" s="433"/>
      <c r="Q3" s="433"/>
      <c r="R3" s="433"/>
      <c r="S3" s="433"/>
      <c r="T3" s="433"/>
      <c r="U3" s="433"/>
      <c r="V3" s="59"/>
      <c r="W3" s="59"/>
    </row>
    <row r="4" spans="1:23" ht="18.75">
      <c r="A4" s="13"/>
      <c r="B4" s="10" t="s">
        <v>850</v>
      </c>
      <c r="C4" s="16" t="s">
        <v>487</v>
      </c>
      <c r="D4" s="113">
        <f>SQRT(LK_act/Cclamp)*(IQH_max*0.9)</f>
        <v>62.437134158488831</v>
      </c>
      <c r="E4" s="94" t="s">
        <v>12</v>
      </c>
      <c r="F4" s="95"/>
      <c r="G4" s="65"/>
      <c r="H4" s="65"/>
      <c r="I4" s="436"/>
      <c r="J4" s="457"/>
      <c r="K4" s="146"/>
      <c r="L4" s="450"/>
      <c r="M4" s="450"/>
      <c r="N4" s="458"/>
      <c r="O4" s="433"/>
      <c r="P4" s="433"/>
      <c r="Q4" s="433"/>
      <c r="R4" s="433"/>
      <c r="S4" s="433"/>
      <c r="T4" s="433"/>
      <c r="U4" s="433"/>
      <c r="V4" s="59"/>
      <c r="W4" s="59"/>
    </row>
    <row r="5" spans="1:23" ht="19.5" thickBot="1">
      <c r="A5" s="13"/>
      <c r="B5" s="3" t="s">
        <v>851</v>
      </c>
      <c r="C5" s="17" t="s">
        <v>488</v>
      </c>
      <c r="D5" s="114">
        <f>MIN(Vclamp_max_SR,Vclamp_max_QH)</f>
        <v>6.937459350943203</v>
      </c>
      <c r="E5" s="102" t="s">
        <v>12</v>
      </c>
      <c r="F5" s="101"/>
      <c r="G5" s="65"/>
      <c r="H5" s="59"/>
      <c r="I5" s="434"/>
      <c r="J5" s="459"/>
      <c r="K5" s="450"/>
      <c r="L5" s="450"/>
      <c r="M5" s="450"/>
      <c r="N5" s="458"/>
      <c r="O5" s="433"/>
      <c r="P5" s="418" t="s">
        <v>904</v>
      </c>
      <c r="Q5" s="433"/>
      <c r="R5" s="433"/>
      <c r="S5" s="433"/>
      <c r="T5" s="433"/>
      <c r="U5" s="433"/>
      <c r="V5" s="59"/>
      <c r="W5" s="59"/>
    </row>
    <row r="6" spans="1:23" ht="15.75" thickBot="1">
      <c r="A6" s="35"/>
      <c r="B6" s="36"/>
      <c r="C6" s="115"/>
      <c r="D6" s="36"/>
      <c r="E6" s="36"/>
      <c r="F6" s="36"/>
      <c r="G6" s="65"/>
      <c r="H6" s="65"/>
      <c r="I6" s="434"/>
      <c r="J6" s="459"/>
      <c r="K6" s="450"/>
      <c r="L6" s="450"/>
      <c r="M6" s="450"/>
      <c r="N6" s="458"/>
      <c r="O6" s="433"/>
      <c r="P6" s="450"/>
      <c r="Q6" s="433"/>
      <c r="R6" s="433"/>
      <c r="S6" s="433"/>
      <c r="T6" s="433"/>
      <c r="U6" s="433"/>
      <c r="V6" s="59"/>
      <c r="W6" s="59"/>
    </row>
    <row r="7" spans="1:23" ht="21">
      <c r="A7" s="35"/>
      <c r="B7" s="49" t="s">
        <v>717</v>
      </c>
      <c r="C7" s="116"/>
      <c r="D7" s="50" t="s">
        <v>362</v>
      </c>
      <c r="E7" s="50"/>
      <c r="F7" s="51"/>
      <c r="G7" s="67"/>
      <c r="H7" s="65"/>
      <c r="I7" s="433"/>
      <c r="J7" s="471" t="s">
        <v>771</v>
      </c>
      <c r="K7" s="451">
        <v>2.2000000000000002</v>
      </c>
      <c r="L7" s="452" t="s">
        <v>6</v>
      </c>
      <c r="M7" s="512" t="s">
        <v>1111</v>
      </c>
      <c r="N7" s="656"/>
      <c r="O7" s="433"/>
      <c r="P7" s="662" t="s">
        <v>771</v>
      </c>
      <c r="Q7" s="663">
        <v>2.2000000000000002</v>
      </c>
      <c r="R7" s="664" t="s">
        <v>6</v>
      </c>
      <c r="S7" s="512" t="s">
        <v>1111</v>
      </c>
      <c r="T7" s="665"/>
      <c r="U7" s="433"/>
      <c r="V7" s="59"/>
      <c r="W7" s="59"/>
    </row>
    <row r="8" spans="1:23" ht="18.75">
      <c r="A8" s="35"/>
      <c r="B8" s="2" t="s">
        <v>852</v>
      </c>
      <c r="C8" s="15" t="s">
        <v>481</v>
      </c>
      <c r="D8" s="117">
        <f>IF(Vin_type="AC",(NPS*(VOUT+Vf_SR))/(VINPUT_Brownin*1.414+NPS*(VOUT+Vf_SR)),(NPS*(VOUT+Vf_SR))/(VINPUT_Brownin+NPS*(VOUT+Vf_SR)))</f>
        <v>0.57692307692307687</v>
      </c>
      <c r="E8" s="47"/>
      <c r="F8" s="118"/>
      <c r="G8" s="65"/>
      <c r="H8" s="68"/>
      <c r="I8" s="433"/>
      <c r="J8" s="471" t="s">
        <v>772</v>
      </c>
      <c r="K8" s="448">
        <v>1.23</v>
      </c>
      <c r="L8" s="449" t="s">
        <v>6</v>
      </c>
      <c r="M8" s="657" t="s">
        <v>1109</v>
      </c>
      <c r="N8" s="658"/>
      <c r="O8" s="433"/>
      <c r="P8" s="471" t="s">
        <v>772</v>
      </c>
      <c r="Q8" s="448">
        <v>1.23</v>
      </c>
      <c r="R8" s="449" t="s">
        <v>6</v>
      </c>
      <c r="S8" s="657" t="s">
        <v>1109</v>
      </c>
      <c r="T8" s="656"/>
      <c r="U8" s="433"/>
      <c r="V8" s="59"/>
      <c r="W8" s="59"/>
    </row>
    <row r="9" spans="1:23" ht="18.75">
      <c r="A9" s="35"/>
      <c r="B9" s="119" t="s">
        <v>853</v>
      </c>
      <c r="C9" s="120" t="s">
        <v>482</v>
      </c>
      <c r="D9" s="121">
        <f>IF(Vin_type="AC",PO_FL*OPP*0.01/(ηXFMR*1.414*VINPUT_Brownin),PO_FL*OPP*0.01/(ηXFMR*VINPUT_Brownin))</f>
        <v>0.28409090909090912</v>
      </c>
      <c r="E9" s="122" t="s">
        <v>22</v>
      </c>
      <c r="F9" s="118"/>
      <c r="G9" s="65"/>
      <c r="H9" s="68"/>
      <c r="I9" s="433"/>
      <c r="J9" s="471" t="s">
        <v>773</v>
      </c>
      <c r="K9" s="451">
        <f>1.4*1</f>
        <v>1.4</v>
      </c>
      <c r="L9" s="452" t="s">
        <v>10</v>
      </c>
      <c r="M9" s="896" t="s">
        <v>775</v>
      </c>
      <c r="N9" s="897"/>
      <c r="O9" s="433"/>
      <c r="P9" s="471" t="s">
        <v>773</v>
      </c>
      <c r="Q9" s="451">
        <f>1.4*1.2</f>
        <v>1.68</v>
      </c>
      <c r="R9" s="452" t="s">
        <v>10</v>
      </c>
      <c r="S9" s="661" t="s">
        <v>1110</v>
      </c>
      <c r="T9" s="666"/>
      <c r="U9" s="433"/>
      <c r="V9" s="59"/>
      <c r="W9" s="59"/>
    </row>
    <row r="10" spans="1:23" ht="18.75">
      <c r="A10" s="35"/>
      <c r="B10" s="2" t="s">
        <v>854</v>
      </c>
      <c r="C10" s="15" t="s">
        <v>483</v>
      </c>
      <c r="D10" s="123">
        <f>IF(Vin_type="AC",-SQRT(CSWN_T_vbi*(10^-12)/(LM*(10^-6)))*1.414*VINPUT_Brownin,-SQRT(CSWN_T_vbi*(10^-12)/(LM*(10^-6)))*VINPUT_Brownin)</f>
        <v>-8.7767654381073423E-2</v>
      </c>
      <c r="E10" s="124" t="s">
        <v>22</v>
      </c>
      <c r="F10" s="125"/>
      <c r="G10" s="65"/>
      <c r="H10" s="68"/>
      <c r="I10" s="433"/>
      <c r="J10" s="471" t="s">
        <v>774</v>
      </c>
      <c r="K10" s="451">
        <v>0.33500000000000002</v>
      </c>
      <c r="L10" s="452" t="s">
        <v>5</v>
      </c>
      <c r="M10" s="659"/>
      <c r="N10" s="660"/>
      <c r="O10" s="433"/>
      <c r="P10" s="471" t="s">
        <v>774</v>
      </c>
      <c r="Q10" s="451">
        <v>0.33500000000000002</v>
      </c>
      <c r="R10" s="452" t="s">
        <v>5</v>
      </c>
      <c r="S10" s="512"/>
      <c r="T10" s="656"/>
      <c r="U10" s="433"/>
      <c r="V10" s="59"/>
      <c r="W10" s="59"/>
    </row>
    <row r="11" spans="1:23" ht="19.5" thickBot="1">
      <c r="A11" s="35"/>
      <c r="B11" s="2" t="s">
        <v>855</v>
      </c>
      <c r="C11" s="15" t="s">
        <v>484</v>
      </c>
      <c r="D11" s="123">
        <f>IF(Vin_type="AC",(1.414*VINPUT_Brownin*DOPP_run^2)/(2*(LM*10^-6)*IIN_OPP_run-DOPP_run*(LM*10^-6)*(IM_nega_run)+DOPP_run*1.414*VINPUT_Brownin*(IF(VINPUT_Brownin&gt;NPS*(VOUT+Vf_SR),3.1416-ACOS(NPS*(VOUT+Vf_SR)/VINPUT_Brownin),3.1416-ACOS(VINPUT_Brownin/(NPS*(VOUT+Vf_SR)))))*SQRT((LM*10^-6)*(CSWN_T_vbi*10^-12)))/1000,(VINPUT_Brownin*DOPP_run^2)/(2*(LM*10^-6)*IIN_OPP_run-DOPP_run*(LM*10^-6)*(IM_nega_run)+DOPP_run*VINPUT_Brownin*(IF(VINPUT_Brownin&gt;NPS*(VOUT+Vf_SR),3.1416-ACOS(NPS*(VOUT+Vf_SR)/VINPUT_Brownin),3.1416-ACOS(VINPUT_Brownin/(NPS*(VOUT+Vf_SR)))))*SQRT((LM*10^-6)*(CSWN_T_vbi*10^-12)))/1000)</f>
        <v>82.456136931861138</v>
      </c>
      <c r="E11" s="124" t="s">
        <v>8</v>
      </c>
      <c r="F11" s="126"/>
      <c r="G11" s="65"/>
      <c r="H11" s="68"/>
      <c r="I11" s="433"/>
      <c r="J11" s="472" t="s">
        <v>770</v>
      </c>
      <c r="K11" s="460">
        <f>(K7-K8-K9*K10)/K10</f>
        <v>1.4955223880597022</v>
      </c>
      <c r="L11" s="461" t="s">
        <v>10</v>
      </c>
      <c r="M11" s="898" t="s">
        <v>775</v>
      </c>
      <c r="N11" s="899"/>
      <c r="O11" s="433"/>
      <c r="P11" s="471" t="s">
        <v>770</v>
      </c>
      <c r="Q11" s="451">
        <f>(Q7-Q8-Q9*Q10)/Q10</f>
        <v>1.2155223880597021</v>
      </c>
      <c r="R11" s="452" t="s">
        <v>10</v>
      </c>
      <c r="S11" s="463" t="s">
        <v>1108</v>
      </c>
      <c r="T11" s="667"/>
      <c r="U11" s="433"/>
      <c r="V11" s="59"/>
      <c r="W11" s="59"/>
    </row>
    <row r="12" spans="1:23" ht="19.5" thickBot="1">
      <c r="A12" s="35"/>
      <c r="B12" s="3" t="s">
        <v>856</v>
      </c>
      <c r="C12" s="17" t="s">
        <v>485</v>
      </c>
      <c r="D12" s="114">
        <f>SQRT(IM_nega_run^2+2*(PO_FL*OPP*0.01/ηXFMR)*(1/(fsw_OPP_run*1000*LM*10^-6)))</f>
        <v>1.1273868395001796</v>
      </c>
      <c r="E12" s="48" t="s">
        <v>22</v>
      </c>
      <c r="F12" s="127"/>
      <c r="G12" s="65"/>
      <c r="H12" s="70"/>
      <c r="I12" s="433"/>
      <c r="J12" s="433"/>
      <c r="K12" s="433"/>
      <c r="L12" s="433"/>
      <c r="M12" s="433"/>
      <c r="N12" s="433"/>
      <c r="O12" s="433"/>
      <c r="P12" s="668" t="s">
        <v>770</v>
      </c>
      <c r="Q12" s="669">
        <f>Q11/1.2</f>
        <v>1.0129353233830851</v>
      </c>
      <c r="R12" s="670" t="s">
        <v>10</v>
      </c>
      <c r="S12" s="671" t="s">
        <v>790</v>
      </c>
      <c r="T12" s="672"/>
      <c r="U12" s="433"/>
      <c r="V12" s="59"/>
      <c r="W12" s="59"/>
    </row>
    <row r="13" spans="1:23" ht="15.75" thickBot="1">
      <c r="A13" s="35"/>
      <c r="B13" s="36"/>
      <c r="C13" s="115"/>
      <c r="D13" s="36"/>
      <c r="E13" s="36"/>
      <c r="F13" s="36"/>
      <c r="G13" s="65"/>
      <c r="H13" s="65"/>
      <c r="I13" s="433"/>
      <c r="J13" s="433"/>
      <c r="K13" s="433"/>
      <c r="L13" s="433"/>
      <c r="M13" s="433"/>
      <c r="N13" s="433"/>
      <c r="O13" s="433"/>
      <c r="P13" s="433"/>
      <c r="Q13" s="433"/>
      <c r="R13" s="433"/>
      <c r="S13" s="433"/>
      <c r="T13" s="433"/>
      <c r="U13" s="433"/>
      <c r="V13" s="59"/>
      <c r="W13" s="59"/>
    </row>
    <row r="14" spans="1:23" ht="21">
      <c r="A14" s="35"/>
      <c r="B14" s="49" t="s">
        <v>34</v>
      </c>
      <c r="C14" s="18"/>
      <c r="D14" s="50" t="s">
        <v>363</v>
      </c>
      <c r="E14" s="50"/>
      <c r="F14" s="51"/>
      <c r="G14" s="67"/>
      <c r="H14" s="65"/>
      <c r="I14" s="433"/>
      <c r="J14" s="433"/>
      <c r="K14" s="433"/>
      <c r="L14" s="433"/>
      <c r="M14" s="433"/>
      <c r="N14" s="433"/>
      <c r="O14" s="433"/>
      <c r="P14" s="433"/>
      <c r="Q14" s="433"/>
      <c r="R14" s="433"/>
      <c r="S14" s="433"/>
      <c r="T14" s="433"/>
      <c r="U14" s="433"/>
      <c r="V14" s="59"/>
      <c r="W14" s="59"/>
    </row>
    <row r="15" spans="1:23" ht="18.75">
      <c r="A15" s="35"/>
      <c r="B15" s="93" t="s">
        <v>857</v>
      </c>
      <c r="C15" s="15" t="s">
        <v>472</v>
      </c>
      <c r="D15" s="123">
        <f>IF(Vin_type="AC",-SQRT(CSWN_T_vmin*(10^-12)/(LM*(10^-6)))*NPS*VOUT,-SQRT(CSWN_T_vmin*(10^-12)/(LM*(10^-6)))*NPS*VOUT)</f>
        <v>-0.11968316506510013</v>
      </c>
      <c r="E15" s="128" t="s">
        <v>22</v>
      </c>
      <c r="F15" s="118"/>
      <c r="G15" s="63"/>
      <c r="H15" s="68"/>
      <c r="I15" s="59"/>
      <c r="J15" s="60"/>
      <c r="K15" s="60"/>
      <c r="L15" s="60"/>
      <c r="M15" s="60"/>
      <c r="N15" s="60"/>
      <c r="O15" s="60"/>
      <c r="P15" s="71"/>
      <c r="Q15" s="60"/>
      <c r="R15" s="60"/>
      <c r="S15" s="60"/>
      <c r="T15" s="60"/>
      <c r="U15" s="59"/>
      <c r="V15" s="59"/>
      <c r="W15" s="59"/>
    </row>
    <row r="16" spans="1:23" ht="18.75">
      <c r="A16" s="35"/>
      <c r="B16" s="2" t="s">
        <v>858</v>
      </c>
      <c r="C16" s="15" t="s">
        <v>473</v>
      </c>
      <c r="D16" s="123">
        <f>SQRT(IM_nega_OPP_min^2+2*(PO_FL*OPP*0.01/ηXFMR)*(1/(fsw_OPP_min*1000*LM*10^-6)))</f>
        <v>1.1441389456980204</v>
      </c>
      <c r="E16" s="128" t="s">
        <v>22</v>
      </c>
      <c r="F16" s="118"/>
      <c r="G16" s="65"/>
      <c r="H16" s="68"/>
      <c r="I16" s="59"/>
      <c r="J16" s="60"/>
      <c r="K16" s="60"/>
      <c r="L16" s="60"/>
      <c r="M16" s="60"/>
      <c r="N16" s="60"/>
      <c r="O16" s="60"/>
      <c r="P16" s="60"/>
      <c r="Q16" s="60"/>
      <c r="R16" s="60"/>
      <c r="S16" s="60"/>
      <c r="T16" s="60"/>
      <c r="U16" s="59"/>
      <c r="V16" s="59"/>
      <c r="W16" s="59"/>
    </row>
    <row r="17" spans="1:23" ht="18.75">
      <c r="A17" s="35"/>
      <c r="B17" s="2" t="s">
        <v>859</v>
      </c>
      <c r="C17" s="15" t="s">
        <v>474</v>
      </c>
      <c r="D17" s="123">
        <f>IF(Vin_type="AC",(VBulk_min_tgt*DOPP_min^2)/(2*(LM*10^-6)*IIN_OPP_min-DOPP_min*(LM*10^-6)*(IM_nega_OPP_min)+DOPP_min*VBulk_min_tgt*(IF(VBulk_min_tgt&gt;NPS*(VOUT+Vf_SR),3.1416-ACOS(NPS*(VOUT+Vf_SR)/VBulk_min_tgt),3.1416-ACOS(VBulk_min_tgt/(NPS*(VOUT+Vf_SR)))))*SQRT((LM*10^-6)*(CSWN_T_vmin*10^-12)))/1000,(VBulk_min_tgt*DOPP_min^2)/(2*(LM*10^-6)*IIN_OPP_min-DOPP_min*(LM*10^-6)*(IM_nega_OPP_min)+DOPP_min*VBulk_min_tgt*(IF(VBulk_min_tgt&gt;NPS*(VOUT+Vf_SR),3.1416-ACOS(NPS*(VOUT+Vf_SR)/VBulk_min_tgt),3.1416-ACOS(VBulk_min_tgt/(NPS*(VOUT+Vf_SR)))))*SQRT((LM*10^-6)*(CSWN_T_vmin*10^-12)))/1000)</f>
        <v>80.454362965274726</v>
      </c>
      <c r="E17" s="128" t="s">
        <v>8</v>
      </c>
      <c r="F17" s="118"/>
      <c r="G17" s="65"/>
      <c r="H17" s="673"/>
      <c r="I17" s="68"/>
      <c r="J17" s="60"/>
      <c r="K17" s="60"/>
      <c r="L17" s="60"/>
      <c r="M17" s="60"/>
      <c r="N17" s="69"/>
      <c r="O17" s="60"/>
      <c r="P17" s="60"/>
      <c r="Q17" s="60"/>
      <c r="R17" s="60"/>
      <c r="S17" s="60"/>
      <c r="T17" s="60"/>
      <c r="U17" s="59"/>
      <c r="V17" s="59"/>
      <c r="W17" s="59"/>
    </row>
    <row r="18" spans="1:23" ht="18.75">
      <c r="A18" s="35"/>
      <c r="B18" s="2" t="s">
        <v>860</v>
      </c>
      <c r="C18" s="15" t="s">
        <v>475</v>
      </c>
      <c r="D18" s="117">
        <f>IF(Vin_type="AC",PO_FL*OPP*0.01/(ηXFMR*VBulk_min_tgt),PO_FL*OPP*0.01/(ηXFMR*VBulk_min_tgt))</f>
        <v>0.28409090909090912</v>
      </c>
      <c r="E18" s="44" t="s">
        <v>22</v>
      </c>
      <c r="F18" s="118"/>
      <c r="G18" s="65"/>
      <c r="H18" s="68"/>
      <c r="I18" s="59"/>
      <c r="J18" s="60"/>
      <c r="K18" s="53"/>
      <c r="L18" s="60"/>
      <c r="M18" s="60"/>
      <c r="N18" s="60"/>
      <c r="O18" s="66"/>
      <c r="P18" s="60"/>
      <c r="Q18" s="60"/>
      <c r="R18" s="60"/>
      <c r="S18" s="60"/>
      <c r="T18" s="60"/>
      <c r="U18" s="59"/>
      <c r="V18" s="59"/>
      <c r="W18" s="59"/>
    </row>
    <row r="19" spans="1:23" ht="18.75">
      <c r="A19" s="35"/>
      <c r="B19" s="10" t="s">
        <v>861</v>
      </c>
      <c r="C19" s="15" t="s">
        <v>476</v>
      </c>
      <c r="D19" s="117">
        <f>IF(Vin_type="AC",(NPS*(VOUT+Vf_SR))/(VBulk_min_tgt+NPS*(VOUT+Vf_SR)),(NPS*(VOUT+Vf_SR))/(VBulk_min_tgt+NPS*(VOUT+Vf_SR)))</f>
        <v>0.57692307692307687</v>
      </c>
      <c r="E19" s="103"/>
      <c r="F19" s="129"/>
      <c r="G19" s="65"/>
      <c r="H19" s="68"/>
      <c r="I19" s="59"/>
      <c r="J19" s="60"/>
      <c r="K19" s="60"/>
      <c r="L19" s="60"/>
      <c r="M19" s="60"/>
      <c r="N19" s="60"/>
      <c r="O19" s="60"/>
      <c r="P19" s="60"/>
      <c r="Q19" s="61"/>
      <c r="R19" s="52"/>
      <c r="S19" s="60"/>
      <c r="T19" s="60"/>
      <c r="U19" s="59"/>
      <c r="V19" s="59"/>
      <c r="W19" s="59"/>
    </row>
    <row r="20" spans="1:23" ht="18.75">
      <c r="A20" s="35"/>
      <c r="B20" s="10" t="s">
        <v>862</v>
      </c>
      <c r="C20" s="15" t="s">
        <v>477</v>
      </c>
      <c r="D20" s="117">
        <f>IF(Vin_type="AC",ipk_OPP_min*LM/(VBulk_min_tgt),ipk_OPP_min*LM/(VBulk_min_tgt))</f>
        <v>6.2407578856255661</v>
      </c>
      <c r="E20" s="44" t="s">
        <v>25</v>
      </c>
      <c r="F20" s="118"/>
      <c r="G20" s="65"/>
      <c r="H20" s="68"/>
      <c r="I20" s="59"/>
      <c r="J20" s="60"/>
      <c r="K20" s="60"/>
      <c r="L20" s="60"/>
      <c r="M20" s="60"/>
      <c r="N20" s="60"/>
      <c r="O20" s="60"/>
      <c r="P20" s="60"/>
      <c r="Q20" s="60"/>
      <c r="R20" s="60"/>
      <c r="S20" s="60"/>
      <c r="T20" s="60"/>
      <c r="U20" s="59"/>
      <c r="V20" s="59"/>
      <c r="W20" s="59"/>
    </row>
    <row r="21" spans="1:23" ht="18.75">
      <c r="A21" s="35"/>
      <c r="B21" s="10" t="s">
        <v>266</v>
      </c>
      <c r="C21" s="15" t="s">
        <v>478</v>
      </c>
      <c r="D21" s="117">
        <f>(Vxl*CSW_0toVx*(10^-12)/ipk_OPP_min)/(10^-9)</f>
        <v>17.32779054025195</v>
      </c>
      <c r="E21" s="44" t="s">
        <v>222</v>
      </c>
      <c r="F21" s="118"/>
      <c r="G21" s="65"/>
      <c r="H21" s="68"/>
      <c r="I21" s="59"/>
      <c r="J21" s="60"/>
      <c r="K21" s="60"/>
      <c r="L21" s="60"/>
      <c r="M21" s="60"/>
      <c r="N21" s="60"/>
      <c r="O21" s="60"/>
      <c r="P21" s="60"/>
      <c r="Q21" s="60"/>
      <c r="R21" s="60"/>
      <c r="S21" s="60"/>
      <c r="T21" s="60"/>
      <c r="U21" s="59"/>
      <c r="V21" s="59"/>
      <c r="W21" s="59"/>
    </row>
    <row r="22" spans="1:23" ht="18.75">
      <c r="A22" s="35"/>
      <c r="B22" s="10" t="s">
        <v>863</v>
      </c>
      <c r="C22" s="16" t="s">
        <v>479</v>
      </c>
      <c r="D22" s="113">
        <f>COSS_QL_bg + COSS_QH_sm + CTr+CBootD_T + (COSS_SR_H)/NPS^2 + (CDaux_H)/(NP/NA)^2</f>
        <v>283.21999999999997</v>
      </c>
      <c r="E22" s="103" t="s">
        <v>37</v>
      </c>
      <c r="F22" s="105"/>
      <c r="G22" s="65"/>
      <c r="H22" s="59"/>
      <c r="I22" s="59"/>
      <c r="J22" s="60"/>
      <c r="K22" s="60"/>
      <c r="L22" s="60"/>
      <c r="M22" s="60"/>
      <c r="N22" s="60"/>
      <c r="O22" s="60"/>
      <c r="P22" s="60"/>
      <c r="Q22" s="60"/>
      <c r="R22" s="60"/>
      <c r="S22" s="60"/>
      <c r="T22" s="60"/>
      <c r="U22" s="59"/>
      <c r="V22" s="59"/>
      <c r="W22" s="59"/>
    </row>
    <row r="23" spans="1:23" ht="19.5" thickBot="1">
      <c r="A23" s="35"/>
      <c r="B23" s="3" t="s">
        <v>864</v>
      </c>
      <c r="C23" s="17" t="s">
        <v>480</v>
      </c>
      <c r="D23" s="114">
        <f>TD_CS_filter + tD_CS + TD_LDr + TD_Ql_Coss_vmin</f>
        <v>93.327790540251954</v>
      </c>
      <c r="E23" s="19" t="s">
        <v>39</v>
      </c>
      <c r="F23" s="127"/>
      <c r="G23" s="72"/>
      <c r="H23" s="68"/>
      <c r="I23" s="59"/>
      <c r="J23" s="53"/>
      <c r="K23" s="60"/>
      <c r="L23" s="60"/>
      <c r="M23" s="60"/>
      <c r="N23" s="60"/>
      <c r="O23" s="60"/>
      <c r="P23" s="60"/>
      <c r="Q23" s="60"/>
      <c r="R23" s="60"/>
      <c r="S23" s="60"/>
      <c r="T23" s="60"/>
      <c r="U23" s="59"/>
      <c r="V23" s="59"/>
      <c r="W23" s="59"/>
    </row>
    <row r="24" spans="1:23" ht="15.75" thickBot="1">
      <c r="A24" s="35"/>
      <c r="B24" s="36"/>
      <c r="C24" s="115"/>
      <c r="D24" s="36"/>
      <c r="E24" s="36"/>
      <c r="F24" s="36"/>
      <c r="G24" s="65"/>
      <c r="H24" s="59"/>
      <c r="I24" s="59"/>
      <c r="J24" s="60"/>
      <c r="K24" s="60"/>
      <c r="L24" s="60"/>
      <c r="M24" s="60"/>
      <c r="N24" s="60"/>
      <c r="O24" s="60"/>
      <c r="P24" s="60"/>
      <c r="Q24" s="60"/>
      <c r="R24" s="60"/>
      <c r="S24" s="60"/>
      <c r="T24" s="60"/>
      <c r="U24" s="59"/>
      <c r="V24" s="59"/>
      <c r="W24" s="59"/>
    </row>
    <row r="25" spans="1:23" ht="21">
      <c r="A25" s="35"/>
      <c r="B25" s="49" t="s">
        <v>40</v>
      </c>
      <c r="C25" s="18"/>
      <c r="D25" s="50" t="s">
        <v>364</v>
      </c>
      <c r="E25" s="50"/>
      <c r="F25" s="51"/>
      <c r="G25" s="67"/>
      <c r="H25" s="59"/>
      <c r="I25" s="59"/>
      <c r="J25" s="60"/>
      <c r="K25" s="60"/>
      <c r="L25" s="60"/>
      <c r="M25" s="60"/>
      <c r="N25" s="60"/>
      <c r="O25" s="60"/>
      <c r="P25" s="60"/>
      <c r="Q25" s="60"/>
      <c r="R25" s="60"/>
      <c r="S25" s="60"/>
      <c r="T25" s="60"/>
      <c r="U25" s="59"/>
      <c r="V25" s="59"/>
      <c r="W25" s="59"/>
    </row>
    <row r="26" spans="1:23" ht="21">
      <c r="A26" s="35"/>
      <c r="B26" s="10" t="s">
        <v>265</v>
      </c>
      <c r="C26" s="15" t="s">
        <v>461</v>
      </c>
      <c r="D26" s="117">
        <f>(Vxl*CSW_0toVx*(10^-12)/ipk_OPP_max)/(10^-9)</f>
        <v>21.044873944814334</v>
      </c>
      <c r="E26" s="47" t="s">
        <v>222</v>
      </c>
      <c r="F26" s="130"/>
      <c r="G26" s="67"/>
      <c r="H26" s="59"/>
      <c r="I26" s="59"/>
      <c r="J26" s="60"/>
      <c r="K26" s="60"/>
      <c r="L26" s="60"/>
      <c r="M26" s="60"/>
      <c r="N26" s="60"/>
      <c r="O26" s="60"/>
      <c r="P26" s="60"/>
      <c r="Q26" s="60"/>
      <c r="R26" s="60"/>
      <c r="S26" s="60"/>
      <c r="T26" s="60"/>
      <c r="U26" s="59"/>
      <c r="V26" s="59"/>
      <c r="W26" s="59"/>
    </row>
    <row r="27" spans="1:23" ht="21">
      <c r="A27" s="35"/>
      <c r="B27" s="2" t="s">
        <v>864</v>
      </c>
      <c r="C27" s="100" t="s">
        <v>462</v>
      </c>
      <c r="D27" s="117">
        <f>TD_CS_filter+tD_CS+TD_LDr+TD_Ql_Coss_vmax</f>
        <v>97.044873944814327</v>
      </c>
      <c r="E27" s="47" t="s">
        <v>222</v>
      </c>
      <c r="F27" s="130"/>
      <c r="G27" s="67"/>
      <c r="H27" s="59"/>
      <c r="I27" s="59"/>
      <c r="J27" s="60"/>
      <c r="K27" s="60"/>
      <c r="L27" s="60"/>
      <c r="M27" s="60"/>
      <c r="N27" s="60"/>
      <c r="O27" s="60"/>
      <c r="P27" s="60"/>
      <c r="Q27" s="60"/>
      <c r="R27" s="60"/>
      <c r="S27" s="60"/>
      <c r="T27" s="60"/>
      <c r="U27" s="59"/>
      <c r="V27" s="59"/>
      <c r="W27" s="59"/>
    </row>
    <row r="28" spans="1:23" ht="18.75">
      <c r="A28" s="35"/>
      <c r="B28" s="119" t="s">
        <v>865</v>
      </c>
      <c r="C28" s="120" t="s">
        <v>463</v>
      </c>
      <c r="D28" s="131">
        <f>IF(Vin_type="AC",-SQRT(CSWN_T_vmax*(10^-12)/(LM*(10^-6)))*1.414*VINPUT_max,-SQRT(CSWN_T_vmax*(10^-12)/(LM*(10^-6)))*VINPUT_max)</f>
        <v>-0.22963223254199797</v>
      </c>
      <c r="E28" s="132" t="s">
        <v>22</v>
      </c>
      <c r="F28" s="118"/>
      <c r="G28" s="65"/>
      <c r="H28" s="68"/>
      <c r="I28" s="59"/>
      <c r="J28" s="60"/>
      <c r="K28" s="66"/>
      <c r="L28" s="60"/>
      <c r="M28" s="60"/>
      <c r="N28" s="60"/>
      <c r="O28" s="60"/>
      <c r="P28" s="60"/>
      <c r="Q28" s="60"/>
      <c r="R28" s="60"/>
      <c r="S28" s="60"/>
      <c r="T28" s="60"/>
      <c r="U28" s="59"/>
      <c r="V28" s="59"/>
      <c r="W28" s="59"/>
    </row>
    <row r="29" spans="1:23" ht="18.75">
      <c r="A29" s="35"/>
      <c r="B29" s="2" t="s">
        <v>866</v>
      </c>
      <c r="C29" s="15" t="s">
        <v>464</v>
      </c>
      <c r="D29" s="123">
        <f>IF(Vin_type="AC",(1.414*VINPUT_max*DOPP_max^2)/(2*(LM*10^-6)*IIN_OPP_max-DOPP_max*(LM*10^-6)*(IM_nega_max)+DOPP_max*1.414*VINPUT_max*(IF(VINPUT_max&gt;NPS*(VOUT+Vf_SR),3.1416-ACOS(NPS*(VOUT+Vf_SR)/VINPUT_max),3.1416-ACOS(VINPUT_max/(NPS*(VOUT+Vf_SR)))))*SQRT((LM*10^-6)*(CSWN_T_vmax*10^-12)))/1000,(VINPUT_max*DOPP_max^2)/(2*(LM*10^-6)*IIN_OPP_max-DOPP_max*(LM*10^-6)*(IM_nega_max)+DOPP_max*VINPUT_max*(IF(VINPUT_max&gt;NPS*(VOUT+Vf_SR),3.1416-ACOS(NPS*(VOUT+Vf_SR)/VINPUT_max),3.1416-ACOS(VINPUT_max/(NPS*(VOUT+Vf_SR)))))*SQRT((LM*10^-6)*(CSWN_T_vmax*10^-12)))/1000)</f>
        <v>124.79023921005907</v>
      </c>
      <c r="E29" s="128" t="s">
        <v>8</v>
      </c>
      <c r="F29" s="118"/>
      <c r="G29" s="65"/>
      <c r="H29" s="68"/>
      <c r="I29" s="59"/>
      <c r="J29" s="60"/>
      <c r="K29" s="60"/>
      <c r="L29" s="62"/>
      <c r="M29" s="60"/>
      <c r="N29" s="60"/>
      <c r="O29" s="60"/>
      <c r="P29" s="60"/>
      <c r="Q29" s="60"/>
      <c r="R29" s="60"/>
      <c r="S29" s="60"/>
      <c r="T29" s="60"/>
      <c r="U29" s="59"/>
      <c r="V29" s="59"/>
      <c r="W29" s="59"/>
    </row>
    <row r="30" spans="1:23" ht="18.75">
      <c r="A30" s="35"/>
      <c r="B30" s="2" t="s">
        <v>867</v>
      </c>
      <c r="C30" s="15" t="s">
        <v>465</v>
      </c>
      <c r="D30" s="117">
        <f>SQRT(IM_nega_max^2+2*(PO_FL*OPP*0.01/ηXFMR)*(1/(fsw_OPP_max*1000*LM*10^-6)))</f>
        <v>0.9420536351031541</v>
      </c>
      <c r="E30" s="44" t="s">
        <v>22</v>
      </c>
      <c r="F30" s="118"/>
      <c r="G30" s="65"/>
      <c r="H30" s="68"/>
      <c r="I30" s="59"/>
      <c r="J30" s="60"/>
      <c r="K30" s="60"/>
      <c r="L30" s="60"/>
      <c r="M30" s="60"/>
      <c r="N30" s="60"/>
      <c r="O30" s="69"/>
      <c r="P30" s="66"/>
      <c r="Q30" s="61"/>
      <c r="R30" s="52"/>
      <c r="S30" s="60"/>
      <c r="T30" s="60"/>
      <c r="U30" s="59"/>
      <c r="V30" s="59"/>
      <c r="W30" s="59"/>
    </row>
    <row r="31" spans="1:23" ht="18.75">
      <c r="A31" s="35"/>
      <c r="B31" s="10" t="s">
        <v>868</v>
      </c>
      <c r="C31" s="15" t="s">
        <v>466</v>
      </c>
      <c r="D31" s="117">
        <f>IF(Vin_type="AC",(NPS*(VOUT+Vf_SR))/(1.414*VINPUT_max+NPS*(VOUT+Vf_SR)),(NPS*(VOUT+Vf_SR))/(VINPUT_max+NPS*(VOUT+Vf_SR)))</f>
        <v>0.33333333333333331</v>
      </c>
      <c r="E31" s="44"/>
      <c r="F31" s="129"/>
      <c r="G31" s="65"/>
      <c r="H31" s="68"/>
      <c r="I31" s="59"/>
      <c r="J31" s="60"/>
      <c r="K31" s="60"/>
      <c r="L31" s="60"/>
      <c r="M31" s="60"/>
      <c r="N31" s="60"/>
      <c r="O31" s="60"/>
      <c r="P31" s="60"/>
      <c r="Q31" s="60"/>
      <c r="R31" s="60"/>
      <c r="S31" s="60"/>
      <c r="T31" s="60"/>
      <c r="U31" s="59"/>
      <c r="V31" s="59"/>
      <c r="W31" s="59"/>
    </row>
    <row r="32" spans="1:23" ht="18.75">
      <c r="A32" s="35"/>
      <c r="B32" s="2" t="s">
        <v>869</v>
      </c>
      <c r="C32" s="15" t="s">
        <v>467</v>
      </c>
      <c r="D32" s="117">
        <f>IF(Vin_type="AC",PO_FL*OPP*0.01/(ηXFMR*1.414*VINPUT_max),PO_FL*OPP*0.01/(ηXFMR*VINPUT_max))</f>
        <v>0.10416666666666667</v>
      </c>
      <c r="E32" s="44" t="s">
        <v>22</v>
      </c>
      <c r="F32" s="118"/>
      <c r="G32" s="65"/>
      <c r="H32" s="68"/>
      <c r="I32" s="59"/>
      <c r="J32" s="60"/>
      <c r="K32" s="60"/>
      <c r="L32" s="60"/>
      <c r="M32" s="60"/>
      <c r="N32" s="60"/>
      <c r="O32" s="60"/>
      <c r="P32" s="60"/>
      <c r="Q32" s="60"/>
      <c r="R32" s="60"/>
      <c r="S32" s="60"/>
      <c r="T32" s="60"/>
      <c r="U32" s="59"/>
      <c r="V32" s="59"/>
      <c r="W32" s="59"/>
    </row>
    <row r="33" spans="1:23" ht="18.75" customHeight="1">
      <c r="A33" s="35"/>
      <c r="B33" s="97" t="s">
        <v>870</v>
      </c>
      <c r="C33" s="15" t="s">
        <v>468</v>
      </c>
      <c r="D33" s="117">
        <f>IF(Vin_type="AC", 1.414*VINPUT_max*RCS*(tD_CST_vmax*10^-9)/(LM*10^-6), VINPUT_max*RCS*(tD_CST_vmax*10^-9)/(LM*10^-6))</f>
        <v>2.4261218486203585E-2</v>
      </c>
      <c r="E33" s="103" t="s">
        <v>38</v>
      </c>
      <c r="F33" s="129"/>
      <c r="G33" s="65"/>
      <c r="H33" s="68"/>
      <c r="I33" s="59"/>
      <c r="J33" s="60"/>
      <c r="K33" s="60"/>
      <c r="L33" s="60"/>
      <c r="M33" s="60"/>
      <c r="N33" s="60"/>
      <c r="O33" s="60"/>
      <c r="P33" s="60"/>
      <c r="Q33" s="60"/>
      <c r="R33" s="60"/>
      <c r="S33" s="60"/>
      <c r="T33" s="60"/>
      <c r="U33" s="59"/>
      <c r="V33" s="59"/>
      <c r="W33" s="59"/>
    </row>
    <row r="34" spans="1:23" ht="18.75">
      <c r="A34" s="35"/>
      <c r="B34" s="10" t="s">
        <v>871</v>
      </c>
      <c r="C34" s="15" t="s">
        <v>469</v>
      </c>
      <c r="D34" s="117">
        <f>IF(Vin_type="AC",(((1.414*VINPUT_max-VR_pri_max-VLk_pri_max)*NA/NP-Vs_clamp)/(RVS_1*1000)-Vs_clamp/(RVS_2*1000))*10^3,(((VINPUT_max-VR_pri_max-VLk_pri_max)*NA/NP-Vs_clamp)/(RVS_1*1000)-Vs_clamp/(RVS_2*1000))*10^3)</f>
        <v>0.9330892146391524</v>
      </c>
      <c r="E34" s="44" t="s">
        <v>41</v>
      </c>
      <c r="F34" s="133"/>
      <c r="G34" s="65"/>
      <c r="H34" s="68"/>
      <c r="I34" s="59"/>
      <c r="J34" s="60"/>
      <c r="K34" s="60"/>
      <c r="L34" s="60"/>
      <c r="M34" s="60"/>
      <c r="N34" s="60"/>
      <c r="O34" s="60"/>
      <c r="P34" s="60"/>
      <c r="Q34" s="60"/>
      <c r="R34" s="60"/>
      <c r="S34" s="60"/>
      <c r="T34" s="60"/>
      <c r="U34" s="59"/>
      <c r="V34" s="59"/>
      <c r="W34" s="59"/>
    </row>
    <row r="35" spans="1:23" ht="18.75">
      <c r="A35" s="35"/>
      <c r="B35" s="10" t="s">
        <v>872</v>
      </c>
      <c r="C35" s="16" t="s">
        <v>470</v>
      </c>
      <c r="D35" s="113">
        <f>ipk_OPP_max*(Rpri_dc + RDSon_QL + RCS )</f>
        <v>1.4696036707609204</v>
      </c>
      <c r="E35" s="103" t="s">
        <v>38</v>
      </c>
      <c r="F35" s="129"/>
      <c r="G35" s="68"/>
      <c r="H35" s="59"/>
      <c r="I35" s="59"/>
      <c r="J35" s="60"/>
      <c r="K35" s="60"/>
      <c r="L35" s="60"/>
      <c r="M35" s="60"/>
      <c r="N35" s="60"/>
      <c r="O35" s="60"/>
      <c r="P35" s="60"/>
      <c r="Q35" s="60"/>
      <c r="R35" s="60"/>
      <c r="S35" s="60"/>
      <c r="T35" s="60"/>
      <c r="U35" s="59"/>
      <c r="V35" s="59"/>
      <c r="W35" s="59"/>
    </row>
    <row r="36" spans="1:23" ht="19.5" thickBot="1">
      <c r="A36" s="35"/>
      <c r="B36" s="3" t="s">
        <v>873</v>
      </c>
      <c r="C36" s="17" t="s">
        <v>471</v>
      </c>
      <c r="D36" s="114">
        <f>IF(Vin_type="AC",1.414*VINPUT_max/LM*LK_act,VINPUT_max/LM*LK_act)</f>
        <v>1</v>
      </c>
      <c r="E36" s="19" t="s">
        <v>38</v>
      </c>
      <c r="F36" s="134"/>
      <c r="G36" s="65"/>
      <c r="H36" s="68"/>
      <c r="I36" s="59"/>
      <c r="J36" s="60"/>
      <c r="K36" s="60"/>
      <c r="L36" s="60"/>
      <c r="M36" s="60"/>
      <c r="N36" s="60"/>
      <c r="O36" s="60"/>
      <c r="P36" s="60"/>
      <c r="Q36" s="60"/>
      <c r="R36" s="60"/>
      <c r="S36" s="60"/>
      <c r="T36" s="60"/>
      <c r="U36" s="59"/>
      <c r="V36" s="59"/>
      <c r="W36" s="59"/>
    </row>
    <row r="37" spans="1:23" ht="15.75" thickBot="1">
      <c r="A37" s="35"/>
      <c r="B37" s="36"/>
      <c r="C37" s="115"/>
      <c r="D37" s="36"/>
      <c r="E37" s="36"/>
      <c r="F37" s="36"/>
      <c r="G37" s="65"/>
      <c r="H37" s="65"/>
      <c r="I37" s="59"/>
      <c r="J37" s="60"/>
      <c r="K37" s="60"/>
      <c r="L37" s="60"/>
      <c r="M37" s="60"/>
      <c r="N37" s="60"/>
      <c r="O37" s="60"/>
      <c r="P37" s="60"/>
      <c r="Q37" s="60"/>
      <c r="R37" s="60"/>
      <c r="S37" s="60"/>
      <c r="T37" s="60"/>
      <c r="U37" s="59"/>
      <c r="V37" s="59"/>
      <c r="W37" s="59"/>
    </row>
    <row r="38" spans="1:23" ht="21">
      <c r="A38" s="35"/>
      <c r="B38" s="49" t="s">
        <v>48</v>
      </c>
      <c r="C38" s="18"/>
      <c r="D38" s="50" t="s">
        <v>365</v>
      </c>
      <c r="E38" s="50"/>
      <c r="F38" s="51"/>
      <c r="G38" s="67"/>
      <c r="H38" s="65"/>
      <c r="I38" s="59"/>
      <c r="J38" s="60"/>
      <c r="K38" s="60"/>
      <c r="L38" s="60"/>
      <c r="M38" s="60"/>
      <c r="N38" s="60"/>
      <c r="O38" s="60"/>
      <c r="P38" s="60"/>
      <c r="Q38" s="60"/>
      <c r="R38" s="60"/>
      <c r="S38" s="60"/>
      <c r="T38" s="60"/>
      <c r="U38" s="59"/>
      <c r="V38" s="59"/>
      <c r="W38" s="59"/>
    </row>
    <row r="39" spans="1:23" ht="18.75">
      <c r="A39" s="35"/>
      <c r="B39" s="93" t="s">
        <v>874</v>
      </c>
      <c r="C39" s="15" t="s">
        <v>451</v>
      </c>
      <c r="D39" s="117">
        <f>IF(Vin_type="AC",-SQRT(CSWN_T_vbur*(10^-12)/(LM*(10^-6)))*1.414*VINPUT_BUR,-SQRT(CSWN_T_vbur*(10^-12)/(LM*(10^-6)))*VINPUT_BUR)</f>
        <v>-0.21491310922990031</v>
      </c>
      <c r="E39" s="44" t="s">
        <v>22</v>
      </c>
      <c r="F39" s="118"/>
      <c r="G39" s="65"/>
      <c r="H39" s="68"/>
      <c r="I39" s="59"/>
      <c r="J39" s="60"/>
      <c r="K39" s="66"/>
      <c r="L39" s="60"/>
      <c r="M39" s="60"/>
      <c r="N39" s="60"/>
      <c r="O39" s="60"/>
      <c r="P39" s="60"/>
      <c r="Q39" s="60"/>
      <c r="R39" s="60"/>
      <c r="S39" s="60"/>
      <c r="T39" s="60"/>
      <c r="U39" s="59"/>
      <c r="V39" s="59"/>
      <c r="W39" s="59"/>
    </row>
    <row r="40" spans="1:23" ht="18.75">
      <c r="A40" s="35"/>
      <c r="B40" s="2" t="s">
        <v>880</v>
      </c>
      <c r="C40" s="15" t="s">
        <v>452</v>
      </c>
      <c r="D40" s="123">
        <f>IF(Vin_type="AC",(1.414*VINPUT_BUR*DBUR^2)/(2*(LM*10^-6)*IIN_BUR-DBUR*(LM*10^-6)*(IM_nega_BUR)+DBUR*1.414*VINPUT_BUR*(IF(VINPUT_BUR&gt;NPS*(VOUT+Vf_SR),3.1416-ACOS(NPS*(VOUT+Vf_SR)/VINPUT_BUR),3.1416-ACOS(VINPUT_BUR/(NPS*(VOUT+Vf_SR)))))*SQRT((LM*10^-6)*(CSWN_T_vbur*10^-12)))/1000,(VINPUT_BUR*DBUR^2)/(2*(LM*10^-6)*IIN_BUR-DBUR*(LM*10^-6)*(IM_nega_BUR)+DBUR*VINPUT_BUR*(IF(VINPUT_BUR&gt;NPS*(VOUT+Vf_SR),3.1416-ACOS(NPS*(VOUT+Vf_SR)/VINPUT_BUR),3.1416-ACOS(VINPUT_BUR/(NPS*(VOUT+Vf_SR)))))*SQRT((LM*10^-6)*(CSWN_T_vbur*10^-12)))/1000)</f>
        <v>192.73469297501165</v>
      </c>
      <c r="E40" s="44" t="s">
        <v>8</v>
      </c>
      <c r="F40" s="118"/>
      <c r="G40" s="65"/>
      <c r="H40" s="68"/>
      <c r="I40" s="59"/>
      <c r="J40" s="60"/>
      <c r="K40" s="60"/>
      <c r="L40" s="62"/>
      <c r="M40" s="64"/>
      <c r="N40" s="71"/>
      <c r="O40" s="60"/>
      <c r="P40" s="60"/>
      <c r="Q40" s="60"/>
      <c r="R40" s="60"/>
      <c r="S40" s="60"/>
      <c r="T40" s="60"/>
      <c r="U40" s="59"/>
      <c r="V40" s="59"/>
      <c r="W40" s="59"/>
    </row>
    <row r="41" spans="1:23" ht="18.75">
      <c r="A41" s="35"/>
      <c r="B41" s="2" t="s">
        <v>879</v>
      </c>
      <c r="C41" s="15" t="s">
        <v>453</v>
      </c>
      <c r="D41" s="117">
        <f>SQRT(IM_nega_BUR^2+2*(PO_FL*BUR*0.01/ηXFMR)*(1/(fsw_BUR*1000*LM*10^-6)))</f>
        <v>0.43624772157420166</v>
      </c>
      <c r="E41" s="44" t="s">
        <v>22</v>
      </c>
      <c r="F41" s="118"/>
      <c r="G41" s="65"/>
      <c r="H41" s="65"/>
      <c r="I41" s="59"/>
      <c r="J41" s="60"/>
      <c r="K41" s="60"/>
      <c r="L41" s="60"/>
      <c r="M41" s="69"/>
      <c r="N41" s="60"/>
      <c r="O41" s="60"/>
      <c r="P41" s="60"/>
      <c r="Q41" s="61"/>
      <c r="R41" s="52"/>
      <c r="S41" s="60"/>
      <c r="T41" s="60"/>
      <c r="U41" s="59"/>
      <c r="V41" s="59"/>
      <c r="W41" s="59"/>
    </row>
    <row r="42" spans="1:23" ht="18.75">
      <c r="A42" s="35"/>
      <c r="B42" s="10" t="s">
        <v>454</v>
      </c>
      <c r="C42" s="15" t="s">
        <v>455</v>
      </c>
      <c r="D42" s="117">
        <f>(Vxl*CSW_0toVx*(10^-12)/ipk_BUR)/(10^-9)</f>
        <v>45.445280329396248</v>
      </c>
      <c r="E42" s="44" t="s">
        <v>222</v>
      </c>
      <c r="F42" s="118"/>
      <c r="G42" s="59"/>
      <c r="H42" s="65"/>
      <c r="I42" s="59"/>
      <c r="J42" s="60"/>
      <c r="K42" s="60"/>
      <c r="L42" s="60"/>
      <c r="M42" s="69"/>
      <c r="N42" s="60"/>
      <c r="O42" s="60"/>
      <c r="P42" s="60"/>
      <c r="Q42" s="60"/>
      <c r="R42" s="60"/>
      <c r="S42" s="60"/>
      <c r="T42" s="60"/>
      <c r="U42" s="59"/>
      <c r="V42" s="59"/>
      <c r="W42" s="59"/>
    </row>
    <row r="43" spans="1:23" ht="18.75">
      <c r="A43" s="35"/>
      <c r="B43" s="10" t="s">
        <v>456</v>
      </c>
      <c r="C43" s="15" t="s">
        <v>457</v>
      </c>
      <c r="D43" s="117">
        <f>TD_CS_filter + tD_CS + TD_LDr + TD_Ql_Coss_BUR</f>
        <v>121.44528032939624</v>
      </c>
      <c r="E43" s="44" t="s">
        <v>222</v>
      </c>
      <c r="F43" s="118"/>
      <c r="G43" s="65"/>
      <c r="H43" s="65"/>
      <c r="I43" s="59"/>
      <c r="J43" s="60"/>
      <c r="K43" s="60"/>
      <c r="L43" s="60"/>
      <c r="M43" s="69"/>
      <c r="N43" s="60"/>
      <c r="O43" s="60"/>
      <c r="P43" s="60"/>
      <c r="Q43" s="60"/>
      <c r="R43" s="60"/>
      <c r="S43" s="60"/>
      <c r="T43" s="60"/>
      <c r="U43" s="59"/>
      <c r="V43" s="59"/>
      <c r="W43" s="59"/>
    </row>
    <row r="44" spans="1:23" ht="18.75">
      <c r="A44" s="35"/>
      <c r="B44" s="10" t="s">
        <v>878</v>
      </c>
      <c r="C44" s="120" t="s">
        <v>458</v>
      </c>
      <c r="D44" s="121">
        <f>IF(Vin_type="AC",(NPS*(VOUT+Vf_SR))/(1.414*VINPUT_BUR+NPS*(VOUT+Vf_SR)),(NPS*(VOUT+Vf_SR))/(VINPUT_BUR+NPS*(VOUT+Vf_SR)))</f>
        <v>0.34883720930232559</v>
      </c>
      <c r="E44" s="44"/>
      <c r="F44" s="129"/>
      <c r="G44" s="65"/>
      <c r="H44" s="68"/>
      <c r="I44" s="59"/>
      <c r="J44" s="60"/>
      <c r="K44" s="60"/>
      <c r="L44" s="60"/>
      <c r="M44" s="60"/>
      <c r="N44" s="60"/>
      <c r="O44" s="60"/>
      <c r="P44" s="60"/>
      <c r="Q44" s="60"/>
      <c r="R44" s="60"/>
      <c r="S44" s="60"/>
      <c r="T44" s="60"/>
      <c r="U44" s="59"/>
      <c r="V44" s="59"/>
      <c r="W44" s="59"/>
    </row>
    <row r="45" spans="1:23" ht="18.75">
      <c r="A45" s="35"/>
      <c r="B45" s="2" t="s">
        <v>877</v>
      </c>
      <c r="C45" s="15" t="s">
        <v>459</v>
      </c>
      <c r="D45" s="117">
        <f>IF(Vin_type="AC",PO_FL*BUR*0.01/(ηXFMR*1.414*VINPUT_BUR),PO_FL*BUR*0.01/(ηXFMR*VINPUT_BUR))</f>
        <v>2.976190476190476E-2</v>
      </c>
      <c r="E45" s="44" t="s">
        <v>22</v>
      </c>
      <c r="F45" s="118"/>
      <c r="G45" s="65"/>
      <c r="H45" s="68"/>
      <c r="I45" s="59"/>
      <c r="J45" s="60"/>
      <c r="K45" s="60"/>
      <c r="L45" s="60"/>
      <c r="M45" s="60"/>
      <c r="N45" s="60"/>
      <c r="O45" s="60"/>
      <c r="P45" s="60"/>
      <c r="Q45" s="60"/>
      <c r="R45" s="60"/>
      <c r="S45" s="60"/>
      <c r="T45" s="60"/>
      <c r="U45" s="59"/>
      <c r="V45" s="59"/>
      <c r="W45" s="59"/>
    </row>
    <row r="46" spans="1:23" ht="19.5" thickBot="1">
      <c r="A46" s="35"/>
      <c r="B46" s="3" t="s">
        <v>876</v>
      </c>
      <c r="C46" s="17" t="s">
        <v>460</v>
      </c>
      <c r="D46" s="114">
        <f>IF(Vin_type="AC",(((1.414*VINPUT_BUR-VR_pri_max-VLk_pri_max)*NA/NP-Vs_clamp)/(RVS_1*1000)-Vs_clamp/(RVS_2*1000))*10^3,(((VINPUT_BUR-VR_pri_max-VLk_pri_max)*NA/NP-Vs_clamp)/(RVS_1*1000)-Vs_clamp/(RVS_2*1000))*10^3)</f>
        <v>0.86836429554530115</v>
      </c>
      <c r="E46" s="102" t="s">
        <v>41</v>
      </c>
      <c r="F46" s="134"/>
      <c r="G46" s="65"/>
      <c r="H46" s="68"/>
      <c r="I46" s="59"/>
      <c r="J46" s="60"/>
      <c r="K46" s="60"/>
      <c r="L46" s="60"/>
      <c r="M46" s="60"/>
      <c r="N46" s="60"/>
      <c r="O46" s="60"/>
      <c r="P46" s="60"/>
      <c r="Q46" s="60"/>
      <c r="R46" s="60"/>
      <c r="S46" s="60"/>
      <c r="T46" s="60"/>
      <c r="U46" s="59"/>
      <c r="V46" s="59"/>
      <c r="W46" s="59"/>
    </row>
    <row r="47" spans="1:23" ht="15.75" thickBot="1">
      <c r="A47" s="35"/>
      <c r="B47" s="36"/>
      <c r="C47" s="115"/>
      <c r="D47" s="36"/>
      <c r="E47" s="36"/>
      <c r="F47" s="36"/>
      <c r="G47" s="65"/>
      <c r="H47" s="65"/>
      <c r="I47" s="59"/>
      <c r="J47" s="60"/>
      <c r="K47" s="60"/>
      <c r="L47" s="60"/>
      <c r="M47" s="60"/>
      <c r="N47" s="60"/>
      <c r="O47" s="60"/>
      <c r="P47" s="60"/>
      <c r="Q47" s="60"/>
      <c r="R47" s="60"/>
      <c r="S47" s="60"/>
      <c r="T47" s="60"/>
      <c r="U47" s="59"/>
      <c r="V47" s="59"/>
      <c r="W47" s="59"/>
    </row>
    <row r="48" spans="1:23" ht="21">
      <c r="A48" s="35"/>
      <c r="B48" s="49" t="s">
        <v>52</v>
      </c>
      <c r="C48" s="18"/>
      <c r="D48" s="50" t="s">
        <v>364</v>
      </c>
      <c r="E48" s="50"/>
      <c r="F48" s="51"/>
      <c r="G48" s="67"/>
      <c r="H48" s="65"/>
      <c r="I48" s="59"/>
      <c r="J48" s="60"/>
      <c r="K48" s="60"/>
      <c r="L48" s="60"/>
      <c r="M48" s="60"/>
      <c r="N48" s="60"/>
      <c r="O48" s="60"/>
      <c r="P48" s="60"/>
      <c r="Q48" s="60"/>
      <c r="R48" s="60"/>
      <c r="S48" s="60"/>
      <c r="T48" s="60"/>
      <c r="U48" s="59"/>
      <c r="V48" s="59"/>
      <c r="W48" s="59"/>
    </row>
    <row r="49" spans="1:23" ht="19.5" thickBot="1">
      <c r="A49" s="35"/>
      <c r="B49" s="3" t="s">
        <v>875</v>
      </c>
      <c r="C49" s="17" t="s">
        <v>450</v>
      </c>
      <c r="D49" s="114">
        <f>IF(Vin_type="AC",((CSWN_T_vmax*10^-12)*(1.414*VINPUT_max+NPS*VOUT)/ipk_BUR)*10^9,((CSWN_T_vmax*10^-12)*(VINPUT_max+NPS*VOUT)/ipk_BUR)*10^9)</f>
        <v>362.62169140007654</v>
      </c>
      <c r="E49" s="102" t="s">
        <v>111</v>
      </c>
      <c r="F49" s="101"/>
      <c r="G49" s="34"/>
      <c r="H49" s="68"/>
      <c r="I49" s="59"/>
      <c r="J49" s="60"/>
      <c r="K49" s="60"/>
      <c r="L49" s="62"/>
      <c r="M49" s="66"/>
      <c r="N49" s="60"/>
      <c r="O49" s="60"/>
      <c r="P49" s="60"/>
      <c r="Q49" s="60"/>
      <c r="R49" s="60"/>
      <c r="S49" s="60"/>
      <c r="T49" s="60"/>
      <c r="U49" s="59"/>
      <c r="V49" s="59"/>
      <c r="W49" s="59"/>
    </row>
    <row r="50" spans="1:23" ht="15.75" thickBot="1">
      <c r="A50" s="35"/>
      <c r="B50" s="36"/>
      <c r="C50" s="115"/>
      <c r="D50" s="36"/>
      <c r="E50" s="36"/>
      <c r="F50" s="36"/>
      <c r="G50" s="65"/>
      <c r="H50" s="65"/>
      <c r="I50" s="59"/>
      <c r="J50" s="60"/>
      <c r="K50" s="60"/>
      <c r="L50" s="60"/>
      <c r="M50" s="60"/>
      <c r="N50" s="60"/>
      <c r="O50" s="60"/>
      <c r="P50" s="60"/>
      <c r="Q50" s="60"/>
      <c r="R50" s="60"/>
      <c r="S50" s="60"/>
      <c r="T50" s="60"/>
      <c r="U50" s="59"/>
      <c r="V50" s="59"/>
      <c r="W50" s="59"/>
    </row>
    <row r="51" spans="1:23" ht="21">
      <c r="A51" s="35"/>
      <c r="B51" s="49" t="s">
        <v>55</v>
      </c>
      <c r="C51" s="18"/>
      <c r="D51" s="50" t="s">
        <v>362</v>
      </c>
      <c r="E51" s="135"/>
      <c r="F51" s="136"/>
      <c r="G51" s="67"/>
      <c r="H51" s="65"/>
      <c r="I51" s="59"/>
      <c r="J51" s="60"/>
      <c r="K51" s="60"/>
      <c r="L51" s="60"/>
      <c r="M51" s="60"/>
      <c r="N51" s="60"/>
      <c r="O51" s="60"/>
      <c r="P51" s="60"/>
      <c r="Q51" s="60"/>
      <c r="R51" s="60"/>
      <c r="S51" s="60"/>
      <c r="T51" s="60"/>
      <c r="U51" s="59"/>
      <c r="V51" s="59"/>
      <c r="W51" s="59"/>
    </row>
    <row r="52" spans="1:23" ht="18.75">
      <c r="A52" s="35"/>
      <c r="B52" s="2" t="s">
        <v>881</v>
      </c>
      <c r="C52" s="15" t="s">
        <v>444</v>
      </c>
      <c r="D52" s="117">
        <f>(RDSon_QL/(RDSon_QH+RDSon_QL))*(((15-IVCC_qcc)*10^-3)/10^6)*10^9</f>
        <v>6.95</v>
      </c>
      <c r="E52" s="103" t="s">
        <v>62</v>
      </c>
      <c r="F52" s="104"/>
      <c r="G52" s="674" t="s">
        <v>1123</v>
      </c>
      <c r="H52" s="65"/>
      <c r="I52" s="59"/>
      <c r="J52" s="60"/>
      <c r="K52" s="60"/>
      <c r="L52" s="60"/>
      <c r="M52" s="60"/>
      <c r="N52" s="60"/>
      <c r="O52" s="60"/>
      <c r="P52" s="60"/>
      <c r="Q52" s="60"/>
      <c r="R52" s="60"/>
      <c r="S52" s="60"/>
      <c r="T52" s="60"/>
      <c r="U52" s="59"/>
      <c r="V52" s="59"/>
      <c r="W52" s="59"/>
    </row>
    <row r="53" spans="1:23" ht="18.75">
      <c r="A53" s="35"/>
      <c r="B53" s="93" t="s">
        <v>882</v>
      </c>
      <c r="C53" s="15" t="s">
        <v>445</v>
      </c>
      <c r="D53" s="117">
        <f>IF(Vin_type="AC",-SQRT(CSWN_T_vbi*(10^-12)/(LM*(10^-6)))*1.414*VINPUT_Brownin,-SQRT(CSWN_T_vbi*(10^-12)/(LM*(10^-6)))*VINPUT_Brownin)</f>
        <v>-8.7767654381073423E-2</v>
      </c>
      <c r="E53" s="44" t="s">
        <v>14</v>
      </c>
      <c r="F53" s="137"/>
      <c r="G53" s="65"/>
      <c r="H53" s="68"/>
      <c r="I53" s="59"/>
      <c r="J53" s="60"/>
      <c r="K53" s="60"/>
      <c r="L53" s="60"/>
      <c r="M53" s="53"/>
      <c r="N53" s="60"/>
      <c r="O53" s="60"/>
      <c r="P53" s="66"/>
      <c r="Q53" s="60"/>
      <c r="R53" s="60"/>
      <c r="S53" s="60"/>
      <c r="T53" s="60"/>
      <c r="U53" s="59"/>
      <c r="V53" s="59"/>
      <c r="W53" s="59"/>
    </row>
    <row r="54" spans="1:23" ht="18.75">
      <c r="A54" s="35"/>
      <c r="B54" s="93" t="s">
        <v>883</v>
      </c>
      <c r="C54" s="15" t="s">
        <v>446</v>
      </c>
      <c r="D54" s="123">
        <f>IF(Vin_type="AC",(1.414*VINPUT_Brownin*DBUR_min^2)/(2*(LM*10^-6)*IIN_BUR_min-DBUR_min*(LM*10^-6)*(IM_nega_BUR_min)+DBUR_min*1.414*VINPUT_Brownin*(IF(VINPUT_Brownin&gt;NPS*(VOUT+Vf_SR),3.1416-ACOS(NPS*(VOUT+Vf_SR)/VINPUT_Brownin),3.1416-ACOS(VINPUT_Brownin/(NPS*(VOUT+Vf_SR)))))*SQRT((LM*10^-6)*(CSWN_T_vbi*10^-12)))/1000,(VINPUT_Brownin*DBUR_min^2)/(2*(LM*10^-6)*IIN_BUR_min-DBUR_min*(LM*10^-6)*(IM_nega_BUR_min)+DBUR_min*VINPUT_Brownin*(IF(VINPUT_Brownin&gt;NPS*(VOUT+Vf_SR),3.1416-ACOS(NPS*(VOUT+Vf_SR)/VINPUT_Brownin),3.1416-ACOS(VINPUT_Brownin/(NPS*(VOUT+Vf_SR)))))*SQRT((LM*10^-6)*(CSWN_T_vbi*10^-12)))/1000)</f>
        <v>188.70141773326299</v>
      </c>
      <c r="E54" s="44" t="s">
        <v>8</v>
      </c>
      <c r="F54" s="118"/>
      <c r="G54" s="65"/>
      <c r="H54" s="68"/>
      <c r="I54" s="59"/>
      <c r="J54" s="60"/>
      <c r="K54" s="60"/>
      <c r="L54" s="60"/>
      <c r="M54" s="53"/>
      <c r="N54" s="60"/>
      <c r="O54" s="60"/>
      <c r="P54" s="60"/>
      <c r="Q54" s="60"/>
      <c r="R54" s="60"/>
      <c r="S54" s="60"/>
      <c r="T54" s="60"/>
      <c r="U54" s="59"/>
      <c r="V54" s="59"/>
      <c r="W54" s="59"/>
    </row>
    <row r="55" spans="1:23" ht="18.75">
      <c r="A55" s="35"/>
      <c r="B55" s="2" t="s">
        <v>884</v>
      </c>
      <c r="C55" s="15" t="s">
        <v>447</v>
      </c>
      <c r="D55" s="117">
        <f>SQRT(IM_nega_BUR^2+2*(PO_FL*BUR*0.01/ηXFMR)*(1/(fsw_BUR_min*1000*LM*10^-6)))</f>
        <v>0.43976421876240995</v>
      </c>
      <c r="E55" s="138" t="s">
        <v>14</v>
      </c>
      <c r="F55" s="137"/>
      <c r="G55" s="34"/>
      <c r="H55" s="65"/>
      <c r="I55" s="59"/>
      <c r="J55" s="60"/>
      <c r="K55" s="60"/>
      <c r="L55" s="60"/>
      <c r="M55" s="69"/>
      <c r="N55" s="60"/>
      <c r="O55" s="60"/>
      <c r="P55" s="60"/>
      <c r="Q55" s="61"/>
      <c r="R55" s="52"/>
      <c r="S55" s="60"/>
      <c r="T55" s="60"/>
      <c r="U55" s="59"/>
      <c r="V55" s="59"/>
      <c r="W55" s="59"/>
    </row>
    <row r="56" spans="1:23" ht="18.75">
      <c r="A56" s="35"/>
      <c r="B56" s="2" t="s">
        <v>885</v>
      </c>
      <c r="C56" s="15" t="s">
        <v>448</v>
      </c>
      <c r="D56" s="117">
        <f>IF(Vin_type="AC",(NPS*(VOUT+Vf_SR))/(1.414*VINPUT_Brownin+NPS*(VOUT+Vf_SR)),(NPS*(VOUT+Vf_SR))/(VINPUT_Brownin+NPS*(VOUT+Vf_SR)))</f>
        <v>0.57692307692307687</v>
      </c>
      <c r="E56" s="44"/>
      <c r="F56" s="129"/>
      <c r="G56" s="65"/>
      <c r="H56" s="68"/>
      <c r="I56" s="59"/>
      <c r="J56" s="60"/>
      <c r="K56" s="60"/>
      <c r="L56" s="60"/>
      <c r="M56" s="60"/>
      <c r="N56" s="60"/>
      <c r="O56" s="60"/>
      <c r="P56" s="60"/>
      <c r="Q56" s="60"/>
      <c r="R56" s="60"/>
      <c r="S56" s="60"/>
      <c r="T56" s="60"/>
      <c r="U56" s="59"/>
      <c r="V56" s="59"/>
      <c r="W56" s="59"/>
    </row>
    <row r="57" spans="1:23" ht="19.5" thickBot="1">
      <c r="A57" s="35"/>
      <c r="B57" s="3" t="s">
        <v>886</v>
      </c>
      <c r="C57" s="17" t="s">
        <v>449</v>
      </c>
      <c r="D57" s="114">
        <f>IF(Vin_type="AC",PO_FL*BUR*0.01/(ηXFMR*1.414*VINPUT_Brownin),PO_FL*BUR*0.01/(ηXFMR*VINPUT_Brownin))</f>
        <v>7.575757575757576E-2</v>
      </c>
      <c r="E57" s="102" t="s">
        <v>14</v>
      </c>
      <c r="F57" s="127"/>
      <c r="G57" s="65"/>
      <c r="H57" s="68"/>
      <c r="I57" s="59"/>
      <c r="J57" s="60"/>
      <c r="K57" s="60"/>
      <c r="L57" s="60"/>
      <c r="M57" s="60"/>
      <c r="N57" s="60"/>
      <c r="O57" s="60"/>
      <c r="P57" s="60"/>
      <c r="Q57" s="60"/>
      <c r="R57" s="60"/>
      <c r="S57" s="60"/>
      <c r="T57" s="60"/>
      <c r="U57" s="59"/>
      <c r="V57" s="59"/>
      <c r="W57" s="59"/>
    </row>
    <row r="58" spans="1:23" ht="15.75" thickBot="1">
      <c r="A58" s="35"/>
      <c r="B58" s="36"/>
      <c r="C58" s="115"/>
      <c r="D58" s="36"/>
      <c r="E58" s="36"/>
      <c r="F58" s="36"/>
      <c r="G58" s="65"/>
      <c r="H58" s="65"/>
      <c r="I58" s="59"/>
      <c r="J58" s="60"/>
      <c r="K58" s="60"/>
      <c r="L58" s="60"/>
      <c r="M58" s="60"/>
      <c r="N58" s="60"/>
      <c r="O58" s="60"/>
      <c r="P58" s="60"/>
      <c r="Q58" s="60"/>
      <c r="R58" s="60"/>
      <c r="S58" s="60"/>
      <c r="T58" s="60"/>
      <c r="U58" s="59"/>
      <c r="V58" s="59"/>
      <c r="W58" s="59"/>
    </row>
    <row r="59" spans="1:23" ht="21">
      <c r="A59" s="35"/>
      <c r="B59" s="49" t="s">
        <v>716</v>
      </c>
      <c r="C59" s="139"/>
      <c r="D59" s="50" t="s">
        <v>367</v>
      </c>
      <c r="E59" s="50"/>
      <c r="F59" s="51"/>
      <c r="G59" s="67"/>
      <c r="H59" s="65"/>
      <c r="I59" s="59"/>
      <c r="J59" s="60"/>
      <c r="K59" s="60"/>
      <c r="L59" s="60"/>
      <c r="M59" s="60"/>
      <c r="N59" s="60"/>
      <c r="O59" s="60"/>
      <c r="P59" s="60"/>
      <c r="Q59" s="60"/>
      <c r="R59" s="60"/>
      <c r="S59" s="60"/>
      <c r="T59" s="60"/>
      <c r="U59" s="59"/>
      <c r="V59" s="59"/>
      <c r="W59" s="59"/>
    </row>
    <row r="60" spans="1:23" ht="18.75">
      <c r="A60" s="35"/>
      <c r="B60" s="93" t="s">
        <v>887</v>
      </c>
      <c r="C60" s="15" t="s">
        <v>438</v>
      </c>
      <c r="D60" s="117">
        <f>IF(Vin_type="AC",-SQRT(CSWN_T_vbi_30*(10^-12)/(LM*(10^-6)))*(1.414*VINPUT_Brownin+30),-SQRT(CSWN_T_vbi_30*(10^-12)/(LM*(10^-6)))*(VINPUT_Brownin+30))</f>
        <v>-9.9221332335360443E-2</v>
      </c>
      <c r="E60" s="44" t="s">
        <v>22</v>
      </c>
      <c r="F60" s="118"/>
      <c r="G60" s="65"/>
      <c r="H60" s="68"/>
      <c r="I60" s="59"/>
      <c r="J60" s="60"/>
      <c r="K60" s="60"/>
      <c r="L60" s="60"/>
      <c r="M60" s="60"/>
      <c r="N60" s="60"/>
      <c r="O60" s="60"/>
      <c r="P60" s="60"/>
      <c r="Q60" s="60"/>
      <c r="R60" s="60"/>
      <c r="S60" s="60"/>
      <c r="T60" s="60"/>
      <c r="U60" s="59"/>
      <c r="V60" s="59"/>
      <c r="W60" s="59"/>
    </row>
    <row r="61" spans="1:23" ht="18.75">
      <c r="A61" s="35"/>
      <c r="B61" s="2" t="s">
        <v>888</v>
      </c>
      <c r="C61" s="15" t="s">
        <v>439</v>
      </c>
      <c r="D61" s="123">
        <f>IF(Vin_type="AC",((1.414*VINPUT_Brownin+30)*DOPP_start^2)/(2*(LM*10^-6)*IIN_OPP_start-DOPP_start*(LM*10^-6)*(IM_nega_start)+DOPP_start*(1.414*VINPUT_Brownin+30)*(IF((VINPUT_Brownin+30)&gt;NPS*(VOUT+Vf_SR),3.1416-ACOS(NPS*(VOUT+Vf_SR)/(VINPUT_Brownin+30)),3.1416-ACOS((VINPUT_Brownin+30)/(NPS*(VOUT+Vf_SR)))))*SQRT((LM*10^-6)*(CSWN_T_vbi_30*10^-12)))/1000,((VINPUT_Brownin+30)*DOPP_start^2)/(2*(LM*10^-6)*IIN_OPP_start-DOPP_start*(LM*10^-6)*(IM_nega_start)+DOPP_start*(VINPUT_Brownin+30)*(IF((VINPUT_Brownin+30)&gt;NPS*(VOUT+Vf_SR),3.1416-ACOS(NPS*(VOUT+Vf_SR)/(VINPUT_Brownin+30)),3.1416-ACOS((VINPUT_Brownin+30)/(NPS*(VOUT+Vf_SR)))))*SQRT((LM*10^-6)*(CSWN_T_vbi_30*10^-12)))/1000)</f>
        <v>62.928455349877801</v>
      </c>
      <c r="E61" s="44" t="s">
        <v>8</v>
      </c>
      <c r="F61" s="118"/>
      <c r="G61" s="65"/>
      <c r="H61" s="68"/>
      <c r="I61" s="59"/>
      <c r="J61" s="60"/>
      <c r="K61" s="60"/>
      <c r="L61" s="60"/>
      <c r="M61" s="60"/>
      <c r="N61" s="60"/>
      <c r="O61" s="60"/>
      <c r="P61" s="60"/>
      <c r="Q61" s="60"/>
      <c r="R61" s="60"/>
      <c r="S61" s="60"/>
      <c r="T61" s="60"/>
      <c r="U61" s="59"/>
      <c r="V61" s="59"/>
      <c r="W61" s="59"/>
    </row>
    <row r="62" spans="1:23" ht="18.75">
      <c r="A62" s="35"/>
      <c r="B62" s="2" t="s">
        <v>889</v>
      </c>
      <c r="C62" s="15" t="s">
        <v>440</v>
      </c>
      <c r="D62" s="117">
        <f>SQRT(IM_nega_start^2+2*(PO_FL*OPP*0.5*0.01*1.333/ηXFMR)*(1/(fsw_OPP_start*1000*LM*10^-6)))</f>
        <v>1.0550426410742071</v>
      </c>
      <c r="E62" s="44" t="s">
        <v>22</v>
      </c>
      <c r="F62" s="118"/>
      <c r="G62" s="65"/>
      <c r="H62" s="65"/>
      <c r="I62" s="59"/>
      <c r="J62" s="60"/>
      <c r="K62" s="53"/>
      <c r="L62" s="60"/>
      <c r="M62" s="60"/>
      <c r="N62" s="69"/>
      <c r="O62" s="60"/>
      <c r="P62" s="60"/>
      <c r="Q62" s="61"/>
      <c r="R62" s="52"/>
      <c r="S62" s="60"/>
      <c r="T62" s="60"/>
      <c r="U62" s="59"/>
      <c r="V62" s="59"/>
      <c r="W62" s="59"/>
    </row>
    <row r="63" spans="1:23" ht="18.75">
      <c r="A63" s="35"/>
      <c r="B63" s="2" t="s">
        <v>890</v>
      </c>
      <c r="C63" s="15" t="s">
        <v>441</v>
      </c>
      <c r="D63" s="117">
        <f>IF(Vin_type="AC",PO_FL*OPP*0.01*1.333*0.5/(ηXFMR*(1.414*VINPUT_Brownin+30)),PO_FL*OPP*0.01*1.333*0.5/(ηXFMR*(VINPUT_Brownin+30)))</f>
        <v>0.166625</v>
      </c>
      <c r="E63" s="44" t="s">
        <v>22</v>
      </c>
      <c r="F63" s="118"/>
      <c r="G63" s="65"/>
      <c r="H63" s="68"/>
      <c r="I63" s="59"/>
      <c r="J63" s="60"/>
      <c r="K63" s="71"/>
      <c r="L63" s="60"/>
      <c r="M63" s="60"/>
      <c r="N63" s="60"/>
      <c r="O63" s="60"/>
      <c r="P63" s="60"/>
      <c r="Q63" s="60"/>
      <c r="R63" s="60"/>
      <c r="S63" s="60"/>
      <c r="T63" s="60"/>
      <c r="U63" s="59"/>
      <c r="V63" s="59"/>
      <c r="W63" s="59"/>
    </row>
    <row r="64" spans="1:23" ht="18.75">
      <c r="A64" s="35"/>
      <c r="B64" s="10" t="s">
        <v>891</v>
      </c>
      <c r="C64" s="15" t="s">
        <v>442</v>
      </c>
      <c r="D64" s="117">
        <f>IF(Vin_type="AC",(NPS*(VOUT/2+Vf_SR))/((1.414*VINPUT_Brownin+30)+NPS*(VOUT/2+Vf_SR)),(NPS*(VOUT/2+Vf_SR))/((VINPUT_Brownin+30)+NPS*(VOUT/2+Vf_SR)))</f>
        <v>0.375</v>
      </c>
      <c r="E64" s="103"/>
      <c r="F64" s="129"/>
      <c r="G64" s="65"/>
      <c r="H64" s="68"/>
      <c r="I64" s="59"/>
      <c r="J64" s="60"/>
      <c r="K64" s="60"/>
      <c r="L64" s="60"/>
      <c r="M64" s="60"/>
      <c r="N64" s="60"/>
      <c r="O64" s="60"/>
      <c r="P64" s="60"/>
      <c r="Q64" s="60"/>
      <c r="R64" s="60"/>
      <c r="S64" s="60"/>
      <c r="T64" s="60"/>
      <c r="U64" s="59"/>
      <c r="V64" s="59"/>
      <c r="W64" s="59"/>
    </row>
    <row r="65" spans="1:23" ht="19.5" thickBot="1">
      <c r="A65" s="35"/>
      <c r="B65" s="3" t="s">
        <v>892</v>
      </c>
      <c r="C65" s="17" t="s">
        <v>443</v>
      </c>
      <c r="D65" s="114">
        <f>(((15-IVCC_qcc)*10^-3)/10^6)*fsw_OPP_start*1000*10^3</f>
        <v>0.87470552936330148</v>
      </c>
      <c r="E65" s="19" t="s">
        <v>59</v>
      </c>
      <c r="F65" s="106"/>
      <c r="G65" s="34"/>
      <c r="H65" s="65"/>
      <c r="I65" s="59"/>
      <c r="J65" s="60"/>
      <c r="K65" s="60"/>
      <c r="L65" s="60"/>
      <c r="M65" s="60"/>
      <c r="N65" s="60"/>
      <c r="O65" s="60"/>
      <c r="P65" s="60"/>
      <c r="Q65" s="60"/>
      <c r="R65" s="60"/>
      <c r="S65" s="60"/>
      <c r="T65" s="60"/>
      <c r="U65" s="59"/>
      <c r="V65" s="59"/>
      <c r="W65" s="59"/>
    </row>
    <row r="66" spans="1:23" ht="15.75" thickBot="1">
      <c r="A66" s="35"/>
      <c r="B66" s="36"/>
      <c r="C66" s="115"/>
      <c r="D66" s="36"/>
      <c r="E66" s="36"/>
      <c r="F66" s="36"/>
      <c r="G66" s="65"/>
      <c r="H66" s="65"/>
      <c r="I66" s="59"/>
      <c r="J66" s="60"/>
      <c r="K66" s="60"/>
      <c r="L66" s="60"/>
      <c r="M66" s="60"/>
      <c r="N66" s="60"/>
      <c r="O66" s="60"/>
      <c r="P66" s="60"/>
      <c r="Q66" s="60"/>
      <c r="R66" s="60"/>
      <c r="S66" s="60"/>
      <c r="T66" s="60"/>
      <c r="U66" s="59"/>
      <c r="V66" s="59"/>
      <c r="W66" s="59"/>
    </row>
    <row r="67" spans="1:23" ht="21">
      <c r="A67" s="35"/>
      <c r="B67" s="49" t="s">
        <v>60</v>
      </c>
      <c r="C67" s="18"/>
      <c r="D67" s="50" t="s">
        <v>362</v>
      </c>
      <c r="E67" s="50"/>
      <c r="F67" s="51"/>
      <c r="G67" s="67"/>
      <c r="H67" s="65"/>
      <c r="I67" s="59"/>
      <c r="J67" s="60"/>
      <c r="K67" s="60"/>
      <c r="L67" s="60"/>
      <c r="M67" s="60"/>
      <c r="N67" s="60"/>
      <c r="O67" s="60"/>
      <c r="P67" s="60"/>
      <c r="Q67" s="60"/>
      <c r="R67" s="60"/>
      <c r="S67" s="60"/>
      <c r="T67" s="60"/>
      <c r="U67" s="59"/>
      <c r="V67" s="59"/>
      <c r="W67" s="59"/>
    </row>
    <row r="68" spans="1:23" ht="18.75">
      <c r="A68" s="35"/>
      <c r="B68" s="2" t="s">
        <v>857</v>
      </c>
      <c r="C68" s="15" t="s">
        <v>388</v>
      </c>
      <c r="D68" s="123">
        <f>IF(Vin_type="AC",-SQRT(CSWN_T_vbi*(10^-12)/(LM*(10^-6)))*1.414*VINPUT_Brownin,-SQRT(CSWN_T_vbi*(10^-12)/(LM*(10^-6)))*VINPUT_Brownin)</f>
        <v>-8.7767654381073423E-2</v>
      </c>
      <c r="E68" s="44" t="s">
        <v>14</v>
      </c>
      <c r="F68" s="118"/>
      <c r="G68" s="65"/>
      <c r="H68" s="68"/>
      <c r="I68" s="59"/>
      <c r="J68" s="60"/>
      <c r="K68" s="60"/>
      <c r="L68" s="60"/>
      <c r="M68" s="60"/>
      <c r="N68" s="60"/>
      <c r="O68" s="60"/>
      <c r="P68" s="60"/>
      <c r="Q68" s="60"/>
      <c r="R68" s="60"/>
      <c r="S68" s="60"/>
      <c r="T68" s="60"/>
      <c r="U68" s="59"/>
      <c r="V68" s="59"/>
      <c r="W68" s="59"/>
    </row>
    <row r="69" spans="1:23" ht="18.75">
      <c r="A69" s="35"/>
      <c r="B69" s="2" t="s">
        <v>893</v>
      </c>
      <c r="C69" s="15" t="s">
        <v>389</v>
      </c>
      <c r="D69" s="123">
        <f>IF(Vin_type="AC",(1.414*VINPUT_Brownin*Dmin^2)/(2*(LM*10^-6)*IIN_min-Dmin*(LM*10^-6)*(IM_nega_min)+Dmin*1.414*VINPUT_Brownin*(IF(VINPUT_Brownin&gt;NPS*(VOUT+Vf_SR),3.1416-ACOS(NPS*(VOUT+Vf_SR)/VINPUT_Brownin),3.1416-ACOS(VINPUT_Brownin/(NPS*(VOUT+Vf_SR)))))*SQRT((LM*10^-6)*(CSWN_T_vbi*10^-12))),(VINPUT_Brownin*Dmin^2)/(2*(LM*10^-6)*IIN_min-Dmin*(LM*10^-6)*(IM_nega_min)+Dmin*VINPUT_Brownin*(IF(VINPUT_Brownin&gt;NPS*(VOUT+Vf_SR),3.1416-ACOS(NPS*(VOUT+Vf_SR)/VINPUT_Brownin),3.1416-ACOS(VINPUT_Brownin/(NPS*(VOUT+Vf_SR)))))*SQRT((LM*10^-6)*(CSWN_T_vbi*10^-12))))</f>
        <v>110816.89035389801</v>
      </c>
      <c r="E69" s="44" t="s">
        <v>23</v>
      </c>
      <c r="F69" s="118"/>
      <c r="G69" s="65"/>
      <c r="H69" s="68"/>
      <c r="I69" s="59"/>
      <c r="J69" s="60"/>
      <c r="K69" s="60"/>
      <c r="L69" s="60"/>
      <c r="M69" s="60"/>
      <c r="N69" s="60"/>
      <c r="O69" s="60"/>
      <c r="P69" s="60"/>
      <c r="Q69" s="61"/>
      <c r="R69" s="52"/>
      <c r="S69" s="60"/>
      <c r="T69" s="60"/>
      <c r="U69" s="59"/>
      <c r="V69" s="59"/>
      <c r="W69" s="59"/>
    </row>
    <row r="70" spans="1:23" ht="18.75">
      <c r="A70" s="35"/>
      <c r="B70" s="2" t="s">
        <v>894</v>
      </c>
      <c r="C70" s="15" t="s">
        <v>390</v>
      </c>
      <c r="D70" s="117">
        <f>SQRT(IM_nega_min^2+2*(PO_FL/ηXFMR)*(1/(fsw_min*LM*10^-6)))</f>
        <v>0.79646879847648444</v>
      </c>
      <c r="E70" s="44" t="s">
        <v>14</v>
      </c>
      <c r="F70" s="118"/>
      <c r="G70" s="65"/>
      <c r="H70" s="68"/>
      <c r="I70" s="59"/>
      <c r="J70" s="69"/>
      <c r="K70" s="60"/>
      <c r="L70" s="73"/>
      <c r="M70" s="60"/>
      <c r="N70" s="60"/>
      <c r="O70" s="60"/>
      <c r="P70" s="60"/>
      <c r="Q70" s="60"/>
      <c r="R70" s="60"/>
      <c r="S70" s="60"/>
      <c r="T70" s="60"/>
      <c r="U70" s="59"/>
      <c r="V70" s="59"/>
      <c r="W70" s="59"/>
    </row>
    <row r="71" spans="1:23" ht="18.75">
      <c r="A71" s="35"/>
      <c r="B71" s="2" t="s">
        <v>895</v>
      </c>
      <c r="C71" s="15" t="s">
        <v>391</v>
      </c>
      <c r="D71" s="117">
        <f>IF(Vin_type="AC",PO_FL/(ηXFMR*1.414*VINPUT_Brownin),PO_FL/(ηXFMR*VINPUT_Brownin))</f>
        <v>0.18939393939393939</v>
      </c>
      <c r="E71" s="44" t="s">
        <v>14</v>
      </c>
      <c r="F71" s="118"/>
      <c r="G71" s="65"/>
      <c r="H71" s="68"/>
      <c r="I71" s="59"/>
      <c r="J71" s="60"/>
      <c r="K71" s="60"/>
      <c r="L71" s="53"/>
      <c r="M71" s="60"/>
      <c r="N71" s="60"/>
      <c r="O71" s="60"/>
      <c r="P71" s="60"/>
      <c r="Q71" s="60"/>
      <c r="R71" s="60"/>
      <c r="S71" s="60"/>
      <c r="T71" s="60"/>
      <c r="U71" s="59"/>
      <c r="V71" s="59"/>
      <c r="W71" s="59"/>
    </row>
    <row r="72" spans="1:23" ht="18.75">
      <c r="A72" s="35"/>
      <c r="B72" s="10" t="s">
        <v>896</v>
      </c>
      <c r="C72" s="15" t="s">
        <v>392</v>
      </c>
      <c r="D72" s="117">
        <f>IF(Vin_type="AC",(NPS*(VOUT+Vf_SR))/(1.414*VINPUT_Brownin+NPS*(VOUT+Vf_SR)),(NPS*(VOUT+Vf_SR))/(VINPUT_Brownin+NPS*(VOUT+Vf_SR)))</f>
        <v>0.57692307692307687</v>
      </c>
      <c r="E72" s="103"/>
      <c r="F72" s="129"/>
      <c r="G72" s="65"/>
      <c r="H72" s="68"/>
      <c r="I72" s="59"/>
      <c r="J72" s="60"/>
      <c r="K72" s="60"/>
      <c r="L72" s="60"/>
      <c r="M72" s="60"/>
      <c r="N72" s="60"/>
      <c r="O72" s="60"/>
      <c r="P72" s="60"/>
      <c r="Q72" s="60"/>
      <c r="R72" s="60"/>
      <c r="S72" s="60"/>
      <c r="T72" s="60"/>
      <c r="U72" s="59"/>
      <c r="V72" s="59"/>
      <c r="W72" s="59"/>
    </row>
    <row r="73" spans="1:23" ht="19.5" thickBot="1">
      <c r="A73" s="35"/>
      <c r="B73" s="109" t="s">
        <v>897</v>
      </c>
      <c r="C73" s="17" t="s">
        <v>393</v>
      </c>
      <c r="D73" s="114">
        <f>IF(Vin_type="AC",(NPS*1.414*VINPUT_Brownin/(2*RCS*(1.414*VINPUT_Brownin+NPS*VOUT)))/(0.8*(COUT*10^-6)*(((1.414*VINPUT_Brownin*NPS^2*(ipk_min+IM_nega_min))/(2*(1.414*VINPUT_Brownin+NPS*VOUT)^2)+IOUT/VOUT)*RCO*0.001+1)),(NPS*VINPUT_Brownin/(2*RCS*(VINPUT_Brownin+NPS*VOUT)))/(0.8*(COUT*10^-6)*(((VINPUT_Brownin*NPS^2*(ipk_min+IM_nega_min))/(2*(VINPUT_Brownin+NPS*VOUT)^2)+IOUT/VOUT)*RCO*0.001+1)))</f>
        <v>14235.320819028391</v>
      </c>
      <c r="E73" s="19"/>
      <c r="F73" s="134"/>
      <c r="G73" s="34"/>
      <c r="H73" s="68"/>
      <c r="I73" s="59"/>
      <c r="J73" s="60"/>
      <c r="K73" s="54"/>
      <c r="L73" s="60"/>
      <c r="M73" s="60"/>
      <c r="N73" s="60"/>
      <c r="O73" s="60"/>
      <c r="P73" s="60"/>
      <c r="Q73" s="60"/>
      <c r="R73" s="60"/>
      <c r="S73" s="60"/>
      <c r="T73" s="60"/>
      <c r="U73" s="59"/>
      <c r="V73" s="59"/>
      <c r="W73" s="59"/>
    </row>
    <row r="74" spans="1:23">
      <c r="A74" s="35"/>
      <c r="B74" s="35"/>
      <c r="C74" s="20"/>
      <c r="D74" s="35"/>
      <c r="E74" s="35"/>
      <c r="F74" s="35"/>
      <c r="G74" s="59"/>
      <c r="H74" s="59"/>
      <c r="I74" s="59"/>
      <c r="J74" s="60"/>
      <c r="K74" s="60"/>
      <c r="L74" s="60"/>
      <c r="M74" s="60"/>
      <c r="N74" s="60"/>
      <c r="O74" s="60"/>
      <c r="P74" s="60"/>
      <c r="Q74" s="60"/>
      <c r="R74" s="60"/>
      <c r="S74" s="60"/>
      <c r="T74" s="60"/>
      <c r="U74" s="59"/>
      <c r="V74" s="59"/>
      <c r="W74" s="59"/>
    </row>
    <row r="75" spans="1:23">
      <c r="A75" s="35"/>
      <c r="B75" s="35"/>
      <c r="C75" s="20"/>
      <c r="D75" s="35"/>
      <c r="E75" s="35"/>
      <c r="F75" s="35"/>
      <c r="G75" s="59"/>
      <c r="H75" s="59"/>
      <c r="I75" s="59"/>
      <c r="J75" s="60"/>
      <c r="K75" s="60"/>
      <c r="L75" s="60"/>
      <c r="M75" s="60"/>
      <c r="N75" s="60"/>
      <c r="O75" s="60"/>
      <c r="P75" s="60"/>
      <c r="Q75" s="60"/>
      <c r="R75" s="60"/>
      <c r="S75" s="60"/>
      <c r="T75" s="60"/>
      <c r="U75" s="59"/>
      <c r="V75" s="59"/>
      <c r="W75" s="59"/>
    </row>
    <row r="76" spans="1:23">
      <c r="A76" s="35"/>
      <c r="B76" s="35"/>
      <c r="C76" s="21" t="s">
        <v>342</v>
      </c>
      <c r="D76" s="140" t="s">
        <v>341</v>
      </c>
      <c r="E76" s="35"/>
      <c r="F76" s="35"/>
      <c r="G76" s="59"/>
      <c r="H76" s="59"/>
      <c r="I76" s="59"/>
      <c r="J76" s="60"/>
      <c r="K76" s="60"/>
      <c r="L76" s="60"/>
      <c r="M76" s="60"/>
      <c r="N76" s="60"/>
      <c r="O76" s="60"/>
      <c r="P76" s="60"/>
      <c r="Q76" s="60"/>
      <c r="R76" s="60"/>
      <c r="S76" s="60"/>
      <c r="T76" s="60"/>
      <c r="U76" s="59"/>
      <c r="V76" s="59"/>
      <c r="W76" s="59"/>
    </row>
    <row r="77" spans="1:23">
      <c r="A77" s="35"/>
      <c r="B77" s="35"/>
      <c r="C77" s="21" t="s">
        <v>115</v>
      </c>
      <c r="D77" s="141">
        <v>0</v>
      </c>
      <c r="E77" s="35"/>
      <c r="F77" s="35"/>
      <c r="G77" s="59"/>
      <c r="H77" s="59"/>
      <c r="I77" s="59"/>
      <c r="J77" s="59"/>
      <c r="K77" s="59"/>
      <c r="L77" s="59"/>
      <c r="M77" s="59"/>
      <c r="N77" s="59"/>
      <c r="O77" s="59"/>
      <c r="P77" s="59"/>
      <c r="Q77" s="59"/>
      <c r="R77" s="59"/>
      <c r="S77" s="59"/>
      <c r="T77" s="59"/>
      <c r="U77" s="59"/>
      <c r="V77" s="59"/>
      <c r="W77" s="59"/>
    </row>
    <row r="78" spans="1:23">
      <c r="A78" s="35"/>
      <c r="B78" s="35"/>
      <c r="C78" s="21" t="s">
        <v>143</v>
      </c>
      <c r="D78" s="142">
        <v>1</v>
      </c>
      <c r="E78" s="35"/>
      <c r="F78" s="35"/>
      <c r="G78" s="59"/>
      <c r="H78" s="59"/>
      <c r="I78" s="59"/>
      <c r="J78" s="59"/>
      <c r="K78" s="59"/>
      <c r="L78" s="59"/>
      <c r="M78" s="59"/>
      <c r="N78" s="59"/>
      <c r="O78" s="59"/>
      <c r="P78" s="59"/>
      <c r="Q78" s="59"/>
      <c r="R78" s="59"/>
      <c r="S78" s="59"/>
      <c r="T78" s="59"/>
      <c r="U78" s="59"/>
      <c r="V78" s="59"/>
      <c r="W78" s="59"/>
    </row>
    <row r="79" spans="1:23" ht="15.75" thickBot="1">
      <c r="A79" s="35"/>
      <c r="B79" s="35"/>
      <c r="C79" s="20"/>
      <c r="D79" s="35"/>
      <c r="E79" s="35"/>
      <c r="F79" s="35"/>
      <c r="G79" s="59"/>
      <c r="H79" s="59"/>
      <c r="I79" s="59"/>
      <c r="J79" s="59"/>
      <c r="K79" s="59"/>
      <c r="L79" s="59"/>
      <c r="M79" s="59"/>
      <c r="N79" s="59"/>
      <c r="O79" s="59"/>
      <c r="P79" s="59"/>
      <c r="Q79" s="59"/>
      <c r="R79" s="59"/>
      <c r="S79" s="59"/>
      <c r="T79" s="59"/>
      <c r="U79" s="59"/>
      <c r="V79" s="59"/>
      <c r="W79" s="59"/>
    </row>
    <row r="80" spans="1:23" ht="18">
      <c r="A80" s="35"/>
      <c r="B80" s="49" t="s">
        <v>340</v>
      </c>
      <c r="C80" s="18"/>
      <c r="D80" s="50" t="s">
        <v>366</v>
      </c>
      <c r="E80" s="50"/>
      <c r="F80" s="51"/>
      <c r="G80" s="59"/>
      <c r="H80" s="59"/>
      <c r="I80" s="59"/>
      <c r="J80" s="59"/>
      <c r="K80" s="59"/>
      <c r="L80" s="59"/>
      <c r="M80" s="59"/>
      <c r="N80" s="59"/>
      <c r="O80" s="59"/>
      <c r="P80" s="59"/>
      <c r="Q80" s="59"/>
      <c r="R80" s="59"/>
      <c r="S80" s="59"/>
      <c r="T80" s="59"/>
      <c r="U80" s="59"/>
      <c r="V80" s="59"/>
      <c r="W80" s="59"/>
    </row>
    <row r="81" spans="1:23" ht="18.75">
      <c r="A81" s="35"/>
      <c r="B81" s="2" t="s">
        <v>1023</v>
      </c>
      <c r="C81" s="15" t="s">
        <v>434</v>
      </c>
      <c r="D81" s="117">
        <f>IF(Vin_type="AC", 106/(1.414*VINPUT_Brownin), 106/VINPUT_Brownin)</f>
        <v>0.48181818181818181</v>
      </c>
      <c r="E81" s="44"/>
      <c r="F81" s="118" t="s">
        <v>1024</v>
      </c>
      <c r="G81" s="59"/>
      <c r="H81" s="59" t="s">
        <v>1171</v>
      </c>
      <c r="I81" s="59"/>
      <c r="J81" s="59"/>
      <c r="K81" s="59"/>
      <c r="L81" s="59" t="s">
        <v>1162</v>
      </c>
      <c r="M81" s="59"/>
      <c r="N81" s="59"/>
      <c r="O81" s="59"/>
      <c r="P81" s="59"/>
      <c r="Q81" s="59"/>
      <c r="R81" s="59"/>
      <c r="S81" s="59"/>
      <c r="T81" s="59"/>
      <c r="U81" s="59"/>
      <c r="V81" s="59"/>
      <c r="W81" s="59"/>
    </row>
    <row r="82" spans="1:23" ht="18.75">
      <c r="A82" s="35"/>
      <c r="B82" s="2" t="s">
        <v>1156</v>
      </c>
      <c r="C82" s="15" t="s">
        <v>435</v>
      </c>
      <c r="D82" s="117">
        <f>IF(Vin_type="AC", (IF(Kvsl*1.414*VIN_min&gt;290, VCST_OPP4, IF(Kvsl*1.414*VIN_min&gt;130, 0.475-0.00003125*(Kvsl*1.414*VIN_min-130), IF(Kvsl*1.414*VIN_min&gt;70, VCST_OPP1-0.002083*(Kvsl*1.414*VIN_min-70), VCST_OPP1)))),  (IF(Kvsl*VIN_min&gt;290, VCST_OPP4, IF(Kvsl*VIN_min&gt;130, 0.475-0.00003125*(Kvsl*VIN_min-130), IF(Kvsl*VIN_min&gt;70, VCST_OPP1-0.002083*(Kvsl*VIN_min-70), VCST_OPP1)))))</f>
        <v>0.49088867272727271</v>
      </c>
      <c r="E82" s="44" t="s">
        <v>6</v>
      </c>
      <c r="F82" s="118" t="s">
        <v>386</v>
      </c>
      <c r="G82" s="711" t="s">
        <v>1157</v>
      </c>
      <c r="H82" s="712"/>
      <c r="I82" s="712"/>
      <c r="J82" s="712"/>
      <c r="K82" s="415"/>
      <c r="L82" s="59" t="s">
        <v>1155</v>
      </c>
      <c r="M82" s="59" t="s">
        <v>1154</v>
      </c>
      <c r="O82" s="59"/>
      <c r="P82" s="59"/>
      <c r="Q82" s="59"/>
      <c r="R82" s="59"/>
      <c r="S82" s="59"/>
      <c r="T82" s="59"/>
      <c r="U82" s="59"/>
      <c r="V82" s="59"/>
      <c r="W82" s="59"/>
    </row>
    <row r="83" spans="1:23" ht="18.75">
      <c r="A83" s="35"/>
      <c r="B83" s="2" t="s">
        <v>436</v>
      </c>
      <c r="C83" s="15" t="s">
        <v>437</v>
      </c>
      <c r="D83" s="117">
        <f>IF(Vin_type="AC", (IF(Kvsl*1.414*VINPUT_max&gt;290, VCST_OPP4, IF(Kvsl*1.414*VINPUT_max&gt;130, 0.475-0.00003125*(Kvsl*1.414*VINPUT_max-130), IF(Kvsl*1.414*VINPUT_max&gt;70, VCST_OPP1-0.002083*(Kvsl*1.414*VINPUT_max-70), VCST_OPP1)))),  (IF(Kvsl*VINPUT_max&gt;290, VCST_OPP4, IF(Kvsl*VINPUT_max&gt;130, 0.475-0.00003125*(Kvsl*VINPUT_max-130), IF(Kvsl*VINPUT_max&gt;70, VCST_OPP1-0.002083*(Kvsl*VINPUT_max-70), VCST_OPP1)))))</f>
        <v>0.47002840909090909</v>
      </c>
      <c r="E83" s="44" t="s">
        <v>6</v>
      </c>
      <c r="F83" s="118" t="s">
        <v>387</v>
      </c>
      <c r="G83" s="59"/>
      <c r="H83" s="59"/>
      <c r="I83" s="59"/>
      <c r="J83" s="59"/>
      <c r="K83" s="59"/>
      <c r="M83" s="59"/>
      <c r="N83" s="59"/>
      <c r="O83" s="59"/>
      <c r="P83" s="59"/>
      <c r="Q83" s="59"/>
      <c r="R83" s="59"/>
      <c r="S83" s="59"/>
      <c r="T83" s="59"/>
      <c r="U83" s="59"/>
      <c r="V83" s="59"/>
      <c r="W83" s="59"/>
    </row>
    <row r="84" spans="1:23">
      <c r="A84" s="35"/>
      <c r="B84" s="2"/>
      <c r="C84" s="15"/>
      <c r="D84" s="117"/>
      <c r="E84" s="44"/>
      <c r="F84" s="118"/>
      <c r="G84" s="59"/>
      <c r="H84" s="59"/>
      <c r="I84" s="59"/>
      <c r="J84" s="59"/>
      <c r="K84" s="59"/>
      <c r="L84" s="59"/>
      <c r="M84" s="59"/>
      <c r="N84" s="59"/>
      <c r="O84" s="59"/>
      <c r="P84" s="59"/>
      <c r="Q84" s="59"/>
      <c r="R84" s="59"/>
      <c r="S84" s="59"/>
      <c r="T84" s="59"/>
      <c r="U84" s="59"/>
      <c r="V84" s="59"/>
      <c r="W84" s="59"/>
    </row>
    <row r="85" spans="1:23">
      <c r="A85" s="35"/>
      <c r="B85" s="10"/>
      <c r="C85" s="15"/>
      <c r="D85" s="117"/>
      <c r="E85" s="103"/>
      <c r="F85" s="129"/>
      <c r="G85" s="59"/>
      <c r="H85" s="59"/>
      <c r="I85" s="59"/>
      <c r="J85" s="59"/>
      <c r="K85" s="59"/>
      <c r="L85" s="59"/>
      <c r="M85" s="59"/>
      <c r="N85" s="59"/>
      <c r="O85" s="59"/>
      <c r="P85" s="59"/>
      <c r="Q85" s="59"/>
      <c r="R85" s="59"/>
      <c r="S85" s="59"/>
      <c r="T85" s="59"/>
      <c r="U85" s="59"/>
      <c r="V85" s="59"/>
      <c r="W85" s="59"/>
    </row>
    <row r="86" spans="1:23" ht="15.75" thickBot="1">
      <c r="A86" s="35"/>
      <c r="B86" s="109"/>
      <c r="C86" s="17"/>
      <c r="D86" s="114"/>
      <c r="E86" s="19"/>
      <c r="F86" s="134"/>
      <c r="G86" s="59"/>
      <c r="H86" s="59"/>
      <c r="I86" s="59"/>
      <c r="J86" s="59"/>
      <c r="K86" s="59"/>
      <c r="L86" s="59"/>
      <c r="M86" s="59"/>
      <c r="N86" s="59"/>
      <c r="O86" s="59"/>
      <c r="P86" s="59"/>
      <c r="Q86" s="59"/>
      <c r="R86" s="59"/>
      <c r="S86" s="59"/>
      <c r="T86" s="59"/>
      <c r="U86" s="59"/>
      <c r="V86" s="59"/>
      <c r="W86" s="59"/>
    </row>
    <row r="87" spans="1:23">
      <c r="A87" s="35"/>
      <c r="B87" s="35"/>
      <c r="C87" s="20"/>
      <c r="D87" s="35"/>
      <c r="E87" s="35"/>
      <c r="F87" s="35"/>
      <c r="G87" s="59"/>
      <c r="H87" s="59"/>
      <c r="I87" s="59"/>
      <c r="J87" s="59"/>
      <c r="K87" s="59"/>
      <c r="L87" s="59"/>
      <c r="M87" s="59"/>
      <c r="N87" s="59"/>
      <c r="O87" s="59"/>
      <c r="P87" s="59"/>
      <c r="Q87" s="59"/>
      <c r="R87" s="59"/>
      <c r="S87" s="59"/>
      <c r="T87" s="59"/>
      <c r="U87" s="59"/>
      <c r="V87" s="59"/>
      <c r="W87" s="59"/>
    </row>
    <row r="88" spans="1:23" ht="15.75" thickBot="1">
      <c r="A88" s="35"/>
      <c r="B88" s="35"/>
      <c r="C88" s="20"/>
      <c r="D88" s="35"/>
      <c r="E88" s="35"/>
      <c r="F88" s="35"/>
      <c r="G88" s="59"/>
      <c r="H88" s="59"/>
      <c r="J88" s="59"/>
      <c r="K88" s="59"/>
      <c r="L88" s="59"/>
      <c r="M88" s="59"/>
      <c r="N88" s="59"/>
      <c r="O88" s="59"/>
      <c r="P88" s="59"/>
      <c r="Q88" s="59"/>
      <c r="R88" s="59"/>
      <c r="S88" s="59"/>
      <c r="T88" s="59"/>
      <c r="U88" s="59"/>
      <c r="V88" s="59"/>
      <c r="W88" s="59"/>
    </row>
    <row r="89" spans="1:23" ht="18">
      <c r="A89" s="35"/>
      <c r="B89" s="39" t="s">
        <v>69</v>
      </c>
      <c r="C89" s="40"/>
      <c r="D89" s="40" t="s">
        <v>363</v>
      </c>
      <c r="E89" s="40"/>
      <c r="F89" s="41"/>
      <c r="G89" s="59"/>
      <c r="H89" s="59"/>
      <c r="J89" s="59"/>
      <c r="K89" s="59"/>
      <c r="L89" s="59"/>
      <c r="M89" s="59"/>
      <c r="N89" s="59"/>
      <c r="O89" s="59"/>
      <c r="P89" s="59"/>
      <c r="Q89" s="59"/>
      <c r="R89" s="59"/>
      <c r="S89" s="59"/>
      <c r="T89" s="59"/>
      <c r="U89" s="59"/>
      <c r="V89" s="59"/>
      <c r="W89" s="59"/>
    </row>
    <row r="90" spans="1:23" ht="18.75">
      <c r="A90" s="35"/>
      <c r="B90" s="2" t="s">
        <v>217</v>
      </c>
      <c r="C90" s="15" t="s">
        <v>426</v>
      </c>
      <c r="D90" s="55">
        <f>IF(Vin_type="AC",((COSS_QH_bg*Vxh*(10^-12)+COSS_QH_sm*(10^-12)*(VBulk_min_tgt+NPS*VOUT-Vxh))/(VBulk_min_tgt+VOUT*NPS))*10^12,((COSS_QH_bg*Vxh*(10^-12)+COSS_QH_sm*(10^-12)*(VBulk_min_tgt+NPS*VOUT-Vxh))/(VBulk_min_tgt+VOUT*NPS))*10^12)</f>
        <v>87.500000000000014</v>
      </c>
      <c r="E90" s="5" t="s">
        <v>233</v>
      </c>
      <c r="F90" s="7"/>
      <c r="G90" s="59"/>
      <c r="H90" s="59"/>
      <c r="I90" s="59"/>
      <c r="J90" s="59"/>
      <c r="K90" s="59"/>
      <c r="L90" s="59"/>
      <c r="M90" s="59"/>
      <c r="N90" s="59"/>
      <c r="O90" s="59"/>
      <c r="P90" s="59"/>
      <c r="Q90" s="59"/>
      <c r="R90" s="59"/>
      <c r="S90" s="59"/>
      <c r="T90" s="59"/>
      <c r="U90" s="59"/>
      <c r="V90" s="59"/>
      <c r="W90" s="59"/>
    </row>
    <row r="91" spans="1:23" ht="18.75">
      <c r="A91" s="35"/>
      <c r="B91" s="2" t="s">
        <v>218</v>
      </c>
      <c r="C91" s="15" t="s">
        <v>427</v>
      </c>
      <c r="D91" s="55">
        <f>IF(Vin_type="AC",((COSS_QL_bg*Vxl*(10^-12)+COSS_QL_sm*(10^-12)*(VBulk_min_tgt+NPS*VOUT-Vxl))/(VBulk_min_tgt+VOUT*NPS))*10^12,((COSS_QL_bg*Vxl*(10^-12)+COSS_QL_sm*(10^-12)*(VBulk_min_tgt+NPS*VOUT-Vxl))/(VBulk_min_tgt+VOUT*NPS))*10^12)</f>
        <v>87.500000000000014</v>
      </c>
      <c r="E91" s="5" t="s">
        <v>233</v>
      </c>
      <c r="F91" s="7"/>
      <c r="G91" s="59"/>
      <c r="H91" s="59"/>
      <c r="I91" s="59"/>
      <c r="J91" s="59"/>
      <c r="K91" s="59"/>
      <c r="L91" s="59"/>
      <c r="M91" s="59"/>
      <c r="N91" s="59"/>
      <c r="O91" s="59"/>
      <c r="P91" s="59"/>
      <c r="Q91" s="59"/>
      <c r="R91" s="59"/>
      <c r="S91" s="59"/>
      <c r="T91" s="59"/>
      <c r="U91" s="59"/>
      <c r="V91" s="59"/>
      <c r="W91" s="59"/>
    </row>
    <row r="92" spans="1:23" ht="18.75">
      <c r="A92" s="35"/>
      <c r="B92" s="2" t="s">
        <v>120</v>
      </c>
      <c r="C92" s="15" t="s">
        <v>428</v>
      </c>
      <c r="D92" s="55">
        <f>CTr</f>
        <v>3.1</v>
      </c>
      <c r="E92" s="5" t="s">
        <v>21</v>
      </c>
      <c r="F92" s="7"/>
      <c r="G92" s="59"/>
      <c r="H92" s="59"/>
      <c r="I92" s="59"/>
      <c r="J92" s="59"/>
      <c r="K92" s="59"/>
      <c r="L92" s="59"/>
      <c r="M92" s="59"/>
      <c r="N92" s="59"/>
      <c r="O92" s="59"/>
      <c r="P92" s="59"/>
      <c r="Q92" s="59"/>
      <c r="R92" s="59"/>
      <c r="S92" s="59"/>
      <c r="T92" s="59"/>
      <c r="U92" s="59"/>
      <c r="V92" s="59"/>
      <c r="W92" s="59"/>
    </row>
    <row r="93" spans="1:23" ht="18.75">
      <c r="A93" s="35"/>
      <c r="B93" s="2" t="s">
        <v>334</v>
      </c>
      <c r="C93" s="15" t="s">
        <v>429</v>
      </c>
      <c r="D93" s="8">
        <f>CBootD_T</f>
        <v>10</v>
      </c>
      <c r="E93" s="5" t="s">
        <v>27</v>
      </c>
      <c r="F93" s="7"/>
      <c r="G93" s="59"/>
      <c r="H93" s="59"/>
      <c r="I93" s="59"/>
      <c r="J93" s="59"/>
      <c r="K93" s="59"/>
      <c r="L93" s="59"/>
      <c r="M93" s="59"/>
      <c r="N93" s="59"/>
      <c r="O93" s="59"/>
      <c r="P93" s="59"/>
      <c r="Q93" s="59"/>
      <c r="R93" s="59"/>
      <c r="S93" s="59"/>
      <c r="T93" s="59"/>
      <c r="U93" s="59"/>
      <c r="V93" s="59"/>
      <c r="W93" s="59"/>
    </row>
    <row r="94" spans="1:23" ht="18.75">
      <c r="A94" s="35"/>
      <c r="B94" s="2" t="s">
        <v>121</v>
      </c>
      <c r="C94" s="15" t="s">
        <v>430</v>
      </c>
      <c r="D94" s="56">
        <f>COSS_Qs</f>
        <v>1.7</v>
      </c>
      <c r="E94" s="5" t="s">
        <v>13</v>
      </c>
      <c r="F94" s="45"/>
      <c r="G94" s="59"/>
      <c r="H94" s="59"/>
      <c r="I94" s="59"/>
      <c r="J94" s="59"/>
      <c r="K94" s="59"/>
      <c r="L94" s="59"/>
      <c r="M94" s="59"/>
      <c r="N94" s="59"/>
      <c r="O94" s="59"/>
      <c r="P94" s="59"/>
      <c r="Q94" s="59"/>
      <c r="R94" s="59"/>
      <c r="S94" s="59"/>
      <c r="T94" s="59"/>
      <c r="U94" s="59"/>
      <c r="V94" s="59"/>
      <c r="W94" s="59"/>
    </row>
    <row r="95" spans="1:23" ht="18.75">
      <c r="A95" s="35"/>
      <c r="B95" s="10" t="s">
        <v>368</v>
      </c>
      <c r="C95" s="16" t="s">
        <v>431</v>
      </c>
      <c r="D95" s="57">
        <f>IF(Vin_type="AC",(Coss_SR_bg*Vx_SR+Coss_SR_sm*(VOUT+VBulk_min_tgt/NPS-Vx_SR))/(VOUT+VBulk_min_tgt/NPS),(Coss_SR_bg*Vx_SR+Coss_SR_sm*(VOUT+VBulk_min_tgt/NPS-Vx_SR))/(VOUT+VBulk_min_tgt/NPS))</f>
        <v>4200</v>
      </c>
      <c r="E95" s="5" t="s">
        <v>21</v>
      </c>
      <c r="F95" s="45"/>
      <c r="G95" s="59"/>
      <c r="H95" s="59"/>
      <c r="I95" s="59"/>
      <c r="J95" s="59"/>
      <c r="K95" s="59"/>
      <c r="L95" s="59"/>
      <c r="M95" s="59"/>
      <c r="N95" s="59"/>
      <c r="O95" s="59"/>
      <c r="P95" s="59"/>
      <c r="Q95" s="59"/>
      <c r="R95" s="59"/>
      <c r="S95" s="59"/>
      <c r="T95" s="59"/>
      <c r="U95" s="59"/>
      <c r="V95" s="59"/>
      <c r="W95" s="59"/>
    </row>
    <row r="96" spans="1:23" ht="18.75">
      <c r="A96" s="35"/>
      <c r="B96" s="10" t="s">
        <v>369</v>
      </c>
      <c r="C96" s="16" t="s">
        <v>432</v>
      </c>
      <c r="D96" s="57">
        <f>CDaux_T</f>
        <v>4.68</v>
      </c>
      <c r="E96" s="5" t="s">
        <v>21</v>
      </c>
      <c r="F96" s="7"/>
      <c r="G96" s="59"/>
      <c r="H96" s="59"/>
      <c r="I96" s="59"/>
      <c r="J96" s="59"/>
      <c r="K96" s="59"/>
      <c r="L96" s="59"/>
      <c r="M96" s="59"/>
      <c r="N96" s="59"/>
      <c r="O96" s="59"/>
      <c r="P96" s="59"/>
      <c r="Q96" s="59"/>
      <c r="R96" s="59"/>
      <c r="S96" s="59"/>
      <c r="T96" s="59"/>
      <c r="U96" s="59"/>
      <c r="V96" s="59"/>
      <c r="W96" s="59"/>
    </row>
    <row r="97" spans="1:23" ht="19.5" thickBot="1">
      <c r="A97" s="35"/>
      <c r="B97" s="3" t="s">
        <v>335</v>
      </c>
      <c r="C97" s="17" t="s">
        <v>433</v>
      </c>
      <c r="D97" s="58">
        <f>COSS_QH_T_vmin + COSS_QL_T_vmin + CTr_vmin + CBootD_T_vmin + COSS_Qs_vmin + COSS_SR_vmin/(NP/NS)^2 + C_Daux_vmin/(NP/NA)^2</f>
        <v>190.98746666666668</v>
      </c>
      <c r="E97" s="6" t="s">
        <v>21</v>
      </c>
      <c r="F97" s="9"/>
      <c r="G97" s="59"/>
      <c r="H97" s="59"/>
      <c r="I97" s="59"/>
      <c r="J97" s="59"/>
      <c r="K97" s="59"/>
      <c r="L97" s="59"/>
      <c r="M97" s="59"/>
      <c r="N97" s="59"/>
      <c r="O97" s="59"/>
      <c r="P97" s="59"/>
      <c r="Q97" s="59"/>
      <c r="R97" s="59"/>
      <c r="S97" s="59"/>
      <c r="T97" s="59"/>
      <c r="U97" s="59"/>
      <c r="V97" s="59"/>
      <c r="W97" s="59"/>
    </row>
    <row r="98" spans="1:23" ht="15.75" thickBot="1">
      <c r="A98" s="35"/>
      <c r="B98" s="35"/>
      <c r="C98" s="20"/>
      <c r="D98" s="35"/>
      <c r="E98" s="35"/>
      <c r="F98" s="35"/>
      <c r="G98" s="59"/>
      <c r="H98" s="59"/>
      <c r="I98" s="59"/>
      <c r="J98" s="59"/>
      <c r="K98" s="59"/>
      <c r="L98" s="59"/>
      <c r="M98" s="59"/>
      <c r="N98" s="59"/>
      <c r="O98" s="59"/>
      <c r="P98" s="59"/>
      <c r="Q98" s="59"/>
      <c r="R98" s="59"/>
      <c r="S98" s="59"/>
      <c r="T98" s="59"/>
      <c r="U98" s="59"/>
      <c r="V98" s="59"/>
      <c r="W98" s="59"/>
    </row>
    <row r="99" spans="1:23" ht="18">
      <c r="A99" s="35"/>
      <c r="B99" s="39" t="s">
        <v>69</v>
      </c>
      <c r="C99" s="40"/>
      <c r="D99" s="40" t="s">
        <v>362</v>
      </c>
      <c r="E99" s="40"/>
      <c r="F99" s="41"/>
      <c r="G99" s="59"/>
      <c r="H99" s="59"/>
      <c r="I99" s="59"/>
      <c r="J99" s="59"/>
      <c r="K99" s="59"/>
      <c r="L99" s="59"/>
      <c r="M99" s="59"/>
      <c r="N99" s="59"/>
      <c r="O99" s="59"/>
      <c r="P99" s="59"/>
      <c r="Q99" s="59"/>
      <c r="R99" s="59"/>
      <c r="S99" s="59"/>
      <c r="T99" s="59"/>
      <c r="U99" s="59"/>
      <c r="V99" s="59"/>
      <c r="W99" s="59"/>
    </row>
    <row r="100" spans="1:23" ht="18.75">
      <c r="A100" s="35"/>
      <c r="B100" s="2" t="s">
        <v>217</v>
      </c>
      <c r="C100" s="15" t="s">
        <v>418</v>
      </c>
      <c r="D100" s="55">
        <f>IF(Vin_type="AC",((COSS_QH_bg*Vxh*(10^-12)+COSS_QH_sm*(10^-12)*(VINPUT_Brownin+NPS*VOUT-Vxh))/(VINPUT_Brownin+VOUT*NPS))*10^12,((COSS_QH_bg*Vxh*(10^-12)+COSS_QH_sm*(10^-12)*(VINPUT_Brownin+NPS*VOUT-Vxh))/(VINPUT_Brownin+VOUT*NPS))*10^12)</f>
        <v>87.500000000000014</v>
      </c>
      <c r="E100" s="5" t="s">
        <v>233</v>
      </c>
      <c r="F100" s="7"/>
      <c r="G100" s="59"/>
      <c r="H100" s="59"/>
      <c r="I100" s="59"/>
      <c r="J100" s="59"/>
      <c r="K100" s="59"/>
      <c r="L100" s="59"/>
      <c r="M100" s="59"/>
      <c r="N100" s="59"/>
      <c r="O100" s="59"/>
      <c r="P100" s="59"/>
      <c r="Q100" s="59"/>
      <c r="R100" s="59"/>
      <c r="S100" s="59"/>
      <c r="T100" s="59"/>
      <c r="U100" s="59"/>
      <c r="V100" s="59"/>
      <c r="W100" s="59"/>
    </row>
    <row r="101" spans="1:23" ht="18.75">
      <c r="A101" s="35"/>
      <c r="B101" s="2" t="s">
        <v>218</v>
      </c>
      <c r="C101" s="15" t="s">
        <v>419</v>
      </c>
      <c r="D101" s="55">
        <f>IF(Vin_type="AC",((COSS_QL_bg*Vxl*(10^-12)+COSS_QL_sm*(10^-12)*(VINPUT_Brownin+NPS*VOUT-Vxl))/(VINPUT_Brownin+VOUT*NPS))*10^12,((COSS_QL_bg*Vxl*(10^-12)+COSS_QL_sm*(10^-12)*(VINPUT_Brownin+NPS*VOUT-Vxl))/(VINPUT_Brownin+VOUT*NPS))*10^12)</f>
        <v>87.500000000000014</v>
      </c>
      <c r="E101" s="5" t="s">
        <v>233</v>
      </c>
      <c r="F101" s="7"/>
      <c r="G101" s="59"/>
      <c r="H101" s="59"/>
      <c r="I101" s="59"/>
      <c r="J101" s="59"/>
      <c r="K101" s="59"/>
      <c r="L101" s="59"/>
      <c r="M101" s="59"/>
      <c r="N101" s="59"/>
      <c r="O101" s="59"/>
      <c r="P101" s="59"/>
      <c r="Q101" s="59"/>
      <c r="R101" s="59"/>
      <c r="S101" s="59"/>
      <c r="T101" s="59"/>
      <c r="U101" s="59"/>
      <c r="V101" s="59"/>
      <c r="W101" s="59"/>
    </row>
    <row r="102" spans="1:23" ht="18.75">
      <c r="A102" s="35"/>
      <c r="B102" s="2" t="s">
        <v>120</v>
      </c>
      <c r="C102" s="15" t="s">
        <v>420</v>
      </c>
      <c r="D102" s="55">
        <f>CTr</f>
        <v>3.1</v>
      </c>
      <c r="E102" s="5" t="s">
        <v>21</v>
      </c>
      <c r="F102" s="7"/>
      <c r="G102" s="59"/>
      <c r="H102" s="59"/>
      <c r="I102" s="59"/>
      <c r="J102" s="59"/>
      <c r="K102" s="59"/>
      <c r="L102" s="59"/>
      <c r="M102" s="59"/>
      <c r="N102" s="59"/>
      <c r="O102" s="59"/>
      <c r="P102" s="59"/>
      <c r="Q102" s="59"/>
      <c r="R102" s="59"/>
      <c r="S102" s="59"/>
      <c r="T102" s="59"/>
      <c r="U102" s="59"/>
      <c r="V102" s="59"/>
      <c r="W102" s="59"/>
    </row>
    <row r="103" spans="1:23" ht="18.75">
      <c r="A103" s="35"/>
      <c r="B103" s="2" t="s">
        <v>334</v>
      </c>
      <c r="C103" s="15" t="s">
        <v>421</v>
      </c>
      <c r="D103" s="8">
        <f>CBootD_T</f>
        <v>10</v>
      </c>
      <c r="E103" s="5" t="s">
        <v>27</v>
      </c>
      <c r="F103" s="7"/>
      <c r="G103" s="59"/>
      <c r="H103" s="59"/>
      <c r="I103" s="59"/>
      <c r="J103" s="59"/>
      <c r="K103" s="59"/>
      <c r="L103" s="59"/>
      <c r="M103" s="59"/>
      <c r="N103" s="59"/>
      <c r="O103" s="59"/>
      <c r="P103" s="59"/>
      <c r="Q103" s="59"/>
      <c r="R103" s="59"/>
      <c r="S103" s="59"/>
      <c r="T103" s="59"/>
      <c r="U103" s="59"/>
      <c r="V103" s="59"/>
      <c r="W103" s="59"/>
    </row>
    <row r="104" spans="1:23" ht="18.75">
      <c r="A104" s="35"/>
      <c r="B104" s="2" t="s">
        <v>121</v>
      </c>
      <c r="C104" s="15" t="s">
        <v>422</v>
      </c>
      <c r="D104" s="56">
        <f>COSS_Qs</f>
        <v>1.7</v>
      </c>
      <c r="E104" s="5" t="s">
        <v>13</v>
      </c>
      <c r="F104" s="45"/>
      <c r="G104" s="59"/>
      <c r="H104" s="59"/>
      <c r="I104" s="59"/>
      <c r="J104" s="59"/>
      <c r="K104" s="59"/>
      <c r="L104" s="59"/>
      <c r="M104" s="59"/>
      <c r="N104" s="59"/>
      <c r="O104" s="59"/>
      <c r="P104" s="59"/>
      <c r="Q104" s="59"/>
      <c r="R104" s="59"/>
      <c r="S104" s="59"/>
      <c r="T104" s="59"/>
      <c r="U104" s="59"/>
      <c r="V104" s="59"/>
      <c r="W104" s="59"/>
    </row>
    <row r="105" spans="1:23" ht="18.75">
      <c r="A105" s="35"/>
      <c r="B105" s="10" t="s">
        <v>368</v>
      </c>
      <c r="C105" s="16" t="s">
        <v>423</v>
      </c>
      <c r="D105" s="57">
        <f>IF(Vin_type="AC",(Coss_SR_bg*Vx_SR+Coss_SR_sm*(VOUT+VINPUT_Brownin/NPS-Vx_SR))/(VOUT+VINPUT_Brownin/NPS),(Coss_SR_bg*Vx_SR+Coss_SR_sm*(VOUT+VINPUT_Brownin/NPS-Vx_SR))/(VOUT+VINPUT_Brownin/NPS))</f>
        <v>4200</v>
      </c>
      <c r="E105" s="5" t="s">
        <v>21</v>
      </c>
      <c r="F105" s="45"/>
      <c r="G105" s="59"/>
      <c r="H105" s="59"/>
      <c r="I105" s="59"/>
      <c r="J105" s="59"/>
      <c r="K105" s="59"/>
      <c r="L105" s="59"/>
      <c r="M105" s="59"/>
      <c r="N105" s="59"/>
      <c r="O105" s="59"/>
      <c r="P105" s="59"/>
      <c r="Q105" s="59"/>
      <c r="R105" s="59"/>
      <c r="S105" s="59"/>
      <c r="T105" s="59"/>
      <c r="U105" s="59"/>
      <c r="V105" s="59"/>
      <c r="W105" s="59"/>
    </row>
    <row r="106" spans="1:23" ht="18.75">
      <c r="A106" s="35"/>
      <c r="B106" s="10" t="s">
        <v>369</v>
      </c>
      <c r="C106" s="16" t="s">
        <v>424</v>
      </c>
      <c r="D106" s="57">
        <f>CDaux_T</f>
        <v>4.68</v>
      </c>
      <c r="E106" s="5" t="s">
        <v>21</v>
      </c>
      <c r="F106" s="7"/>
      <c r="G106" s="59"/>
      <c r="H106" s="59"/>
      <c r="I106" s="59"/>
      <c r="J106" s="59"/>
      <c r="K106" s="59"/>
      <c r="L106" s="59"/>
      <c r="M106" s="59"/>
      <c r="N106" s="59"/>
      <c r="O106" s="59"/>
      <c r="P106" s="59"/>
      <c r="Q106" s="59"/>
      <c r="R106" s="59"/>
      <c r="S106" s="59"/>
      <c r="T106" s="59"/>
      <c r="U106" s="59"/>
      <c r="V106" s="59"/>
      <c r="W106" s="59"/>
    </row>
    <row r="107" spans="1:23" ht="19.5" thickBot="1">
      <c r="A107" s="35"/>
      <c r="B107" s="3" t="s">
        <v>335</v>
      </c>
      <c r="C107" s="17" t="s">
        <v>425</v>
      </c>
      <c r="D107" s="58">
        <f>COSS_QH_T_vbi + COSS_QL_T_vbi + CTr_vbi + CBootD_T_vbi + COSS_Qs_vbi + COSS_SR_vbi/(NP/NS)^2 + C_Daux_vbi/(NP/NA)^2</f>
        <v>190.98746666666668</v>
      </c>
      <c r="E107" s="6" t="s">
        <v>21</v>
      </c>
      <c r="F107" s="9"/>
      <c r="G107" s="59"/>
      <c r="H107" s="59"/>
      <c r="I107" s="59"/>
      <c r="J107" s="59"/>
      <c r="K107" s="59"/>
      <c r="L107" s="59"/>
      <c r="M107" s="59"/>
      <c r="N107" s="59"/>
      <c r="O107" s="59"/>
      <c r="P107" s="59"/>
      <c r="Q107" s="59"/>
      <c r="R107" s="59"/>
      <c r="S107" s="59"/>
      <c r="T107" s="59"/>
      <c r="U107" s="59"/>
      <c r="V107" s="59"/>
      <c r="W107" s="59"/>
    </row>
    <row r="108" spans="1:23" ht="15.75" thickBot="1">
      <c r="A108" s="35"/>
      <c r="B108" s="35"/>
      <c r="C108" s="20"/>
      <c r="D108" s="35"/>
      <c r="E108" s="35"/>
      <c r="F108" s="35"/>
      <c r="G108" s="59"/>
      <c r="H108" s="59"/>
      <c r="I108" s="59"/>
      <c r="J108" s="59"/>
      <c r="K108" s="59"/>
      <c r="L108" s="59"/>
      <c r="M108" s="59"/>
      <c r="N108" s="59"/>
      <c r="O108" s="59"/>
      <c r="P108" s="59"/>
      <c r="Q108" s="59"/>
      <c r="R108" s="59"/>
      <c r="S108" s="59"/>
      <c r="T108" s="59"/>
      <c r="U108" s="59"/>
      <c r="V108" s="59"/>
      <c r="W108" s="59"/>
    </row>
    <row r="109" spans="1:23" ht="18">
      <c r="A109" s="35"/>
      <c r="B109" s="39" t="s">
        <v>69</v>
      </c>
      <c r="C109" s="40"/>
      <c r="D109" s="40" t="s">
        <v>367</v>
      </c>
      <c r="E109" s="40"/>
      <c r="F109" s="41"/>
      <c r="G109" s="59"/>
      <c r="H109" s="59"/>
      <c r="I109" s="59"/>
      <c r="J109" s="59"/>
      <c r="K109" s="59"/>
      <c r="L109" s="59"/>
      <c r="M109" s="59"/>
      <c r="N109" s="59"/>
      <c r="O109" s="59"/>
      <c r="P109" s="59"/>
      <c r="Q109" s="59"/>
      <c r="R109" s="59"/>
      <c r="S109" s="59"/>
      <c r="T109" s="59"/>
      <c r="U109" s="59"/>
      <c r="V109" s="59"/>
      <c r="W109" s="59"/>
    </row>
    <row r="110" spans="1:23" ht="18.75">
      <c r="A110" s="35"/>
      <c r="B110" s="2" t="s">
        <v>217</v>
      </c>
      <c r="C110" s="15" t="s">
        <v>410</v>
      </c>
      <c r="D110" s="55">
        <f>IF(Vin_type="AC",((COSS_QH_bg*Vxh*(10^-12)+COSS_QH_sm*(10^-12)*((VINPUT_Brownin+30)+NPS*VOUT-Vxh))/((VINPUT_Brownin+30)+VOUT*NPS))*10^12,((COSS_QH_bg*Vxh*(10^-12)+COSS_QH_sm*(10^-12)*((VINPUT_Brownin+30)+NPS*VOUT-Vxh))/((VINPUT_Brownin+30)+VOUT*NPS))*10^12)</f>
        <v>86.545454545454561</v>
      </c>
      <c r="E110" s="5" t="s">
        <v>233</v>
      </c>
      <c r="F110" s="7"/>
      <c r="G110" s="59"/>
      <c r="H110" s="59"/>
      <c r="I110" s="59"/>
      <c r="J110" s="59"/>
      <c r="K110" s="59"/>
      <c r="L110" s="59"/>
      <c r="M110" s="59"/>
      <c r="N110" s="59"/>
      <c r="O110" s="59"/>
      <c r="P110" s="59"/>
      <c r="Q110" s="59"/>
      <c r="R110" s="59"/>
      <c r="S110" s="59"/>
      <c r="T110" s="59"/>
      <c r="U110" s="59"/>
      <c r="V110" s="59"/>
      <c r="W110" s="59"/>
    </row>
    <row r="111" spans="1:23" ht="18.75">
      <c r="A111" s="35"/>
      <c r="B111" s="2" t="s">
        <v>218</v>
      </c>
      <c r="C111" s="15" t="s">
        <v>411</v>
      </c>
      <c r="D111" s="55">
        <f>IF(Vin_type="AC",((COSS_QL_bg*Vxl*(10^-12)+COSS_QL_sm*(10^-12)*((VINPUT_Brownin+30)+NPS*VOUT-Vxl))/((VINPUT_Brownin+30)+VOUT*NPS))*10^12,((COSS_QL_bg*Vxl*(10^-12)+COSS_QL_sm*(10^-12)*((VINPUT_Brownin+30)+NPS*VOUT-Vxl))/((VINPUT_Brownin+30)+VOUT*NPS))*10^12)</f>
        <v>86.545454545454561</v>
      </c>
      <c r="E111" s="5" t="s">
        <v>233</v>
      </c>
      <c r="F111" s="7"/>
      <c r="G111" s="59"/>
      <c r="H111" s="59"/>
      <c r="I111" s="59"/>
      <c r="J111" s="59"/>
      <c r="K111" s="59"/>
      <c r="L111" s="59"/>
      <c r="M111" s="59"/>
      <c r="N111" s="59"/>
      <c r="O111" s="59"/>
      <c r="P111" s="59"/>
      <c r="Q111" s="59"/>
      <c r="R111" s="59"/>
      <c r="S111" s="59"/>
      <c r="T111" s="59"/>
      <c r="U111" s="59"/>
      <c r="V111" s="59"/>
      <c r="W111" s="59"/>
    </row>
    <row r="112" spans="1:23" ht="18.75">
      <c r="A112" s="35"/>
      <c r="B112" s="2" t="s">
        <v>120</v>
      </c>
      <c r="C112" s="15" t="s">
        <v>412</v>
      </c>
      <c r="D112" s="55">
        <f>CTr</f>
        <v>3.1</v>
      </c>
      <c r="E112" s="5" t="s">
        <v>21</v>
      </c>
      <c r="F112" s="7"/>
      <c r="G112" s="59"/>
      <c r="H112" s="59"/>
      <c r="I112" s="59"/>
      <c r="J112" s="59"/>
      <c r="K112" s="59"/>
      <c r="L112" s="59"/>
      <c r="M112" s="59"/>
      <c r="N112" s="59"/>
      <c r="O112" s="59"/>
      <c r="P112" s="59"/>
      <c r="Q112" s="59"/>
      <c r="R112" s="59"/>
      <c r="S112" s="59"/>
      <c r="T112" s="59"/>
      <c r="U112" s="59"/>
      <c r="V112" s="59"/>
      <c r="W112" s="59"/>
    </row>
    <row r="113" spans="1:23" ht="18.75">
      <c r="A113" s="35"/>
      <c r="B113" s="2" t="s">
        <v>334</v>
      </c>
      <c r="C113" s="15" t="s">
        <v>413</v>
      </c>
      <c r="D113" s="8">
        <f>CBootD_T</f>
        <v>10</v>
      </c>
      <c r="E113" s="5" t="s">
        <v>27</v>
      </c>
      <c r="F113" s="7"/>
      <c r="G113" s="59"/>
      <c r="H113" s="59"/>
      <c r="I113" s="59"/>
      <c r="J113" s="59"/>
      <c r="K113" s="59"/>
      <c r="L113" s="59"/>
      <c r="M113" s="59"/>
      <c r="N113" s="59"/>
      <c r="O113" s="59"/>
      <c r="P113" s="59"/>
      <c r="Q113" s="59"/>
      <c r="R113" s="59"/>
      <c r="S113" s="59"/>
      <c r="T113" s="59"/>
      <c r="U113" s="59"/>
      <c r="V113" s="59"/>
      <c r="W113" s="59"/>
    </row>
    <row r="114" spans="1:23" ht="18.75">
      <c r="A114" s="35"/>
      <c r="B114" s="2" t="s">
        <v>121</v>
      </c>
      <c r="C114" s="15" t="s">
        <v>414</v>
      </c>
      <c r="D114" s="56">
        <f>COSS_Qs</f>
        <v>1.7</v>
      </c>
      <c r="E114" s="5" t="s">
        <v>13</v>
      </c>
      <c r="F114" s="45"/>
      <c r="G114" s="59"/>
      <c r="H114" s="59"/>
      <c r="I114" s="59"/>
      <c r="J114" s="59"/>
      <c r="K114" s="59"/>
      <c r="L114" s="59"/>
      <c r="M114" s="59"/>
      <c r="N114" s="59"/>
      <c r="O114" s="59"/>
      <c r="P114" s="59"/>
      <c r="Q114" s="59"/>
      <c r="R114" s="59"/>
      <c r="S114" s="59"/>
      <c r="T114" s="59"/>
      <c r="U114" s="59"/>
      <c r="V114" s="59"/>
      <c r="W114" s="59"/>
    </row>
    <row r="115" spans="1:23" ht="18.75">
      <c r="A115" s="35"/>
      <c r="B115" s="10" t="s">
        <v>368</v>
      </c>
      <c r="C115" s="16" t="s">
        <v>415</v>
      </c>
      <c r="D115" s="57">
        <f>IF(Vin_type="AC",(Coss_SR_bg*Vx_SR+Coss_SR_sm*(VOUT+(VINPUT_Brownin+30)/NPS-Vx_SR))/(VOUT+(VINPUT_Brownin+30)/NPS),(Coss_SR_bg*Vx_SR+Coss_SR_sm*(VOUT+(VINPUT_Brownin+30)/NPS-Vx_SR))/(VOUT+(VINPUT_Brownin+30)/NPS))</f>
        <v>3995.454545454545</v>
      </c>
      <c r="E115" s="5" t="s">
        <v>21</v>
      </c>
      <c r="F115" s="45"/>
      <c r="G115" s="59"/>
      <c r="H115" s="59"/>
      <c r="I115" s="59"/>
      <c r="J115" s="59"/>
      <c r="K115" s="59"/>
      <c r="L115" s="59"/>
      <c r="M115" s="59"/>
      <c r="N115" s="59"/>
      <c r="O115" s="59"/>
      <c r="P115" s="59"/>
      <c r="Q115" s="59"/>
      <c r="R115" s="59"/>
      <c r="S115" s="59"/>
      <c r="T115" s="59"/>
      <c r="U115" s="59"/>
      <c r="V115" s="59"/>
      <c r="W115" s="59"/>
    </row>
    <row r="116" spans="1:23" ht="18.75">
      <c r="A116" s="35"/>
      <c r="B116" s="10" t="s">
        <v>369</v>
      </c>
      <c r="C116" s="16" t="s">
        <v>416</v>
      </c>
      <c r="D116" s="57">
        <f>CDaux_T</f>
        <v>4.68</v>
      </c>
      <c r="E116" s="5" t="s">
        <v>21</v>
      </c>
      <c r="F116" s="7"/>
      <c r="G116" s="59"/>
      <c r="H116" s="59"/>
      <c r="I116" s="59"/>
      <c r="J116" s="59"/>
      <c r="K116" s="59"/>
      <c r="L116" s="59"/>
      <c r="M116" s="59"/>
      <c r="N116" s="59"/>
      <c r="O116" s="59"/>
      <c r="P116" s="59"/>
      <c r="Q116" s="59"/>
      <c r="R116" s="59"/>
      <c r="S116" s="59"/>
      <c r="T116" s="59"/>
      <c r="U116" s="59"/>
      <c r="V116" s="59"/>
      <c r="W116" s="59"/>
    </row>
    <row r="117" spans="1:23" ht="19.5" thickBot="1">
      <c r="A117" s="35"/>
      <c r="B117" s="3" t="s">
        <v>335</v>
      </c>
      <c r="C117" s="17" t="s">
        <v>417</v>
      </c>
      <c r="D117" s="58">
        <f>COSS_QH_T_vbi_30 + COSS_QL_T_vbi_30 + CTr_vbi_30 + CBootD_T_vbi_30 + COSS_Qs_vbi_30 + COSS_SR_vbi_30/(NP/NS)^2 + C_Daux_vbi_30/(NP/NA)^2</f>
        <v>189.02155757575761</v>
      </c>
      <c r="E117" s="6" t="s">
        <v>21</v>
      </c>
      <c r="F117" s="9"/>
      <c r="G117" s="59"/>
      <c r="H117" s="59"/>
      <c r="I117" s="59"/>
      <c r="J117" s="59"/>
      <c r="K117" s="59"/>
      <c r="L117" s="59"/>
      <c r="M117" s="59"/>
      <c r="N117" s="59"/>
      <c r="O117" s="59"/>
      <c r="P117" s="59"/>
      <c r="Q117" s="59"/>
      <c r="R117" s="59"/>
      <c r="S117" s="59"/>
      <c r="T117" s="59"/>
      <c r="U117" s="59"/>
      <c r="V117" s="59"/>
      <c r="W117" s="59"/>
    </row>
    <row r="118" spans="1:23" ht="15.75" thickBot="1">
      <c r="A118" s="35"/>
      <c r="B118" s="35"/>
      <c r="C118" s="20"/>
      <c r="D118" s="35"/>
      <c r="E118" s="35"/>
      <c r="F118" s="35"/>
      <c r="G118" s="59"/>
      <c r="H118" s="59"/>
      <c r="I118" s="59"/>
      <c r="J118" s="59"/>
      <c r="K118" s="59"/>
      <c r="L118" s="59"/>
      <c r="M118" s="59"/>
      <c r="N118" s="59"/>
      <c r="O118" s="59"/>
      <c r="P118" s="59"/>
      <c r="Q118" s="59"/>
      <c r="R118" s="59"/>
      <c r="S118" s="59"/>
      <c r="T118" s="59"/>
      <c r="U118" s="59"/>
      <c r="V118" s="59"/>
      <c r="W118" s="59"/>
    </row>
    <row r="119" spans="1:23" ht="18">
      <c r="A119" s="35"/>
      <c r="B119" s="39" t="s">
        <v>69</v>
      </c>
      <c r="C119" s="40"/>
      <c r="D119" s="40" t="s">
        <v>365</v>
      </c>
      <c r="E119" s="40"/>
      <c r="F119" s="41"/>
      <c r="G119" s="59"/>
      <c r="H119" s="59"/>
      <c r="I119" s="59"/>
      <c r="J119" s="59"/>
      <c r="K119" s="59"/>
      <c r="L119" s="59"/>
      <c r="M119" s="59"/>
      <c r="N119" s="59"/>
      <c r="O119" s="59"/>
      <c r="P119" s="59"/>
      <c r="Q119" s="59"/>
      <c r="R119" s="59"/>
      <c r="S119" s="59"/>
      <c r="T119" s="59"/>
      <c r="U119" s="59"/>
      <c r="V119" s="59"/>
      <c r="W119" s="59"/>
    </row>
    <row r="120" spans="1:23" ht="18.75">
      <c r="A120" s="35"/>
      <c r="B120" s="2" t="s">
        <v>217</v>
      </c>
      <c r="C120" s="15" t="s">
        <v>402</v>
      </c>
      <c r="D120" s="55">
        <f>IF(Vin_type="AC",((COSS_QH_bg*Vxh*(10^-12)+COSS_QH_sm*(10^-12)*(VINPUT_BUR+NPS*VOUT-Vxh))/(VINPUT_BUR+VOUT*NPS))*10^12,((COSS_QH_bg*Vxh*(10^-12)+COSS_QH_sm*(10^-12)*(VINPUT_BUR+NPS*VOUT-Vxh))/(VINPUT_BUR+VOUT*NPS))*10^12)</f>
        <v>80.581395348837219</v>
      </c>
      <c r="E120" s="5" t="s">
        <v>233</v>
      </c>
      <c r="F120" s="7"/>
      <c r="G120" s="59"/>
      <c r="H120" s="59"/>
      <c r="I120" s="59"/>
      <c r="J120" s="59"/>
      <c r="K120" s="59"/>
      <c r="L120" s="59"/>
      <c r="M120" s="59"/>
      <c r="N120" s="59"/>
      <c r="O120" s="59"/>
      <c r="P120" s="59"/>
      <c r="Q120" s="59"/>
      <c r="R120" s="59"/>
      <c r="S120" s="59"/>
      <c r="T120" s="59"/>
      <c r="U120" s="59"/>
      <c r="V120" s="59"/>
      <c r="W120" s="59"/>
    </row>
    <row r="121" spans="1:23" ht="18.75">
      <c r="A121" s="35"/>
      <c r="B121" s="2" t="s">
        <v>218</v>
      </c>
      <c r="C121" s="15" t="s">
        <v>403</v>
      </c>
      <c r="D121" s="55">
        <f>IF(Vin_type="AC",((COSS_QL_bg*Vxl*(10^-12)+COSS_QL_sm*(10^-12)*(VINPUT_BUR+NPS*VOUT-Vxl))/(VINPUT_BUR+VOUT*NPS))*10^12,((COSS_QL_bg*Vxl*(10^-12)+COSS_QL_sm*(10^-12)*(VINPUT_BUR+NPS*VOUT-Vxl))/(VINPUT_BUR+VOUT*NPS))*10^12)</f>
        <v>80.581395348837219</v>
      </c>
      <c r="E121" s="5" t="s">
        <v>233</v>
      </c>
      <c r="F121" s="7"/>
      <c r="G121" s="59"/>
      <c r="H121" s="59"/>
      <c r="I121" s="59"/>
      <c r="J121" s="59"/>
      <c r="K121" s="59"/>
      <c r="L121" s="59"/>
      <c r="M121" s="59"/>
      <c r="N121" s="59"/>
      <c r="O121" s="59"/>
      <c r="P121" s="59"/>
      <c r="Q121" s="59"/>
      <c r="R121" s="59"/>
      <c r="S121" s="59"/>
      <c r="T121" s="59"/>
      <c r="U121" s="59"/>
      <c r="V121" s="59"/>
      <c r="W121" s="59"/>
    </row>
    <row r="122" spans="1:23" ht="18.75">
      <c r="A122" s="35"/>
      <c r="B122" s="2" t="s">
        <v>120</v>
      </c>
      <c r="C122" s="15" t="s">
        <v>404</v>
      </c>
      <c r="D122" s="55">
        <f>CTr</f>
        <v>3.1</v>
      </c>
      <c r="E122" s="5" t="s">
        <v>21</v>
      </c>
      <c r="F122" s="7"/>
      <c r="G122" s="59"/>
      <c r="H122" s="59"/>
      <c r="I122" s="59"/>
      <c r="J122" s="59"/>
      <c r="K122" s="59"/>
      <c r="L122" s="59"/>
      <c r="M122" s="59"/>
      <c r="N122" s="59"/>
      <c r="O122" s="59"/>
      <c r="P122" s="59"/>
      <c r="Q122" s="59"/>
      <c r="R122" s="59"/>
      <c r="S122" s="59"/>
      <c r="T122" s="59"/>
      <c r="U122" s="59"/>
      <c r="V122" s="59"/>
      <c r="W122" s="59"/>
    </row>
    <row r="123" spans="1:23" ht="18.75">
      <c r="A123" s="35"/>
      <c r="B123" s="2" t="s">
        <v>334</v>
      </c>
      <c r="C123" s="15" t="s">
        <v>405</v>
      </c>
      <c r="D123" s="8">
        <f>CBootD_T</f>
        <v>10</v>
      </c>
      <c r="E123" s="5" t="s">
        <v>27</v>
      </c>
      <c r="F123" s="7"/>
      <c r="G123" s="59"/>
      <c r="H123" s="59"/>
      <c r="I123" s="59"/>
      <c r="J123" s="59"/>
      <c r="K123" s="59"/>
      <c r="L123" s="59"/>
      <c r="M123" s="59"/>
      <c r="N123" s="59"/>
      <c r="O123" s="59"/>
      <c r="P123" s="59"/>
      <c r="Q123" s="59"/>
      <c r="R123" s="59"/>
      <c r="S123" s="59"/>
      <c r="T123" s="59"/>
      <c r="U123" s="59"/>
      <c r="V123" s="59"/>
      <c r="W123" s="59"/>
    </row>
    <row r="124" spans="1:23" ht="18.75">
      <c r="A124" s="35"/>
      <c r="B124" s="2" t="s">
        <v>121</v>
      </c>
      <c r="C124" s="15" t="s">
        <v>406</v>
      </c>
      <c r="D124" s="56">
        <f>COSS_Qs</f>
        <v>1.7</v>
      </c>
      <c r="E124" s="5" t="s">
        <v>13</v>
      </c>
      <c r="F124" s="45"/>
      <c r="G124" s="59"/>
      <c r="H124" s="59"/>
      <c r="I124" s="59"/>
      <c r="J124" s="59"/>
      <c r="K124" s="59"/>
      <c r="L124" s="59"/>
      <c r="M124" s="59"/>
      <c r="N124" s="59"/>
      <c r="O124" s="59"/>
      <c r="P124" s="59"/>
      <c r="Q124" s="59"/>
      <c r="R124" s="59"/>
      <c r="S124" s="59"/>
      <c r="T124" s="59"/>
      <c r="U124" s="59"/>
      <c r="V124" s="59"/>
      <c r="W124" s="59"/>
    </row>
    <row r="125" spans="1:23" ht="18.75">
      <c r="A125" s="35"/>
      <c r="B125" s="10" t="s">
        <v>368</v>
      </c>
      <c r="C125" s="16" t="s">
        <v>407</v>
      </c>
      <c r="D125" s="57">
        <f>IF(Vin_type="AC",(Coss_SR_bg*Vx_SR+Coss_SR_sm*(VOUT+(VINPUT_BUR)/NPS-Vx_SR))/(VOUT+(VINPUT_BUR)/NPS),(Coss_SR_bg*Vx_SR+Coss_SR_sm*(VOUT+(VINPUT_BUR)/NPS-Vx_SR))/(VOUT+(VINPUT_BUR)/NPS))</f>
        <v>2717.441860465116</v>
      </c>
      <c r="E125" s="5" t="s">
        <v>21</v>
      </c>
      <c r="F125" s="45"/>
      <c r="G125" s="59"/>
      <c r="H125" s="59"/>
      <c r="I125" s="59"/>
      <c r="J125" s="59"/>
      <c r="K125" s="59"/>
      <c r="L125" s="59"/>
      <c r="M125" s="59"/>
      <c r="N125" s="59"/>
      <c r="O125" s="59"/>
      <c r="P125" s="59"/>
      <c r="Q125" s="59"/>
      <c r="R125" s="59"/>
      <c r="S125" s="59"/>
      <c r="T125" s="59"/>
      <c r="U125" s="59"/>
      <c r="V125" s="59"/>
      <c r="W125" s="59"/>
    </row>
    <row r="126" spans="1:23" ht="18.75">
      <c r="A126" s="35"/>
      <c r="B126" s="10" t="s">
        <v>369</v>
      </c>
      <c r="C126" s="16" t="s">
        <v>408</v>
      </c>
      <c r="D126" s="57">
        <f>CDaux_T</f>
        <v>4.68</v>
      </c>
      <c r="E126" s="5" t="s">
        <v>21</v>
      </c>
      <c r="F126" s="7"/>
      <c r="G126" s="59"/>
      <c r="H126" s="59"/>
      <c r="I126" s="59"/>
      <c r="J126" s="59"/>
      <c r="K126" s="59"/>
      <c r="L126" s="59"/>
      <c r="M126" s="59"/>
      <c r="N126" s="59"/>
      <c r="O126" s="59"/>
      <c r="P126" s="59"/>
      <c r="Q126" s="59"/>
      <c r="R126" s="59"/>
      <c r="S126" s="59"/>
      <c r="T126" s="59"/>
      <c r="U126" s="59"/>
      <c r="V126" s="59"/>
      <c r="W126" s="59"/>
    </row>
    <row r="127" spans="1:23" ht="19.5" thickBot="1">
      <c r="A127" s="35"/>
      <c r="B127" s="3" t="s">
        <v>335</v>
      </c>
      <c r="C127" s="17" t="s">
        <v>409</v>
      </c>
      <c r="D127" s="58">
        <f>COSS_QH_T_vbur + COSS_QL_T_vbur + CTr_vbur + CBootD_T_vbur + COSS_Qs_vbur + COSS_SR_vbur/(NP/NS)^2 + C_Daux_vbur/(NP/NA)^2</f>
        <v>176.73843565891474</v>
      </c>
      <c r="E127" s="6" t="s">
        <v>21</v>
      </c>
      <c r="F127" s="9"/>
      <c r="G127" s="59"/>
      <c r="H127" s="59"/>
      <c r="I127" s="59"/>
      <c r="J127" s="59"/>
      <c r="K127" s="59"/>
      <c r="L127" s="59"/>
      <c r="M127" s="59"/>
      <c r="N127" s="59"/>
      <c r="O127" s="59"/>
      <c r="P127" s="59"/>
      <c r="Q127" s="59"/>
      <c r="R127" s="59"/>
      <c r="S127" s="59"/>
      <c r="T127" s="59"/>
      <c r="U127" s="59"/>
      <c r="V127" s="59"/>
      <c r="W127" s="59"/>
    </row>
    <row r="128" spans="1:23" ht="15.75" thickBot="1">
      <c r="A128" s="35"/>
      <c r="B128" s="35"/>
      <c r="C128" s="20"/>
      <c r="D128" s="35"/>
      <c r="E128" s="35"/>
      <c r="F128" s="35"/>
      <c r="G128" s="59"/>
      <c r="H128" s="59"/>
      <c r="I128" s="59"/>
      <c r="J128" s="59"/>
      <c r="K128" s="59"/>
      <c r="L128" s="59"/>
      <c r="M128" s="59"/>
      <c r="N128" s="59"/>
      <c r="O128" s="59"/>
      <c r="P128" s="59"/>
      <c r="Q128" s="59"/>
      <c r="R128" s="59"/>
      <c r="S128" s="59"/>
      <c r="T128" s="59"/>
      <c r="U128" s="59"/>
      <c r="V128" s="59"/>
      <c r="W128" s="59"/>
    </row>
    <row r="129" spans="1:23" ht="18">
      <c r="A129" s="35"/>
      <c r="B129" s="39" t="s">
        <v>69</v>
      </c>
      <c r="C129" s="40"/>
      <c r="D129" s="40" t="s">
        <v>364</v>
      </c>
      <c r="E129" s="40"/>
      <c r="F129" s="41"/>
      <c r="G129" s="59"/>
      <c r="H129" s="59"/>
      <c r="I129" s="59"/>
      <c r="J129" s="59"/>
      <c r="K129" s="59"/>
      <c r="L129" s="59"/>
      <c r="M129" s="59"/>
      <c r="N129" s="59"/>
      <c r="O129" s="59"/>
      <c r="P129" s="59"/>
      <c r="Q129" s="59"/>
      <c r="R129" s="59"/>
      <c r="S129" s="59"/>
      <c r="T129" s="59"/>
      <c r="U129" s="59"/>
      <c r="V129" s="59"/>
      <c r="W129" s="59"/>
    </row>
    <row r="130" spans="1:23" ht="18.75">
      <c r="A130" s="35"/>
      <c r="B130" s="2" t="s">
        <v>217</v>
      </c>
      <c r="C130" s="15" t="s">
        <v>394</v>
      </c>
      <c r="D130" s="55">
        <f>IF(Vin_type="AC",((COSS_QH_bg*Vxh*(10^-12)+COSS_QH_sm*(10^-12)*(VINPUT_max+NPS*VOUT-Vxh))/(VINPUT_max+VOUT*NPS))*10^12,((COSS_QH_bg*Vxh*(10^-12)+COSS_QH_sm*(10^-12)*(VINPUT_max+NPS*VOUT-Vxh))/(VINPUT_max+VOUT*NPS))*10^12)</f>
        <v>80.111111111111114</v>
      </c>
      <c r="E130" s="5" t="s">
        <v>233</v>
      </c>
      <c r="F130" s="7"/>
      <c r="G130" s="59"/>
      <c r="H130" s="59"/>
      <c r="I130" s="59"/>
      <c r="J130" s="59"/>
      <c r="K130" s="59"/>
      <c r="L130" s="59"/>
      <c r="M130" s="59"/>
      <c r="N130" s="59"/>
      <c r="O130" s="59"/>
      <c r="P130" s="59"/>
      <c r="Q130" s="59"/>
      <c r="R130" s="59"/>
      <c r="S130" s="59"/>
      <c r="T130" s="59"/>
      <c r="U130" s="59"/>
      <c r="V130" s="59"/>
      <c r="W130" s="59"/>
    </row>
    <row r="131" spans="1:23" ht="18.75">
      <c r="A131" s="35"/>
      <c r="B131" s="2" t="s">
        <v>218</v>
      </c>
      <c r="C131" s="15" t="s">
        <v>395</v>
      </c>
      <c r="D131" s="55">
        <f>IF(Vin_type="AC",((COSS_QL_bg*Vxl*(10^-12)+COSS_QL_sm*(10^-12)*(VINPUT_max+NPS*VOUT-Vxl))/(VINPUT_max+VOUT*NPS))*10^12,((COSS_QL_bg*Vxl*(10^-12)+COSS_QL_sm*(10^-12)*(VINPUT_max+NPS*VOUT-Vxl))/(VINPUT_max+VOUT*NPS))*10^12)</f>
        <v>80.111111111111114</v>
      </c>
      <c r="E131" s="5" t="s">
        <v>233</v>
      </c>
      <c r="F131" s="7"/>
      <c r="G131" s="59"/>
      <c r="H131" s="59"/>
      <c r="I131" s="59"/>
      <c r="J131" s="59"/>
      <c r="K131" s="59"/>
      <c r="L131" s="59"/>
      <c r="M131" s="59"/>
      <c r="N131" s="59"/>
      <c r="O131" s="59"/>
      <c r="P131" s="59"/>
      <c r="Q131" s="59"/>
      <c r="R131" s="59"/>
      <c r="S131" s="59"/>
      <c r="T131" s="59"/>
      <c r="U131" s="59"/>
      <c r="V131" s="59"/>
      <c r="W131" s="59"/>
    </row>
    <row r="132" spans="1:23" ht="18.75">
      <c r="A132" s="35"/>
      <c r="B132" s="2" t="s">
        <v>120</v>
      </c>
      <c r="C132" s="15" t="s">
        <v>396</v>
      </c>
      <c r="D132" s="55">
        <f>CTr</f>
        <v>3.1</v>
      </c>
      <c r="E132" s="5" t="s">
        <v>21</v>
      </c>
      <c r="F132" s="7"/>
      <c r="G132" s="59"/>
      <c r="H132" s="59"/>
      <c r="I132" s="59"/>
      <c r="J132" s="59"/>
      <c r="K132" s="59"/>
      <c r="L132" s="59"/>
      <c r="M132" s="59"/>
      <c r="N132" s="59"/>
      <c r="O132" s="59"/>
      <c r="P132" s="59"/>
      <c r="Q132" s="59"/>
      <c r="R132" s="59"/>
      <c r="S132" s="59"/>
      <c r="T132" s="59"/>
      <c r="U132" s="59"/>
      <c r="V132" s="59"/>
      <c r="W132" s="59"/>
    </row>
    <row r="133" spans="1:23" ht="18.75">
      <c r="A133" s="35"/>
      <c r="B133" s="2" t="s">
        <v>334</v>
      </c>
      <c r="C133" s="15" t="s">
        <v>397</v>
      </c>
      <c r="D133" s="8">
        <f>CBootD_T</f>
        <v>10</v>
      </c>
      <c r="E133" s="5" t="s">
        <v>27</v>
      </c>
      <c r="F133" s="7"/>
      <c r="G133" s="59"/>
      <c r="H133" s="59"/>
      <c r="I133" s="59"/>
      <c r="J133" s="59"/>
      <c r="K133" s="59"/>
      <c r="L133" s="59"/>
      <c r="M133" s="59"/>
      <c r="N133" s="59"/>
      <c r="O133" s="59"/>
      <c r="P133" s="59"/>
      <c r="Q133" s="59"/>
      <c r="R133" s="59"/>
      <c r="S133" s="59"/>
      <c r="T133" s="59"/>
      <c r="U133" s="59"/>
      <c r="V133" s="59"/>
      <c r="W133" s="59"/>
    </row>
    <row r="134" spans="1:23" ht="18.75">
      <c r="A134" s="35"/>
      <c r="B134" s="2" t="s">
        <v>121</v>
      </c>
      <c r="C134" s="15" t="s">
        <v>398</v>
      </c>
      <c r="D134" s="56">
        <f>COSS_Qs</f>
        <v>1.7</v>
      </c>
      <c r="E134" s="5" t="s">
        <v>13</v>
      </c>
      <c r="F134" s="45"/>
      <c r="G134" s="59"/>
      <c r="H134" s="59"/>
      <c r="I134" s="59"/>
      <c r="J134" s="59"/>
      <c r="K134" s="59"/>
      <c r="L134" s="59"/>
      <c r="M134" s="59"/>
      <c r="N134" s="59"/>
      <c r="O134" s="59"/>
      <c r="P134" s="59"/>
      <c r="Q134" s="59"/>
      <c r="R134" s="59"/>
      <c r="S134" s="59"/>
      <c r="T134" s="59"/>
      <c r="U134" s="59"/>
      <c r="V134" s="59"/>
      <c r="W134" s="59"/>
    </row>
    <row r="135" spans="1:23" ht="18.75">
      <c r="A135" s="35"/>
      <c r="B135" s="10" t="s">
        <v>368</v>
      </c>
      <c r="C135" s="16" t="s">
        <v>399</v>
      </c>
      <c r="D135" s="57">
        <f>IF(Vin_type="AC",(Coss_SR_bg*Vx_SR+Coss_SR_sm*(VOUT+(VINPUT_max)/NPS-Vx_SR))/(VOUT+(VINPUT_max)/NPS),(Coss_SR_bg*Vx_SR+Coss_SR_sm*(VOUT+(VINPUT_max)/NPS-Vx_SR))/(VOUT+(VINPUT_max)/NPS))</f>
        <v>2616.6666666666665</v>
      </c>
      <c r="E135" s="5" t="s">
        <v>21</v>
      </c>
      <c r="F135" s="45"/>
      <c r="G135" s="59"/>
      <c r="H135" s="59"/>
      <c r="I135" s="59"/>
      <c r="J135" s="59"/>
      <c r="K135" s="59"/>
      <c r="L135" s="59"/>
      <c r="M135" s="59"/>
      <c r="N135" s="59"/>
      <c r="O135" s="59"/>
      <c r="P135" s="59"/>
      <c r="Q135" s="59"/>
      <c r="R135" s="59"/>
      <c r="S135" s="59"/>
      <c r="T135" s="59"/>
      <c r="U135" s="59"/>
      <c r="V135" s="59"/>
      <c r="W135" s="59"/>
    </row>
    <row r="136" spans="1:23" ht="18.75">
      <c r="A136" s="35"/>
      <c r="B136" s="10" t="s">
        <v>369</v>
      </c>
      <c r="C136" s="16" t="s">
        <v>400</v>
      </c>
      <c r="D136" s="57">
        <f>CDaux_T</f>
        <v>4.68</v>
      </c>
      <c r="E136" s="5" t="s">
        <v>21</v>
      </c>
      <c r="F136" s="7"/>
      <c r="G136" s="59"/>
      <c r="H136" s="59"/>
      <c r="I136" s="59"/>
      <c r="J136" s="59"/>
      <c r="K136" s="59"/>
      <c r="L136" s="59"/>
      <c r="M136" s="59"/>
      <c r="N136" s="59"/>
      <c r="O136" s="59"/>
      <c r="P136" s="59"/>
      <c r="Q136" s="59"/>
      <c r="R136" s="59"/>
      <c r="S136" s="59"/>
      <c r="T136" s="59"/>
      <c r="U136" s="59"/>
      <c r="V136" s="59"/>
      <c r="W136" s="59"/>
    </row>
    <row r="137" spans="1:23" ht="19.5" thickBot="1">
      <c r="A137" s="35"/>
      <c r="B137" s="3" t="s">
        <v>335</v>
      </c>
      <c r="C137" s="17" t="s">
        <v>401</v>
      </c>
      <c r="D137" s="58">
        <f>COSS_QH_T_vmax + COSS_QL_T_vmax + CTr_vmax + CBootD_T_vmax + COSS_Qs_vmax + COSS_SR_vmax/(NP/NS)^2 + C_Daux_vmax/(NP/NA)^2</f>
        <v>175.76987407407407</v>
      </c>
      <c r="E137" s="6" t="s">
        <v>21</v>
      </c>
      <c r="F137" s="9"/>
      <c r="G137" s="59"/>
      <c r="H137" s="59"/>
      <c r="I137" s="59"/>
      <c r="J137" s="59"/>
      <c r="K137" s="59"/>
      <c r="L137" s="59"/>
      <c r="M137" s="59"/>
      <c r="N137" s="59"/>
      <c r="O137" s="59"/>
      <c r="P137" s="59"/>
      <c r="Q137" s="59"/>
      <c r="R137" s="59"/>
      <c r="S137" s="59"/>
      <c r="T137" s="59"/>
      <c r="U137" s="59"/>
      <c r="V137" s="59"/>
      <c r="W137" s="59"/>
    </row>
    <row r="138" spans="1:23">
      <c r="A138" s="35"/>
      <c r="B138" s="35"/>
      <c r="C138" s="20"/>
      <c r="D138" s="35"/>
      <c r="E138" s="35"/>
      <c r="F138" s="35"/>
      <c r="G138" s="59"/>
      <c r="H138" s="59"/>
      <c r="I138" s="59"/>
      <c r="J138" s="59"/>
      <c r="K138" s="59"/>
      <c r="L138" s="59"/>
      <c r="M138" s="59"/>
      <c r="N138" s="59"/>
      <c r="O138" s="59"/>
      <c r="P138" s="59"/>
      <c r="Q138" s="59"/>
      <c r="R138" s="59"/>
      <c r="S138" s="59"/>
      <c r="T138" s="59"/>
      <c r="U138" s="59"/>
      <c r="V138" s="59"/>
      <c r="W138" s="59"/>
    </row>
    <row r="139" spans="1:23">
      <c r="A139" s="35"/>
      <c r="B139" s="35"/>
      <c r="C139" s="20"/>
      <c r="D139" s="35"/>
      <c r="E139" s="35"/>
      <c r="F139" s="35"/>
      <c r="G139" s="59"/>
      <c r="H139" s="59"/>
      <c r="I139" s="59"/>
      <c r="J139" s="59"/>
      <c r="K139" s="59"/>
      <c r="L139" s="59"/>
      <c r="M139" s="59"/>
      <c r="N139" s="59"/>
      <c r="O139" s="59"/>
      <c r="P139" s="59"/>
      <c r="Q139" s="59"/>
      <c r="R139" s="59"/>
      <c r="S139" s="59"/>
      <c r="T139" s="59"/>
      <c r="U139" s="59"/>
      <c r="V139" s="59"/>
      <c r="W139" s="59"/>
    </row>
    <row r="140" spans="1:23">
      <c r="A140" s="35"/>
      <c r="B140" s="35"/>
      <c r="C140" s="20"/>
      <c r="D140" s="35"/>
      <c r="E140" s="35"/>
      <c r="F140" s="35"/>
      <c r="G140" s="59"/>
      <c r="H140" s="59"/>
      <c r="I140" s="59"/>
      <c r="J140" s="59"/>
      <c r="K140" s="59"/>
      <c r="L140" s="59"/>
      <c r="M140" s="59"/>
      <c r="N140" s="59"/>
      <c r="O140" s="59"/>
      <c r="P140" s="59"/>
      <c r="Q140" s="59"/>
      <c r="R140" s="59"/>
      <c r="S140" s="59"/>
      <c r="T140" s="59"/>
      <c r="U140" s="59"/>
      <c r="V140" s="59"/>
      <c r="W140" s="59"/>
    </row>
    <row r="141" spans="1:23">
      <c r="A141" s="35"/>
      <c r="B141" s="35"/>
      <c r="C141" s="20"/>
      <c r="D141" s="35"/>
      <c r="E141" s="35"/>
      <c r="F141" s="35"/>
      <c r="G141" s="59"/>
      <c r="H141" s="59"/>
      <c r="I141" s="59"/>
      <c r="J141" s="59"/>
      <c r="K141" s="59"/>
      <c r="L141" s="59"/>
      <c r="M141" s="59"/>
      <c r="N141" s="59"/>
      <c r="O141" s="59"/>
      <c r="P141" s="59"/>
      <c r="Q141" s="59"/>
      <c r="R141" s="59"/>
      <c r="S141" s="59"/>
      <c r="T141" s="59"/>
      <c r="U141" s="59"/>
      <c r="V141" s="59"/>
      <c r="W141" s="59"/>
    </row>
    <row r="142" spans="1:23">
      <c r="G142" s="59"/>
      <c r="H142" s="59"/>
      <c r="I142" s="59"/>
      <c r="J142" s="59"/>
      <c r="K142" s="59"/>
      <c r="L142" s="59"/>
      <c r="M142" s="59"/>
      <c r="N142" s="59"/>
      <c r="O142" s="59"/>
      <c r="P142" s="59"/>
      <c r="Q142" s="59"/>
      <c r="R142" s="59"/>
      <c r="S142" s="59"/>
      <c r="T142" s="59"/>
      <c r="U142" s="59"/>
      <c r="V142" s="59"/>
      <c r="W142" s="59"/>
    </row>
    <row r="143" spans="1:23">
      <c r="G143" s="59"/>
      <c r="H143" s="59"/>
      <c r="I143" s="59"/>
      <c r="J143" s="59"/>
      <c r="K143" s="59"/>
      <c r="L143" s="59"/>
      <c r="M143" s="59"/>
      <c r="N143" s="59"/>
      <c r="O143" s="59"/>
      <c r="P143" s="59"/>
      <c r="Q143" s="59"/>
      <c r="R143" s="59"/>
      <c r="S143" s="59"/>
      <c r="T143" s="59"/>
      <c r="U143" s="59"/>
      <c r="V143" s="59"/>
      <c r="W143" s="59"/>
    </row>
    <row r="144" spans="1:23">
      <c r="G144" s="59"/>
      <c r="H144" s="59"/>
      <c r="I144" s="59"/>
      <c r="J144" s="59"/>
      <c r="K144" s="59"/>
      <c r="L144" s="59"/>
      <c r="M144" s="59"/>
      <c r="N144" s="59"/>
      <c r="O144" s="59"/>
      <c r="P144" s="59"/>
      <c r="Q144" s="59"/>
      <c r="R144" s="59"/>
      <c r="S144" s="59"/>
      <c r="T144" s="59"/>
      <c r="U144" s="59"/>
      <c r="V144" s="59"/>
      <c r="W144" s="59"/>
    </row>
    <row r="145" spans="7:23">
      <c r="G145" s="59"/>
      <c r="H145" s="59"/>
      <c r="I145" s="59"/>
      <c r="J145" s="59"/>
      <c r="K145" s="59"/>
      <c r="L145" s="59"/>
      <c r="M145" s="59"/>
      <c r="N145" s="59"/>
      <c r="O145" s="59"/>
      <c r="P145" s="59"/>
      <c r="Q145" s="59"/>
      <c r="R145" s="59"/>
      <c r="S145" s="59"/>
      <c r="T145" s="59"/>
      <c r="U145" s="59"/>
      <c r="V145" s="59"/>
      <c r="W145" s="59"/>
    </row>
    <row r="146" spans="7:23">
      <c r="G146" s="59"/>
      <c r="H146" s="59"/>
      <c r="I146" s="59"/>
      <c r="J146" s="59"/>
      <c r="K146" s="59"/>
      <c r="L146" s="59"/>
      <c r="M146" s="59"/>
      <c r="N146" s="59"/>
      <c r="O146" s="59"/>
      <c r="P146" s="59"/>
      <c r="Q146" s="59"/>
      <c r="R146" s="59"/>
      <c r="S146" s="59"/>
      <c r="T146" s="59"/>
      <c r="U146" s="59"/>
      <c r="V146" s="59"/>
      <c r="W146" s="59"/>
    </row>
    <row r="147" spans="7:23">
      <c r="G147" s="59"/>
      <c r="H147" s="59"/>
      <c r="I147" s="59"/>
      <c r="J147" s="59"/>
      <c r="K147" s="59"/>
      <c r="L147" s="59"/>
      <c r="M147" s="59"/>
      <c r="N147" s="59"/>
      <c r="O147" s="59"/>
      <c r="P147" s="59"/>
      <c r="Q147" s="59"/>
      <c r="R147" s="59"/>
      <c r="S147" s="59"/>
      <c r="T147" s="59"/>
      <c r="U147" s="59"/>
      <c r="V147" s="59"/>
      <c r="W147" s="59"/>
    </row>
    <row r="148" spans="7:23">
      <c r="G148" s="59"/>
      <c r="H148" s="59"/>
      <c r="I148" s="59"/>
      <c r="J148" s="59"/>
      <c r="K148" s="59"/>
      <c r="L148" s="59"/>
      <c r="M148" s="59"/>
      <c r="N148" s="59"/>
      <c r="O148" s="59"/>
      <c r="P148" s="59"/>
      <c r="Q148" s="59"/>
      <c r="R148" s="59"/>
      <c r="S148" s="59"/>
      <c r="T148" s="59"/>
      <c r="U148" s="59"/>
      <c r="V148" s="59"/>
      <c r="W148" s="59"/>
    </row>
    <row r="149" spans="7:23">
      <c r="G149" s="59"/>
      <c r="H149" s="59"/>
      <c r="I149" s="59"/>
      <c r="J149" s="59"/>
      <c r="K149" s="59"/>
      <c r="L149" s="59"/>
      <c r="M149" s="59"/>
      <c r="N149" s="59"/>
      <c r="O149" s="59"/>
      <c r="P149" s="59"/>
      <c r="Q149" s="59"/>
      <c r="R149" s="59"/>
      <c r="S149" s="59"/>
      <c r="T149" s="59"/>
      <c r="U149" s="59"/>
      <c r="V149" s="59"/>
      <c r="W149" s="59"/>
    </row>
    <row r="150" spans="7:23">
      <c r="G150" s="59"/>
      <c r="H150" s="59"/>
      <c r="I150" s="59"/>
      <c r="J150" s="59"/>
      <c r="K150" s="59"/>
      <c r="L150" s="59"/>
      <c r="M150" s="59"/>
      <c r="N150" s="59"/>
      <c r="O150" s="59"/>
      <c r="P150" s="59"/>
      <c r="Q150" s="59"/>
      <c r="R150" s="59"/>
      <c r="S150" s="59"/>
      <c r="T150" s="59"/>
      <c r="U150" s="59"/>
      <c r="V150" s="59"/>
      <c r="W150" s="59"/>
    </row>
    <row r="151" spans="7:23">
      <c r="G151" s="59"/>
      <c r="H151" s="59"/>
      <c r="I151" s="59"/>
      <c r="J151" s="59"/>
      <c r="K151" s="59"/>
      <c r="L151" s="59"/>
      <c r="M151" s="59"/>
      <c r="N151" s="59"/>
      <c r="O151" s="59"/>
      <c r="P151" s="59"/>
      <c r="Q151" s="59"/>
      <c r="R151" s="59"/>
      <c r="S151" s="59"/>
      <c r="T151" s="59"/>
      <c r="U151" s="59"/>
      <c r="V151" s="59"/>
      <c r="W151" s="59"/>
    </row>
    <row r="152" spans="7:23">
      <c r="G152" s="59"/>
      <c r="H152" s="59"/>
      <c r="I152" s="59"/>
      <c r="J152" s="59"/>
      <c r="K152" s="59"/>
      <c r="L152" s="59"/>
      <c r="M152" s="59"/>
      <c r="N152" s="59"/>
      <c r="O152" s="59"/>
      <c r="P152" s="59"/>
      <c r="Q152" s="59"/>
      <c r="R152" s="59"/>
      <c r="S152" s="59"/>
      <c r="T152" s="59"/>
      <c r="U152" s="59"/>
      <c r="V152" s="59"/>
      <c r="W152" s="59"/>
    </row>
    <row r="153" spans="7:23">
      <c r="G153" s="59"/>
      <c r="H153" s="59"/>
      <c r="I153" s="59"/>
      <c r="J153" s="59"/>
      <c r="K153" s="59"/>
      <c r="L153" s="59"/>
      <c r="M153" s="59"/>
      <c r="N153" s="59"/>
      <c r="O153" s="59"/>
      <c r="P153" s="59"/>
      <c r="Q153" s="59"/>
      <c r="R153" s="59"/>
      <c r="S153" s="59"/>
      <c r="T153" s="59"/>
      <c r="U153" s="59"/>
      <c r="V153" s="59"/>
      <c r="W153" s="59"/>
    </row>
    <row r="154" spans="7:23">
      <c r="G154" s="59"/>
      <c r="H154" s="59"/>
      <c r="I154" s="59"/>
      <c r="J154" s="59"/>
      <c r="K154" s="59"/>
      <c r="L154" s="59"/>
      <c r="M154" s="59"/>
      <c r="N154" s="59"/>
      <c r="O154" s="59"/>
      <c r="P154" s="59"/>
      <c r="Q154" s="59"/>
      <c r="R154" s="59"/>
      <c r="S154" s="59"/>
      <c r="T154" s="59"/>
      <c r="U154" s="59"/>
      <c r="V154" s="59"/>
      <c r="W154" s="59"/>
    </row>
    <row r="155" spans="7:23">
      <c r="G155" s="59"/>
      <c r="H155" s="59"/>
      <c r="I155" s="59"/>
      <c r="J155" s="59"/>
      <c r="K155" s="59"/>
      <c r="L155" s="59"/>
      <c r="M155" s="59"/>
      <c r="N155" s="59"/>
      <c r="O155" s="59"/>
      <c r="P155" s="59"/>
      <c r="Q155" s="59"/>
      <c r="R155" s="59"/>
      <c r="S155" s="59"/>
      <c r="T155" s="59"/>
      <c r="U155" s="59"/>
      <c r="V155" s="59"/>
      <c r="W155" s="59"/>
    </row>
    <row r="156" spans="7:23">
      <c r="G156" s="59"/>
      <c r="H156" s="59"/>
      <c r="I156" s="59"/>
      <c r="J156" s="59"/>
      <c r="K156" s="59"/>
      <c r="L156" s="59"/>
      <c r="M156" s="59"/>
      <c r="N156" s="59"/>
      <c r="O156" s="59"/>
      <c r="P156" s="59"/>
      <c r="Q156" s="59"/>
      <c r="R156" s="59"/>
      <c r="S156" s="59"/>
      <c r="T156" s="59"/>
      <c r="U156" s="59"/>
      <c r="V156" s="59"/>
      <c r="W156" s="59"/>
    </row>
    <row r="157" spans="7:23">
      <c r="G157" s="59"/>
      <c r="H157" s="59"/>
      <c r="I157" s="59"/>
      <c r="J157" s="59"/>
      <c r="K157" s="59"/>
      <c r="L157" s="59"/>
      <c r="M157" s="59"/>
      <c r="N157" s="59"/>
      <c r="O157" s="59"/>
      <c r="P157" s="59"/>
      <c r="Q157" s="59"/>
      <c r="R157" s="59"/>
      <c r="S157" s="59"/>
      <c r="T157" s="59"/>
      <c r="U157" s="59"/>
      <c r="V157" s="59"/>
      <c r="W157" s="59"/>
    </row>
    <row r="158" spans="7:23">
      <c r="G158" s="59"/>
      <c r="H158" s="59"/>
      <c r="I158" s="59"/>
      <c r="J158" s="59"/>
      <c r="K158" s="59"/>
      <c r="L158" s="59"/>
      <c r="M158" s="59"/>
      <c r="N158" s="59"/>
      <c r="O158" s="59"/>
      <c r="P158" s="59"/>
      <c r="Q158" s="59"/>
      <c r="R158" s="59"/>
      <c r="S158" s="59"/>
      <c r="T158" s="59"/>
      <c r="U158" s="59"/>
      <c r="V158" s="59"/>
      <c r="W158" s="59"/>
    </row>
    <row r="159" spans="7:23">
      <c r="G159" s="59"/>
      <c r="H159" s="59"/>
      <c r="I159" s="59"/>
      <c r="J159" s="59"/>
      <c r="K159" s="59"/>
      <c r="L159" s="59"/>
      <c r="M159" s="59"/>
      <c r="N159" s="59"/>
      <c r="O159" s="59"/>
      <c r="P159" s="59"/>
      <c r="Q159" s="59"/>
      <c r="R159" s="59"/>
      <c r="S159" s="59"/>
      <c r="T159" s="59"/>
      <c r="U159" s="59"/>
      <c r="V159" s="59"/>
      <c r="W159" s="59"/>
    </row>
    <row r="160" spans="7:23">
      <c r="G160" s="59"/>
      <c r="H160" s="59"/>
      <c r="I160" s="59"/>
      <c r="J160" s="59"/>
      <c r="K160" s="59"/>
      <c r="L160" s="59"/>
      <c r="M160" s="59"/>
      <c r="N160" s="59"/>
      <c r="O160" s="59"/>
      <c r="P160" s="59"/>
      <c r="Q160" s="59"/>
      <c r="R160" s="59"/>
      <c r="S160" s="59"/>
      <c r="T160" s="59"/>
      <c r="U160" s="59"/>
      <c r="V160" s="59"/>
      <c r="W160" s="59"/>
    </row>
    <row r="161" spans="7:23">
      <c r="G161" s="59"/>
      <c r="H161" s="59"/>
      <c r="I161" s="59"/>
      <c r="J161" s="59"/>
      <c r="K161" s="59"/>
      <c r="L161" s="59"/>
      <c r="M161" s="59"/>
      <c r="N161" s="59"/>
      <c r="O161" s="59"/>
      <c r="P161" s="59"/>
      <c r="Q161" s="59"/>
      <c r="R161" s="59"/>
      <c r="S161" s="59"/>
      <c r="T161" s="59"/>
      <c r="U161" s="59"/>
      <c r="V161" s="59"/>
      <c r="W161" s="59"/>
    </row>
    <row r="162" spans="7:23">
      <c r="G162" s="59"/>
      <c r="H162" s="59"/>
      <c r="I162" s="59"/>
      <c r="J162" s="59"/>
      <c r="K162" s="59"/>
      <c r="L162" s="59"/>
      <c r="M162" s="59"/>
      <c r="N162" s="59"/>
      <c r="O162" s="59"/>
      <c r="P162" s="59"/>
      <c r="Q162" s="59"/>
      <c r="R162" s="59"/>
      <c r="S162" s="59"/>
      <c r="T162" s="59"/>
      <c r="U162" s="59"/>
      <c r="V162" s="59"/>
      <c r="W162" s="59"/>
    </row>
    <row r="163" spans="7:23">
      <c r="G163" s="59"/>
      <c r="H163" s="59"/>
      <c r="I163" s="59"/>
      <c r="J163" s="59"/>
      <c r="K163" s="59"/>
      <c r="L163" s="59"/>
      <c r="M163" s="59"/>
      <c r="N163" s="59"/>
      <c r="O163" s="59"/>
      <c r="P163" s="59"/>
      <c r="Q163" s="59"/>
      <c r="R163" s="59"/>
      <c r="S163" s="59"/>
      <c r="T163" s="59"/>
      <c r="U163" s="59"/>
      <c r="V163" s="59"/>
      <c r="W163" s="59"/>
    </row>
    <row r="164" spans="7:23">
      <c r="G164" s="59"/>
      <c r="H164" s="59"/>
      <c r="I164" s="59"/>
      <c r="J164" s="59"/>
      <c r="K164" s="59"/>
      <c r="L164" s="59"/>
      <c r="M164" s="59"/>
      <c r="N164" s="59"/>
      <c r="O164" s="59"/>
      <c r="P164" s="59"/>
      <c r="Q164" s="59"/>
      <c r="R164" s="59"/>
      <c r="S164" s="59"/>
      <c r="T164" s="59"/>
      <c r="U164" s="59"/>
      <c r="V164" s="59"/>
      <c r="W164" s="59"/>
    </row>
    <row r="165" spans="7:23">
      <c r="G165" s="59"/>
      <c r="H165" s="59"/>
      <c r="I165" s="59"/>
      <c r="J165" s="59"/>
      <c r="K165" s="59"/>
      <c r="L165" s="59"/>
      <c r="M165" s="59"/>
      <c r="N165" s="59"/>
      <c r="O165" s="59"/>
      <c r="P165" s="59"/>
      <c r="Q165" s="59"/>
      <c r="R165" s="59"/>
      <c r="S165" s="59"/>
      <c r="T165" s="59"/>
      <c r="U165" s="59"/>
      <c r="V165" s="59"/>
      <c r="W165" s="59"/>
    </row>
    <row r="166" spans="7:23">
      <c r="G166" s="59"/>
      <c r="H166" s="59"/>
      <c r="I166" s="59"/>
      <c r="J166" s="59"/>
      <c r="K166" s="59"/>
      <c r="L166" s="59"/>
      <c r="M166" s="59"/>
      <c r="N166" s="59"/>
      <c r="O166" s="59"/>
      <c r="P166" s="59"/>
      <c r="Q166" s="59"/>
      <c r="R166" s="59"/>
      <c r="S166" s="59"/>
      <c r="T166" s="59"/>
      <c r="U166" s="59"/>
      <c r="V166" s="59"/>
      <c r="W166" s="59"/>
    </row>
    <row r="167" spans="7:23">
      <c r="G167" s="59"/>
      <c r="H167" s="59"/>
      <c r="I167" s="59"/>
      <c r="J167" s="59"/>
      <c r="K167" s="59"/>
      <c r="L167" s="59"/>
      <c r="M167" s="59"/>
      <c r="N167" s="59"/>
      <c r="O167" s="59"/>
      <c r="P167" s="59"/>
      <c r="Q167" s="59"/>
      <c r="R167" s="59"/>
      <c r="S167" s="59"/>
      <c r="T167" s="59"/>
      <c r="U167" s="59"/>
      <c r="V167" s="59"/>
      <c r="W167" s="59"/>
    </row>
    <row r="168" spans="7:23">
      <c r="G168" s="59"/>
      <c r="H168" s="59"/>
      <c r="I168" s="59"/>
      <c r="J168" s="59"/>
      <c r="K168" s="59"/>
      <c r="L168" s="59"/>
      <c r="M168" s="59"/>
      <c r="N168" s="59"/>
      <c r="O168" s="59"/>
      <c r="P168" s="59"/>
      <c r="Q168" s="59"/>
      <c r="R168" s="59"/>
      <c r="S168" s="59"/>
      <c r="T168" s="59"/>
      <c r="U168" s="59"/>
      <c r="V168" s="59"/>
      <c r="W168" s="59"/>
    </row>
    <row r="169" spans="7:23">
      <c r="G169" s="59"/>
      <c r="H169" s="59"/>
      <c r="I169" s="59"/>
      <c r="J169" s="59"/>
      <c r="K169" s="59"/>
      <c r="L169" s="59"/>
      <c r="M169" s="59"/>
      <c r="N169" s="59"/>
      <c r="O169" s="59"/>
      <c r="P169" s="59"/>
      <c r="Q169" s="59"/>
      <c r="R169" s="59"/>
      <c r="S169" s="59"/>
      <c r="T169" s="59"/>
      <c r="U169" s="59"/>
      <c r="V169" s="59"/>
      <c r="W169" s="59"/>
    </row>
    <row r="170" spans="7:23">
      <c r="G170" s="59"/>
      <c r="H170" s="59"/>
      <c r="I170" s="59"/>
      <c r="J170" s="59"/>
      <c r="K170" s="59"/>
      <c r="L170" s="59"/>
      <c r="M170" s="59"/>
      <c r="N170" s="59"/>
      <c r="O170" s="59"/>
      <c r="P170" s="59"/>
      <c r="Q170" s="59"/>
      <c r="R170" s="59"/>
      <c r="S170" s="59"/>
      <c r="T170" s="59"/>
      <c r="U170" s="59"/>
      <c r="V170" s="59"/>
      <c r="W170" s="59"/>
    </row>
    <row r="171" spans="7:23">
      <c r="G171" s="59"/>
      <c r="H171" s="59"/>
      <c r="I171" s="59"/>
      <c r="J171" s="59"/>
      <c r="K171" s="59"/>
      <c r="L171" s="59"/>
      <c r="M171" s="59"/>
      <c r="N171" s="59"/>
      <c r="O171" s="59"/>
      <c r="P171" s="59"/>
      <c r="Q171" s="59"/>
      <c r="R171" s="59"/>
      <c r="S171" s="59"/>
      <c r="T171" s="59"/>
      <c r="U171" s="59"/>
      <c r="V171" s="59"/>
      <c r="W171" s="59"/>
    </row>
    <row r="172" spans="7:23">
      <c r="G172" s="59"/>
      <c r="H172" s="59"/>
      <c r="I172" s="59"/>
      <c r="J172" s="59"/>
      <c r="K172" s="59"/>
      <c r="L172" s="59"/>
      <c r="M172" s="59"/>
      <c r="N172" s="59"/>
      <c r="O172" s="59"/>
      <c r="P172" s="59"/>
      <c r="Q172" s="59"/>
      <c r="R172" s="59"/>
      <c r="S172" s="59"/>
      <c r="T172" s="59"/>
      <c r="U172" s="59"/>
      <c r="V172" s="59"/>
      <c r="W172" s="59"/>
    </row>
    <row r="173" spans="7:23">
      <c r="G173" s="59"/>
      <c r="H173" s="59"/>
      <c r="I173" s="59"/>
      <c r="J173" s="59"/>
      <c r="K173" s="59"/>
      <c r="L173" s="59"/>
      <c r="M173" s="59"/>
      <c r="N173" s="59"/>
      <c r="O173" s="59"/>
      <c r="P173" s="59"/>
      <c r="Q173" s="59"/>
      <c r="R173" s="59"/>
      <c r="S173" s="59"/>
      <c r="T173" s="59"/>
      <c r="U173" s="59"/>
      <c r="V173" s="59"/>
      <c r="W173" s="59"/>
    </row>
    <row r="174" spans="7:23">
      <c r="G174" s="59"/>
      <c r="H174" s="59"/>
      <c r="I174" s="59"/>
      <c r="J174" s="59"/>
      <c r="K174" s="59"/>
      <c r="L174" s="59"/>
      <c r="M174" s="59"/>
      <c r="N174" s="59"/>
      <c r="O174" s="59"/>
      <c r="P174" s="59"/>
      <c r="Q174" s="59"/>
      <c r="R174" s="59"/>
      <c r="S174" s="59"/>
      <c r="T174" s="59"/>
      <c r="U174" s="59"/>
      <c r="V174" s="59"/>
      <c r="W174" s="59"/>
    </row>
    <row r="175" spans="7:23">
      <c r="G175" s="59"/>
      <c r="H175" s="59"/>
      <c r="I175" s="59"/>
      <c r="J175" s="59"/>
      <c r="K175" s="59"/>
      <c r="L175" s="59"/>
      <c r="M175" s="59"/>
      <c r="N175" s="59"/>
      <c r="O175" s="59"/>
      <c r="P175" s="59"/>
      <c r="Q175" s="59"/>
      <c r="R175" s="59"/>
      <c r="S175" s="59"/>
      <c r="T175" s="59"/>
      <c r="U175" s="59"/>
      <c r="V175" s="59"/>
      <c r="W175" s="59"/>
    </row>
    <row r="176" spans="7:23">
      <c r="G176" s="59"/>
      <c r="H176" s="59"/>
      <c r="I176" s="59"/>
      <c r="J176" s="59"/>
      <c r="K176" s="59"/>
      <c r="L176" s="59"/>
      <c r="M176" s="59"/>
      <c r="N176" s="59"/>
      <c r="O176" s="59"/>
      <c r="P176" s="59"/>
      <c r="Q176" s="59"/>
      <c r="R176" s="59"/>
      <c r="S176" s="59"/>
      <c r="T176" s="59"/>
      <c r="U176" s="59"/>
      <c r="V176" s="59"/>
      <c r="W176" s="59"/>
    </row>
    <row r="177" spans="7:23">
      <c r="G177" s="59"/>
      <c r="H177" s="59"/>
      <c r="I177" s="59"/>
      <c r="J177" s="59"/>
      <c r="K177" s="59"/>
      <c r="L177" s="59"/>
      <c r="M177" s="59"/>
      <c r="N177" s="59"/>
      <c r="O177" s="59"/>
      <c r="P177" s="59"/>
      <c r="Q177" s="59"/>
      <c r="R177" s="59"/>
      <c r="S177" s="59"/>
      <c r="T177" s="59"/>
      <c r="U177" s="59"/>
      <c r="V177" s="59"/>
      <c r="W177" s="59"/>
    </row>
    <row r="178" spans="7:23">
      <c r="G178" s="59"/>
      <c r="H178" s="59"/>
      <c r="I178" s="59"/>
      <c r="J178" s="59"/>
      <c r="K178" s="59"/>
      <c r="L178" s="59"/>
      <c r="M178" s="59"/>
      <c r="N178" s="59"/>
      <c r="O178" s="59"/>
      <c r="P178" s="59"/>
      <c r="Q178" s="59"/>
      <c r="R178" s="59"/>
      <c r="S178" s="59"/>
      <c r="T178" s="59"/>
      <c r="U178" s="59"/>
      <c r="V178" s="59"/>
      <c r="W178" s="59"/>
    </row>
    <row r="179" spans="7:23">
      <c r="G179" s="59"/>
      <c r="H179" s="59"/>
      <c r="I179" s="59"/>
      <c r="J179" s="59"/>
      <c r="K179" s="59"/>
      <c r="L179" s="59"/>
      <c r="M179" s="59"/>
      <c r="N179" s="59"/>
      <c r="O179" s="59"/>
      <c r="P179" s="59"/>
      <c r="Q179" s="59"/>
      <c r="R179" s="59"/>
      <c r="S179" s="59"/>
      <c r="T179" s="59"/>
      <c r="U179" s="59"/>
      <c r="V179" s="59"/>
      <c r="W179" s="59"/>
    </row>
    <row r="180" spans="7:23">
      <c r="G180" s="59"/>
      <c r="H180" s="59"/>
      <c r="I180" s="59"/>
      <c r="J180" s="59"/>
      <c r="K180" s="59"/>
      <c r="L180" s="59"/>
      <c r="M180" s="59"/>
      <c r="N180" s="59"/>
      <c r="O180" s="59"/>
      <c r="P180" s="59"/>
      <c r="Q180" s="59"/>
      <c r="R180" s="59"/>
      <c r="S180" s="59"/>
      <c r="T180" s="59"/>
      <c r="U180" s="59"/>
      <c r="V180" s="59"/>
      <c r="W180" s="59"/>
    </row>
    <row r="181" spans="7:23">
      <c r="G181" s="59"/>
      <c r="H181" s="59"/>
      <c r="I181" s="59"/>
      <c r="J181" s="59"/>
      <c r="K181" s="59"/>
      <c r="L181" s="59"/>
      <c r="M181" s="59"/>
      <c r="N181" s="59"/>
      <c r="O181" s="59"/>
      <c r="P181" s="59"/>
      <c r="Q181" s="59"/>
      <c r="R181" s="59"/>
      <c r="S181" s="59"/>
      <c r="T181" s="59"/>
      <c r="U181" s="59"/>
      <c r="V181" s="59"/>
      <c r="W181" s="59"/>
    </row>
    <row r="182" spans="7:23">
      <c r="G182" s="59"/>
      <c r="H182" s="59"/>
      <c r="I182" s="59"/>
      <c r="J182" s="59"/>
      <c r="K182" s="59"/>
      <c r="L182" s="59"/>
      <c r="M182" s="59"/>
      <c r="N182" s="59"/>
      <c r="O182" s="59"/>
      <c r="P182" s="59"/>
      <c r="Q182" s="59"/>
      <c r="R182" s="59"/>
      <c r="S182" s="59"/>
      <c r="T182" s="59"/>
      <c r="U182" s="59"/>
      <c r="V182" s="59"/>
      <c r="W182" s="59"/>
    </row>
    <row r="183" spans="7:23">
      <c r="G183" s="59"/>
      <c r="H183" s="59"/>
      <c r="I183" s="59"/>
      <c r="J183" s="59"/>
      <c r="K183" s="59"/>
      <c r="L183" s="59"/>
      <c r="M183" s="59"/>
      <c r="N183" s="59"/>
      <c r="O183" s="59"/>
      <c r="P183" s="59"/>
      <c r="Q183" s="59"/>
      <c r="R183" s="59"/>
      <c r="S183" s="59"/>
      <c r="T183" s="59"/>
      <c r="U183" s="59"/>
      <c r="V183" s="59"/>
      <c r="W183" s="59"/>
    </row>
    <row r="184" spans="7:23">
      <c r="G184" s="59"/>
      <c r="H184" s="59"/>
      <c r="I184" s="59"/>
      <c r="J184" s="59"/>
      <c r="K184" s="59"/>
      <c r="L184" s="59"/>
      <c r="M184" s="59"/>
      <c r="N184" s="59"/>
      <c r="O184" s="59"/>
      <c r="P184" s="59"/>
      <c r="Q184" s="59"/>
      <c r="R184" s="59"/>
      <c r="S184" s="59"/>
      <c r="T184" s="59"/>
      <c r="U184" s="59"/>
      <c r="V184" s="59"/>
      <c r="W184" s="59"/>
    </row>
    <row r="185" spans="7:23">
      <c r="G185" s="59"/>
      <c r="H185" s="59"/>
      <c r="I185" s="59"/>
      <c r="J185" s="59"/>
      <c r="K185" s="59"/>
      <c r="L185" s="59"/>
      <c r="M185" s="59"/>
      <c r="N185" s="59"/>
      <c r="O185" s="59"/>
      <c r="P185" s="59"/>
      <c r="Q185" s="59"/>
      <c r="R185" s="59"/>
      <c r="S185" s="59"/>
      <c r="T185" s="59"/>
      <c r="U185" s="59"/>
      <c r="V185" s="59"/>
      <c r="W185" s="59"/>
    </row>
    <row r="186" spans="7:23">
      <c r="G186" s="59"/>
      <c r="H186" s="59"/>
      <c r="I186" s="59"/>
      <c r="J186" s="59"/>
      <c r="K186" s="59"/>
      <c r="L186" s="59"/>
      <c r="M186" s="59"/>
      <c r="N186" s="59"/>
      <c r="O186" s="59"/>
      <c r="P186" s="59"/>
      <c r="Q186" s="59"/>
      <c r="R186" s="59"/>
      <c r="S186" s="59"/>
      <c r="T186" s="59"/>
      <c r="U186" s="59"/>
      <c r="V186" s="59"/>
      <c r="W186" s="59"/>
    </row>
    <row r="187" spans="7:23">
      <c r="G187" s="59"/>
      <c r="H187" s="59"/>
      <c r="I187" s="59"/>
      <c r="J187" s="59"/>
      <c r="K187" s="59"/>
      <c r="L187" s="59"/>
      <c r="M187" s="59"/>
      <c r="N187" s="59"/>
      <c r="O187" s="59"/>
      <c r="P187" s="59"/>
      <c r="Q187" s="59"/>
      <c r="R187" s="59"/>
      <c r="S187" s="59"/>
      <c r="T187" s="59"/>
      <c r="U187" s="59"/>
      <c r="V187" s="59"/>
      <c r="W187" s="59"/>
    </row>
    <row r="188" spans="7:23">
      <c r="G188" s="59"/>
      <c r="H188" s="59"/>
      <c r="I188" s="59"/>
      <c r="J188" s="59"/>
      <c r="K188" s="59"/>
      <c r="L188" s="59"/>
      <c r="M188" s="59"/>
      <c r="N188" s="59"/>
      <c r="O188" s="59"/>
      <c r="P188" s="59"/>
      <c r="Q188" s="59"/>
      <c r="R188" s="59"/>
      <c r="S188" s="59"/>
      <c r="T188" s="59"/>
      <c r="U188" s="59"/>
      <c r="V188" s="59"/>
      <c r="W188" s="59"/>
    </row>
    <row r="189" spans="7:23">
      <c r="G189" s="59"/>
      <c r="H189" s="59"/>
      <c r="I189" s="59"/>
      <c r="J189" s="59"/>
      <c r="K189" s="59"/>
      <c r="L189" s="59"/>
      <c r="M189" s="59"/>
      <c r="N189" s="59"/>
      <c r="O189" s="59"/>
      <c r="P189" s="59"/>
      <c r="Q189" s="59"/>
      <c r="R189" s="59"/>
      <c r="S189" s="59"/>
      <c r="T189" s="59"/>
      <c r="U189" s="59"/>
      <c r="V189" s="59"/>
      <c r="W189" s="59"/>
    </row>
    <row r="190" spans="7:23">
      <c r="G190" s="59"/>
      <c r="H190" s="59"/>
      <c r="I190" s="59"/>
      <c r="J190" s="59"/>
      <c r="K190" s="59"/>
      <c r="L190" s="59"/>
      <c r="M190" s="59"/>
      <c r="N190" s="59"/>
      <c r="O190" s="59"/>
      <c r="P190" s="59"/>
      <c r="Q190" s="59"/>
      <c r="R190" s="59"/>
      <c r="S190" s="59"/>
      <c r="T190" s="59"/>
      <c r="U190" s="59"/>
      <c r="V190" s="59"/>
      <c r="W190" s="59"/>
    </row>
    <row r="191" spans="7:23">
      <c r="G191" s="59"/>
      <c r="H191" s="59"/>
      <c r="I191" s="59"/>
      <c r="J191" s="59"/>
      <c r="K191" s="59"/>
      <c r="L191" s="59"/>
      <c r="M191" s="59"/>
      <c r="N191" s="59"/>
      <c r="O191" s="59"/>
      <c r="P191" s="59"/>
      <c r="Q191" s="59"/>
      <c r="R191" s="59"/>
      <c r="S191" s="59"/>
      <c r="T191" s="59"/>
      <c r="U191" s="59"/>
      <c r="V191" s="59"/>
      <c r="W191" s="59"/>
    </row>
    <row r="192" spans="7:23">
      <c r="G192" s="59"/>
      <c r="H192" s="59"/>
      <c r="I192" s="59"/>
      <c r="J192" s="59"/>
      <c r="K192" s="59"/>
      <c r="L192" s="59"/>
      <c r="M192" s="59"/>
      <c r="N192" s="59"/>
      <c r="O192" s="59"/>
      <c r="P192" s="59"/>
      <c r="Q192" s="59"/>
      <c r="R192" s="59"/>
      <c r="S192" s="59"/>
      <c r="T192" s="59"/>
      <c r="U192" s="59"/>
      <c r="V192" s="59"/>
      <c r="W192" s="59"/>
    </row>
    <row r="193" spans="7:23">
      <c r="G193" s="59"/>
      <c r="H193" s="59"/>
      <c r="I193" s="59"/>
      <c r="J193" s="59"/>
      <c r="K193" s="59"/>
      <c r="L193" s="59"/>
      <c r="M193" s="59"/>
      <c r="N193" s="59"/>
      <c r="O193" s="59"/>
      <c r="P193" s="59"/>
      <c r="Q193" s="59"/>
      <c r="R193" s="59"/>
      <c r="S193" s="59"/>
      <c r="T193" s="59"/>
      <c r="U193" s="59"/>
      <c r="V193" s="59"/>
      <c r="W193" s="59"/>
    </row>
    <row r="194" spans="7:23">
      <c r="G194" s="59"/>
      <c r="H194" s="59"/>
      <c r="I194" s="59"/>
      <c r="J194" s="59"/>
      <c r="K194" s="59"/>
      <c r="L194" s="59"/>
      <c r="M194" s="59"/>
      <c r="N194" s="59"/>
      <c r="O194" s="59"/>
      <c r="P194" s="59"/>
      <c r="Q194" s="59"/>
      <c r="R194" s="59"/>
      <c r="S194" s="59"/>
      <c r="T194" s="59"/>
      <c r="U194" s="59"/>
      <c r="V194" s="59"/>
      <c r="W194" s="59"/>
    </row>
    <row r="195" spans="7:23">
      <c r="G195" s="59"/>
      <c r="H195" s="59"/>
      <c r="I195" s="59"/>
      <c r="J195" s="59"/>
      <c r="K195" s="59"/>
      <c r="L195" s="59"/>
      <c r="M195" s="59"/>
      <c r="N195" s="59"/>
      <c r="O195" s="59"/>
      <c r="P195" s="59"/>
      <c r="Q195" s="59"/>
      <c r="R195" s="59"/>
      <c r="S195" s="59"/>
      <c r="T195" s="59"/>
      <c r="U195" s="59"/>
      <c r="V195" s="59"/>
      <c r="W195" s="59"/>
    </row>
    <row r="196" spans="7:23">
      <c r="G196" s="59"/>
      <c r="H196" s="59"/>
      <c r="I196" s="59"/>
      <c r="J196" s="59"/>
      <c r="K196" s="59"/>
      <c r="L196" s="59"/>
      <c r="M196" s="59"/>
      <c r="N196" s="59"/>
      <c r="O196" s="59"/>
      <c r="P196" s="59"/>
      <c r="Q196" s="59"/>
      <c r="R196" s="59"/>
      <c r="S196" s="59"/>
      <c r="T196" s="59"/>
      <c r="U196" s="59"/>
      <c r="V196" s="59"/>
      <c r="W196" s="59"/>
    </row>
    <row r="197" spans="7:23">
      <c r="G197" s="59"/>
      <c r="H197" s="59"/>
      <c r="I197" s="59"/>
      <c r="J197" s="59"/>
      <c r="K197" s="59"/>
      <c r="L197" s="59"/>
      <c r="M197" s="59"/>
      <c r="N197" s="59"/>
      <c r="O197" s="59"/>
      <c r="P197" s="59"/>
      <c r="Q197" s="59"/>
      <c r="R197" s="59"/>
      <c r="S197" s="59"/>
      <c r="T197" s="59"/>
      <c r="U197" s="59"/>
      <c r="V197" s="59"/>
      <c r="W197" s="59"/>
    </row>
    <row r="198" spans="7:23">
      <c r="G198" s="59"/>
      <c r="H198" s="59"/>
      <c r="I198" s="59"/>
      <c r="J198" s="59"/>
      <c r="K198" s="59"/>
      <c r="L198" s="59"/>
      <c r="M198" s="59"/>
      <c r="N198" s="59"/>
      <c r="O198" s="59"/>
      <c r="P198" s="59"/>
      <c r="Q198" s="59"/>
      <c r="R198" s="59"/>
      <c r="S198" s="59"/>
      <c r="T198" s="59"/>
      <c r="U198" s="59"/>
      <c r="V198" s="59"/>
      <c r="W198" s="59"/>
    </row>
    <row r="199" spans="7:23">
      <c r="G199" s="59"/>
      <c r="H199" s="59"/>
      <c r="I199" s="59"/>
      <c r="J199" s="59"/>
      <c r="K199" s="59"/>
      <c r="L199" s="59"/>
      <c r="M199" s="59"/>
      <c r="N199" s="59"/>
      <c r="O199" s="59"/>
      <c r="P199" s="59"/>
      <c r="Q199" s="59"/>
      <c r="R199" s="59"/>
      <c r="S199" s="59"/>
      <c r="T199" s="59"/>
      <c r="U199" s="59"/>
      <c r="V199" s="59"/>
      <c r="W199" s="59"/>
    </row>
    <row r="200" spans="7:23">
      <c r="G200" s="59"/>
      <c r="H200" s="59"/>
      <c r="I200" s="59"/>
      <c r="J200" s="59"/>
      <c r="K200" s="59"/>
      <c r="L200" s="59"/>
      <c r="M200" s="59"/>
      <c r="N200" s="59"/>
      <c r="O200" s="59"/>
      <c r="P200" s="59"/>
      <c r="Q200" s="59"/>
      <c r="R200" s="59"/>
      <c r="S200" s="59"/>
      <c r="T200" s="59"/>
      <c r="U200" s="59"/>
      <c r="V200" s="59"/>
      <c r="W200" s="59"/>
    </row>
    <row r="201" spans="7:23">
      <c r="G201" s="59"/>
      <c r="H201" s="59"/>
      <c r="I201" s="59"/>
      <c r="J201" s="59"/>
      <c r="K201" s="59"/>
      <c r="L201" s="59"/>
      <c r="M201" s="59"/>
      <c r="N201" s="59"/>
      <c r="O201" s="59"/>
      <c r="P201" s="59"/>
      <c r="Q201" s="59"/>
      <c r="R201" s="59"/>
      <c r="S201" s="59"/>
      <c r="T201" s="59"/>
      <c r="U201" s="59"/>
      <c r="V201" s="59"/>
      <c r="W201" s="59"/>
    </row>
    <row r="202" spans="7:23">
      <c r="G202" s="59"/>
      <c r="H202" s="59"/>
      <c r="I202" s="59"/>
      <c r="J202" s="59"/>
      <c r="K202" s="59"/>
      <c r="L202" s="59"/>
      <c r="M202" s="59"/>
      <c r="N202" s="59"/>
      <c r="O202" s="59"/>
      <c r="P202" s="59"/>
      <c r="Q202" s="59"/>
      <c r="R202" s="59"/>
      <c r="S202" s="59"/>
      <c r="T202" s="59"/>
      <c r="U202" s="59"/>
      <c r="V202" s="59"/>
      <c r="W202" s="59"/>
    </row>
    <row r="203" spans="7:23">
      <c r="G203" s="59"/>
      <c r="H203" s="59"/>
      <c r="I203" s="59"/>
      <c r="J203" s="59"/>
      <c r="K203" s="59"/>
      <c r="L203" s="59"/>
      <c r="M203" s="59"/>
      <c r="N203" s="59"/>
      <c r="O203" s="59"/>
      <c r="P203" s="59"/>
      <c r="Q203" s="59"/>
      <c r="R203" s="59"/>
      <c r="S203" s="59"/>
      <c r="T203" s="59"/>
      <c r="U203" s="59"/>
      <c r="V203" s="59"/>
      <c r="W203" s="59"/>
    </row>
    <row r="204" spans="7:23">
      <c r="G204" s="59"/>
      <c r="H204" s="59"/>
      <c r="I204" s="59"/>
      <c r="J204" s="59"/>
      <c r="K204" s="59"/>
      <c r="L204" s="59"/>
      <c r="M204" s="59"/>
      <c r="N204" s="59"/>
      <c r="O204" s="59"/>
      <c r="P204" s="59"/>
      <c r="Q204" s="59"/>
      <c r="R204" s="59"/>
      <c r="S204" s="59"/>
      <c r="T204" s="59"/>
      <c r="U204" s="59"/>
      <c r="V204" s="59"/>
      <c r="W204" s="59"/>
    </row>
    <row r="205" spans="7:23">
      <c r="G205" s="59"/>
      <c r="H205" s="59"/>
      <c r="I205" s="59"/>
      <c r="J205" s="59"/>
      <c r="K205" s="59"/>
      <c r="L205" s="59"/>
      <c r="M205" s="59"/>
      <c r="N205" s="59"/>
      <c r="O205" s="59"/>
      <c r="P205" s="59"/>
      <c r="Q205" s="59"/>
      <c r="R205" s="59"/>
      <c r="S205" s="59"/>
      <c r="T205" s="59"/>
      <c r="U205" s="59"/>
      <c r="V205" s="59"/>
      <c r="W205" s="59"/>
    </row>
    <row r="206" spans="7:23">
      <c r="G206" s="59"/>
      <c r="H206" s="59"/>
      <c r="I206" s="59"/>
      <c r="J206" s="59"/>
      <c r="K206" s="59"/>
      <c r="L206" s="59"/>
      <c r="M206" s="59"/>
      <c r="N206" s="59"/>
      <c r="O206" s="59"/>
      <c r="P206" s="59"/>
      <c r="Q206" s="59"/>
      <c r="R206" s="59"/>
      <c r="S206" s="59"/>
      <c r="T206" s="59"/>
      <c r="U206" s="59"/>
      <c r="V206" s="59"/>
      <c r="W206" s="59"/>
    </row>
    <row r="207" spans="7:23">
      <c r="G207" s="59"/>
      <c r="H207" s="59"/>
      <c r="I207" s="59"/>
      <c r="J207" s="59"/>
      <c r="K207" s="59"/>
      <c r="L207" s="59"/>
      <c r="M207" s="59"/>
      <c r="N207" s="59"/>
      <c r="O207" s="59"/>
      <c r="P207" s="59"/>
      <c r="Q207" s="59"/>
      <c r="R207" s="59"/>
      <c r="S207" s="59"/>
      <c r="T207" s="59"/>
      <c r="U207" s="59"/>
      <c r="V207" s="59"/>
      <c r="W207" s="59"/>
    </row>
    <row r="208" spans="7:23">
      <c r="G208" s="59"/>
      <c r="H208" s="59"/>
      <c r="I208" s="59"/>
      <c r="J208" s="59"/>
      <c r="K208" s="59"/>
      <c r="L208" s="59"/>
      <c r="M208" s="59"/>
      <c r="N208" s="59"/>
      <c r="O208" s="59"/>
      <c r="P208" s="59"/>
      <c r="Q208" s="59"/>
      <c r="R208" s="59"/>
      <c r="S208" s="59"/>
      <c r="T208" s="59"/>
      <c r="U208" s="59"/>
      <c r="V208" s="59"/>
      <c r="W208" s="59"/>
    </row>
    <row r="209" spans="7:23">
      <c r="G209" s="59"/>
      <c r="H209" s="59"/>
      <c r="I209" s="59"/>
      <c r="J209" s="59"/>
      <c r="K209" s="59"/>
      <c r="L209" s="59"/>
      <c r="M209" s="59"/>
      <c r="N209" s="59"/>
      <c r="O209" s="59"/>
      <c r="P209" s="59"/>
      <c r="Q209" s="59"/>
      <c r="R209" s="59"/>
      <c r="S209" s="59"/>
      <c r="T209" s="59"/>
      <c r="U209" s="59"/>
      <c r="V209" s="59"/>
      <c r="W209" s="59"/>
    </row>
    <row r="210" spans="7:23">
      <c r="G210" s="59"/>
      <c r="H210" s="59"/>
      <c r="I210" s="59"/>
      <c r="J210" s="59"/>
      <c r="K210" s="59"/>
      <c r="L210" s="59"/>
      <c r="M210" s="59"/>
      <c r="N210" s="59"/>
      <c r="O210" s="59"/>
      <c r="P210" s="59"/>
      <c r="Q210" s="59"/>
      <c r="R210" s="59"/>
      <c r="S210" s="59"/>
      <c r="T210" s="59"/>
      <c r="U210" s="59"/>
      <c r="V210" s="59"/>
      <c r="W210" s="59"/>
    </row>
    <row r="211" spans="7:23">
      <c r="G211" s="59"/>
      <c r="H211" s="59"/>
      <c r="I211" s="59"/>
      <c r="J211" s="59"/>
      <c r="K211" s="59"/>
      <c r="L211" s="59"/>
      <c r="M211" s="59"/>
      <c r="N211" s="59"/>
      <c r="O211" s="59"/>
      <c r="P211" s="59"/>
      <c r="Q211" s="59"/>
      <c r="R211" s="59"/>
      <c r="S211" s="59"/>
      <c r="T211" s="59"/>
      <c r="U211" s="59"/>
      <c r="V211" s="59"/>
      <c r="W211" s="59"/>
    </row>
    <row r="212" spans="7:23">
      <c r="G212" s="59"/>
      <c r="H212" s="59"/>
      <c r="I212" s="59"/>
      <c r="J212" s="59"/>
      <c r="K212" s="59"/>
      <c r="L212" s="59"/>
      <c r="M212" s="59"/>
      <c r="N212" s="59"/>
      <c r="O212" s="59"/>
      <c r="P212" s="59"/>
      <c r="Q212" s="59"/>
      <c r="R212" s="59"/>
      <c r="S212" s="59"/>
      <c r="T212" s="59"/>
      <c r="U212" s="59"/>
      <c r="V212" s="59"/>
      <c r="W212" s="59"/>
    </row>
    <row r="213" spans="7:23">
      <c r="G213" s="59"/>
      <c r="H213" s="59"/>
      <c r="I213" s="59"/>
      <c r="J213" s="59"/>
      <c r="K213" s="59"/>
      <c r="L213" s="59"/>
      <c r="M213" s="59"/>
      <c r="N213" s="59"/>
      <c r="O213" s="59"/>
      <c r="P213" s="59"/>
      <c r="Q213" s="59"/>
      <c r="R213" s="59"/>
      <c r="S213" s="59"/>
      <c r="T213" s="59"/>
      <c r="U213" s="59"/>
      <c r="V213" s="59"/>
      <c r="W213" s="59"/>
    </row>
    <row r="214" spans="7:23">
      <c r="G214" s="59"/>
      <c r="H214" s="59"/>
      <c r="I214" s="59"/>
      <c r="J214" s="59"/>
      <c r="K214" s="59"/>
      <c r="L214" s="59"/>
      <c r="M214" s="59"/>
      <c r="N214" s="59"/>
      <c r="O214" s="59"/>
      <c r="P214" s="59"/>
      <c r="Q214" s="59"/>
      <c r="R214" s="59"/>
      <c r="S214" s="59"/>
      <c r="T214" s="59"/>
      <c r="U214" s="59"/>
      <c r="V214" s="59"/>
      <c r="W214" s="59"/>
    </row>
    <row r="215" spans="7:23">
      <c r="G215" s="59"/>
      <c r="H215" s="59"/>
      <c r="I215" s="59"/>
      <c r="J215" s="59"/>
      <c r="K215" s="59"/>
      <c r="L215" s="59"/>
      <c r="M215" s="59"/>
      <c r="N215" s="59"/>
      <c r="O215" s="59"/>
      <c r="P215" s="59"/>
      <c r="Q215" s="59"/>
      <c r="R215" s="59"/>
      <c r="S215" s="59"/>
      <c r="T215" s="59"/>
      <c r="U215" s="59"/>
      <c r="V215" s="59"/>
      <c r="W215" s="59"/>
    </row>
    <row r="216" spans="7:23">
      <c r="G216" s="59"/>
      <c r="H216" s="59"/>
      <c r="I216" s="59"/>
      <c r="J216" s="59"/>
      <c r="K216" s="59"/>
      <c r="L216" s="59"/>
      <c r="M216" s="59"/>
      <c r="N216" s="59"/>
      <c r="O216" s="59"/>
      <c r="P216" s="59"/>
      <c r="Q216" s="59"/>
      <c r="R216" s="59"/>
      <c r="S216" s="59"/>
      <c r="T216" s="59"/>
      <c r="U216" s="59"/>
      <c r="V216" s="59"/>
      <c r="W216" s="59"/>
    </row>
    <row r="217" spans="7:23">
      <c r="G217" s="59"/>
      <c r="H217" s="59"/>
      <c r="I217" s="59"/>
      <c r="J217" s="59"/>
      <c r="K217" s="59"/>
      <c r="L217" s="59"/>
      <c r="M217" s="59"/>
      <c r="N217" s="59"/>
      <c r="O217" s="59"/>
      <c r="P217" s="59"/>
      <c r="Q217" s="59"/>
      <c r="R217" s="59"/>
      <c r="S217" s="59"/>
      <c r="T217" s="59"/>
      <c r="U217" s="59"/>
      <c r="V217" s="59"/>
      <c r="W217" s="59"/>
    </row>
    <row r="218" spans="7:23">
      <c r="G218" s="59"/>
      <c r="H218" s="59"/>
      <c r="I218" s="59"/>
      <c r="J218" s="59"/>
      <c r="K218" s="59"/>
      <c r="L218" s="59"/>
      <c r="M218" s="59"/>
      <c r="N218" s="59"/>
      <c r="O218" s="59"/>
      <c r="P218" s="59"/>
      <c r="Q218" s="59"/>
      <c r="R218" s="59"/>
      <c r="S218" s="59"/>
      <c r="T218" s="59"/>
      <c r="U218" s="59"/>
      <c r="V218" s="59"/>
      <c r="W218" s="59"/>
    </row>
    <row r="219" spans="7:23">
      <c r="G219" s="59"/>
      <c r="H219" s="59"/>
      <c r="I219" s="59"/>
      <c r="J219" s="59"/>
      <c r="K219" s="59"/>
      <c r="L219" s="59"/>
      <c r="M219" s="59"/>
      <c r="N219" s="59"/>
      <c r="O219" s="59"/>
      <c r="P219" s="59"/>
      <c r="Q219" s="59"/>
      <c r="R219" s="59"/>
      <c r="S219" s="59"/>
      <c r="T219" s="59"/>
      <c r="U219" s="59"/>
      <c r="V219" s="59"/>
      <c r="W219" s="59"/>
    </row>
    <row r="220" spans="7:23">
      <c r="G220" s="59"/>
      <c r="H220" s="59"/>
      <c r="I220" s="59"/>
      <c r="J220" s="59"/>
      <c r="K220" s="59"/>
      <c r="L220" s="59"/>
      <c r="M220" s="59"/>
      <c r="N220" s="59"/>
      <c r="O220" s="59"/>
      <c r="P220" s="59"/>
      <c r="Q220" s="59"/>
      <c r="R220" s="59"/>
      <c r="S220" s="59"/>
      <c r="T220" s="59"/>
      <c r="U220" s="59"/>
      <c r="V220" s="59"/>
      <c r="W220" s="59"/>
    </row>
    <row r="221" spans="7:23">
      <c r="G221" s="59"/>
      <c r="H221" s="59"/>
      <c r="I221" s="59"/>
      <c r="J221" s="59"/>
      <c r="K221" s="59"/>
      <c r="L221" s="59"/>
      <c r="M221" s="59"/>
      <c r="N221" s="59"/>
      <c r="O221" s="59"/>
      <c r="P221" s="59"/>
      <c r="Q221" s="59"/>
      <c r="R221" s="59"/>
      <c r="S221" s="59"/>
      <c r="T221" s="59"/>
      <c r="U221" s="59"/>
      <c r="V221" s="59"/>
      <c r="W221" s="59"/>
    </row>
    <row r="222" spans="7:23">
      <c r="G222" s="59"/>
      <c r="H222" s="59"/>
      <c r="I222" s="59"/>
      <c r="J222" s="59"/>
      <c r="K222" s="59"/>
      <c r="L222" s="59"/>
      <c r="M222" s="59"/>
      <c r="N222" s="59"/>
      <c r="O222" s="59"/>
      <c r="P222" s="59"/>
      <c r="Q222" s="59"/>
      <c r="R222" s="59"/>
      <c r="S222" s="59"/>
      <c r="T222" s="59"/>
      <c r="U222" s="59"/>
      <c r="V222" s="59"/>
      <c r="W222" s="59"/>
    </row>
    <row r="223" spans="7:23">
      <c r="G223" s="59"/>
      <c r="H223" s="59"/>
      <c r="I223" s="59"/>
      <c r="J223" s="59"/>
      <c r="K223" s="59"/>
      <c r="L223" s="59"/>
      <c r="M223" s="59"/>
      <c r="N223" s="59"/>
      <c r="O223" s="59"/>
      <c r="P223" s="59"/>
      <c r="Q223" s="59"/>
      <c r="R223" s="59"/>
      <c r="S223" s="59"/>
      <c r="T223" s="59"/>
      <c r="U223" s="59"/>
      <c r="V223" s="59"/>
      <c r="W223" s="59"/>
    </row>
    <row r="224" spans="7:23">
      <c r="G224" s="59"/>
      <c r="H224" s="59"/>
      <c r="I224" s="59"/>
      <c r="J224" s="59"/>
      <c r="K224" s="59"/>
      <c r="L224" s="59"/>
      <c r="M224" s="59"/>
      <c r="N224" s="59"/>
      <c r="O224" s="59"/>
      <c r="P224" s="59"/>
      <c r="Q224" s="59"/>
      <c r="R224" s="59"/>
      <c r="S224" s="59"/>
      <c r="T224" s="59"/>
      <c r="U224" s="59"/>
      <c r="V224" s="59"/>
      <c r="W224" s="59"/>
    </row>
    <row r="225" spans="7:23">
      <c r="G225" s="59"/>
      <c r="H225" s="59"/>
      <c r="I225" s="59"/>
      <c r="J225" s="59"/>
      <c r="K225" s="59"/>
      <c r="L225" s="59"/>
      <c r="M225" s="59"/>
      <c r="N225" s="59"/>
      <c r="O225" s="59"/>
      <c r="P225" s="59"/>
      <c r="Q225" s="59"/>
      <c r="R225" s="59"/>
      <c r="S225" s="59"/>
      <c r="T225" s="59"/>
      <c r="U225" s="59"/>
      <c r="V225" s="59"/>
      <c r="W225" s="59"/>
    </row>
    <row r="226" spans="7:23">
      <c r="G226" s="59"/>
      <c r="H226" s="59"/>
      <c r="I226" s="59"/>
      <c r="J226" s="59"/>
      <c r="K226" s="59"/>
      <c r="L226" s="59"/>
      <c r="M226" s="59"/>
      <c r="N226" s="59"/>
      <c r="O226" s="59"/>
      <c r="P226" s="59"/>
      <c r="Q226" s="59"/>
      <c r="R226" s="59"/>
      <c r="S226" s="59"/>
      <c r="T226" s="59"/>
      <c r="U226" s="59"/>
      <c r="V226" s="59"/>
      <c r="W226" s="59"/>
    </row>
    <row r="227" spans="7:23">
      <c r="G227" s="59"/>
      <c r="H227" s="59"/>
      <c r="I227" s="59"/>
      <c r="J227" s="59"/>
      <c r="K227" s="59"/>
      <c r="L227" s="59"/>
      <c r="M227" s="59"/>
      <c r="N227" s="59"/>
      <c r="O227" s="59"/>
      <c r="P227" s="59"/>
      <c r="Q227" s="59"/>
      <c r="R227" s="59"/>
      <c r="S227" s="59"/>
      <c r="T227" s="59"/>
      <c r="U227" s="59"/>
      <c r="V227" s="59"/>
      <c r="W227" s="59"/>
    </row>
    <row r="228" spans="7:23">
      <c r="G228" s="59"/>
      <c r="H228" s="59"/>
      <c r="I228" s="59"/>
      <c r="J228" s="59"/>
      <c r="K228" s="59"/>
      <c r="L228" s="59"/>
      <c r="M228" s="59"/>
      <c r="N228" s="59"/>
      <c r="O228" s="59"/>
      <c r="P228" s="59"/>
      <c r="Q228" s="59"/>
      <c r="R228" s="59"/>
      <c r="S228" s="59"/>
      <c r="T228" s="59"/>
      <c r="U228" s="59"/>
      <c r="V228" s="59"/>
      <c r="W228" s="59"/>
    </row>
    <row r="229" spans="7:23">
      <c r="G229" s="59"/>
      <c r="H229" s="59"/>
      <c r="I229" s="59"/>
      <c r="J229" s="59"/>
      <c r="K229" s="59"/>
      <c r="L229" s="59"/>
      <c r="M229" s="59"/>
      <c r="N229" s="59"/>
      <c r="O229" s="59"/>
      <c r="P229" s="59"/>
      <c r="Q229" s="59"/>
      <c r="R229" s="59"/>
      <c r="S229" s="59"/>
      <c r="T229" s="59"/>
      <c r="U229" s="59"/>
      <c r="V229" s="59"/>
      <c r="W229" s="59"/>
    </row>
    <row r="230" spans="7:23">
      <c r="G230" s="59"/>
      <c r="H230" s="59"/>
      <c r="I230" s="59"/>
      <c r="J230" s="59"/>
      <c r="K230" s="59"/>
      <c r="L230" s="59"/>
      <c r="M230" s="59"/>
      <c r="N230" s="59"/>
      <c r="O230" s="59"/>
      <c r="P230" s="59"/>
      <c r="Q230" s="59"/>
      <c r="R230" s="59"/>
      <c r="S230" s="59"/>
      <c r="T230" s="59"/>
      <c r="U230" s="59"/>
      <c r="V230" s="59"/>
      <c r="W230" s="59"/>
    </row>
    <row r="231" spans="7:23">
      <c r="G231" s="59"/>
      <c r="H231" s="59"/>
      <c r="I231" s="59"/>
      <c r="J231" s="59"/>
      <c r="K231" s="59"/>
      <c r="L231" s="59"/>
      <c r="M231" s="59"/>
      <c r="N231" s="59"/>
      <c r="O231" s="59"/>
      <c r="P231" s="59"/>
      <c r="Q231" s="59"/>
      <c r="R231" s="59"/>
      <c r="S231" s="59"/>
      <c r="T231" s="59"/>
      <c r="U231" s="59"/>
      <c r="V231" s="59"/>
      <c r="W231" s="59"/>
    </row>
    <row r="232" spans="7:23">
      <c r="G232" s="59"/>
      <c r="H232" s="59"/>
      <c r="I232" s="59"/>
      <c r="J232" s="59"/>
      <c r="K232" s="59"/>
      <c r="L232" s="59"/>
      <c r="M232" s="59"/>
      <c r="N232" s="59"/>
      <c r="O232" s="59"/>
      <c r="P232" s="59"/>
      <c r="Q232" s="59"/>
      <c r="R232" s="59"/>
      <c r="S232" s="59"/>
      <c r="T232" s="59"/>
      <c r="U232" s="59"/>
      <c r="V232" s="59"/>
      <c r="W232" s="59"/>
    </row>
    <row r="233" spans="7:23">
      <c r="G233" s="59"/>
      <c r="H233" s="59"/>
      <c r="I233" s="59"/>
      <c r="J233" s="59"/>
      <c r="K233" s="59"/>
      <c r="L233" s="59"/>
      <c r="M233" s="59"/>
      <c r="N233" s="59"/>
      <c r="O233" s="59"/>
      <c r="P233" s="59"/>
      <c r="Q233" s="59"/>
      <c r="R233" s="59"/>
      <c r="S233" s="59"/>
      <c r="T233" s="59"/>
      <c r="U233" s="59"/>
      <c r="V233" s="59"/>
      <c r="W233" s="59"/>
    </row>
    <row r="234" spans="7:23">
      <c r="G234" s="59"/>
      <c r="H234" s="59"/>
      <c r="I234" s="59"/>
      <c r="J234" s="59"/>
      <c r="K234" s="59"/>
      <c r="L234" s="59"/>
      <c r="M234" s="59"/>
      <c r="N234" s="59"/>
      <c r="O234" s="59"/>
      <c r="P234" s="59"/>
      <c r="Q234" s="59"/>
      <c r="R234" s="59"/>
      <c r="S234" s="59"/>
      <c r="T234" s="59"/>
      <c r="U234" s="59"/>
      <c r="V234" s="59"/>
      <c r="W234" s="59"/>
    </row>
  </sheetData>
  <autoFilter ref="D76:D78" xr:uid="{00000000-0009-0000-0000-000005000000}"/>
  <mergeCells count="3">
    <mergeCell ref="B2:F2"/>
    <mergeCell ref="M9:N9"/>
    <mergeCell ref="M11:N11"/>
  </mergeCells>
  <phoneticPr fontId="32" type="noConversion"/>
  <pageMargins left="0.7" right="0.7" top="0.75" bottom="0.75" header="0.3" footer="0.3"/>
  <pageSetup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24"/>
  <sheetViews>
    <sheetView zoomScaleNormal="100" workbookViewId="0"/>
  </sheetViews>
  <sheetFormatPr defaultRowHeight="15"/>
  <cols>
    <col min="1" max="1" width="3.28515625" customWidth="1"/>
    <col min="2" max="2" width="12.7109375" customWidth="1"/>
    <col min="3" max="3" width="7.7109375" customWidth="1"/>
    <col min="4" max="4" width="14.7109375" customWidth="1"/>
    <col min="5" max="5" width="82.7109375" customWidth="1"/>
  </cols>
  <sheetData>
    <row r="1" spans="1:8" ht="15.75" thickBot="1">
      <c r="A1" s="563"/>
      <c r="B1" s="563"/>
      <c r="C1" s="563"/>
      <c r="D1" s="563"/>
      <c r="E1" s="633"/>
      <c r="F1" s="254"/>
    </row>
    <row r="2" spans="1:8" ht="30.75" thickBot="1">
      <c r="A2" s="563"/>
      <c r="B2" s="641" t="s">
        <v>953</v>
      </c>
      <c r="C2" s="642" t="s">
        <v>958</v>
      </c>
      <c r="D2" s="643" t="s">
        <v>954</v>
      </c>
      <c r="E2" s="644" t="s">
        <v>957</v>
      </c>
      <c r="F2" s="563"/>
    </row>
    <row r="3" spans="1:8" s="433" customFormat="1" ht="129" customHeight="1">
      <c r="A3" s="563"/>
      <c r="B3" s="623" t="s">
        <v>948</v>
      </c>
      <c r="C3" s="624" t="s">
        <v>1158</v>
      </c>
      <c r="D3" s="676" t="s">
        <v>1122</v>
      </c>
      <c r="E3" s="714" t="s">
        <v>1178</v>
      </c>
      <c r="F3" s="633"/>
    </row>
    <row r="4" spans="1:8" ht="169.9" customHeight="1">
      <c r="A4" s="563"/>
      <c r="B4" s="623" t="s">
        <v>948</v>
      </c>
      <c r="C4" s="624" t="s">
        <v>1029</v>
      </c>
      <c r="D4" s="676" t="s">
        <v>1122</v>
      </c>
      <c r="E4" s="715" t="s">
        <v>1159</v>
      </c>
      <c r="F4" s="630"/>
      <c r="G4" s="631"/>
      <c r="H4" s="433"/>
    </row>
    <row r="5" spans="1:8" ht="135.6" customHeight="1">
      <c r="A5" s="563"/>
      <c r="B5" s="623" t="s">
        <v>948</v>
      </c>
      <c r="C5" s="624" t="s">
        <v>5</v>
      </c>
      <c r="D5" s="625" t="s">
        <v>1028</v>
      </c>
      <c r="E5" s="626" t="s">
        <v>1069</v>
      </c>
      <c r="F5" s="563"/>
    </row>
    <row r="6" spans="1:8" s="433" customFormat="1" ht="18" customHeight="1">
      <c r="A6" s="563"/>
      <c r="B6" s="619" t="s">
        <v>948</v>
      </c>
      <c r="C6" s="620"/>
      <c r="D6" s="621" t="s">
        <v>955</v>
      </c>
      <c r="E6" s="622" t="s">
        <v>956</v>
      </c>
      <c r="F6" s="630"/>
      <c r="G6" s="631"/>
    </row>
    <row r="7" spans="1:8" s="433" customFormat="1" ht="18" customHeight="1">
      <c r="A7" s="563"/>
      <c r="B7" s="619"/>
      <c r="C7" s="620"/>
      <c r="D7" s="621"/>
      <c r="E7" s="622"/>
      <c r="F7" s="563"/>
    </row>
    <row r="8" spans="1:8" ht="18" customHeight="1" thickBot="1">
      <c r="A8" s="563"/>
      <c r="B8" s="627"/>
      <c r="C8" s="628"/>
      <c r="D8" s="628"/>
      <c r="E8" s="629"/>
      <c r="F8" s="563"/>
    </row>
    <row r="9" spans="1:8">
      <c r="A9" s="563"/>
      <c r="B9" s="563"/>
      <c r="C9" s="563"/>
      <c r="D9" s="563"/>
      <c r="E9" s="633"/>
      <c r="F9" s="563"/>
    </row>
    <row r="10" spans="1:8">
      <c r="A10" s="563"/>
      <c r="B10" s="563"/>
      <c r="C10" s="563"/>
      <c r="D10" s="563"/>
      <c r="E10" s="563"/>
      <c r="F10" s="563"/>
    </row>
    <row r="12" spans="1:8">
      <c r="B12" s="635"/>
      <c r="C12" s="635"/>
      <c r="D12" s="635"/>
      <c r="E12" s="632"/>
    </row>
    <row r="13" spans="1:8">
      <c r="B13" s="635"/>
      <c r="C13" s="635"/>
      <c r="D13" s="635"/>
      <c r="E13" s="632"/>
    </row>
    <row r="14" spans="1:8">
      <c r="F14" s="675"/>
    </row>
    <row r="15" spans="1:8">
      <c r="B15" s="548"/>
      <c r="C15" s="635"/>
      <c r="D15" s="548"/>
      <c r="F15" s="636"/>
    </row>
    <row r="16" spans="1:8">
      <c r="E16" s="645"/>
    </row>
    <row r="17" spans="2:6">
      <c r="C17" s="635"/>
      <c r="D17" s="548"/>
      <c r="F17" s="636"/>
    </row>
    <row r="18" spans="2:6">
      <c r="E18" s="645"/>
    </row>
    <row r="19" spans="2:6">
      <c r="B19" s="548"/>
      <c r="C19" s="635"/>
      <c r="D19" s="548"/>
      <c r="F19" s="636"/>
    </row>
    <row r="20" spans="2:6">
      <c r="E20" s="646"/>
    </row>
    <row r="21" spans="2:6">
      <c r="C21" s="635"/>
      <c r="D21" s="548"/>
      <c r="E21" s="634"/>
      <c r="F21" s="636"/>
    </row>
    <row r="22" spans="2:6">
      <c r="D22" s="433"/>
      <c r="E22" s="646"/>
    </row>
    <row r="23" spans="2:6">
      <c r="C23" s="635"/>
      <c r="D23" s="548"/>
      <c r="F23" s="636"/>
    </row>
    <row r="24" spans="2:6">
      <c r="C24" s="635"/>
      <c r="D24" s="548"/>
      <c r="E24" s="634"/>
      <c r="F24" s="636"/>
    </row>
  </sheetData>
  <sheetProtection algorithmName="SHA-512" hashValue="hsxy+53YBZNCbHWtLAZrbgfsRCmX0xSuejMpheKXMVBhYzhwG55S4Dw0Suy29oIkhxXYfsvTuxcyeDlYMhiebA==" saltValue="ukx2ARAjcrgvD8lZLBfbTw=="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366</vt:i4>
      </vt:variant>
    </vt:vector>
  </HeadingPairs>
  <TitlesOfParts>
    <vt:vector size="373" baseType="lpstr">
      <vt:lpstr>Begin Input Here</vt:lpstr>
      <vt:lpstr>Calculations</vt:lpstr>
      <vt:lpstr>Optimize BUR Pin</vt:lpstr>
      <vt:lpstr>Tune Secondary Resonance</vt:lpstr>
      <vt:lpstr>Schematic and Values</vt:lpstr>
      <vt:lpstr>Hidden</vt:lpstr>
      <vt:lpstr>Revision History</vt:lpstr>
      <vt:lpstr>_∆V_MIN</vt:lpstr>
      <vt:lpstr>_∆VO_ABM</vt:lpstr>
      <vt:lpstr>_R25</vt:lpstr>
      <vt:lpstr>B25_85</vt:lpstr>
      <vt:lpstr>BUR</vt:lpstr>
      <vt:lpstr>C_01_act</vt:lpstr>
      <vt:lpstr>C_Daux_vbi</vt:lpstr>
      <vt:lpstr>C_Daux_vbi_30</vt:lpstr>
      <vt:lpstr>C_Daux_vbur</vt:lpstr>
      <vt:lpstr>C_Daux_vmax</vt:lpstr>
      <vt:lpstr>C_Daux_vmin</vt:lpstr>
      <vt:lpstr>C_P13</vt:lpstr>
      <vt:lpstr>Cboot</vt:lpstr>
      <vt:lpstr>CBootD_T</vt:lpstr>
      <vt:lpstr>CBootD_T_vbi</vt:lpstr>
      <vt:lpstr>CBootD_T_vbi_30</vt:lpstr>
      <vt:lpstr>CBootD_T_vbur</vt:lpstr>
      <vt:lpstr>CBootD_T_vmax</vt:lpstr>
      <vt:lpstr>CBootD_T_vmin</vt:lpstr>
      <vt:lpstr>CBULK</vt:lpstr>
      <vt:lpstr>CBULK_act</vt:lpstr>
      <vt:lpstr>CBULK_rec</vt:lpstr>
      <vt:lpstr>CBUR</vt:lpstr>
      <vt:lpstr>CBUR_act</vt:lpstr>
      <vt:lpstr>CBUR_max</vt:lpstr>
      <vt:lpstr>Cclamp</vt:lpstr>
      <vt:lpstr>Cclamp_act</vt:lpstr>
      <vt:lpstr>Cclamp_eff</vt:lpstr>
      <vt:lpstr>Cclamp_rec</vt:lpstr>
      <vt:lpstr>CCS</vt:lpstr>
      <vt:lpstr>CCS_act</vt:lpstr>
      <vt:lpstr>CCS_rec</vt:lpstr>
      <vt:lpstr>CDaux_H</vt:lpstr>
      <vt:lpstr>CDaux_T</vt:lpstr>
      <vt:lpstr>CDD_1</vt:lpstr>
      <vt:lpstr>CDD1_act</vt:lpstr>
      <vt:lpstr>CDD1_rec</vt:lpstr>
      <vt:lpstr>CDD2_</vt:lpstr>
      <vt:lpstr>Cdiff</vt:lpstr>
      <vt:lpstr>Cdiff_act</vt:lpstr>
      <vt:lpstr>Cdiff_rec</vt:lpstr>
      <vt:lpstr>CFB</vt:lpstr>
      <vt:lpstr>Cint</vt:lpstr>
      <vt:lpstr>Cint_act</vt:lpstr>
      <vt:lpstr>Cint_rec</vt:lpstr>
      <vt:lpstr>Ciss_Qs</vt:lpstr>
      <vt:lpstr>Co_1</vt:lpstr>
      <vt:lpstr>Co1_dec</vt:lpstr>
      <vt:lpstr>Co1_rec</vt:lpstr>
      <vt:lpstr>COSS_QH_bg</vt:lpstr>
      <vt:lpstr>COSS_QH_sm</vt:lpstr>
      <vt:lpstr>Coss_QH_T</vt:lpstr>
      <vt:lpstr>COSS_QH_T_vbi</vt:lpstr>
      <vt:lpstr>COSS_QH_T_vbi_30</vt:lpstr>
      <vt:lpstr>COSS_QH_T_vbur</vt:lpstr>
      <vt:lpstr>COSS_QH_T_vmax</vt:lpstr>
      <vt:lpstr>COSS_QH_T_vmin</vt:lpstr>
      <vt:lpstr>COSS_QL_bg</vt:lpstr>
      <vt:lpstr>COSS_QL_sm</vt:lpstr>
      <vt:lpstr>Coss_QL_T</vt:lpstr>
      <vt:lpstr>COSS_QL_T_vbi</vt:lpstr>
      <vt:lpstr>COSS_QL_T_vbi_30</vt:lpstr>
      <vt:lpstr>COSS_QL_T_vbur</vt:lpstr>
      <vt:lpstr>COSS_QL_T_vmax</vt:lpstr>
      <vt:lpstr>COSS_QL_T_vmin</vt:lpstr>
      <vt:lpstr>COSS_Qs</vt:lpstr>
      <vt:lpstr>COSS_Qs_vbi</vt:lpstr>
      <vt:lpstr>COSS_Qs_vbi_30</vt:lpstr>
      <vt:lpstr>COSS_Qs_vbur</vt:lpstr>
      <vt:lpstr>COSS_Qs_vmax</vt:lpstr>
      <vt:lpstr>COSS_Qs_vmin</vt:lpstr>
      <vt:lpstr>Coss_SR_bg</vt:lpstr>
      <vt:lpstr>COSS_SR_H</vt:lpstr>
      <vt:lpstr>Coss_SR_sm</vt:lpstr>
      <vt:lpstr>Coss_SR_T</vt:lpstr>
      <vt:lpstr>COSS_SR_vbi</vt:lpstr>
      <vt:lpstr>COSS_SR_vbi_30</vt:lpstr>
      <vt:lpstr>COSS_SR_vbur</vt:lpstr>
      <vt:lpstr>COSS_SR_vmax</vt:lpstr>
      <vt:lpstr>COSS_SR_vmin</vt:lpstr>
      <vt:lpstr>COUT</vt:lpstr>
      <vt:lpstr>COUT_act</vt:lpstr>
      <vt:lpstr>COUT_rec</vt:lpstr>
      <vt:lpstr>CP13_act</vt:lpstr>
      <vt:lpstr>CP13_rec</vt:lpstr>
      <vt:lpstr>CREF</vt:lpstr>
      <vt:lpstr>CREF_act</vt:lpstr>
      <vt:lpstr>CREF_rec</vt:lpstr>
      <vt:lpstr>Crfl_Daux_vbi</vt:lpstr>
      <vt:lpstr>Crfl_Daux_vbi_30</vt:lpstr>
      <vt:lpstr>Crfl_Daux_vbur</vt:lpstr>
      <vt:lpstr>Crfl_Daux_vmin</vt:lpstr>
      <vt:lpstr>Crfl_sr_vbi</vt:lpstr>
      <vt:lpstr>Crfl_sr_vbi_30</vt:lpstr>
      <vt:lpstr>Crfl_sr_vbur</vt:lpstr>
      <vt:lpstr>Crfl_sr_vmin</vt:lpstr>
      <vt:lpstr>CSW_0toVx</vt:lpstr>
      <vt:lpstr>CSWN_T</vt:lpstr>
      <vt:lpstr>CSWN_T_vbi</vt:lpstr>
      <vt:lpstr>CSWN_T_vbi_30</vt:lpstr>
      <vt:lpstr>CSWN_T_vbur</vt:lpstr>
      <vt:lpstr>CSWN_T_vmax</vt:lpstr>
      <vt:lpstr>CSWN_T_vmin</vt:lpstr>
      <vt:lpstr>CSWS</vt:lpstr>
      <vt:lpstr>CSWS_act</vt:lpstr>
      <vt:lpstr>CSWS_rec</vt:lpstr>
      <vt:lpstr>CTr</vt:lpstr>
      <vt:lpstr>CTr_vbi</vt:lpstr>
      <vt:lpstr>CTr_vbi_30</vt:lpstr>
      <vt:lpstr>CTr_vbur</vt:lpstr>
      <vt:lpstr>CTr_vmax</vt:lpstr>
      <vt:lpstr>CTr_vmin</vt:lpstr>
      <vt:lpstr>CTRmax</vt:lpstr>
      <vt:lpstr>CTRmin</vt:lpstr>
      <vt:lpstr>D_max</vt:lpstr>
      <vt:lpstr>DBUR</vt:lpstr>
      <vt:lpstr>DBUR_min</vt:lpstr>
      <vt:lpstr>Dmin</vt:lpstr>
      <vt:lpstr>DOPP_max</vt:lpstr>
      <vt:lpstr>DOPP_min</vt:lpstr>
      <vt:lpstr>DOPP_run</vt:lpstr>
      <vt:lpstr>DOPP_start</vt:lpstr>
      <vt:lpstr>Drea_CDD1</vt:lpstr>
      <vt:lpstr>Drea_clamp</vt:lpstr>
      <vt:lpstr>fBUR_LR</vt:lpstr>
      <vt:lpstr>fBUR_standyby</vt:lpstr>
      <vt:lpstr>fBUR_UP</vt:lpstr>
      <vt:lpstr>Fcr_min</vt:lpstr>
      <vt:lpstr>fLINE_min</vt:lpstr>
      <vt:lpstr>fp_opto</vt:lpstr>
      <vt:lpstr>fsw_BUR</vt:lpstr>
      <vt:lpstr>fsw_BUR_min</vt:lpstr>
      <vt:lpstr>fsw_min</vt:lpstr>
      <vt:lpstr>fsw_OPP_max</vt:lpstr>
      <vt:lpstr>fsw_OPP_min</vt:lpstr>
      <vt:lpstr>fsw_OPP_run</vt:lpstr>
      <vt:lpstr>fsw_OPP_start</vt:lpstr>
      <vt:lpstr>fSWmin</vt:lpstr>
      <vt:lpstr>ID_SR_max</vt:lpstr>
      <vt:lpstr>IDaux_max</vt:lpstr>
      <vt:lpstr>IFB_max</vt:lpstr>
      <vt:lpstr>IIN_BUR</vt:lpstr>
      <vt:lpstr>IIN_BUR_min</vt:lpstr>
      <vt:lpstr>IIN_min</vt:lpstr>
      <vt:lpstr>IIN_OPP_max</vt:lpstr>
      <vt:lpstr>IIN_OPP_min</vt:lpstr>
      <vt:lpstr>IIN_OPP_run</vt:lpstr>
      <vt:lpstr>IIN_OPP_start</vt:lpstr>
      <vt:lpstr>IKA_min</vt:lpstr>
      <vt:lpstr>IM_nega_BUR</vt:lpstr>
      <vt:lpstr>IM_nega_BUR_min</vt:lpstr>
      <vt:lpstr>IM_nega_max</vt:lpstr>
      <vt:lpstr>IM_nega_min</vt:lpstr>
      <vt:lpstr>IM_nega_OPP_min</vt:lpstr>
      <vt:lpstr>IM_nega_run</vt:lpstr>
      <vt:lpstr>IM_nega_start</vt:lpstr>
      <vt:lpstr>IOUT</vt:lpstr>
      <vt:lpstr>IOUT_OPP</vt:lpstr>
      <vt:lpstr>IP13_START</vt:lpstr>
      <vt:lpstr>ipk_BUR</vt:lpstr>
      <vt:lpstr>ipk_BUR_min</vt:lpstr>
      <vt:lpstr>ipk_min</vt:lpstr>
      <vt:lpstr>ipk_OPP_max</vt:lpstr>
      <vt:lpstr>ipk_OPP_min</vt:lpstr>
      <vt:lpstr>ipk_OPP_run</vt:lpstr>
      <vt:lpstr>ipk_OPP_start</vt:lpstr>
      <vt:lpstr>IQH_max</vt:lpstr>
      <vt:lpstr>IQL_max</vt:lpstr>
      <vt:lpstr>iQL_RMS</vt:lpstr>
      <vt:lpstr>Iref_431</vt:lpstr>
      <vt:lpstr>Iref_431_max</vt:lpstr>
      <vt:lpstr>IRUN_VDD</vt:lpstr>
      <vt:lpstr>IVCC_qcc</vt:lpstr>
      <vt:lpstr>IVCC_sw</vt:lpstr>
      <vt:lpstr>iVSL_BUR</vt:lpstr>
      <vt:lpstr>iVSL_max</vt:lpstr>
      <vt:lpstr>IVSL_run</vt:lpstr>
      <vt:lpstr>IVSL_run_max</vt:lpstr>
      <vt:lpstr>IVSL_run_min</vt:lpstr>
      <vt:lpstr>IVSL_stop</vt:lpstr>
      <vt:lpstr>IVSL_stop_max</vt:lpstr>
      <vt:lpstr>IVSL_stop_min</vt:lpstr>
      <vt:lpstr>Iwait_VDD</vt:lpstr>
      <vt:lpstr>KBtol</vt:lpstr>
      <vt:lpstr>KBUR_CST</vt:lpstr>
      <vt:lpstr>KCTR_Temp</vt:lpstr>
      <vt:lpstr>Kder_HB</vt:lpstr>
      <vt:lpstr>Kder_SR</vt:lpstr>
      <vt:lpstr>KDM</vt:lpstr>
      <vt:lpstr>KLC</vt:lpstr>
      <vt:lpstr>KRES</vt:lpstr>
      <vt:lpstr>KRtol</vt:lpstr>
      <vt:lpstr>KTZ</vt:lpstr>
      <vt:lpstr>KVC</vt:lpstr>
      <vt:lpstr>Kvsl</vt:lpstr>
      <vt:lpstr>LK_act</vt:lpstr>
      <vt:lpstr>LM</vt:lpstr>
      <vt:lpstr>LM_act</vt:lpstr>
      <vt:lpstr>LM_rec</vt:lpstr>
      <vt:lpstr>Lo</vt:lpstr>
      <vt:lpstr>LQs</vt:lpstr>
      <vt:lpstr>NA</vt:lpstr>
      <vt:lpstr>NA_max</vt:lpstr>
      <vt:lpstr>NA_min</vt:lpstr>
      <vt:lpstr>NP</vt:lpstr>
      <vt:lpstr>NPS</vt:lpstr>
      <vt:lpstr>NPS_min</vt:lpstr>
      <vt:lpstr>NS</vt:lpstr>
      <vt:lpstr>NS_rec</vt:lpstr>
      <vt:lpstr>NSS</vt:lpstr>
      <vt:lpstr>NTC_pn</vt:lpstr>
      <vt:lpstr>NTHS0603N01N1003F</vt:lpstr>
      <vt:lpstr>OPP</vt:lpstr>
      <vt:lpstr>OVP</vt:lpstr>
      <vt:lpstr>OVP_tgt</vt:lpstr>
      <vt:lpstr>PO_FL</vt:lpstr>
      <vt:lpstr>PRcs</vt:lpstr>
      <vt:lpstr>Qg_Qh</vt:lpstr>
      <vt:lpstr>R_OPP</vt:lpstr>
      <vt:lpstr>R_OPP_act</vt:lpstr>
      <vt:lpstr>R_OPP_rec</vt:lpstr>
      <vt:lpstr>Rbias1</vt:lpstr>
      <vt:lpstr>Rbias1_max_ABM</vt:lpstr>
      <vt:lpstr>Rbias1_max_SBP</vt:lpstr>
      <vt:lpstr>Rbias2</vt:lpstr>
      <vt:lpstr>Rbias2_act</vt:lpstr>
      <vt:lpstr>Rbias2_rec</vt:lpstr>
      <vt:lpstr>RBLEED</vt:lpstr>
      <vt:lpstr>RBLEED_act</vt:lpstr>
      <vt:lpstr>RBLEED_rec</vt:lpstr>
      <vt:lpstr>RBOOT</vt:lpstr>
      <vt:lpstr>RBOOT_rec</vt:lpstr>
      <vt:lpstr>RBUR1</vt:lpstr>
      <vt:lpstr>RBUR1_act</vt:lpstr>
      <vt:lpstr>RBUR1_act2</vt:lpstr>
      <vt:lpstr>RBUR1_rec</vt:lpstr>
      <vt:lpstr>RBUR1_rec2</vt:lpstr>
      <vt:lpstr>RBUR2</vt:lpstr>
      <vt:lpstr>RBUR2_act</vt:lpstr>
      <vt:lpstr>RBUR2_act2</vt:lpstr>
      <vt:lpstr>RBUR2_rec</vt:lpstr>
      <vt:lpstr>RBUR2_rec2</vt:lpstr>
      <vt:lpstr>RCO</vt:lpstr>
      <vt:lpstr>RCS</vt:lpstr>
      <vt:lpstr>RCS_act</vt:lpstr>
      <vt:lpstr>RCS_rec</vt:lpstr>
      <vt:lpstr>Rdiff</vt:lpstr>
      <vt:lpstr>Rdiff_act</vt:lpstr>
      <vt:lpstr>Rdiff_rec</vt:lpstr>
      <vt:lpstr>RDM</vt:lpstr>
      <vt:lpstr>RDM_act</vt:lpstr>
      <vt:lpstr>RDM_rec</vt:lpstr>
      <vt:lpstr>RDSon_QH</vt:lpstr>
      <vt:lpstr>RDSon_QL</vt:lpstr>
      <vt:lpstr>RFB</vt:lpstr>
      <vt:lpstr>RFB_act</vt:lpstr>
      <vt:lpstr>RFB_int</vt:lpstr>
      <vt:lpstr>RFB_max</vt:lpstr>
      <vt:lpstr>RIPC</vt:lpstr>
      <vt:lpstr>RIPC_act</vt:lpstr>
      <vt:lpstr>RIPC_rec</vt:lpstr>
      <vt:lpstr>RNTCR</vt:lpstr>
      <vt:lpstr>RNTCR_max</vt:lpstr>
      <vt:lpstr>RNTCR_min</vt:lpstr>
      <vt:lpstr>RNTCTH</vt:lpstr>
      <vt:lpstr>RNTCTH_max</vt:lpstr>
      <vt:lpstr>RNTCTH_min</vt:lpstr>
      <vt:lpstr>Rpri_dc</vt:lpstr>
      <vt:lpstr>RSWS</vt:lpstr>
      <vt:lpstr>RSWS_act</vt:lpstr>
      <vt:lpstr>RSWS_rec</vt:lpstr>
      <vt:lpstr>RTZ</vt:lpstr>
      <vt:lpstr>RTZ_act</vt:lpstr>
      <vt:lpstr>RTZ_rec</vt:lpstr>
      <vt:lpstr>Rvo1_</vt:lpstr>
      <vt:lpstr>Rvo1_act</vt:lpstr>
      <vt:lpstr>Rvo1_rec</vt:lpstr>
      <vt:lpstr>Rvo2_</vt:lpstr>
      <vt:lpstr>Rvo2_act</vt:lpstr>
      <vt:lpstr>Rvo2_rec</vt:lpstr>
      <vt:lpstr>RVS_1</vt:lpstr>
      <vt:lpstr>RVS_2</vt:lpstr>
      <vt:lpstr>RVS1_act</vt:lpstr>
      <vt:lpstr>RVS1_rec</vt:lpstr>
      <vt:lpstr>RVS2_act</vt:lpstr>
      <vt:lpstr>RVS2_rec</vt:lpstr>
      <vt:lpstr>SET</vt:lpstr>
      <vt:lpstr>T_on_min</vt:lpstr>
      <vt:lpstr>tD_CS</vt:lpstr>
      <vt:lpstr>TD_CS_filter</vt:lpstr>
      <vt:lpstr>tD_CST_BUR</vt:lpstr>
      <vt:lpstr>tD_CST_vmax</vt:lpstr>
      <vt:lpstr>tD_CST_vmin</vt:lpstr>
      <vt:lpstr>TD_HDr</vt:lpstr>
      <vt:lpstr>TD_LDr</vt:lpstr>
      <vt:lpstr>TD_Ql_Coss_BUR</vt:lpstr>
      <vt:lpstr>TD_Ql_Coss_vmax</vt:lpstr>
      <vt:lpstr>TD_Ql_Coss_vmin</vt:lpstr>
      <vt:lpstr>tD_RUN_PWML</vt:lpstr>
      <vt:lpstr>TFDR</vt:lpstr>
      <vt:lpstr>TOTP_tgt</vt:lpstr>
      <vt:lpstr>TP13_</vt:lpstr>
      <vt:lpstr>Trise_max</vt:lpstr>
      <vt:lpstr>TSS_max</vt:lpstr>
      <vt:lpstr>TZ_min</vt:lpstr>
      <vt:lpstr>V_P13</vt:lpstr>
      <vt:lpstr>VBrownin</vt:lpstr>
      <vt:lpstr>VBrownin_max</vt:lpstr>
      <vt:lpstr>VBrownin_min</vt:lpstr>
      <vt:lpstr>VBrownout</vt:lpstr>
      <vt:lpstr>VBrownout_max</vt:lpstr>
      <vt:lpstr>VBrownout_min</vt:lpstr>
      <vt:lpstr>VBulk_min_tgt</vt:lpstr>
      <vt:lpstr>VBUR</vt:lpstr>
      <vt:lpstr>VBUR_tgt</vt:lpstr>
      <vt:lpstr>VBUR2</vt:lpstr>
      <vt:lpstr>VCbulk_rated</vt:lpstr>
      <vt:lpstr>VCE_sat_opto</vt:lpstr>
      <vt:lpstr>Vclamp_max</vt:lpstr>
      <vt:lpstr>Vclamp_max_QH</vt:lpstr>
      <vt:lpstr>Vclamp_max_SR</vt:lpstr>
      <vt:lpstr>VCST_BUR</vt:lpstr>
      <vt:lpstr>VCST_max</vt:lpstr>
      <vt:lpstr>VCST_OPP_adj_Rcs</vt:lpstr>
      <vt:lpstr>VCST_OPP_adj_Ropp</vt:lpstr>
      <vt:lpstr>VCST_OPP1</vt:lpstr>
      <vt:lpstr>VCST_OPP4</vt:lpstr>
      <vt:lpstr>VD_LED</vt:lpstr>
      <vt:lpstr>VD_LED_off</vt:lpstr>
      <vt:lpstr>VDD</vt:lpstr>
      <vt:lpstr>VDD_max</vt:lpstr>
      <vt:lpstr>VDD_off</vt:lpstr>
      <vt:lpstr>VDD_on</vt:lpstr>
      <vt:lpstr>VDD_PCT</vt:lpstr>
      <vt:lpstr>VDS_actual</vt:lpstr>
      <vt:lpstr>Vf_BootD</vt:lpstr>
      <vt:lpstr>Vf_Daux</vt:lpstr>
      <vt:lpstr>Vf_SR</vt:lpstr>
      <vt:lpstr>VFB_max</vt:lpstr>
      <vt:lpstr>Vgs_Qs</vt:lpstr>
      <vt:lpstr>VIN_min</vt:lpstr>
      <vt:lpstr>Vin_type</vt:lpstr>
      <vt:lpstr>VINPUT_Brownin</vt:lpstr>
      <vt:lpstr>VINPUT_Brownout</vt:lpstr>
      <vt:lpstr>VINPUT_BUR</vt:lpstr>
      <vt:lpstr>VINPUT_max</vt:lpstr>
      <vt:lpstr>VLk_pri_max</vt:lpstr>
      <vt:lpstr>Vo_drop</vt:lpstr>
      <vt:lpstr>Voffset_CS_OPP</vt:lpstr>
      <vt:lpstr>VOUT</vt:lpstr>
      <vt:lpstr>VOUT_low</vt:lpstr>
      <vt:lpstr>VR_pri_max</vt:lpstr>
      <vt:lpstr>VREF</vt:lpstr>
      <vt:lpstr>Vref_431</vt:lpstr>
      <vt:lpstr>VRfl</vt:lpstr>
      <vt:lpstr>Vs_clamp</vt:lpstr>
      <vt:lpstr>VSR_actual</vt:lpstr>
      <vt:lpstr>Vth_Qs</vt:lpstr>
      <vt:lpstr>VVS_OVP</vt:lpstr>
      <vt:lpstr>Vx_SR</vt:lpstr>
      <vt:lpstr>Vxh</vt:lpstr>
      <vt:lpstr>Vxl</vt:lpstr>
      <vt:lpstr>ΔVCLAMP</vt:lpstr>
      <vt:lpstr>ΔVSPIKE_SR</vt:lpstr>
      <vt:lpstr>η_min</vt:lpstr>
      <vt:lpstr>ηXFMR</vt:lpstr>
    </vt:vector>
  </TitlesOfParts>
  <Company>Texas Instruments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 Kuan Wei</dc:creator>
  <cp:lastModifiedBy>Administrator</cp:lastModifiedBy>
  <cp:lastPrinted>2019-12-05T17:01:24Z</cp:lastPrinted>
  <dcterms:created xsi:type="dcterms:W3CDTF">2018-06-20T15:06:35Z</dcterms:created>
  <dcterms:modified xsi:type="dcterms:W3CDTF">2022-04-13T00:13:22Z</dcterms:modified>
</cp:coreProperties>
</file>