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15300" windowHeight="5592"/>
  </bookViews>
  <sheets>
    <sheet name="Design Information" sheetId="1" r:id="rId1"/>
    <sheet name="TYPICAL APPLICATION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77" i="1" l="1"/>
  <c r="D45" i="1" s="1"/>
  <c r="D40" i="1"/>
  <c r="D14" i="1" l="1"/>
  <c r="D70" i="1"/>
  <c r="D71" i="1" s="1"/>
  <c r="D79" i="1" s="1"/>
  <c r="D63" i="1"/>
  <c r="D81" i="1" l="1"/>
  <c r="D84" i="1"/>
  <c r="D38" i="1"/>
  <c r="D41" i="1"/>
  <c r="D36" i="1"/>
  <c r="I66" i="1"/>
  <c r="D66" i="1" s="1"/>
  <c r="I55" i="1"/>
  <c r="D56" i="1" s="1"/>
  <c r="D58" i="1" s="1"/>
  <c r="I72" i="1" l="1"/>
  <c r="D74" i="1" s="1"/>
  <c r="D43" i="1"/>
  <c r="D39" i="1"/>
  <c r="D78" i="1" s="1"/>
  <c r="I51" i="1"/>
  <c r="D51" i="1" s="1"/>
  <c r="I49" i="1"/>
  <c r="D49" i="1" s="1"/>
  <c r="D53" i="1" s="1"/>
  <c r="D47" i="1"/>
</calcChain>
</file>

<file path=xl/sharedStrings.xml><?xml version="1.0" encoding="utf-8"?>
<sst xmlns="http://schemas.openxmlformats.org/spreadsheetml/2006/main" count="164" uniqueCount="125">
  <si>
    <t>UCC2897A Controller Setup Tool</t>
  </si>
  <si>
    <t>Notes:</t>
  </si>
  <si>
    <t>Design Parameters</t>
  </si>
  <si>
    <t>Variable Names</t>
  </si>
  <si>
    <t>Units</t>
  </si>
  <si>
    <t>Minimum Input Voltage</t>
  </si>
  <si>
    <t>VMIN</t>
  </si>
  <si>
    <t>V</t>
  </si>
  <si>
    <t>VNOM</t>
  </si>
  <si>
    <t>VMAX</t>
  </si>
  <si>
    <t>Maximum Input Voltage</t>
  </si>
  <si>
    <t>Input Overvoltage Limit</t>
  </si>
  <si>
    <t>VOV</t>
  </si>
  <si>
    <t>Input Characteristics</t>
  </si>
  <si>
    <t>Output Characteristics</t>
  </si>
  <si>
    <t>Output Voltage</t>
  </si>
  <si>
    <t>Output Voltage Ripple</t>
  </si>
  <si>
    <t>mVPP</t>
  </si>
  <si>
    <t>Maximum Output Current</t>
  </si>
  <si>
    <t>A</t>
  </si>
  <si>
    <t>Minimum Output Current</t>
  </si>
  <si>
    <t>Output Current Limit</t>
  </si>
  <si>
    <t>System Characteristics</t>
  </si>
  <si>
    <t>Switching Frequency</t>
  </si>
  <si>
    <t>kHz</t>
  </si>
  <si>
    <t>Soft Start Time</t>
  </si>
  <si>
    <t>Delay Time GDA to GDB</t>
  </si>
  <si>
    <r>
      <t>k</t>
    </r>
    <r>
      <rPr>
        <sz val="11"/>
        <color theme="1"/>
        <rFont val="Calibri"/>
        <family val="2"/>
      </rPr>
      <t>Ω</t>
    </r>
  </si>
  <si>
    <t>Maximum Duty Cycle</t>
  </si>
  <si>
    <t>DMAX</t>
  </si>
  <si>
    <t>Ton</t>
  </si>
  <si>
    <t>Toff</t>
  </si>
  <si>
    <t>nF</t>
  </si>
  <si>
    <t>IHYS</t>
  </si>
  <si>
    <t>RON(calculated)</t>
  </si>
  <si>
    <t>RON(chosen)</t>
  </si>
  <si>
    <t>kΩ</t>
  </si>
  <si>
    <t>ROFF(chosen)</t>
  </si>
  <si>
    <t>ROFF(calculated)</t>
  </si>
  <si>
    <t>CSS(chosen)</t>
  </si>
  <si>
    <t>RIN1(calculated)</t>
  </si>
  <si>
    <t>RIN1(chosen)</t>
  </si>
  <si>
    <t>VUV(on)</t>
  </si>
  <si>
    <t>VUV(off)</t>
  </si>
  <si>
    <t>Input Undervoltage ON</t>
  </si>
  <si>
    <t>Input Undervoltage OFF</t>
  </si>
  <si>
    <t>RIN2(calculated)</t>
  </si>
  <si>
    <t>RIN2(chosen)</t>
  </si>
  <si>
    <t>pF</t>
  </si>
  <si>
    <t>RF(calculated)</t>
  </si>
  <si>
    <t>RF(chosen)</t>
  </si>
  <si>
    <t>Ω</t>
  </si>
  <si>
    <t xml:space="preserve">Main Transformer Turns Ratio </t>
  </si>
  <si>
    <t>Current Sense Resistor</t>
  </si>
  <si>
    <t>IPR(PK)</t>
  </si>
  <si>
    <t>Output Inductance</t>
  </si>
  <si>
    <t>µH</t>
  </si>
  <si>
    <t>Current Transformer Turns Ratio</t>
  </si>
  <si>
    <t>Minimum Duty Cycle</t>
  </si>
  <si>
    <t>DMIN</t>
  </si>
  <si>
    <t>Output Ripple</t>
  </si>
  <si>
    <t>%</t>
  </si>
  <si>
    <t>Δ IL</t>
  </si>
  <si>
    <t>Lo</t>
  </si>
  <si>
    <t xml:space="preserve"> </t>
  </si>
  <si>
    <t>dVL/dt</t>
  </si>
  <si>
    <t>N</t>
  </si>
  <si>
    <t>Current Sense Capacitor</t>
  </si>
  <si>
    <t>RDEL(cal)</t>
  </si>
  <si>
    <t>RDEL</t>
  </si>
  <si>
    <t>RDEL selected</t>
  </si>
  <si>
    <t>RON(cal)</t>
  </si>
  <si>
    <t xml:space="preserve">RON </t>
  </si>
  <si>
    <t>ROFF(cal)</t>
  </si>
  <si>
    <t xml:space="preserve">ROFF </t>
  </si>
  <si>
    <t>CSS(cal)</t>
  </si>
  <si>
    <t xml:space="preserve">CSS </t>
  </si>
  <si>
    <t>RIN1(cal)</t>
  </si>
  <si>
    <t>RIN1</t>
  </si>
  <si>
    <t>RIN2(cal)</t>
  </si>
  <si>
    <t>RIN2</t>
  </si>
  <si>
    <t>VS(MIN)</t>
  </si>
  <si>
    <t>Peak Sec Voltage at Min Input</t>
  </si>
  <si>
    <t>Slope Resistor</t>
  </si>
  <si>
    <t>µs</t>
  </si>
  <si>
    <t>ms</t>
  </si>
  <si>
    <t>Magnetizing Inductance</t>
  </si>
  <si>
    <r>
      <t>L</t>
    </r>
    <r>
      <rPr>
        <vertAlign val="subscript"/>
        <sz val="11"/>
        <color theme="1"/>
        <rFont val="新細明體"/>
        <family val="2"/>
        <scheme val="minor"/>
      </rPr>
      <t>MAG</t>
    </r>
  </si>
  <si>
    <t>Magnetizing Current</t>
  </si>
  <si>
    <t>Peak Primary Current</t>
  </si>
  <si>
    <r>
      <t>I</t>
    </r>
    <r>
      <rPr>
        <vertAlign val="subscript"/>
        <sz val="11"/>
        <color theme="1"/>
        <rFont val="新細明體"/>
        <family val="2"/>
        <scheme val="minor"/>
      </rPr>
      <t>MAG</t>
    </r>
  </si>
  <si>
    <r>
      <t>I</t>
    </r>
    <r>
      <rPr>
        <vertAlign val="subscript"/>
        <sz val="11"/>
        <color theme="1"/>
        <rFont val="新細明體"/>
        <family val="2"/>
        <scheme val="minor"/>
      </rPr>
      <t>PRI(PK)</t>
    </r>
  </si>
  <si>
    <r>
      <t>I</t>
    </r>
    <r>
      <rPr>
        <vertAlign val="subscript"/>
        <sz val="11"/>
        <color theme="1"/>
        <rFont val="新細明體"/>
        <family val="2"/>
        <scheme val="minor"/>
      </rPr>
      <t>PRI(RMS)</t>
    </r>
  </si>
  <si>
    <t>Peak Secondary Current</t>
  </si>
  <si>
    <r>
      <t>I</t>
    </r>
    <r>
      <rPr>
        <vertAlign val="subscript"/>
        <sz val="11"/>
        <rFont val="新細明體"/>
        <family val="2"/>
        <scheme val="minor"/>
      </rPr>
      <t>LO(PK)</t>
    </r>
  </si>
  <si>
    <t>Peak Primary Drain Voltage</t>
  </si>
  <si>
    <r>
      <t>V</t>
    </r>
    <r>
      <rPr>
        <vertAlign val="subscript"/>
        <sz val="11"/>
        <color theme="1"/>
        <rFont val="新細明體"/>
        <family val="2"/>
        <scheme val="minor"/>
      </rPr>
      <t>DS(QMAIN)</t>
    </r>
  </si>
  <si>
    <t>Min Output Capacitance</t>
  </si>
  <si>
    <t>µF</t>
  </si>
  <si>
    <r>
      <t>C</t>
    </r>
    <r>
      <rPr>
        <vertAlign val="subscript"/>
        <sz val="11"/>
        <rFont val="新細明體"/>
        <family val="2"/>
        <scheme val="minor"/>
      </rPr>
      <t>O(MIN)</t>
    </r>
  </si>
  <si>
    <r>
      <t>C</t>
    </r>
    <r>
      <rPr>
        <vertAlign val="subscript"/>
        <sz val="11"/>
        <color theme="1"/>
        <rFont val="新細明體"/>
        <family val="2"/>
        <scheme val="minor"/>
      </rPr>
      <t>F</t>
    </r>
  </si>
  <si>
    <r>
      <t>R</t>
    </r>
    <r>
      <rPr>
        <vertAlign val="subscript"/>
        <sz val="11"/>
        <color theme="1"/>
        <rFont val="新細明體"/>
        <family val="2"/>
        <scheme val="minor"/>
      </rPr>
      <t>F(cal)</t>
    </r>
  </si>
  <si>
    <r>
      <t>R</t>
    </r>
    <r>
      <rPr>
        <vertAlign val="subscript"/>
        <sz val="11"/>
        <color theme="1"/>
        <rFont val="新細明體"/>
        <family val="2"/>
        <scheme val="minor"/>
      </rPr>
      <t xml:space="preserve">F </t>
    </r>
  </si>
  <si>
    <r>
      <t>C</t>
    </r>
    <r>
      <rPr>
        <vertAlign val="subscript"/>
        <sz val="11"/>
        <color theme="1"/>
        <rFont val="新細明體"/>
        <family val="2"/>
        <scheme val="minor"/>
      </rPr>
      <t>CL</t>
    </r>
  </si>
  <si>
    <t xml:space="preserve">Calculated Values </t>
  </si>
  <si>
    <t>Min Full Load Efficiency</t>
  </si>
  <si>
    <t>Min Input Capacitance</t>
  </si>
  <si>
    <r>
      <t>C</t>
    </r>
    <r>
      <rPr>
        <vertAlign val="subscript"/>
        <sz val="11"/>
        <rFont val="新細明體"/>
        <family val="2"/>
        <scheme val="minor"/>
      </rPr>
      <t>IN(MIN)</t>
    </r>
  </si>
  <si>
    <t>Soft Start Capacitor</t>
  </si>
  <si>
    <t>Delay Resitor</t>
  </si>
  <si>
    <t>Calculated Output Inductance</t>
  </si>
  <si>
    <t>Selected Output Capacitance</t>
  </si>
  <si>
    <t>Secondary Current Ripple</t>
  </si>
  <si>
    <r>
      <rPr>
        <sz val="11"/>
        <color theme="1"/>
        <rFont val="Arial"/>
        <family val="2"/>
      </rPr>
      <t>Δ</t>
    </r>
    <r>
      <rPr>
        <sz val="11"/>
        <color theme="1"/>
        <rFont val="Calibri"/>
        <family val="2"/>
      </rPr>
      <t>I</t>
    </r>
    <r>
      <rPr>
        <vertAlign val="subscript"/>
        <sz val="11"/>
        <color theme="1"/>
        <rFont val="Calibri"/>
        <family val="2"/>
      </rPr>
      <t>LO(PP)</t>
    </r>
  </si>
  <si>
    <r>
      <t>I</t>
    </r>
    <r>
      <rPr>
        <vertAlign val="subscript"/>
        <sz val="11"/>
        <rFont val="新細明體"/>
        <family val="2"/>
        <scheme val="minor"/>
      </rPr>
      <t>QF(RMS)</t>
    </r>
  </si>
  <si>
    <t>Forward Diode Current</t>
  </si>
  <si>
    <t>Freewheel Diode Current</t>
  </si>
  <si>
    <r>
      <t>I</t>
    </r>
    <r>
      <rPr>
        <vertAlign val="subscript"/>
        <sz val="11"/>
        <rFont val="新細明體"/>
        <family val="2"/>
        <scheme val="minor"/>
      </rPr>
      <t>QR(RMS)</t>
    </r>
  </si>
  <si>
    <t>Min Clamp Capacitor</t>
  </si>
  <si>
    <r>
      <t>R</t>
    </r>
    <r>
      <rPr>
        <vertAlign val="subscript"/>
        <sz val="11"/>
        <color theme="1"/>
        <rFont val="新細明體"/>
        <family val="2"/>
        <scheme val="minor"/>
      </rPr>
      <t>SLOPE</t>
    </r>
  </si>
  <si>
    <r>
      <t>R</t>
    </r>
    <r>
      <rPr>
        <vertAlign val="subscript"/>
        <sz val="11"/>
        <color theme="1"/>
        <rFont val="新細明體"/>
        <family val="2"/>
        <scheme val="minor"/>
      </rPr>
      <t>CS</t>
    </r>
  </si>
  <si>
    <t>Controller Stage</t>
  </si>
  <si>
    <t>Power Stage</t>
  </si>
  <si>
    <r>
      <t>Please enter design parameters into the YELLOW</t>
    </r>
    <r>
      <rPr>
        <b/>
        <sz val="14"/>
        <color rgb="FFFFFF00"/>
        <rFont val="新細明體"/>
        <family val="2"/>
        <scheme val="minor"/>
      </rPr>
      <t xml:space="preserve"> </t>
    </r>
    <r>
      <rPr>
        <b/>
        <sz val="14"/>
        <color theme="1"/>
        <rFont val="新細明體"/>
        <family val="2"/>
        <scheme val="minor"/>
      </rPr>
      <t xml:space="preserve"> </t>
    </r>
  </si>
  <si>
    <t>Calculated results are in GRAY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</si>
</sst>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00"/>
  </numFmts>
  <fonts count="13" x14ac:knownFonts="1">
    <font>
      <sz val="11"/>
      <color theme="1"/>
      <name val="新細明體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4"/>
      <color theme="1"/>
      <name val="新細明體"/>
      <family val="2"/>
      <scheme val="minor"/>
    </font>
    <font>
      <sz val="18"/>
      <color theme="1"/>
      <name val="新細明體"/>
      <family val="2"/>
      <scheme val="minor"/>
    </font>
    <font>
      <b/>
      <sz val="14"/>
      <color theme="1"/>
      <name val="新細明體"/>
      <family val="2"/>
      <scheme val="minor"/>
    </font>
    <font>
      <b/>
      <sz val="14"/>
      <color rgb="FFFFFF00"/>
      <name val="新細明體"/>
      <family val="2"/>
      <scheme val="minor"/>
    </font>
    <font>
      <sz val="11"/>
      <name val="新細明體"/>
      <family val="2"/>
      <scheme val="minor"/>
    </font>
    <font>
      <vertAlign val="subscript"/>
      <sz val="11"/>
      <color theme="1"/>
      <name val="新細明體"/>
      <family val="2"/>
      <scheme val="minor"/>
    </font>
    <font>
      <vertAlign val="subscript"/>
      <sz val="11"/>
      <name val="新細明體"/>
      <family val="2"/>
      <scheme val="minor"/>
    </font>
    <font>
      <vertAlign val="subscript"/>
      <sz val="11"/>
      <color theme="1"/>
      <name val="Calibri"/>
      <family val="2"/>
    </font>
    <font>
      <b/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3" borderId="1" xfId="0" applyFill="1" applyBorder="1"/>
    <xf numFmtId="0" fontId="5" fillId="0" borderId="0" xfId="0" applyFont="1"/>
    <xf numFmtId="0" fontId="0" fillId="0" borderId="1" xfId="0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1" xfId="0" applyFont="1" applyBorder="1"/>
    <xf numFmtId="0" fontId="0" fillId="0" borderId="3" xfId="0" applyFill="1" applyBorder="1"/>
    <xf numFmtId="0" fontId="7" fillId="0" borderId="1" xfId="0" applyFont="1" applyBorder="1"/>
    <xf numFmtId="0" fontId="0" fillId="0" borderId="0" xfId="0" applyBorder="1"/>
    <xf numFmtId="0" fontId="1" fillId="0" borderId="1" xfId="0" applyFont="1" applyBorder="1"/>
    <xf numFmtId="0" fontId="7" fillId="0" borderId="0" xfId="0" applyFont="1" applyBorder="1"/>
    <xf numFmtId="2" fontId="0" fillId="3" borderId="1" xfId="0" applyNumberFormat="1" applyFill="1" applyBorder="1" applyAlignment="1">
      <alignment horizontal="left"/>
    </xf>
    <xf numFmtId="0" fontId="0" fillId="3" borderId="0" xfId="0" applyFill="1"/>
    <xf numFmtId="0" fontId="7" fillId="3" borderId="1" xfId="0" applyFont="1" applyFill="1" applyBorder="1"/>
    <xf numFmtId="2" fontId="0" fillId="3" borderId="1" xfId="0" applyNumberFormat="1" applyFill="1" applyBorder="1"/>
    <xf numFmtId="0" fontId="0" fillId="0" borderId="4" xfId="0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2" fontId="0" fillId="3" borderId="0" xfId="0" applyNumberForma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4" borderId="1" xfId="0" applyFill="1" applyBorder="1" applyAlignment="1" applyProtection="1">
      <alignment horizontal="left"/>
      <protection hidden="1"/>
    </xf>
    <xf numFmtId="2" fontId="0" fillId="4" borderId="1" xfId="0" applyNumberFormat="1" applyFill="1" applyBorder="1" applyAlignment="1" applyProtection="1">
      <alignment horizontal="left"/>
      <protection hidden="1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4" borderId="1" xfId="0" applyNumberFormat="1" applyFill="1" applyBorder="1" applyAlignment="1" applyProtection="1">
      <alignment horizontal="left"/>
      <protection hidden="1"/>
    </xf>
    <xf numFmtId="177" fontId="0" fillId="4" borderId="1" xfId="0" applyNumberFormat="1" applyFill="1" applyBorder="1" applyAlignment="1" applyProtection="1">
      <alignment horizontal="left"/>
      <protection hidden="1"/>
    </xf>
    <xf numFmtId="176" fontId="0" fillId="4" borderId="1" xfId="0" applyNumberFormat="1" applyFill="1" applyBorder="1" applyAlignment="1" applyProtection="1">
      <alignment horizontal="left"/>
      <protection hidden="1"/>
    </xf>
    <xf numFmtId="2" fontId="0" fillId="4" borderId="1" xfId="0" applyNumberFormat="1" applyFill="1" applyBorder="1" applyProtection="1">
      <protection hidden="1"/>
    </xf>
    <xf numFmtId="1" fontId="0" fillId="4" borderId="1" xfId="0" applyNumberFormat="1" applyFill="1" applyBorder="1" applyProtection="1">
      <protection hidden="1"/>
    </xf>
    <xf numFmtId="0" fontId="0" fillId="0" borderId="5" xfId="0" applyBorder="1"/>
    <xf numFmtId="0" fontId="0" fillId="0" borderId="6" xfId="0" applyBorder="1" applyAlignment="1">
      <alignment horizontal="right"/>
    </xf>
    <xf numFmtId="0" fontId="0" fillId="3" borderId="7" xfId="0" applyFill="1" applyBorder="1"/>
    <xf numFmtId="176" fontId="0" fillId="2" borderId="0" xfId="0" applyNumberFormat="1" applyFill="1" applyBorder="1" applyAlignment="1" applyProtection="1">
      <alignment horizontal="left"/>
      <protection locked="0"/>
    </xf>
    <xf numFmtId="0" fontId="1" fillId="0" borderId="6" xfId="0" applyFont="1" applyBorder="1" applyAlignment="1">
      <alignment horizontal="right"/>
    </xf>
    <xf numFmtId="0" fontId="0" fillId="0" borderId="8" xfId="0" applyBorder="1"/>
    <xf numFmtId="0" fontId="0" fillId="0" borderId="9" xfId="0" applyBorder="1" applyAlignment="1">
      <alignment horizontal="right"/>
    </xf>
    <xf numFmtId="0" fontId="1" fillId="0" borderId="9" xfId="0" applyFont="1" applyBorder="1" applyAlignment="1">
      <alignment horizontal="right"/>
    </xf>
    <xf numFmtId="0" fontId="7" fillId="3" borderId="5" xfId="0" applyFont="1" applyFill="1" applyBorder="1"/>
    <xf numFmtId="0" fontId="1" fillId="3" borderId="6" xfId="0" applyFont="1" applyFill="1" applyBorder="1" applyAlignment="1">
      <alignment horizontal="right"/>
    </xf>
    <xf numFmtId="0" fontId="7" fillId="3" borderId="8" xfId="0" applyFont="1" applyFill="1" applyBorder="1"/>
    <xf numFmtId="0" fontId="0" fillId="3" borderId="5" xfId="0" applyFill="1" applyBorder="1"/>
    <xf numFmtId="0" fontId="0" fillId="3" borderId="5" xfId="0" applyFont="1" applyFill="1" applyBorder="1"/>
    <xf numFmtId="0" fontId="0" fillId="0" borderId="10" xfId="0" applyBorder="1"/>
    <xf numFmtId="0" fontId="0" fillId="0" borderId="11" xfId="0" applyBorder="1" applyAlignment="1">
      <alignment horizontal="right"/>
    </xf>
    <xf numFmtId="0" fontId="0" fillId="0" borderId="0" xfId="0" applyBorder="1" applyProtection="1">
      <protection hidden="1"/>
    </xf>
    <xf numFmtId="0" fontId="0" fillId="0" borderId="9" xfId="0" applyBorder="1"/>
    <xf numFmtId="0" fontId="0" fillId="3" borderId="6" xfId="0" applyFill="1" applyBorder="1" applyAlignment="1">
      <alignment horizontal="right"/>
    </xf>
    <xf numFmtId="0" fontId="0" fillId="3" borderId="12" xfId="0" applyFill="1" applyBorder="1"/>
    <xf numFmtId="0" fontId="0" fillId="0" borderId="13" xfId="0" applyBorder="1"/>
    <xf numFmtId="2" fontId="0" fillId="4" borderId="13" xfId="0" applyNumberFormat="1" applyFill="1" applyBorder="1" applyAlignment="1" applyProtection="1">
      <alignment horizontal="right"/>
      <protection hidden="1"/>
    </xf>
    <xf numFmtId="0" fontId="0" fillId="0" borderId="14" xfId="0" applyBorder="1" applyAlignment="1">
      <alignment horizontal="right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Alignment="1" applyProtection="1">
      <alignment horizontal="left"/>
      <protection locked="0"/>
    </xf>
    <xf numFmtId="0" fontId="0" fillId="0" borderId="17" xfId="0" applyBorder="1" applyAlignment="1">
      <alignment horizontal="right"/>
    </xf>
    <xf numFmtId="0" fontId="1" fillId="0" borderId="11" xfId="0" applyFont="1" applyBorder="1" applyAlignment="1">
      <alignment horizontal="right"/>
    </xf>
    <xf numFmtId="2" fontId="0" fillId="4" borderId="16" xfId="0" applyNumberFormat="1" applyFill="1" applyBorder="1" applyAlignment="1" applyProtection="1">
      <alignment horizontal="left"/>
      <protection hidden="1"/>
    </xf>
    <xf numFmtId="0" fontId="1" fillId="0" borderId="17" xfId="0" applyFont="1" applyBorder="1" applyAlignment="1">
      <alignment horizontal="right"/>
    </xf>
    <xf numFmtId="0" fontId="0" fillId="5" borderId="23" xfId="0" applyFill="1" applyBorder="1" applyAlignment="1">
      <alignment horizontal="center" shrinkToFit="1"/>
    </xf>
    <xf numFmtId="0" fontId="11" fillId="2" borderId="1" xfId="0" applyFont="1" applyFill="1" applyBorder="1"/>
    <xf numFmtId="0" fontId="11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5" borderId="18" xfId="0" applyFont="1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3" fillId="5" borderId="19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 shrinkToFit="1"/>
    </xf>
    <xf numFmtId="0" fontId="3" fillId="5" borderId="22" xfId="0" applyFont="1" applyFill="1" applyBorder="1" applyAlignment="1">
      <alignment horizontal="center" shrinkToFi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22860</xdr:rowOff>
    </xdr:from>
    <xdr:to>
      <xdr:col>7</xdr:col>
      <xdr:colOff>305187</xdr:colOff>
      <xdr:row>29</xdr:row>
      <xdr:rowOff>152875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22860"/>
          <a:ext cx="4465707" cy="5479255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4</xdr:row>
      <xdr:rowOff>114300</xdr:rowOff>
    </xdr:from>
    <xdr:to>
      <xdr:col>17</xdr:col>
      <xdr:colOff>23334</xdr:colOff>
      <xdr:row>16</xdr:row>
      <xdr:rowOff>76387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4900" y="845820"/>
          <a:ext cx="5471634" cy="2156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4"/>
  <sheetViews>
    <sheetView tabSelected="1" topLeftCell="A22" zoomScale="110" zoomScaleNormal="110" workbookViewId="0">
      <selection activeCell="D33" sqref="D33"/>
    </sheetView>
  </sheetViews>
  <sheetFormatPr defaultRowHeight="15" x14ac:dyDescent="0.3"/>
  <cols>
    <col min="2" max="2" width="30.125" customWidth="1"/>
    <col min="3" max="3" width="14.25" bestFit="1" customWidth="1"/>
    <col min="4" max="4" width="13.875" bestFit="1" customWidth="1"/>
    <col min="8" max="8" width="0" hidden="1" customWidth="1"/>
    <col min="9" max="9" width="12" hidden="1" customWidth="1"/>
    <col min="11" max="13" width="0" hidden="1" customWidth="1"/>
  </cols>
  <sheetData>
    <row r="1" spans="2:13" ht="24.6" x14ac:dyDescent="0.45">
      <c r="B1" s="63" t="s">
        <v>0</v>
      </c>
      <c r="C1" s="64"/>
      <c r="D1" s="64"/>
      <c r="E1" s="64"/>
    </row>
    <row r="3" spans="2:13" x14ac:dyDescent="0.3">
      <c r="B3" t="s">
        <v>1</v>
      </c>
    </row>
    <row r="4" spans="2:13" ht="14.4" customHeight="1" x14ac:dyDescent="0.4">
      <c r="B4" s="68" t="s">
        <v>123</v>
      </c>
      <c r="C4" s="68"/>
      <c r="D4" s="68"/>
      <c r="E4" s="69"/>
      <c r="F4" s="61" t="s">
        <v>64</v>
      </c>
      <c r="G4" s="4"/>
      <c r="K4" s="2"/>
    </row>
    <row r="5" spans="2:13" ht="19.8" x14ac:dyDescent="0.4">
      <c r="B5" s="68" t="s">
        <v>124</v>
      </c>
      <c r="C5" s="68"/>
      <c r="D5" s="68"/>
      <c r="E5" s="68"/>
      <c r="F5" s="62" t="s">
        <v>64</v>
      </c>
      <c r="G5" s="4" t="s">
        <v>64</v>
      </c>
      <c r="K5" s="3"/>
      <c r="L5" s="15"/>
      <c r="M5" s="3"/>
    </row>
    <row r="6" spans="2:13" x14ac:dyDescent="0.3">
      <c r="K6" s="3"/>
      <c r="L6" s="15"/>
      <c r="M6" s="3"/>
    </row>
    <row r="7" spans="2:13" x14ac:dyDescent="0.3">
      <c r="K7" s="3"/>
      <c r="L7" s="14"/>
      <c r="M7" s="3"/>
    </row>
    <row r="8" spans="2:13" ht="20.399999999999999" thickBot="1" x14ac:dyDescent="0.45">
      <c r="B8" s="6" t="s">
        <v>2</v>
      </c>
      <c r="C8" s="4" t="s">
        <v>3</v>
      </c>
      <c r="D8" s="4"/>
      <c r="E8" s="6" t="s">
        <v>4</v>
      </c>
      <c r="K8" s="2"/>
      <c r="L8" s="2"/>
      <c r="M8" s="2"/>
    </row>
    <row r="9" spans="2:13" ht="20.399999999999999" thickBot="1" x14ac:dyDescent="0.45">
      <c r="B9" s="65" t="s">
        <v>13</v>
      </c>
      <c r="C9" s="70"/>
      <c r="D9" s="70"/>
      <c r="E9" s="71"/>
    </row>
    <row r="10" spans="2:13" x14ac:dyDescent="0.3">
      <c r="B10" s="53" t="s">
        <v>5</v>
      </c>
      <c r="C10" s="54" t="s">
        <v>6</v>
      </c>
      <c r="D10" s="55">
        <v>27</v>
      </c>
      <c r="E10" s="56" t="s">
        <v>7</v>
      </c>
    </row>
    <row r="11" spans="2:13" x14ac:dyDescent="0.3">
      <c r="B11" s="31" t="s">
        <v>5</v>
      </c>
      <c r="C11" s="2" t="s">
        <v>8</v>
      </c>
      <c r="D11" s="24">
        <v>34</v>
      </c>
      <c r="E11" s="32" t="s">
        <v>7</v>
      </c>
    </row>
    <row r="12" spans="2:13" x14ac:dyDescent="0.3">
      <c r="B12" s="31" t="s">
        <v>10</v>
      </c>
      <c r="C12" s="2" t="s">
        <v>9</v>
      </c>
      <c r="D12" s="24">
        <v>45</v>
      </c>
      <c r="E12" s="32" t="s">
        <v>7</v>
      </c>
    </row>
    <row r="13" spans="2:13" x14ac:dyDescent="0.3">
      <c r="B13" s="31" t="s">
        <v>28</v>
      </c>
      <c r="C13" s="2" t="s">
        <v>29</v>
      </c>
      <c r="D13" s="24">
        <v>0.6</v>
      </c>
      <c r="E13" s="32"/>
    </row>
    <row r="14" spans="2:13" x14ac:dyDescent="0.3">
      <c r="B14" s="31" t="s">
        <v>58</v>
      </c>
      <c r="C14" s="2" t="s">
        <v>59</v>
      </c>
      <c r="D14" s="22">
        <f>D13*D10/D12</f>
        <v>0.36</v>
      </c>
      <c r="E14" s="32"/>
    </row>
    <row r="15" spans="2:13" x14ac:dyDescent="0.3">
      <c r="B15" s="31" t="s">
        <v>60</v>
      </c>
      <c r="C15" s="7" t="s">
        <v>62</v>
      </c>
      <c r="D15" s="24">
        <v>15</v>
      </c>
      <c r="E15" s="32" t="s">
        <v>61</v>
      </c>
    </row>
    <row r="16" spans="2:13" x14ac:dyDescent="0.3">
      <c r="B16" s="31" t="s">
        <v>11</v>
      </c>
      <c r="C16" s="2" t="s">
        <v>12</v>
      </c>
      <c r="D16" s="24">
        <v>60</v>
      </c>
      <c r="E16" s="32" t="s">
        <v>7</v>
      </c>
    </row>
    <row r="17" spans="2:7" x14ac:dyDescent="0.3">
      <c r="B17" s="31" t="s">
        <v>44</v>
      </c>
      <c r="C17" s="2" t="s">
        <v>42</v>
      </c>
      <c r="D17" s="24">
        <v>24</v>
      </c>
      <c r="E17" s="32" t="s">
        <v>7</v>
      </c>
    </row>
    <row r="18" spans="2:7" x14ac:dyDescent="0.3">
      <c r="B18" s="31" t="s">
        <v>45</v>
      </c>
      <c r="C18" s="2" t="s">
        <v>43</v>
      </c>
      <c r="D18" s="24">
        <v>23.5</v>
      </c>
      <c r="E18" s="32" t="s">
        <v>7</v>
      </c>
    </row>
    <row r="19" spans="2:7" ht="16.8" thickBot="1" x14ac:dyDescent="0.4">
      <c r="B19" s="33" t="s">
        <v>86</v>
      </c>
      <c r="C19" s="8" t="s">
        <v>87</v>
      </c>
      <c r="D19" s="34">
        <v>14</v>
      </c>
      <c r="E19" s="57" t="s">
        <v>56</v>
      </c>
    </row>
    <row r="20" spans="2:7" ht="20.399999999999999" thickBot="1" x14ac:dyDescent="0.45">
      <c r="B20" s="65" t="s">
        <v>14</v>
      </c>
      <c r="C20" s="70"/>
      <c r="D20" s="70"/>
      <c r="E20" s="71"/>
    </row>
    <row r="21" spans="2:7" x14ac:dyDescent="0.3">
      <c r="B21" s="53" t="s">
        <v>15</v>
      </c>
      <c r="C21" s="54"/>
      <c r="D21" s="55">
        <v>12</v>
      </c>
      <c r="E21" s="56" t="s">
        <v>7</v>
      </c>
    </row>
    <row r="22" spans="2:7" x14ac:dyDescent="0.3">
      <c r="B22" s="31" t="s">
        <v>16</v>
      </c>
      <c r="C22" s="2"/>
      <c r="D22" s="24">
        <v>1200</v>
      </c>
      <c r="E22" s="32" t="s">
        <v>17</v>
      </c>
    </row>
    <row r="23" spans="2:7" x14ac:dyDescent="0.3">
      <c r="B23" s="31" t="s">
        <v>20</v>
      </c>
      <c r="C23" s="2"/>
      <c r="D23" s="24">
        <v>0</v>
      </c>
      <c r="E23" s="32" t="s">
        <v>19</v>
      </c>
    </row>
    <row r="24" spans="2:7" x14ac:dyDescent="0.3">
      <c r="B24" s="31" t="s">
        <v>18</v>
      </c>
      <c r="C24" s="2"/>
      <c r="D24" s="24">
        <v>21</v>
      </c>
      <c r="E24" s="32" t="s">
        <v>19</v>
      </c>
    </row>
    <row r="25" spans="2:7" x14ac:dyDescent="0.3">
      <c r="B25" s="31" t="s">
        <v>21</v>
      </c>
      <c r="C25" s="2"/>
      <c r="D25" s="24">
        <v>25</v>
      </c>
      <c r="E25" s="32" t="s">
        <v>19</v>
      </c>
      <c r="G25" s="10"/>
    </row>
    <row r="26" spans="2:7" ht="15.6" thickBot="1" x14ac:dyDescent="0.35">
      <c r="B26" s="36"/>
      <c r="C26" s="10"/>
      <c r="D26" s="19"/>
      <c r="E26" s="37"/>
    </row>
    <row r="27" spans="2:7" ht="20.399999999999999" thickBot="1" x14ac:dyDescent="0.45">
      <c r="B27" s="72" t="s">
        <v>22</v>
      </c>
      <c r="C27" s="73"/>
      <c r="D27" s="73"/>
      <c r="E27" s="60"/>
    </row>
    <row r="28" spans="2:7" x14ac:dyDescent="0.3">
      <c r="B28" s="53" t="s">
        <v>23</v>
      </c>
      <c r="C28" s="54"/>
      <c r="D28" s="55">
        <v>250</v>
      </c>
      <c r="E28" s="56" t="s">
        <v>24</v>
      </c>
    </row>
    <row r="29" spans="2:7" x14ac:dyDescent="0.3">
      <c r="B29" s="31" t="s">
        <v>25</v>
      </c>
      <c r="C29" s="2"/>
      <c r="D29" s="24">
        <v>30</v>
      </c>
      <c r="E29" s="32" t="s">
        <v>85</v>
      </c>
    </row>
    <row r="30" spans="2:7" x14ac:dyDescent="0.3">
      <c r="B30" s="31" t="s">
        <v>26</v>
      </c>
      <c r="C30" s="2"/>
      <c r="D30" s="24">
        <v>0.1</v>
      </c>
      <c r="E30" s="35" t="s">
        <v>84</v>
      </c>
    </row>
    <row r="31" spans="2:7" x14ac:dyDescent="0.3">
      <c r="B31" s="31" t="s">
        <v>55</v>
      </c>
      <c r="C31" s="2"/>
      <c r="D31" s="24">
        <v>9.75</v>
      </c>
      <c r="E31" s="35" t="s">
        <v>56</v>
      </c>
    </row>
    <row r="32" spans="2:7" x14ac:dyDescent="0.3">
      <c r="B32" s="31" t="s">
        <v>57</v>
      </c>
      <c r="C32" s="2"/>
      <c r="D32" s="24">
        <v>1.33</v>
      </c>
      <c r="E32" s="35"/>
    </row>
    <row r="33" spans="2:5" x14ac:dyDescent="0.3">
      <c r="B33" s="31" t="s">
        <v>105</v>
      </c>
      <c r="C33" s="2"/>
      <c r="D33" s="24">
        <v>85</v>
      </c>
      <c r="E33" s="35" t="s">
        <v>61</v>
      </c>
    </row>
    <row r="34" spans="2:5" s="10" customFormat="1" ht="15.6" thickBot="1" x14ac:dyDescent="0.35">
      <c r="B34" s="36"/>
      <c r="D34" s="21"/>
      <c r="E34" s="38"/>
    </row>
    <row r="35" spans="2:5" s="4" customFormat="1" ht="20.399999999999999" thickBot="1" x14ac:dyDescent="0.45">
      <c r="B35" s="65" t="s">
        <v>104</v>
      </c>
      <c r="C35" s="66"/>
      <c r="D35" s="66"/>
      <c r="E35" s="67"/>
    </row>
    <row r="36" spans="2:5" x14ac:dyDescent="0.3">
      <c r="B36" s="53" t="s">
        <v>110</v>
      </c>
      <c r="C36" s="54" t="s">
        <v>63</v>
      </c>
      <c r="D36" s="58">
        <f>D21*(1-D14)*1000000/(D15*D24*D28*10)</f>
        <v>9.7523809523809533</v>
      </c>
      <c r="E36" s="59" t="s">
        <v>56</v>
      </c>
    </row>
    <row r="37" spans="2:5" x14ac:dyDescent="0.3">
      <c r="B37" s="31" t="s">
        <v>111</v>
      </c>
      <c r="C37" s="2" t="s">
        <v>63</v>
      </c>
      <c r="D37" s="25">
        <v>9.75</v>
      </c>
      <c r="E37" s="35" t="s">
        <v>56</v>
      </c>
    </row>
    <row r="38" spans="2:5" ht="15.6" x14ac:dyDescent="0.35">
      <c r="B38" s="39" t="s">
        <v>112</v>
      </c>
      <c r="C38" s="11" t="s">
        <v>113</v>
      </c>
      <c r="D38" s="23">
        <f>D21*(1-D14)/(D37*D28*0.001)</f>
        <v>3.1507692307692308</v>
      </c>
      <c r="E38" s="35"/>
    </row>
    <row r="39" spans="2:5" ht="16.2" x14ac:dyDescent="0.35">
      <c r="B39" s="39" t="s">
        <v>93</v>
      </c>
      <c r="C39" s="9" t="s">
        <v>94</v>
      </c>
      <c r="D39" s="23">
        <f>D24+D38/2</f>
        <v>22.575384615384614</v>
      </c>
      <c r="E39" s="35" t="s">
        <v>19</v>
      </c>
    </row>
    <row r="40" spans="2:5" ht="16.2" x14ac:dyDescent="0.35">
      <c r="B40" s="39" t="s">
        <v>115</v>
      </c>
      <c r="C40" s="9" t="s">
        <v>114</v>
      </c>
      <c r="D40" s="23">
        <f>D24*SQRT(D13)</f>
        <v>16.266530054071151</v>
      </c>
      <c r="E40" s="35" t="s">
        <v>19</v>
      </c>
    </row>
    <row r="41" spans="2:5" ht="16.2" x14ac:dyDescent="0.35">
      <c r="B41" s="39" t="s">
        <v>116</v>
      </c>
      <c r="C41" s="9" t="s">
        <v>117</v>
      </c>
      <c r="D41" s="23">
        <f>D24*SQRT(1-D14)</f>
        <v>16.8</v>
      </c>
      <c r="E41" s="35" t="s">
        <v>19</v>
      </c>
    </row>
    <row r="42" spans="2:5" s="14" customFormat="1" x14ac:dyDescent="0.3">
      <c r="B42" s="39"/>
      <c r="C42" s="15"/>
      <c r="D42" s="13"/>
      <c r="E42" s="40"/>
    </row>
    <row r="43" spans="2:5" ht="16.2" x14ac:dyDescent="0.35">
      <c r="B43" s="39" t="s">
        <v>97</v>
      </c>
      <c r="C43" s="9" t="s">
        <v>99</v>
      </c>
      <c r="D43" s="26">
        <f>D38*1000000/(8*D28*D22)</f>
        <v>1.3128205128205128</v>
      </c>
      <c r="E43" s="35" t="s">
        <v>98</v>
      </c>
    </row>
    <row r="44" spans="2:5" s="14" customFormat="1" x14ac:dyDescent="0.3">
      <c r="B44" s="39"/>
      <c r="C44" s="15"/>
      <c r="D44" s="13"/>
      <c r="E44" s="40"/>
    </row>
    <row r="45" spans="2:5" ht="16.2" x14ac:dyDescent="0.35">
      <c r="B45" s="39" t="s">
        <v>106</v>
      </c>
      <c r="C45" s="9" t="s">
        <v>107</v>
      </c>
      <c r="D45" s="23">
        <f>1.25*1000000*(D21*D24+D77*0.01*D33*D10)*(1-D13)/(0.01*D33*D10*D28*1000*0.05*D10)</f>
        <v>23.124390496939519</v>
      </c>
      <c r="E45" s="35" t="s">
        <v>98</v>
      </c>
    </row>
    <row r="46" spans="2:5" x14ac:dyDescent="0.3">
      <c r="B46" s="41"/>
      <c r="C46" s="12"/>
      <c r="D46" s="20"/>
      <c r="E46" s="38"/>
    </row>
    <row r="47" spans="2:5" x14ac:dyDescent="0.3">
      <c r="B47" s="31" t="s">
        <v>109</v>
      </c>
      <c r="C47" s="2" t="s">
        <v>68</v>
      </c>
      <c r="D47" s="23">
        <f>(D30-0.015)*1000/11.1</f>
        <v>7.6576576576576576</v>
      </c>
      <c r="E47" s="32" t="s">
        <v>27</v>
      </c>
    </row>
    <row r="48" spans="2:5" x14ac:dyDescent="0.3">
      <c r="B48" s="42" t="s">
        <v>70</v>
      </c>
      <c r="C48" s="2" t="s">
        <v>69</v>
      </c>
      <c r="D48" s="25">
        <v>7.66</v>
      </c>
      <c r="E48" s="32" t="s">
        <v>36</v>
      </c>
    </row>
    <row r="49" spans="2:9" x14ac:dyDescent="0.3">
      <c r="B49" s="31" t="s">
        <v>34</v>
      </c>
      <c r="C49" s="2" t="s">
        <v>71</v>
      </c>
      <c r="D49" s="23">
        <f>(I49+D30)*1000/36.1</f>
        <v>69.252077562326861</v>
      </c>
      <c r="E49" s="32" t="s">
        <v>27</v>
      </c>
      <c r="H49" t="s">
        <v>30</v>
      </c>
      <c r="I49">
        <f>D13*1000/D28</f>
        <v>2.4</v>
      </c>
    </row>
    <row r="50" spans="2:9" x14ac:dyDescent="0.3">
      <c r="B50" s="42" t="s">
        <v>35</v>
      </c>
      <c r="C50" s="2" t="s">
        <v>72</v>
      </c>
      <c r="D50" s="25">
        <v>69.25</v>
      </c>
      <c r="E50" s="32" t="s">
        <v>36</v>
      </c>
    </row>
    <row r="51" spans="2:9" x14ac:dyDescent="0.3">
      <c r="B51" s="31" t="s">
        <v>38</v>
      </c>
      <c r="C51" s="2" t="s">
        <v>73</v>
      </c>
      <c r="D51" s="23">
        <f>(I51-D30-0.17)*1000/15</f>
        <v>88.666666666666671</v>
      </c>
      <c r="E51" s="32" t="s">
        <v>27</v>
      </c>
      <c r="H51" t="s">
        <v>31</v>
      </c>
      <c r="I51">
        <f>(1-D13)*1000/D28</f>
        <v>1.6</v>
      </c>
    </row>
    <row r="52" spans="2:9" x14ac:dyDescent="0.3">
      <c r="B52" s="42" t="s">
        <v>37</v>
      </c>
      <c r="C52" s="2" t="s">
        <v>74</v>
      </c>
      <c r="D52" s="24">
        <v>88.67</v>
      </c>
      <c r="E52" s="32" t="s">
        <v>36</v>
      </c>
    </row>
    <row r="53" spans="2:9" x14ac:dyDescent="0.3">
      <c r="B53" s="31" t="s">
        <v>108</v>
      </c>
      <c r="C53" s="2" t="s">
        <v>75</v>
      </c>
      <c r="D53" s="26">
        <f>2.5*0.43*D29*0.001*1000000000/(D49*1000*2)</f>
        <v>232.84500000000006</v>
      </c>
      <c r="E53" s="32" t="s">
        <v>32</v>
      </c>
    </row>
    <row r="54" spans="2:9" x14ac:dyDescent="0.3">
      <c r="B54" s="43" t="s">
        <v>39</v>
      </c>
      <c r="C54" s="2" t="s">
        <v>76</v>
      </c>
      <c r="D54" s="24">
        <v>233</v>
      </c>
      <c r="E54" s="32" t="s">
        <v>32</v>
      </c>
    </row>
    <row r="55" spans="2:9" x14ac:dyDescent="0.3">
      <c r="B55" s="31"/>
      <c r="C55" s="2"/>
      <c r="D55" s="5"/>
      <c r="E55" s="32"/>
      <c r="H55" t="s">
        <v>33</v>
      </c>
      <c r="I55">
        <f>2.5*0.05/(D48*1000)</f>
        <v>1.6318537859007832E-5</v>
      </c>
    </row>
    <row r="56" spans="2:9" x14ac:dyDescent="0.3">
      <c r="B56" s="31" t="s">
        <v>40</v>
      </c>
      <c r="C56" s="2" t="s">
        <v>77</v>
      </c>
      <c r="D56" s="22">
        <f>(D17-D18)*0.001/I55</f>
        <v>30.64</v>
      </c>
      <c r="E56" s="32" t="s">
        <v>27</v>
      </c>
    </row>
    <row r="57" spans="2:9" x14ac:dyDescent="0.3">
      <c r="B57" s="31" t="s">
        <v>41</v>
      </c>
      <c r="C57" s="2" t="s">
        <v>78</v>
      </c>
      <c r="D57" s="24">
        <v>30.64</v>
      </c>
      <c r="E57" s="32" t="s">
        <v>36</v>
      </c>
    </row>
    <row r="58" spans="2:9" x14ac:dyDescent="0.3">
      <c r="B58" s="31" t="s">
        <v>46</v>
      </c>
      <c r="C58" s="2" t="s">
        <v>79</v>
      </c>
      <c r="D58" s="23">
        <f>D56*1.27/(34.6-1.27)</f>
        <v>1.1675007500750076</v>
      </c>
      <c r="E58" s="32" t="s">
        <v>36</v>
      </c>
    </row>
    <row r="59" spans="2:9" x14ac:dyDescent="0.3">
      <c r="B59" s="31" t="s">
        <v>47</v>
      </c>
      <c r="C59" s="2" t="s">
        <v>80</v>
      </c>
      <c r="D59" s="24">
        <v>1.17</v>
      </c>
      <c r="E59" s="32" t="s">
        <v>36</v>
      </c>
    </row>
    <row r="60" spans="2:9" hidden="1" x14ac:dyDescent="0.3">
      <c r="B60" s="31"/>
      <c r="C60" s="2"/>
      <c r="D60" s="5"/>
      <c r="E60" s="32"/>
    </row>
    <row r="61" spans="2:9" x14ac:dyDescent="0.3">
      <c r="B61" s="31"/>
      <c r="C61" s="2"/>
      <c r="D61" s="5"/>
      <c r="E61" s="32"/>
    </row>
    <row r="62" spans="2:9" ht="16.2" x14ac:dyDescent="0.35">
      <c r="B62" s="42" t="s">
        <v>67</v>
      </c>
      <c r="C62" s="2" t="s">
        <v>100</v>
      </c>
      <c r="D62" s="24">
        <v>100</v>
      </c>
      <c r="E62" s="32" t="s">
        <v>48</v>
      </c>
    </row>
    <row r="63" spans="2:9" ht="16.2" x14ac:dyDescent="0.35">
      <c r="B63" s="31" t="s">
        <v>49</v>
      </c>
      <c r="C63" s="2" t="s">
        <v>101</v>
      </c>
      <c r="D63" s="26">
        <f>1/(2*3.14*D28*10000*D62*0.000000000001)</f>
        <v>636.9426751592357</v>
      </c>
      <c r="E63" s="35" t="s">
        <v>51</v>
      </c>
    </row>
    <row r="64" spans="2:9" ht="16.2" x14ac:dyDescent="0.35">
      <c r="B64" s="42" t="s">
        <v>50</v>
      </c>
      <c r="C64" s="2" t="s">
        <v>102</v>
      </c>
      <c r="D64" s="24">
        <v>637</v>
      </c>
      <c r="E64" s="35" t="s">
        <v>51</v>
      </c>
    </row>
    <row r="65" spans="2:9" x14ac:dyDescent="0.3">
      <c r="B65" s="31"/>
      <c r="C65" s="2"/>
      <c r="D65" s="5"/>
      <c r="E65" s="32"/>
    </row>
    <row r="66" spans="2:9" ht="16.2" x14ac:dyDescent="0.35">
      <c r="B66" s="31" t="s">
        <v>53</v>
      </c>
      <c r="C66" s="2" t="s">
        <v>120</v>
      </c>
      <c r="D66" s="27">
        <f>0.43/I66</f>
        <v>1.9860299358517467E-2</v>
      </c>
      <c r="E66" s="35" t="s">
        <v>51</v>
      </c>
      <c r="H66" t="s">
        <v>54</v>
      </c>
      <c r="I66" s="1">
        <f>(D25+D25*D15/100)/D71</f>
        <v>21.651234567901231</v>
      </c>
    </row>
    <row r="67" spans="2:9" hidden="1" x14ac:dyDescent="0.3">
      <c r="B67" s="44"/>
      <c r="C67" s="17"/>
      <c r="D67" s="18"/>
      <c r="E67" s="45"/>
    </row>
    <row r="68" spans="2:9" x14ac:dyDescent="0.3">
      <c r="B68" s="36"/>
      <c r="C68" s="10"/>
      <c r="D68" s="19"/>
      <c r="E68" s="37"/>
    </row>
    <row r="69" spans="2:9" x14ac:dyDescent="0.3">
      <c r="B69" s="36"/>
      <c r="C69" s="10"/>
      <c r="D69" s="19"/>
      <c r="E69" s="37"/>
    </row>
    <row r="70" spans="2:9" x14ac:dyDescent="0.3">
      <c r="B70" s="31" t="s">
        <v>82</v>
      </c>
      <c r="C70" s="2" t="s">
        <v>81</v>
      </c>
      <c r="D70" s="28">
        <f>(D21+0.2)/D13</f>
        <v>20.333333333333332</v>
      </c>
      <c r="E70" s="32"/>
    </row>
    <row r="71" spans="2:9" x14ac:dyDescent="0.3">
      <c r="B71" s="31" t="s">
        <v>52</v>
      </c>
      <c r="C71" s="2" t="s">
        <v>66</v>
      </c>
      <c r="D71" s="23">
        <f>D10/D70</f>
        <v>1.3278688524590165</v>
      </c>
      <c r="E71" s="32"/>
    </row>
    <row r="72" spans="2:9" hidden="1" x14ac:dyDescent="0.3">
      <c r="B72" s="31"/>
      <c r="C72" s="2"/>
      <c r="D72" s="5"/>
      <c r="E72" s="32"/>
      <c r="H72" t="s">
        <v>65</v>
      </c>
      <c r="I72">
        <f>(D10-D21*D71)*100*D66/(D71^2*D36*D32)</f>
        <v>0.96091962242562923</v>
      </c>
    </row>
    <row r="73" spans="2:9" x14ac:dyDescent="0.3">
      <c r="B73" s="31"/>
      <c r="C73" s="2"/>
      <c r="D73" s="5"/>
      <c r="E73" s="32"/>
      <c r="H73" t="s">
        <v>64</v>
      </c>
    </row>
    <row r="74" spans="2:9" ht="16.2" x14ac:dyDescent="0.35">
      <c r="B74" s="31" t="s">
        <v>83</v>
      </c>
      <c r="C74" s="2" t="s">
        <v>119</v>
      </c>
      <c r="D74" s="26">
        <f>9*D64*D28*0.001/(D13*I72*1000)</f>
        <v>2.4858999069767442</v>
      </c>
      <c r="E74" s="32" t="s">
        <v>36</v>
      </c>
    </row>
    <row r="75" spans="2:9" x14ac:dyDescent="0.3">
      <c r="B75" s="36"/>
      <c r="C75" s="10"/>
      <c r="D75" s="46"/>
      <c r="E75" s="47"/>
    </row>
    <row r="76" spans="2:9" x14ac:dyDescent="0.3">
      <c r="B76" s="36"/>
      <c r="C76" s="10"/>
      <c r="D76" s="10"/>
      <c r="E76" s="47"/>
    </row>
    <row r="77" spans="2:9" ht="16.2" x14ac:dyDescent="0.35">
      <c r="B77" s="42" t="s">
        <v>88</v>
      </c>
      <c r="C77" s="2" t="s">
        <v>90</v>
      </c>
      <c r="D77" s="29">
        <f>D10*D13/(D28*D19*0.001)</f>
        <v>4.6285714285714281</v>
      </c>
      <c r="E77" s="32" t="s">
        <v>19</v>
      </c>
    </row>
    <row r="78" spans="2:9" ht="16.2" x14ac:dyDescent="0.35">
      <c r="B78" s="42" t="s">
        <v>89</v>
      </c>
      <c r="C78" s="2" t="s">
        <v>91</v>
      </c>
      <c r="D78" s="29">
        <f>D77+D39/D71</f>
        <v>21.629787003120335</v>
      </c>
      <c r="E78" s="32" t="s">
        <v>19</v>
      </c>
    </row>
    <row r="79" spans="2:9" ht="16.2" x14ac:dyDescent="0.35">
      <c r="B79" s="42" t="s">
        <v>89</v>
      </c>
      <c r="C79" s="2" t="s">
        <v>92</v>
      </c>
      <c r="D79" s="29">
        <f>(D40/D71)+D77/2</f>
        <v>14.564388594512135</v>
      </c>
      <c r="E79" s="32" t="s">
        <v>19</v>
      </c>
    </row>
    <row r="80" spans="2:9" s="14" customFormat="1" x14ac:dyDescent="0.3">
      <c r="B80" s="42"/>
      <c r="C80" s="3"/>
      <c r="D80" s="16"/>
      <c r="E80" s="48"/>
    </row>
    <row r="81" spans="2:5" ht="16.2" x14ac:dyDescent="0.35">
      <c r="B81" s="42" t="s">
        <v>95</v>
      </c>
      <c r="C81" s="2" t="s">
        <v>96</v>
      </c>
      <c r="D81" s="30">
        <f>D12/(1-D14)</f>
        <v>70.3125</v>
      </c>
      <c r="E81" s="32" t="s">
        <v>7</v>
      </c>
    </row>
    <row r="82" spans="2:5" x14ac:dyDescent="0.3">
      <c r="B82" s="36"/>
      <c r="C82" s="10"/>
      <c r="D82" s="10"/>
      <c r="E82" s="47"/>
    </row>
    <row r="83" spans="2:5" x14ac:dyDescent="0.3">
      <c r="B83" s="36"/>
      <c r="C83" s="10"/>
      <c r="D83" s="10"/>
      <c r="E83" s="47"/>
    </row>
    <row r="84" spans="2:5" ht="16.8" thickBot="1" x14ac:dyDescent="0.4">
      <c r="B84" s="49" t="s">
        <v>118</v>
      </c>
      <c r="C84" s="50" t="s">
        <v>103</v>
      </c>
      <c r="D84" s="51">
        <f>1000000000*10*(1-D14)^2/((D19*0.000001)*(2*3.14159*D28*1000)^2)</f>
        <v>118.57493408298697</v>
      </c>
      <c r="E84" s="52" t="s">
        <v>32</v>
      </c>
    </row>
  </sheetData>
  <sheetProtection password="BCDD" sheet="1" objects="1" scenarios="1"/>
  <mergeCells count="7">
    <mergeCell ref="B1:E1"/>
    <mergeCell ref="B35:E35"/>
    <mergeCell ref="B5:E5"/>
    <mergeCell ref="B4:E4"/>
    <mergeCell ref="B9:E9"/>
    <mergeCell ref="B20:E20"/>
    <mergeCell ref="B27:D27"/>
  </mergeCells>
  <phoneticPr fontId="1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1:L33"/>
  <sheetViews>
    <sheetView workbookViewId="0">
      <selection activeCell="J22" sqref="J22"/>
    </sheetView>
  </sheetViews>
  <sheetFormatPr defaultRowHeight="15" x14ac:dyDescent="0.3"/>
  <sheetData>
    <row r="21" spans="12:12" ht="19.8" x14ac:dyDescent="0.4">
      <c r="L21" s="4" t="s">
        <v>122</v>
      </c>
    </row>
    <row r="33" spans="3:3" ht="19.8" x14ac:dyDescent="0.4">
      <c r="C33" s="4" t="s">
        <v>121</v>
      </c>
    </row>
  </sheetData>
  <sheetProtection sheet="1" objects="1" scenarios="1"/>
  <phoneticPr fontId="12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3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Design Information</vt:lpstr>
      <vt:lpstr>TYPICAL APPLICATION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Ryan.wang</cp:lastModifiedBy>
  <dcterms:created xsi:type="dcterms:W3CDTF">2018-06-22T13:09:36Z</dcterms:created>
  <dcterms:modified xsi:type="dcterms:W3CDTF">2020-12-08T05:21:13Z</dcterms:modified>
</cp:coreProperties>
</file>